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Gerd Glaser\Desktop\"/>
    </mc:Choice>
  </mc:AlternateContent>
  <xr:revisionPtr revIDLastSave="0" documentId="13_ncr:1_{EB19D927-B71B-4789-A9B2-A0F3FBF23931}" xr6:coauthVersionLast="47" xr6:coauthVersionMax="47" xr10:uidLastSave="{00000000-0000-0000-0000-000000000000}"/>
  <workbookProtection workbookAlgorithmName="SHA-512" workbookHashValue="5Zw3sR0PSd7zN5GirxA3DqDg6QW8bjo2FORAk5TFQlwRi39PnmNwy/STAt6j4AbAo8P0KuX4boIn2AUaZtQd0g==" workbookSaltValue="2x0qb4RWBTF6loW0TjTkRw==" workbookSpinCount="100000" lockStructure="1"/>
  <bookViews>
    <workbookView xWindow="-108" yWindow="-108" windowWidth="19416" windowHeight="10296" tabRatio="690" firstSheet="37" activeTab="39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state="hidden" r:id="rId17"/>
    <sheet name="Spielzettel3" sheetId="46" state="hidden" r:id="rId18"/>
    <sheet name="Erfassung3" sheetId="55" state="hidden" r:id="rId19"/>
    <sheet name="Tabelle3" sheetId="63" state="hidden" r:id="rId20"/>
    <sheet name="TabGes3" sheetId="73" state="hidden" r:id="rId21"/>
    <sheet name="Schnitt3" sheetId="80" state="hidden" r:id="rId22"/>
    <sheet name="SchnittGes3" sheetId="85" state="hidden" r:id="rId23"/>
    <sheet name="SRBericht4" sheetId="94" state="hidden" r:id="rId24"/>
    <sheet name="Spielzettel4" sheetId="49" state="hidden" r:id="rId25"/>
    <sheet name="Erfassung4" sheetId="57" state="hidden" r:id="rId26"/>
    <sheet name="Tabelle4" sheetId="70" state="hidden" r:id="rId27"/>
    <sheet name="TabGes4" sheetId="74" state="hidden" r:id="rId28"/>
    <sheet name="Schnitt4" sheetId="81" state="hidden" r:id="rId29"/>
    <sheet name="SchnittGes4" sheetId="86" state="hidden" r:id="rId30"/>
    <sheet name="SRBericht5" sheetId="91" state="hidden" r:id="rId31"/>
    <sheet name="Spielzettel5" sheetId="50" state="hidden" r:id="rId32"/>
    <sheet name="Erfassung5" sheetId="58" state="hidden" r:id="rId33"/>
    <sheet name="Tabelle5" sheetId="68" state="hidden" r:id="rId34"/>
    <sheet name="TabGes5" sheetId="75" state="hidden" r:id="rId35"/>
    <sheet name="Schnitt5" sheetId="82" state="hidden" r:id="rId36"/>
    <sheet name="SchnittGes5" sheetId="87" state="hidden" r:id="rId37"/>
    <sheet name="SRBericht6" sheetId="90" r:id="rId38"/>
    <sheet name="Spielzettel6" sheetId="51" r:id="rId39"/>
    <sheet name="Erfassung6" sheetId="59" r:id="rId40"/>
    <sheet name="Tabelle6" sheetId="69" r:id="rId41"/>
    <sheet name="TabGes6" sheetId="77" r:id="rId42"/>
    <sheet name="Schnitt6" sheetId="83" r:id="rId43"/>
    <sheet name="SchnittGes6" sheetId="88" r:id="rId44"/>
    <sheet name="Starter" sheetId="71" r:id="rId45"/>
    <sheet name="member" sheetId="40" state="hidden" r:id="rId46"/>
  </sheets>
  <externalReferences>
    <externalReference r:id="rId47"/>
    <externalReference r:id="rId48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SchnittGes4!$A$1:$G$72</definedName>
    <definedName name="_xlnm.Print_Area" localSheetId="36">SchnittGes5!$A$1:$G$71</definedName>
    <definedName name="_xlnm.Print_Area" localSheetId="43">SchnittGes6!$A$1:$G$74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9" i="71" l="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69" i="71"/>
  <c r="C69" i="71"/>
  <c r="B69" i="71"/>
  <c r="AA67" i="57" s="1"/>
  <c r="B67" i="57" s="1"/>
  <c r="D67" i="71"/>
  <c r="C67" i="71"/>
  <c r="B67" i="71"/>
  <c r="AA249" i="53"/>
  <c r="B249" i="53" s="1"/>
  <c r="D65" i="71"/>
  <c r="C65" i="71"/>
  <c r="B65" i="71"/>
  <c r="D64" i="71"/>
  <c r="C64" i="71"/>
  <c r="B64" i="71"/>
  <c r="D63" i="71"/>
  <c r="C63" i="71"/>
  <c r="B63" i="71"/>
  <c r="AA194" i="53" s="1"/>
  <c r="B194" i="53" s="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AA220" i="52" s="1"/>
  <c r="B220" i="52" s="1"/>
  <c r="D53" i="71"/>
  <c r="C53" i="71"/>
  <c r="B53" i="71"/>
  <c r="AA217" i="52" s="1"/>
  <c r="B217" i="52" s="1"/>
  <c r="D52" i="71"/>
  <c r="C52" i="71"/>
  <c r="B52" i="71"/>
  <c r="AA196" i="52" s="1"/>
  <c r="B196" i="52" s="1"/>
  <c r="D51" i="71"/>
  <c r="C51" i="71"/>
  <c r="B51" i="71"/>
  <c r="D50" i="71"/>
  <c r="C50" i="71"/>
  <c r="B50" i="71"/>
  <c r="D49" i="71"/>
  <c r="C49" i="71"/>
  <c r="B49" i="71"/>
  <c r="AA157" i="52" s="1"/>
  <c r="B157" i="52" s="1"/>
  <c r="D48" i="71"/>
  <c r="C48" i="71"/>
  <c r="B48" i="71"/>
  <c r="AA130" i="52" s="1"/>
  <c r="B130" i="52" s="1"/>
  <c r="D47" i="71"/>
  <c r="C47" i="71"/>
  <c r="B47" i="71"/>
  <c r="D46" i="71"/>
  <c r="C46" i="71"/>
  <c r="B46" i="71"/>
  <c r="AA74" i="52" s="1"/>
  <c r="B74" i="52" s="1"/>
  <c r="D45" i="71"/>
  <c r="C45" i="71"/>
  <c r="B45" i="71"/>
  <c r="D44" i="71"/>
  <c r="C44" i="71"/>
  <c r="B44" i="71"/>
  <c r="AA46" i="52" s="1"/>
  <c r="B46" i="52" s="1"/>
  <c r="D43" i="71"/>
  <c r="C43" i="71"/>
  <c r="B43" i="71"/>
  <c r="D42" i="71"/>
  <c r="C42" i="71"/>
  <c r="B42" i="71"/>
  <c r="D41" i="71"/>
  <c r="C41" i="71"/>
  <c r="B41" i="71"/>
  <c r="AA127" i="52" s="1"/>
  <c r="B127" i="52" s="1"/>
  <c r="D40" i="71"/>
  <c r="C40" i="71"/>
  <c r="B40" i="71"/>
  <c r="D39" i="71"/>
  <c r="C39" i="71"/>
  <c r="B39" i="71"/>
  <c r="D38" i="71"/>
  <c r="C38" i="71"/>
  <c r="B38" i="71"/>
  <c r="D37" i="71"/>
  <c r="C37" i="71"/>
  <c r="B37" i="71"/>
  <c r="AA257" i="52" s="1"/>
  <c r="B257" i="52" s="1"/>
  <c r="D36" i="71"/>
  <c r="C36" i="71"/>
  <c r="B36" i="71"/>
  <c r="AA255" i="52" s="1"/>
  <c r="B255" i="52" s="1"/>
  <c r="D35" i="71"/>
  <c r="C35" i="71"/>
  <c r="B35" i="71"/>
  <c r="AA226" i="52" s="1"/>
  <c r="B226" i="52" s="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AA10" i="58" s="1"/>
  <c r="B10" i="58" s="1"/>
  <c r="D29" i="71"/>
  <c r="C29" i="71"/>
  <c r="B29" i="71"/>
  <c r="D28" i="71"/>
  <c r="C28" i="71"/>
  <c r="B28" i="71"/>
  <c r="AA10" i="52" s="1"/>
  <c r="B10" i="52" s="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AA286" i="52" s="1"/>
  <c r="B286" i="52" s="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AA76" i="52" s="1"/>
  <c r="B76" i="52" s="1"/>
  <c r="D15" i="71"/>
  <c r="C15" i="71"/>
  <c r="B15" i="71"/>
  <c r="D14" i="71"/>
  <c r="C14" i="71"/>
  <c r="B14" i="71"/>
  <c r="AA71" i="58" s="1"/>
  <c r="B71" i="58" s="1"/>
  <c r="D13" i="71"/>
  <c r="C13" i="71"/>
  <c r="B13" i="71"/>
  <c r="D12" i="71"/>
  <c r="C12" i="71"/>
  <c r="B12" i="71"/>
  <c r="AA160" i="52" s="1"/>
  <c r="B160" i="52" s="1"/>
  <c r="D11" i="71"/>
  <c r="C11" i="71"/>
  <c r="B11" i="71"/>
  <c r="D10" i="71"/>
  <c r="C10" i="71"/>
  <c r="B10" i="71"/>
  <c r="D9" i="71"/>
  <c r="C9" i="71"/>
  <c r="B9" i="71"/>
  <c r="AA166" i="52" s="1"/>
  <c r="B166" i="52" s="1"/>
  <c r="D8" i="71"/>
  <c r="C8" i="71"/>
  <c r="B8" i="71"/>
  <c r="D7" i="71"/>
  <c r="C7" i="71"/>
  <c r="B7" i="71"/>
  <c r="D6" i="71"/>
  <c r="C6" i="71"/>
  <c r="B6" i="71"/>
  <c r="D5" i="71"/>
  <c r="C5" i="71"/>
  <c r="B5" i="71"/>
  <c r="D4" i="71"/>
  <c r="C4" i="71"/>
  <c r="B4" i="71"/>
  <c r="AA104" i="52" s="1"/>
  <c r="B104" i="52" s="1"/>
  <c r="D3" i="71"/>
  <c r="C3" i="71"/>
  <c r="B3" i="71"/>
  <c r="D2" i="71"/>
  <c r="C2" i="71"/>
  <c r="B2" i="71"/>
  <c r="T22" i="41"/>
  <c r="R22" i="41"/>
  <c r="P22" i="4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44" i="52"/>
  <c r="B44" i="52" s="1"/>
  <c r="AA13" i="52"/>
  <c r="B13" i="52" s="1"/>
  <c r="AA11" i="52"/>
  <c r="B11" i="52" s="1"/>
  <c r="AA250" i="55"/>
  <c r="B250" i="55" s="1"/>
  <c r="AA137" i="52"/>
  <c r="B137" i="52" s="1"/>
  <c r="AA160" i="53"/>
  <c r="B160" i="53" s="1"/>
  <c r="DR4" i="16"/>
  <c r="CX4" i="16"/>
  <c r="CW5" i="16" s="1"/>
  <c r="U4" i="50" s="1"/>
  <c r="CD4" i="16"/>
  <c r="BJ4" i="16"/>
  <c r="AP4" i="16"/>
  <c r="AG8" i="16" s="1"/>
  <c r="V4" i="16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H284" i="59"/>
  <c r="BD284" i="59"/>
  <c r="BP283" i="59"/>
  <c r="BO283" i="59"/>
  <c r="BN283" i="59"/>
  <c r="BM283" i="59"/>
  <c r="BL283" i="59"/>
  <c r="BK283" i="59"/>
  <c r="BJ283" i="59"/>
  <c r="BW283" i="59" s="1"/>
  <c r="BI283" i="59"/>
  <c r="BH283" i="59"/>
  <c r="BD283" i="59"/>
  <c r="BP282" i="59"/>
  <c r="BO282" i="59"/>
  <c r="BN282" i="59"/>
  <c r="BM282" i="59"/>
  <c r="BL282" i="59"/>
  <c r="BK282" i="59"/>
  <c r="BJ282" i="59"/>
  <c r="BI282" i="59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S280" i="59" s="1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I248" i="59"/>
  <c r="BH248" i="59"/>
  <c r="BD248" i="59"/>
  <c r="BP247" i="59"/>
  <c r="BO247" i="59"/>
  <c r="BN247" i="59"/>
  <c r="BM247" i="59"/>
  <c r="BL247" i="59"/>
  <c r="BK247" i="59"/>
  <c r="BJ247" i="59"/>
  <c r="BI247" i="59"/>
  <c r="BW247" i="59" s="1"/>
  <c r="BH247" i="59"/>
  <c r="BD247" i="59"/>
  <c r="BC230" i="59"/>
  <c r="BP228" i="59"/>
  <c r="BO228" i="59"/>
  <c r="BN228" i="59"/>
  <c r="BM228" i="59"/>
  <c r="BL228" i="59"/>
  <c r="BK228" i="59"/>
  <c r="BJ228" i="59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S223" i="59" s="1"/>
  <c r="BL223" i="59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F217" i="59" s="1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I194" i="59"/>
  <c r="BH194" i="59"/>
  <c r="BD194" i="59"/>
  <c r="BP193" i="59"/>
  <c r="BO193" i="59"/>
  <c r="BN193" i="59"/>
  <c r="BM193" i="59"/>
  <c r="BL193" i="59"/>
  <c r="BK193" i="59"/>
  <c r="BJ193" i="59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W187" i="59" s="1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N158" i="59"/>
  <c r="BM158" i="59"/>
  <c r="BL158" i="59"/>
  <c r="BK158" i="59"/>
  <c r="BJ158" i="59"/>
  <c r="BI158" i="59"/>
  <c r="BH158" i="59"/>
  <c r="BD158" i="59"/>
  <c r="BP157" i="59"/>
  <c r="BO157" i="59"/>
  <c r="BN157" i="59"/>
  <c r="BM157" i="59"/>
  <c r="BL157" i="59"/>
  <c r="BF157" i="59" s="1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H136" i="59"/>
  <c r="BD136" i="59"/>
  <c r="BP135" i="59"/>
  <c r="BO135" i="59"/>
  <c r="BN135" i="59"/>
  <c r="BM135" i="59"/>
  <c r="BL135" i="59"/>
  <c r="BK135" i="59"/>
  <c r="BJ135" i="59"/>
  <c r="BI135" i="59"/>
  <c r="BH135" i="59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G133" i="59" s="1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J131" i="59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X103" i="59" s="1"/>
  <c r="BI103" i="59"/>
  <c r="BH103" i="59"/>
  <c r="BD103" i="59"/>
  <c r="BP102" i="59"/>
  <c r="BO102" i="59"/>
  <c r="BN102" i="59"/>
  <c r="BM102" i="59"/>
  <c r="BL102" i="59"/>
  <c r="BK102" i="59"/>
  <c r="BJ102" i="59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M100" i="59"/>
  <c r="BL100" i="59"/>
  <c r="BK100" i="59"/>
  <c r="BJ100" i="59"/>
  <c r="BI100" i="59"/>
  <c r="BH100" i="59"/>
  <c r="BD100" i="59"/>
  <c r="BP99" i="59"/>
  <c r="BO99" i="59"/>
  <c r="BN99" i="59"/>
  <c r="BM99" i="59"/>
  <c r="BL99" i="59"/>
  <c r="BK99" i="59"/>
  <c r="BJ99" i="59"/>
  <c r="BI99" i="59"/>
  <c r="BH99" i="59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X78" i="59" s="1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M74" i="59"/>
  <c r="BL74" i="59"/>
  <c r="BK74" i="59"/>
  <c r="BJ74" i="59"/>
  <c r="BI74" i="59"/>
  <c r="BH74" i="59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W72" i="59" s="1"/>
  <c r="BL72" i="59"/>
  <c r="BK72" i="59"/>
  <c r="BJ72" i="59"/>
  <c r="BI72" i="59"/>
  <c r="BH72" i="59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J68" i="59"/>
  <c r="BI68" i="59"/>
  <c r="BH68" i="59"/>
  <c r="BD68" i="59"/>
  <c r="BP67" i="59"/>
  <c r="BO67" i="59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I47" i="59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L16" i="59"/>
  <c r="BK16" i="59"/>
  <c r="BJ16" i="59"/>
  <c r="BI16" i="59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X13" i="59" s="1"/>
  <c r="BL13" i="59"/>
  <c r="BK13" i="59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D10" i="59"/>
  <c r="BP9" i="59"/>
  <c r="BO9" i="59"/>
  <c r="BN9" i="59"/>
  <c r="BM9" i="59"/>
  <c r="BL9" i="59"/>
  <c r="BK9" i="59"/>
  <c r="BJ9" i="59"/>
  <c r="BI9" i="59"/>
  <c r="BH9" i="59"/>
  <c r="BD9" i="59"/>
  <c r="BP8" i="59"/>
  <c r="BO8" i="59"/>
  <c r="BN8" i="59"/>
  <c r="BM8" i="59"/>
  <c r="BL8" i="59"/>
  <c r="BK8" i="59"/>
  <c r="BJ8" i="59"/>
  <c r="BI8" i="59"/>
  <c r="BH8" i="59"/>
  <c r="BD8" i="59"/>
  <c r="BP7" i="59"/>
  <c r="BO7" i="59"/>
  <c r="BN7" i="59"/>
  <c r="BM7" i="59"/>
  <c r="BL7" i="59"/>
  <c r="BK7" i="59"/>
  <c r="BJ7" i="59"/>
  <c r="BI7" i="59"/>
  <c r="BG7" i="59" s="1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K287" i="58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H284" i="58"/>
  <c r="BD284" i="58"/>
  <c r="BP283" i="58"/>
  <c r="BO283" i="58"/>
  <c r="BN283" i="58"/>
  <c r="BM283" i="58"/>
  <c r="BL283" i="58"/>
  <c r="BK283" i="58"/>
  <c r="BJ283" i="58"/>
  <c r="BI283" i="58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K279" i="58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H277" i="58"/>
  <c r="BD277" i="58"/>
  <c r="BC260" i="58"/>
  <c r="BP258" i="58"/>
  <c r="BO258" i="58"/>
  <c r="BN258" i="58"/>
  <c r="BM258" i="58"/>
  <c r="BL258" i="58"/>
  <c r="BK258" i="58"/>
  <c r="BJ258" i="58"/>
  <c r="BI258" i="58"/>
  <c r="BH258" i="58"/>
  <c r="BD258" i="58"/>
  <c r="BP257" i="58"/>
  <c r="BO257" i="58"/>
  <c r="BN257" i="58"/>
  <c r="BM257" i="58"/>
  <c r="BL257" i="58"/>
  <c r="BK257" i="58"/>
  <c r="BJ257" i="58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D255" i="58"/>
  <c r="BP254" i="58"/>
  <c r="BO254" i="58"/>
  <c r="BN254" i="58"/>
  <c r="BM254" i="58"/>
  <c r="BG254" i="58" s="1"/>
  <c r="BL254" i="58"/>
  <c r="BK254" i="58"/>
  <c r="BJ254" i="58"/>
  <c r="BI254" i="58"/>
  <c r="BH254" i="58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J250" i="58"/>
  <c r="BI250" i="58"/>
  <c r="BH250" i="58"/>
  <c r="BD250" i="58"/>
  <c r="BP249" i="58"/>
  <c r="BO249" i="58"/>
  <c r="BG249" i="58" s="1"/>
  <c r="BN249" i="58"/>
  <c r="BM249" i="58"/>
  <c r="BL249" i="58"/>
  <c r="BK249" i="58"/>
  <c r="BJ249" i="58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H221" i="58"/>
  <c r="BD221" i="58"/>
  <c r="BP220" i="58"/>
  <c r="BO220" i="58"/>
  <c r="BN220" i="58"/>
  <c r="BM220" i="58"/>
  <c r="BL220" i="58"/>
  <c r="BK220" i="58"/>
  <c r="BJ220" i="58"/>
  <c r="BI220" i="58"/>
  <c r="BH220" i="58"/>
  <c r="BD220" i="58"/>
  <c r="BP219" i="58"/>
  <c r="BO219" i="58"/>
  <c r="BN219" i="58"/>
  <c r="BM219" i="58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M217" i="58"/>
  <c r="BL217" i="58"/>
  <c r="BK217" i="58"/>
  <c r="BJ217" i="58"/>
  <c r="BI217" i="58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X168" i="58" s="1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H166" i="58"/>
  <c r="BD166" i="58"/>
  <c r="BP165" i="58"/>
  <c r="BO165" i="58"/>
  <c r="BN165" i="58"/>
  <c r="BM165" i="58"/>
  <c r="BL165" i="58"/>
  <c r="BK165" i="58"/>
  <c r="BJ165" i="58"/>
  <c r="BI165" i="58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W162" i="58" s="1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H137" i="58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I131" i="58"/>
  <c r="BH131" i="58"/>
  <c r="BD131" i="58"/>
  <c r="BP130" i="58"/>
  <c r="BO130" i="58"/>
  <c r="BN130" i="58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X128" i="58" s="1"/>
  <c r="BL128" i="58"/>
  <c r="BK128" i="58"/>
  <c r="BJ128" i="58"/>
  <c r="BI128" i="58"/>
  <c r="BH128" i="58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W105" i="58" s="1"/>
  <c r="BD105" i="58"/>
  <c r="BP104" i="58"/>
  <c r="BO104" i="58"/>
  <c r="BN104" i="58"/>
  <c r="BM104" i="58"/>
  <c r="BL104" i="58"/>
  <c r="BK104" i="58"/>
  <c r="BJ104" i="58"/>
  <c r="BI104" i="58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H102" i="58"/>
  <c r="BD102" i="58"/>
  <c r="BP101" i="58"/>
  <c r="BO101" i="58"/>
  <c r="BN101" i="58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D100" i="58"/>
  <c r="BP99" i="58"/>
  <c r="BO99" i="58"/>
  <c r="BN99" i="58"/>
  <c r="BM99" i="58"/>
  <c r="BL99" i="58"/>
  <c r="BX99" i="58" s="1"/>
  <c r="BK99" i="58"/>
  <c r="BJ99" i="58"/>
  <c r="BI99" i="58"/>
  <c r="BH99" i="58"/>
  <c r="BD99" i="58"/>
  <c r="BP98" i="58"/>
  <c r="BO98" i="58"/>
  <c r="BN98" i="58"/>
  <c r="BM98" i="58"/>
  <c r="BL98" i="58"/>
  <c r="BK98" i="58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K43" i="58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M38" i="58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G7" i="58" s="1"/>
  <c r="BD7" i="58"/>
  <c r="BC290" i="57"/>
  <c r="BP288" i="57"/>
  <c r="BO288" i="57"/>
  <c r="BN288" i="57"/>
  <c r="BM288" i="57"/>
  <c r="BL288" i="57"/>
  <c r="BK288" i="57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G287" i="57" s="1"/>
  <c r="BD287" i="57"/>
  <c r="BP286" i="57"/>
  <c r="BO286" i="57"/>
  <c r="BN286" i="57"/>
  <c r="BM286" i="57"/>
  <c r="BL286" i="57"/>
  <c r="BK286" i="57"/>
  <c r="BJ286" i="57"/>
  <c r="BI286" i="57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I284" i="57"/>
  <c r="BH284" i="57"/>
  <c r="BD284" i="57"/>
  <c r="BP283" i="57"/>
  <c r="BO283" i="57"/>
  <c r="BN283" i="57"/>
  <c r="BM283" i="57"/>
  <c r="BL283" i="57"/>
  <c r="BK283" i="57"/>
  <c r="BJ283" i="57"/>
  <c r="BI283" i="57"/>
  <c r="BH283" i="57"/>
  <c r="BF283" i="57" s="1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J278" i="57"/>
  <c r="BI278" i="57"/>
  <c r="BH278" i="57"/>
  <c r="BD278" i="57"/>
  <c r="BP277" i="57"/>
  <c r="BO277" i="57"/>
  <c r="BN277" i="57"/>
  <c r="BM277" i="57"/>
  <c r="BL277" i="57"/>
  <c r="BK277" i="57"/>
  <c r="BJ277" i="57"/>
  <c r="BI277" i="57"/>
  <c r="BH277" i="57"/>
  <c r="BD277" i="57"/>
  <c r="BC260" i="57"/>
  <c r="BP258" i="57"/>
  <c r="BO258" i="57"/>
  <c r="BN258" i="57"/>
  <c r="BM258" i="57"/>
  <c r="BL258" i="57"/>
  <c r="BK258" i="57"/>
  <c r="BJ258" i="57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J256" i="57"/>
  <c r="BI256" i="57"/>
  <c r="BH256" i="57"/>
  <c r="BD256" i="57"/>
  <c r="BP255" i="57"/>
  <c r="BO255" i="57"/>
  <c r="BN255" i="57"/>
  <c r="BM255" i="57"/>
  <c r="BL255" i="57"/>
  <c r="BK255" i="57"/>
  <c r="BJ255" i="57"/>
  <c r="BI255" i="57"/>
  <c r="BH255" i="57"/>
  <c r="BD255" i="57"/>
  <c r="BP254" i="57"/>
  <c r="BO254" i="57"/>
  <c r="BN254" i="57"/>
  <c r="BM254" i="57"/>
  <c r="BL254" i="57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S253" i="57" s="1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J251" i="57"/>
  <c r="BI251" i="57"/>
  <c r="BH251" i="57"/>
  <c r="BD251" i="57"/>
  <c r="BP250" i="57"/>
  <c r="BO250" i="57"/>
  <c r="BN250" i="57"/>
  <c r="BM250" i="57"/>
  <c r="BL250" i="57"/>
  <c r="BK250" i="57"/>
  <c r="BJ250" i="57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H248" i="57"/>
  <c r="BD248" i="57"/>
  <c r="BP247" i="57"/>
  <c r="BO247" i="57"/>
  <c r="BN247" i="57"/>
  <c r="BM247" i="57"/>
  <c r="BL247" i="57"/>
  <c r="BK247" i="57"/>
  <c r="BJ247" i="57"/>
  <c r="BI247" i="57"/>
  <c r="BH247" i="57"/>
  <c r="BD247" i="57"/>
  <c r="BC230" i="57"/>
  <c r="BP228" i="57"/>
  <c r="BO228" i="57"/>
  <c r="BN228" i="57"/>
  <c r="BM228" i="57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S227" i="57" s="1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D226" i="57"/>
  <c r="BP225" i="57"/>
  <c r="BO225" i="57"/>
  <c r="BN225" i="57"/>
  <c r="BM225" i="57"/>
  <c r="BL225" i="57"/>
  <c r="BK225" i="57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S224" i="57" s="1"/>
  <c r="BD224" i="57"/>
  <c r="BP223" i="57"/>
  <c r="BO223" i="57"/>
  <c r="BN223" i="57"/>
  <c r="BM223" i="57"/>
  <c r="BL223" i="57"/>
  <c r="BK223" i="57"/>
  <c r="BJ223" i="57"/>
  <c r="BI223" i="57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I221" i="57"/>
  <c r="BH221" i="57"/>
  <c r="BD221" i="57"/>
  <c r="BP220" i="57"/>
  <c r="BO220" i="57"/>
  <c r="BN220" i="57"/>
  <c r="BM220" i="57"/>
  <c r="BL220" i="57"/>
  <c r="BK220" i="57"/>
  <c r="BJ220" i="57"/>
  <c r="BI220" i="57"/>
  <c r="BH220" i="57"/>
  <c r="BD220" i="57"/>
  <c r="BP219" i="57"/>
  <c r="BO219" i="57"/>
  <c r="BN219" i="57"/>
  <c r="BM219" i="57"/>
  <c r="BL219" i="57"/>
  <c r="BK219" i="57"/>
  <c r="BJ219" i="57"/>
  <c r="BI219" i="57"/>
  <c r="BH219" i="57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I196" i="57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J193" i="57"/>
  <c r="BI193" i="57"/>
  <c r="BH193" i="57"/>
  <c r="BD193" i="57"/>
  <c r="BP192" i="57"/>
  <c r="BO192" i="57"/>
  <c r="BN192" i="57"/>
  <c r="BM192" i="57"/>
  <c r="BF192" i="57" s="1"/>
  <c r="BL192" i="57"/>
  <c r="BK192" i="57"/>
  <c r="BJ192" i="57"/>
  <c r="BI192" i="57"/>
  <c r="BH192" i="57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H190" i="57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J187" i="57"/>
  <c r="BI187" i="57"/>
  <c r="BH187" i="57"/>
  <c r="BD187" i="57"/>
  <c r="BC170" i="57"/>
  <c r="BP168" i="57"/>
  <c r="BO168" i="57"/>
  <c r="BN168" i="57"/>
  <c r="BM168" i="57"/>
  <c r="BL168" i="57"/>
  <c r="BK168" i="57"/>
  <c r="BJ168" i="57"/>
  <c r="BI168" i="57"/>
  <c r="BH168" i="57"/>
  <c r="BD168" i="57"/>
  <c r="BP167" i="57"/>
  <c r="BO167" i="57"/>
  <c r="BN167" i="57"/>
  <c r="BM167" i="57"/>
  <c r="BL167" i="57"/>
  <c r="BK167" i="57"/>
  <c r="BJ167" i="57"/>
  <c r="BI167" i="57"/>
  <c r="BH167" i="57"/>
  <c r="BD167" i="57"/>
  <c r="BP166" i="57"/>
  <c r="BO166" i="57"/>
  <c r="BN166" i="57"/>
  <c r="BM166" i="57"/>
  <c r="BL166" i="57"/>
  <c r="BK166" i="57"/>
  <c r="BJ166" i="57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D164" i="57"/>
  <c r="BP163" i="57"/>
  <c r="BO163" i="57"/>
  <c r="BN163" i="57"/>
  <c r="BM163" i="57"/>
  <c r="BL163" i="57"/>
  <c r="BK163" i="57"/>
  <c r="BJ163" i="57"/>
  <c r="BI163" i="57"/>
  <c r="BH163" i="57"/>
  <c r="BD163" i="57"/>
  <c r="BP162" i="57"/>
  <c r="BO162" i="57"/>
  <c r="BN162" i="57"/>
  <c r="BM162" i="57"/>
  <c r="BL162" i="57"/>
  <c r="BK162" i="57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X161" i="57" s="1"/>
  <c r="BD161" i="57"/>
  <c r="BP160" i="57"/>
  <c r="BO160" i="57"/>
  <c r="BN160" i="57"/>
  <c r="BM160" i="57"/>
  <c r="BL160" i="57"/>
  <c r="BK160" i="57"/>
  <c r="BJ160" i="57"/>
  <c r="BG160" i="57" s="1"/>
  <c r="BI160" i="57"/>
  <c r="BH160" i="57"/>
  <c r="BD160" i="57"/>
  <c r="BP159" i="57"/>
  <c r="BO159" i="57"/>
  <c r="BN159" i="57"/>
  <c r="BM159" i="57"/>
  <c r="BL159" i="57"/>
  <c r="BK159" i="57"/>
  <c r="BJ159" i="57"/>
  <c r="BI159" i="57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H138" i="57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J133" i="57"/>
  <c r="BI133" i="57"/>
  <c r="BH133" i="57"/>
  <c r="BD133" i="57"/>
  <c r="BP132" i="57"/>
  <c r="BO132" i="57"/>
  <c r="BN132" i="57"/>
  <c r="BM132" i="57"/>
  <c r="BL132" i="57"/>
  <c r="BK132" i="57"/>
  <c r="BJ132" i="57"/>
  <c r="BI132" i="57"/>
  <c r="BH132" i="57"/>
  <c r="BD132" i="57"/>
  <c r="BP131" i="57"/>
  <c r="BO131" i="57"/>
  <c r="BN131" i="57"/>
  <c r="BM131" i="57"/>
  <c r="BL131" i="57"/>
  <c r="BK131" i="57"/>
  <c r="BJ131" i="57"/>
  <c r="BI131" i="57"/>
  <c r="BF131" i="57" s="1"/>
  <c r="BH131" i="57"/>
  <c r="BD131" i="57"/>
  <c r="BP130" i="57"/>
  <c r="BO130" i="57"/>
  <c r="BN130" i="57"/>
  <c r="BM130" i="57"/>
  <c r="BL130" i="57"/>
  <c r="BK130" i="57"/>
  <c r="BJ130" i="57"/>
  <c r="BI130" i="57"/>
  <c r="BH130" i="57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H127" i="57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K107" i="57"/>
  <c r="BJ107" i="57"/>
  <c r="BI107" i="57"/>
  <c r="BH107" i="57"/>
  <c r="BD107" i="57"/>
  <c r="BP106" i="57"/>
  <c r="BO106" i="57"/>
  <c r="BN106" i="57"/>
  <c r="BM106" i="57"/>
  <c r="BL106" i="57"/>
  <c r="BK106" i="57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D104" i="57"/>
  <c r="BP103" i="57"/>
  <c r="BO103" i="57"/>
  <c r="BN103" i="57"/>
  <c r="BM103" i="57"/>
  <c r="BL103" i="57"/>
  <c r="BK103" i="57"/>
  <c r="BJ103" i="57"/>
  <c r="BI103" i="57"/>
  <c r="BH103" i="57"/>
  <c r="BD103" i="57"/>
  <c r="BP102" i="57"/>
  <c r="BO102" i="57"/>
  <c r="BN102" i="57"/>
  <c r="BM102" i="57"/>
  <c r="BL102" i="57"/>
  <c r="BK102" i="57"/>
  <c r="BJ102" i="57"/>
  <c r="BI102" i="57"/>
  <c r="BH102" i="57"/>
  <c r="BD102" i="57"/>
  <c r="BP101" i="57"/>
  <c r="BO101" i="57"/>
  <c r="BN101" i="57"/>
  <c r="BM101" i="57"/>
  <c r="BL101" i="57"/>
  <c r="BK101" i="57"/>
  <c r="BJ101" i="57"/>
  <c r="BI101" i="57"/>
  <c r="BH101" i="57"/>
  <c r="BD101" i="57"/>
  <c r="BP100" i="57"/>
  <c r="BO100" i="57"/>
  <c r="BN100" i="57"/>
  <c r="BM100" i="57"/>
  <c r="BL100" i="57"/>
  <c r="BK100" i="57"/>
  <c r="BJ100" i="57"/>
  <c r="BI100" i="57"/>
  <c r="BH100" i="57"/>
  <c r="BD100" i="57"/>
  <c r="BP99" i="57"/>
  <c r="BO99" i="57"/>
  <c r="BN99" i="57"/>
  <c r="BM99" i="57"/>
  <c r="BL99" i="57"/>
  <c r="BK99" i="57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M76" i="57"/>
  <c r="BL76" i="57"/>
  <c r="BK76" i="57"/>
  <c r="BJ76" i="57"/>
  <c r="BI76" i="57"/>
  <c r="BH76" i="57"/>
  <c r="BD76" i="57"/>
  <c r="BP75" i="57"/>
  <c r="BO75" i="57"/>
  <c r="BN75" i="57"/>
  <c r="BM75" i="57"/>
  <c r="BL75" i="57"/>
  <c r="BK75" i="57"/>
  <c r="BJ75" i="57"/>
  <c r="BI75" i="57"/>
  <c r="BH75" i="57"/>
  <c r="BD75" i="57"/>
  <c r="BP74" i="57"/>
  <c r="BO74" i="57"/>
  <c r="BN74" i="57"/>
  <c r="BM74" i="57"/>
  <c r="BL74" i="57"/>
  <c r="BK74" i="57"/>
  <c r="BJ74" i="57"/>
  <c r="BI74" i="57"/>
  <c r="BH74" i="57"/>
  <c r="BD74" i="57"/>
  <c r="BP73" i="57"/>
  <c r="BO73" i="57"/>
  <c r="BN73" i="57"/>
  <c r="BM73" i="57"/>
  <c r="BL73" i="57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I70" i="57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J67" i="57"/>
  <c r="BI67" i="57"/>
  <c r="BH67" i="57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M47" i="57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H46" i="57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J44" i="57"/>
  <c r="BI44" i="57"/>
  <c r="BH44" i="57"/>
  <c r="BD44" i="57"/>
  <c r="BP43" i="57"/>
  <c r="BO43" i="57"/>
  <c r="BN43" i="57"/>
  <c r="BM43" i="57"/>
  <c r="BL43" i="57"/>
  <c r="BK43" i="57"/>
  <c r="BJ43" i="57"/>
  <c r="BI43" i="57"/>
  <c r="BH43" i="57"/>
  <c r="BD43" i="57"/>
  <c r="BP42" i="57"/>
  <c r="BO42" i="57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J40" i="57"/>
  <c r="BI40" i="57"/>
  <c r="BH40" i="57"/>
  <c r="BD40" i="57"/>
  <c r="BP39" i="57"/>
  <c r="BO39" i="57"/>
  <c r="BN39" i="57"/>
  <c r="BM39" i="57"/>
  <c r="BL39" i="57"/>
  <c r="BK39" i="57"/>
  <c r="BJ39" i="57"/>
  <c r="BI39" i="57"/>
  <c r="BH39" i="57"/>
  <c r="BD39" i="57"/>
  <c r="BP38" i="57"/>
  <c r="BO38" i="57"/>
  <c r="BN38" i="57"/>
  <c r="BM38" i="57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D37" i="57"/>
  <c r="BC20" i="57"/>
  <c r="BP18" i="57"/>
  <c r="BO18" i="57"/>
  <c r="BN18" i="57"/>
  <c r="BM18" i="57"/>
  <c r="BL18" i="57"/>
  <c r="BK18" i="57"/>
  <c r="BJ18" i="57"/>
  <c r="BI18" i="57"/>
  <c r="BH18" i="57"/>
  <c r="BD18" i="57"/>
  <c r="BP17" i="57"/>
  <c r="BO17" i="57"/>
  <c r="BN17" i="57"/>
  <c r="BM17" i="57"/>
  <c r="BL17" i="57"/>
  <c r="BK17" i="57"/>
  <c r="BJ17" i="57"/>
  <c r="BI17" i="57"/>
  <c r="BH17" i="57"/>
  <c r="BD17" i="57"/>
  <c r="BP16" i="57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J15" i="57"/>
  <c r="BI15" i="57"/>
  <c r="BH15" i="57"/>
  <c r="BD15" i="57"/>
  <c r="BP14" i="57"/>
  <c r="BO14" i="57"/>
  <c r="BN14" i="57"/>
  <c r="BM14" i="57"/>
  <c r="BL14" i="57"/>
  <c r="BK14" i="57"/>
  <c r="BJ14" i="57"/>
  <c r="BI14" i="57"/>
  <c r="BH14" i="57"/>
  <c r="BD14" i="57"/>
  <c r="BP13" i="57"/>
  <c r="BO13" i="57"/>
  <c r="BN13" i="57"/>
  <c r="BM13" i="57"/>
  <c r="BL13" i="57"/>
  <c r="BK13" i="57"/>
  <c r="BJ13" i="57"/>
  <c r="BI13" i="57"/>
  <c r="BH13" i="57"/>
  <c r="BD13" i="57"/>
  <c r="BP12" i="57"/>
  <c r="BO12" i="57"/>
  <c r="BN12" i="57"/>
  <c r="BM12" i="57"/>
  <c r="BL12" i="57"/>
  <c r="BK12" i="57"/>
  <c r="BJ12" i="57"/>
  <c r="BI12" i="57"/>
  <c r="BH12" i="57"/>
  <c r="BD12" i="57"/>
  <c r="BP11" i="57"/>
  <c r="BO11" i="57"/>
  <c r="BN11" i="57"/>
  <c r="BM11" i="57"/>
  <c r="BL11" i="57"/>
  <c r="BK11" i="57"/>
  <c r="BJ11" i="57"/>
  <c r="BI11" i="57"/>
  <c r="BH11" i="57"/>
  <c r="BD11" i="57"/>
  <c r="BP10" i="57"/>
  <c r="BO10" i="57"/>
  <c r="BN10" i="57"/>
  <c r="BM10" i="57"/>
  <c r="BL10" i="57"/>
  <c r="BK10" i="57"/>
  <c r="BJ10" i="57"/>
  <c r="BI10" i="57"/>
  <c r="BH10" i="57"/>
  <c r="BD10" i="57"/>
  <c r="BP9" i="57"/>
  <c r="BO9" i="57"/>
  <c r="BN9" i="57"/>
  <c r="BM9" i="57"/>
  <c r="BL9" i="57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O7" i="57"/>
  <c r="BN7" i="57"/>
  <c r="BM7" i="57"/>
  <c r="BL7" i="57"/>
  <c r="BK7" i="57"/>
  <c r="BJ7" i="57"/>
  <c r="BI7" i="57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G288" i="55" s="1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H286" i="55"/>
  <c r="BD286" i="55"/>
  <c r="BP285" i="55"/>
  <c r="BO285" i="55"/>
  <c r="BN285" i="55"/>
  <c r="BM285" i="55"/>
  <c r="BL285" i="55"/>
  <c r="BK285" i="55"/>
  <c r="BJ285" i="55"/>
  <c r="BI285" i="55"/>
  <c r="BH285" i="55"/>
  <c r="BD285" i="55"/>
  <c r="BP284" i="55"/>
  <c r="BO284" i="55"/>
  <c r="BN284" i="55"/>
  <c r="BM284" i="55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K281" i="55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I277" i="55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H257" i="55"/>
  <c r="BD257" i="55"/>
  <c r="BP256" i="55"/>
  <c r="BO256" i="55"/>
  <c r="BN256" i="55"/>
  <c r="BM256" i="55"/>
  <c r="BL256" i="55"/>
  <c r="BK256" i="55"/>
  <c r="BJ256" i="55"/>
  <c r="BI256" i="55"/>
  <c r="BH256" i="55"/>
  <c r="BD256" i="55"/>
  <c r="BP255" i="55"/>
  <c r="BO255" i="55"/>
  <c r="BN255" i="55"/>
  <c r="BM255" i="55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K250" i="55"/>
  <c r="BJ250" i="55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D249" i="55"/>
  <c r="BP248" i="55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N227" i="55"/>
  <c r="BM227" i="55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G225" i="55" s="1"/>
  <c r="BD225" i="55"/>
  <c r="BP224" i="55"/>
  <c r="BO224" i="55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H222" i="55"/>
  <c r="BD222" i="55"/>
  <c r="BP221" i="55"/>
  <c r="BO221" i="55"/>
  <c r="BN221" i="55"/>
  <c r="BM221" i="55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G218" i="55" s="1"/>
  <c r="BM218" i="55"/>
  <c r="BL218" i="55"/>
  <c r="BK218" i="55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D196" i="55"/>
  <c r="BP195" i="55"/>
  <c r="BO195" i="55"/>
  <c r="BN195" i="55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D194" i="55"/>
  <c r="BP193" i="55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O190" i="55"/>
  <c r="BN190" i="55"/>
  <c r="BM190" i="55"/>
  <c r="BL190" i="55"/>
  <c r="BK190" i="55"/>
  <c r="BJ190" i="55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I188" i="55"/>
  <c r="BH188" i="55"/>
  <c r="BD188" i="55"/>
  <c r="BP187" i="55"/>
  <c r="BO187" i="55"/>
  <c r="BN187" i="55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O167" i="55"/>
  <c r="BN167" i="55"/>
  <c r="BM167" i="55"/>
  <c r="BL167" i="55"/>
  <c r="BK167" i="55"/>
  <c r="BJ167" i="55"/>
  <c r="BI167" i="55"/>
  <c r="BH167" i="55"/>
  <c r="BD167" i="55"/>
  <c r="BP166" i="55"/>
  <c r="BO166" i="55"/>
  <c r="BN166" i="55"/>
  <c r="BM166" i="55"/>
  <c r="BL166" i="55"/>
  <c r="BK166" i="55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D133" i="55"/>
  <c r="BP132" i="55"/>
  <c r="BO132" i="55"/>
  <c r="BN132" i="55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K131" i="55"/>
  <c r="BJ131" i="55"/>
  <c r="BI131" i="55"/>
  <c r="BH131" i="55"/>
  <c r="BD131" i="55"/>
  <c r="BP130" i="55"/>
  <c r="BO130" i="55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N106" i="55"/>
  <c r="BM106" i="55"/>
  <c r="BL106" i="55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I105" i="55"/>
  <c r="BH105" i="55"/>
  <c r="BD105" i="55"/>
  <c r="BP104" i="55"/>
  <c r="BO104" i="55"/>
  <c r="BN104" i="55"/>
  <c r="BM104" i="55"/>
  <c r="BL104" i="55"/>
  <c r="BK104" i="55"/>
  <c r="BJ104" i="55"/>
  <c r="BI104" i="55"/>
  <c r="BH104" i="55"/>
  <c r="BD104" i="55"/>
  <c r="BP103" i="55"/>
  <c r="BO103" i="55"/>
  <c r="BN103" i="55"/>
  <c r="BM103" i="55"/>
  <c r="BL103" i="55"/>
  <c r="BK103" i="55"/>
  <c r="BJ103" i="55"/>
  <c r="BI103" i="55"/>
  <c r="BH103" i="55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L100" i="55"/>
  <c r="BK100" i="55"/>
  <c r="BJ100" i="55"/>
  <c r="BI100" i="55"/>
  <c r="BH100" i="55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K74" i="55"/>
  <c r="BJ74" i="55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I71" i="55"/>
  <c r="BH71" i="55"/>
  <c r="BD71" i="55"/>
  <c r="BP70" i="55"/>
  <c r="BO70" i="55"/>
  <c r="BN70" i="55"/>
  <c r="BM70" i="55"/>
  <c r="BL70" i="55"/>
  <c r="BK70" i="55"/>
  <c r="BJ70" i="55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D68" i="55"/>
  <c r="BP67" i="55"/>
  <c r="BO67" i="55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M48" i="55"/>
  <c r="BL48" i="55"/>
  <c r="BK48" i="55"/>
  <c r="BJ48" i="55"/>
  <c r="BI48" i="55"/>
  <c r="BH48" i="55"/>
  <c r="BD48" i="55"/>
  <c r="BP47" i="55"/>
  <c r="BO47" i="55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N43" i="55"/>
  <c r="BM43" i="55"/>
  <c r="BL43" i="55"/>
  <c r="BK43" i="55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L39" i="55"/>
  <c r="BK39" i="55"/>
  <c r="BJ39" i="55"/>
  <c r="BI39" i="55"/>
  <c r="BH39" i="55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K37" i="55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I287" i="53"/>
  <c r="BH287" i="53"/>
  <c r="BD287" i="53"/>
  <c r="BP286" i="53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W281" i="53" s="1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H279" i="53"/>
  <c r="BD279" i="53"/>
  <c r="BP278" i="53"/>
  <c r="BO278" i="53"/>
  <c r="BN278" i="53"/>
  <c r="BM278" i="53"/>
  <c r="BL278" i="53"/>
  <c r="BK278" i="53"/>
  <c r="BJ278" i="53"/>
  <c r="BI278" i="53"/>
  <c r="BH278" i="53"/>
  <c r="BD278" i="53"/>
  <c r="BP277" i="53"/>
  <c r="BO277" i="53"/>
  <c r="BN277" i="53"/>
  <c r="BM277" i="53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O256" i="53"/>
  <c r="BN256" i="53"/>
  <c r="BM256" i="53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H224" i="53"/>
  <c r="BD224" i="53"/>
  <c r="BP223" i="53"/>
  <c r="BO223" i="53"/>
  <c r="BN223" i="53"/>
  <c r="BM223" i="53"/>
  <c r="BL223" i="53"/>
  <c r="BK223" i="53"/>
  <c r="BJ223" i="53"/>
  <c r="BI223" i="53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L221" i="53"/>
  <c r="BK221" i="53"/>
  <c r="BJ221" i="53"/>
  <c r="BI221" i="53"/>
  <c r="BH221" i="53"/>
  <c r="BD221" i="53"/>
  <c r="BP220" i="53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K219" i="53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I198" i="53"/>
  <c r="BH198" i="53"/>
  <c r="BD198" i="53"/>
  <c r="BP197" i="53"/>
  <c r="BO197" i="53"/>
  <c r="BN197" i="53"/>
  <c r="BM197" i="53"/>
  <c r="BL197" i="53"/>
  <c r="BK197" i="53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O191" i="53"/>
  <c r="BN191" i="53"/>
  <c r="BM191" i="53"/>
  <c r="BL191" i="53"/>
  <c r="BK191" i="53"/>
  <c r="BJ191" i="53"/>
  <c r="BI191" i="53"/>
  <c r="BH191" i="53"/>
  <c r="BD191" i="53"/>
  <c r="BP190" i="53"/>
  <c r="BO190" i="53"/>
  <c r="BN190" i="53"/>
  <c r="BM190" i="53"/>
  <c r="BL190" i="53"/>
  <c r="BK190" i="53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N187" i="53"/>
  <c r="BM187" i="53"/>
  <c r="BL187" i="53"/>
  <c r="BK187" i="53"/>
  <c r="BJ187" i="53"/>
  <c r="BI187" i="53"/>
  <c r="BH187" i="53"/>
  <c r="BD187" i="53"/>
  <c r="BC170" i="53"/>
  <c r="BP168" i="53"/>
  <c r="BO168" i="53"/>
  <c r="BN168" i="53"/>
  <c r="BM168" i="53"/>
  <c r="BL168" i="53"/>
  <c r="BK168" i="53"/>
  <c r="BJ168" i="53"/>
  <c r="BI168" i="53"/>
  <c r="BH168" i="53"/>
  <c r="BD168" i="53"/>
  <c r="BP167" i="53"/>
  <c r="BO167" i="53"/>
  <c r="BN167" i="53"/>
  <c r="BM167" i="53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K164" i="53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H161" i="53"/>
  <c r="BD161" i="53"/>
  <c r="BP160" i="53"/>
  <c r="BO160" i="53"/>
  <c r="BN160" i="53"/>
  <c r="BM160" i="53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I135" i="53"/>
  <c r="BH135" i="53"/>
  <c r="BD135" i="53"/>
  <c r="BP134" i="53"/>
  <c r="BO134" i="53"/>
  <c r="BN134" i="53"/>
  <c r="BM134" i="53"/>
  <c r="BL134" i="53"/>
  <c r="BK134" i="53"/>
  <c r="BJ134" i="53"/>
  <c r="BI134" i="53"/>
  <c r="BH134" i="53"/>
  <c r="BD134" i="53"/>
  <c r="BP133" i="53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J108" i="53"/>
  <c r="BI108" i="53"/>
  <c r="BH108" i="53"/>
  <c r="BD108" i="53"/>
  <c r="BP107" i="53"/>
  <c r="BO107" i="53"/>
  <c r="BN107" i="53"/>
  <c r="BM107" i="53"/>
  <c r="BL107" i="53"/>
  <c r="BK107" i="53"/>
  <c r="BJ107" i="53"/>
  <c r="BI107" i="53"/>
  <c r="BH107" i="53"/>
  <c r="BD107" i="53"/>
  <c r="BP106" i="53"/>
  <c r="BO106" i="53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M103" i="53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H98" i="53"/>
  <c r="BD98" i="53"/>
  <c r="BP97" i="53"/>
  <c r="BO97" i="53"/>
  <c r="BN97" i="53"/>
  <c r="BM97" i="53"/>
  <c r="BL97" i="53"/>
  <c r="BK97" i="53"/>
  <c r="BJ97" i="53"/>
  <c r="BI97" i="53"/>
  <c r="BH97" i="53"/>
  <c r="BD97" i="53"/>
  <c r="BC80" i="53"/>
  <c r="BP78" i="53"/>
  <c r="BO78" i="53"/>
  <c r="BN78" i="53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I71" i="53"/>
  <c r="BH71" i="53"/>
  <c r="BD71" i="53"/>
  <c r="BP70" i="53"/>
  <c r="BO70" i="53"/>
  <c r="BN70" i="53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H69" i="53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L67" i="53"/>
  <c r="BK67" i="53"/>
  <c r="BJ67" i="53"/>
  <c r="BI67" i="53"/>
  <c r="BH67" i="53"/>
  <c r="BD67" i="53"/>
  <c r="BC50" i="53"/>
  <c r="BP48" i="53"/>
  <c r="BO48" i="53"/>
  <c r="BN48" i="53"/>
  <c r="BM48" i="53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O41" i="53"/>
  <c r="BN41" i="53"/>
  <c r="BM41" i="53"/>
  <c r="BL41" i="53"/>
  <c r="BK41" i="53"/>
  <c r="BJ41" i="53"/>
  <c r="BI41" i="53"/>
  <c r="BH41" i="53"/>
  <c r="BD41" i="53"/>
  <c r="BP40" i="53"/>
  <c r="BO40" i="53"/>
  <c r="BN40" i="53"/>
  <c r="BM40" i="53"/>
  <c r="BL40" i="53"/>
  <c r="BK40" i="53"/>
  <c r="BJ40" i="53"/>
  <c r="BI40" i="53"/>
  <c r="BH40" i="53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K38" i="53"/>
  <c r="BJ38" i="53"/>
  <c r="BI38" i="53"/>
  <c r="BH38" i="53"/>
  <c r="BD38" i="53"/>
  <c r="BP37" i="53"/>
  <c r="BO37" i="53"/>
  <c r="BN37" i="53"/>
  <c r="BM37" i="53"/>
  <c r="BL37" i="53"/>
  <c r="BK37" i="53"/>
  <c r="BJ37" i="53"/>
  <c r="BI37" i="53"/>
  <c r="BH37" i="53"/>
  <c r="BD37" i="53"/>
  <c r="BC20" i="53"/>
  <c r="BP18" i="53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J17" i="53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H14" i="53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L12" i="53"/>
  <c r="BK12" i="53"/>
  <c r="BJ12" i="53"/>
  <c r="BI12" i="53"/>
  <c r="BH12" i="53"/>
  <c r="BD12" i="53"/>
  <c r="BP11" i="53"/>
  <c r="BO11" i="53"/>
  <c r="BN11" i="53"/>
  <c r="BM11" i="53"/>
  <c r="BL11" i="53"/>
  <c r="BK11" i="53"/>
  <c r="BJ11" i="53"/>
  <c r="BI11" i="53"/>
  <c r="BH11" i="53"/>
  <c r="BD11" i="53"/>
  <c r="BP10" i="53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D258" i="52"/>
  <c r="BP257" i="52"/>
  <c r="BO257" i="52"/>
  <c r="BN257" i="52"/>
  <c r="BM257" i="52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L249" i="52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H225" i="52"/>
  <c r="BD225" i="52"/>
  <c r="BP224" i="52"/>
  <c r="BO224" i="52"/>
  <c r="BN224" i="52"/>
  <c r="BM224" i="52"/>
  <c r="BL224" i="52"/>
  <c r="BK224" i="52"/>
  <c r="BJ224" i="52"/>
  <c r="BI224" i="52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J191" i="52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H188" i="52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H167" i="52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D159" i="52"/>
  <c r="BP158" i="52"/>
  <c r="BO158" i="52"/>
  <c r="BN158" i="52"/>
  <c r="BM158" i="52"/>
  <c r="BL158" i="52"/>
  <c r="BK158" i="52"/>
  <c r="BJ158" i="52"/>
  <c r="BI158" i="52"/>
  <c r="BH158" i="52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G72" i="52" s="1"/>
  <c r="BD72" i="52"/>
  <c r="BP71" i="52"/>
  <c r="BO71" i="52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J44" i="52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J15" i="52"/>
  <c r="BI15" i="52"/>
  <c r="BH15" i="52"/>
  <c r="BG15" i="52" s="1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I11" i="52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BE288" i="59" s="1"/>
  <c r="AU287" i="59"/>
  <c r="BE287" i="59" s="1"/>
  <c r="AU286" i="59"/>
  <c r="BE286" i="59" s="1"/>
  <c r="AU285" i="59"/>
  <c r="BE285" i="59" s="1"/>
  <c r="AU284" i="59"/>
  <c r="BE284" i="59" s="1"/>
  <c r="AU283" i="59"/>
  <c r="V283" i="59" s="1"/>
  <c r="AU282" i="59"/>
  <c r="BE282" i="59" s="1"/>
  <c r="AU281" i="59"/>
  <c r="AU280" i="59"/>
  <c r="BE280" i="59" s="1"/>
  <c r="AU279" i="59"/>
  <c r="BE279" i="59" s="1"/>
  <c r="AU278" i="59"/>
  <c r="AU277" i="59"/>
  <c r="BE277" i="59" s="1"/>
  <c r="AU258" i="59"/>
  <c r="BE258" i="59" s="1"/>
  <c r="AU257" i="59"/>
  <c r="AU256" i="59"/>
  <c r="BE256" i="59" s="1"/>
  <c r="AU255" i="59"/>
  <c r="AU254" i="59"/>
  <c r="BE254" i="59" s="1"/>
  <c r="AU253" i="59"/>
  <c r="BE253" i="59" s="1"/>
  <c r="AU252" i="59"/>
  <c r="BE252" i="59" s="1"/>
  <c r="AU251" i="59"/>
  <c r="BE251" i="59" s="1"/>
  <c r="AU250" i="59"/>
  <c r="BE250" i="59" s="1"/>
  <c r="AU249" i="59"/>
  <c r="AU248" i="59"/>
  <c r="AU247" i="59"/>
  <c r="V247" i="59" s="1"/>
  <c r="AU228" i="59"/>
  <c r="AU227" i="59"/>
  <c r="AU226" i="59"/>
  <c r="V226" i="59" s="1"/>
  <c r="AU225" i="59"/>
  <c r="BE225" i="59" s="1"/>
  <c r="AU224" i="59"/>
  <c r="BE224" i="59" s="1"/>
  <c r="AU223" i="59"/>
  <c r="AU222" i="59"/>
  <c r="BE222" i="59" s="1"/>
  <c r="AU221" i="59"/>
  <c r="AU220" i="59"/>
  <c r="BE220" i="59" s="1"/>
  <c r="AU219" i="59"/>
  <c r="AU218" i="59"/>
  <c r="AU217" i="59"/>
  <c r="BE217" i="59" s="1"/>
  <c r="AU198" i="59"/>
  <c r="BE198" i="59" s="1"/>
  <c r="AU197" i="59"/>
  <c r="AU196" i="59"/>
  <c r="BE196" i="59" s="1"/>
  <c r="AU195" i="59"/>
  <c r="BE195" i="59" s="1"/>
  <c r="AU194" i="59"/>
  <c r="BE194" i="59" s="1"/>
  <c r="AU193" i="59"/>
  <c r="BE193" i="59" s="1"/>
  <c r="AU192" i="59"/>
  <c r="BE192" i="59" s="1"/>
  <c r="AU191" i="59"/>
  <c r="BE191" i="59" s="1"/>
  <c r="AU190" i="59"/>
  <c r="V190" i="59" s="1"/>
  <c r="AU189" i="59"/>
  <c r="AU188" i="59"/>
  <c r="V188" i="59" s="1"/>
  <c r="AU187" i="59"/>
  <c r="BE187" i="59" s="1"/>
  <c r="AU168" i="59"/>
  <c r="BE168" i="59" s="1"/>
  <c r="AU167" i="59"/>
  <c r="BE167" i="59"/>
  <c r="AU166" i="59"/>
  <c r="BE166" i="59" s="1"/>
  <c r="AU165" i="59"/>
  <c r="BE165" i="59" s="1"/>
  <c r="AU164" i="59"/>
  <c r="BE164" i="59" s="1"/>
  <c r="AU163" i="59"/>
  <c r="V163" i="59" s="1"/>
  <c r="AU162" i="59"/>
  <c r="BE162" i="59" s="1"/>
  <c r="AU161" i="59"/>
  <c r="BE161" i="59" s="1"/>
  <c r="AU160" i="59"/>
  <c r="BE160" i="59" s="1"/>
  <c r="AU159" i="59"/>
  <c r="BE159" i="59" s="1"/>
  <c r="AU158" i="59"/>
  <c r="BE158" i="59" s="1"/>
  <c r="AU157" i="59"/>
  <c r="AU138" i="59"/>
  <c r="BE138" i="59" s="1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AU131" i="59"/>
  <c r="AU130" i="59"/>
  <c r="BE130" i="59" s="1"/>
  <c r="AU129" i="59"/>
  <c r="AU128" i="59"/>
  <c r="AU127" i="59"/>
  <c r="BE127" i="59" s="1"/>
  <c r="AU108" i="59"/>
  <c r="V108" i="59" s="1"/>
  <c r="BE108" i="59"/>
  <c r="AU107" i="59"/>
  <c r="BE107" i="59" s="1"/>
  <c r="AU106" i="59"/>
  <c r="BE106" i="59" s="1"/>
  <c r="AU105" i="59"/>
  <c r="BE105" i="59" s="1"/>
  <c r="AU104" i="59"/>
  <c r="BE104" i="59" s="1"/>
  <c r="AU103" i="59"/>
  <c r="V103" i="59" s="1"/>
  <c r="AU102" i="59"/>
  <c r="BE102" i="59"/>
  <c r="AU101" i="59"/>
  <c r="BE101" i="59" s="1"/>
  <c r="AU100" i="59"/>
  <c r="BE100" i="59" s="1"/>
  <c r="AU99" i="59"/>
  <c r="AU98" i="59"/>
  <c r="BE98" i="59" s="1"/>
  <c r="AU97" i="59"/>
  <c r="BE97" i="59" s="1"/>
  <c r="AU78" i="59"/>
  <c r="BE78" i="59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AU69" i="59"/>
  <c r="BE69" i="59" s="1"/>
  <c r="AU68" i="59"/>
  <c r="BE68" i="59" s="1"/>
  <c r="AU67" i="59"/>
  <c r="V67" i="59" s="1"/>
  <c r="AU48" i="59"/>
  <c r="BE48" i="59" s="1"/>
  <c r="AU47" i="59"/>
  <c r="V47" i="59" s="1"/>
  <c r="AU46" i="59"/>
  <c r="V46" i="59" s="1"/>
  <c r="AU45" i="59"/>
  <c r="BE45" i="59" s="1"/>
  <c r="AU44" i="59"/>
  <c r="AU43" i="59"/>
  <c r="BE43" i="59" s="1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AU17" i="59"/>
  <c r="AU16" i="59"/>
  <c r="BE16" i="59" s="1"/>
  <c r="AU15" i="59"/>
  <c r="BE15" i="59"/>
  <c r="AU14" i="59"/>
  <c r="BE14" i="59" s="1"/>
  <c r="AU13" i="59"/>
  <c r="V13" i="59" s="1"/>
  <c r="AU12" i="59"/>
  <c r="AU11" i="59"/>
  <c r="BE11" i="59" s="1"/>
  <c r="AU10" i="59"/>
  <c r="BE10" i="59" s="1"/>
  <c r="AU9" i="59"/>
  <c r="AU8" i="59"/>
  <c r="BE8" i="59" s="1"/>
  <c r="AU7" i="59"/>
  <c r="BE7" i="59" s="1"/>
  <c r="AU288" i="58"/>
  <c r="AU287" i="58"/>
  <c r="BE287" i="58" s="1"/>
  <c r="AU286" i="58"/>
  <c r="V286" i="58" s="1"/>
  <c r="AU285" i="58"/>
  <c r="BE285" i="58" s="1"/>
  <c r="AU284" i="58"/>
  <c r="BE284" i="58" s="1"/>
  <c r="AU283" i="58"/>
  <c r="V283" i="58" s="1"/>
  <c r="AU282" i="58"/>
  <c r="AU281" i="58"/>
  <c r="AU280" i="58"/>
  <c r="V280" i="58" s="1"/>
  <c r="AU279" i="58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AU254" i="58"/>
  <c r="BE254" i="58" s="1"/>
  <c r="AU253" i="58"/>
  <c r="BE253" i="58" s="1"/>
  <c r="AU252" i="58"/>
  <c r="AU251" i="58"/>
  <c r="BE251" i="58" s="1"/>
  <c r="AU250" i="58"/>
  <c r="BE250" i="58" s="1"/>
  <c r="AU249" i="58"/>
  <c r="AU248" i="58"/>
  <c r="BE248" i="58" s="1"/>
  <c r="AU247" i="58"/>
  <c r="AU228" i="58"/>
  <c r="BE228" i="58" s="1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BE198" i="58" s="1"/>
  <c r="AU197" i="58"/>
  <c r="BE197" i="58" s="1"/>
  <c r="AU196" i="58"/>
  <c r="V196" i="58" s="1"/>
  <c r="AU195" i="58"/>
  <c r="AU194" i="58"/>
  <c r="BE194" i="58" s="1"/>
  <c r="AU193" i="58"/>
  <c r="AU192" i="58"/>
  <c r="BE192" i="58" s="1"/>
  <c r="AU191" i="58"/>
  <c r="AU190" i="58"/>
  <c r="BE190" i="58" s="1"/>
  <c r="AU189" i="58"/>
  <c r="AU188" i="58"/>
  <c r="AU187" i="58"/>
  <c r="V187" i="58" s="1"/>
  <c r="AU168" i="58"/>
  <c r="BE168" i="58" s="1"/>
  <c r="AU167" i="58"/>
  <c r="BE167" i="58" s="1"/>
  <c r="AU166" i="58"/>
  <c r="BE166" i="58" s="1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/>
  <c r="AU127" i="58"/>
  <c r="AU108" i="58"/>
  <c r="BE108" i="58" s="1"/>
  <c r="AU107" i="58"/>
  <c r="BE107" i="58" s="1"/>
  <c r="AU106" i="58"/>
  <c r="BE106" i="58" s="1"/>
  <c r="AU105" i="58"/>
  <c r="AU104" i="58"/>
  <c r="BE104" i="58" s="1"/>
  <c r="AU103" i="58"/>
  <c r="BE103" i="58" s="1"/>
  <c r="AU102" i="58"/>
  <c r="AU101" i="58"/>
  <c r="V101" i="58" s="1"/>
  <c r="AU100" i="58"/>
  <c r="BE100" i="58" s="1"/>
  <c r="AU99" i="58"/>
  <c r="BE99" i="58" s="1"/>
  <c r="AU98" i="58"/>
  <c r="V98" i="58" s="1"/>
  <c r="AU97" i="58"/>
  <c r="BE97" i="58" s="1"/>
  <c r="AU78" i="58"/>
  <c r="BE78" i="58" s="1"/>
  <c r="AU77" i="58"/>
  <c r="BE77" i="58" s="1"/>
  <c r="AU76" i="58"/>
  <c r="BE76" i="58" s="1"/>
  <c r="AU75" i="58"/>
  <c r="BE75" i="58" s="1"/>
  <c r="AU74" i="58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AU46" i="58"/>
  <c r="BE46" i="58" s="1"/>
  <c r="AU45" i="58"/>
  <c r="AU44" i="58"/>
  <c r="AU43" i="58"/>
  <c r="BE43" i="58" s="1"/>
  <c r="AU42" i="58"/>
  <c r="AU41" i="58"/>
  <c r="AU40" i="58"/>
  <c r="BE40" i="58" s="1"/>
  <c r="AU39" i="58"/>
  <c r="BE39" i="58" s="1"/>
  <c r="AU38" i="58"/>
  <c r="BE38" i="58" s="1"/>
  <c r="AU37" i="58"/>
  <c r="BE37" i="58" s="1"/>
  <c r="AU18" i="58"/>
  <c r="AU17" i="58"/>
  <c r="BE17" i="58" s="1"/>
  <c r="AU16" i="58"/>
  <c r="AU15" i="58"/>
  <c r="AU14" i="58"/>
  <c r="BE14" i="58" s="1"/>
  <c r="AU13" i="58"/>
  <c r="BE13" i="58" s="1"/>
  <c r="AU12" i="58"/>
  <c r="BE12" i="58" s="1"/>
  <c r="AU11" i="58"/>
  <c r="AU10" i="58"/>
  <c r="AU9" i="58"/>
  <c r="BE9" i="58" s="1"/>
  <c r="AU8" i="58"/>
  <c r="AU7" i="58"/>
  <c r="V7" i="58" s="1"/>
  <c r="AU288" i="57"/>
  <c r="BE288" i="57" s="1"/>
  <c r="AU287" i="57"/>
  <c r="BE287" i="57" s="1"/>
  <c r="AU286" i="57"/>
  <c r="BE286" i="57" s="1"/>
  <c r="AU285" i="57"/>
  <c r="AU284" i="57"/>
  <c r="BE284" i="57" s="1"/>
  <c r="AU283" i="57"/>
  <c r="BE283" i="57" s="1"/>
  <c r="AU282" i="57"/>
  <c r="V282" i="57" s="1"/>
  <c r="BE282" i="57"/>
  <c r="AU281" i="57"/>
  <c r="AU280" i="57"/>
  <c r="BE280" i="57" s="1"/>
  <c r="AU279" i="57"/>
  <c r="AU278" i="57"/>
  <c r="V278" i="57" s="1"/>
  <c r="AU277" i="57"/>
  <c r="BE277" i="57" s="1"/>
  <c r="AU258" i="57"/>
  <c r="BE258" i="57" s="1"/>
  <c r="AU257" i="57"/>
  <c r="BE257" i="57" s="1"/>
  <c r="AU256" i="57"/>
  <c r="AU255" i="57"/>
  <c r="V255" i="57" s="1"/>
  <c r="AU254" i="57"/>
  <c r="BE254" i="57" s="1"/>
  <c r="AU253" i="57"/>
  <c r="BE253" i="57" s="1"/>
  <c r="AU252" i="57"/>
  <c r="BE252" i="57" s="1"/>
  <c r="AU251" i="57"/>
  <c r="BE251" i="57" s="1"/>
  <c r="AU250" i="57"/>
  <c r="BE250" i="57" s="1"/>
  <c r="AU249" i="57"/>
  <c r="AU248" i="57"/>
  <c r="BE248" i="57" s="1"/>
  <c r="AU247" i="57"/>
  <c r="BE247" i="57" s="1"/>
  <c r="AU228" i="57"/>
  <c r="BE228" i="57" s="1"/>
  <c r="AU227" i="57"/>
  <c r="AU226" i="57"/>
  <c r="BE226" i="57" s="1"/>
  <c r="AU225" i="57"/>
  <c r="BE225" i="57" s="1"/>
  <c r="AU224" i="57"/>
  <c r="BE224" i="57" s="1"/>
  <c r="AU223" i="57"/>
  <c r="BE223" i="57" s="1"/>
  <c r="AU222" i="57"/>
  <c r="BE222" i="57" s="1"/>
  <c r="AU221" i="57"/>
  <c r="AU220" i="57"/>
  <c r="AU219" i="57"/>
  <c r="BE219" i="57" s="1"/>
  <c r="AU218" i="57"/>
  <c r="AU217" i="57"/>
  <c r="BE217" i="57" s="1"/>
  <c r="AU198" i="57"/>
  <c r="AU197" i="57"/>
  <c r="BE197" i="57" s="1"/>
  <c r="AU196" i="57"/>
  <c r="BE196" i="57" s="1"/>
  <c r="AU195" i="57"/>
  <c r="BE195" i="57" s="1"/>
  <c r="AU194" i="57"/>
  <c r="BE194" i="57" s="1"/>
  <c r="AU193" i="57"/>
  <c r="AU192" i="57"/>
  <c r="BE192" i="57" s="1"/>
  <c r="AU191" i="57"/>
  <c r="AU190" i="57"/>
  <c r="BE190" i="57" s="1"/>
  <c r="AU189" i="57"/>
  <c r="AU188" i="57"/>
  <c r="AU187" i="57"/>
  <c r="V187" i="57" s="1"/>
  <c r="AU168" i="57"/>
  <c r="BE168" i="57" s="1"/>
  <c r="AU167" i="57"/>
  <c r="AU166" i="57"/>
  <c r="BE166" i="57" s="1"/>
  <c r="AU165" i="57"/>
  <c r="BE165" i="57" s="1"/>
  <c r="AU164" i="57"/>
  <c r="BE164" i="57" s="1"/>
  <c r="AU163" i="57"/>
  <c r="BE163" i="57" s="1"/>
  <c r="AU162" i="57"/>
  <c r="BE162" i="57" s="1"/>
  <c r="AU161" i="57"/>
  <c r="BE161" i="57" s="1"/>
  <c r="AU160" i="57"/>
  <c r="AU159" i="57"/>
  <c r="BE159" i="57" s="1"/>
  <c r="AU158" i="57"/>
  <c r="BE158" i="57" s="1"/>
  <c r="AU157" i="57"/>
  <c r="BE157" i="57" s="1"/>
  <c r="AU138" i="57"/>
  <c r="BE138" i="57" s="1"/>
  <c r="AU137" i="57"/>
  <c r="AU136" i="57"/>
  <c r="AU135" i="57"/>
  <c r="BE135" i="57" s="1"/>
  <c r="AU134" i="57"/>
  <c r="BE134" i="57" s="1"/>
  <c r="AU133" i="57"/>
  <c r="BE133" i="57" s="1"/>
  <c r="AU132" i="57"/>
  <c r="AU131" i="57"/>
  <c r="BE131" i="57" s="1"/>
  <c r="AU130" i="57"/>
  <c r="BE130" i="57" s="1"/>
  <c r="AU129" i="57"/>
  <c r="BE129" i="57" s="1"/>
  <c r="AU128" i="57"/>
  <c r="AU127" i="57"/>
  <c r="AU108" i="57"/>
  <c r="AU107" i="57"/>
  <c r="BE107" i="57" s="1"/>
  <c r="AU106" i="57"/>
  <c r="BE106" i="57" s="1"/>
  <c r="AU105" i="57"/>
  <c r="BE105" i="57" s="1"/>
  <c r="AU104" i="57"/>
  <c r="BE104" i="57" s="1"/>
  <c r="AU103" i="57"/>
  <c r="AU102" i="57"/>
  <c r="AU101" i="57"/>
  <c r="BE101" i="57" s="1"/>
  <c r="AU100" i="57"/>
  <c r="BE100" i="57" s="1"/>
  <c r="AU99" i="57"/>
  <c r="AU98" i="57"/>
  <c r="BE98" i="57" s="1"/>
  <c r="AU97" i="57"/>
  <c r="BE97" i="57" s="1"/>
  <c r="AU78" i="57"/>
  <c r="AU77" i="57"/>
  <c r="AU76" i="57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BE70" i="57" s="1"/>
  <c r="AU69" i="57"/>
  <c r="BE69" i="57"/>
  <c r="AU68" i="57"/>
  <c r="BE68" i="57" s="1"/>
  <c r="AU67" i="57"/>
  <c r="BE67" i="57" s="1"/>
  <c r="AU48" i="57"/>
  <c r="BE48" i="57"/>
  <c r="AU47" i="57"/>
  <c r="BE47" i="57" s="1"/>
  <c r="AU46" i="57"/>
  <c r="AU45" i="57"/>
  <c r="AU44" i="57"/>
  <c r="AU43" i="57"/>
  <c r="BE43" i="57" s="1"/>
  <c r="AU42" i="57"/>
  <c r="BE42" i="57" s="1"/>
  <c r="AU41" i="57"/>
  <c r="BE41" i="57" s="1"/>
  <c r="AU40" i="57"/>
  <c r="BE40" i="57" s="1"/>
  <c r="AU39" i="57"/>
  <c r="BE39" i="57" s="1"/>
  <c r="AU38" i="57"/>
  <c r="BE38" i="57" s="1"/>
  <c r="AU37" i="57"/>
  <c r="AU18" i="57"/>
  <c r="BE18" i="57" s="1"/>
  <c r="AU17" i="57"/>
  <c r="BE17" i="57" s="1"/>
  <c r="AU16" i="57"/>
  <c r="BE16" i="57" s="1"/>
  <c r="AU15" i="57"/>
  <c r="BE15" i="57" s="1"/>
  <c r="AU14" i="57"/>
  <c r="AU13" i="57"/>
  <c r="BE13" i="57" s="1"/>
  <c r="AU12" i="57"/>
  <c r="BE12" i="57" s="1"/>
  <c r="AU11" i="57"/>
  <c r="BE11" i="57"/>
  <c r="AU10" i="57"/>
  <c r="AU9" i="57"/>
  <c r="BE9" i="57" s="1"/>
  <c r="AU8" i="57"/>
  <c r="AU7" i="57"/>
  <c r="BE7" i="57" s="1"/>
  <c r="AU288" i="55"/>
  <c r="BE288" i="55" s="1"/>
  <c r="AU287" i="55"/>
  <c r="BE287" i="55" s="1"/>
  <c r="AU286" i="55"/>
  <c r="BE286" i="55" s="1"/>
  <c r="AU285" i="55"/>
  <c r="AU284" i="55"/>
  <c r="BE284" i="55" s="1"/>
  <c r="AU283" i="55"/>
  <c r="BE283" i="55" s="1"/>
  <c r="AU282" i="55"/>
  <c r="AU281" i="55"/>
  <c r="BE281" i="55" s="1"/>
  <c r="AU280" i="55"/>
  <c r="BE280" i="55" s="1"/>
  <c r="AU279" i="55"/>
  <c r="BE279" i="55" s="1"/>
  <c r="AU278" i="55"/>
  <c r="AU277" i="55"/>
  <c r="BE277" i="55" s="1"/>
  <c r="AU258" i="55"/>
  <c r="BE258" i="55" s="1"/>
  <c r="AU257" i="55"/>
  <c r="BE257" i="55" s="1"/>
  <c r="AU256" i="55"/>
  <c r="BE256" i="55" s="1"/>
  <c r="AU255" i="55"/>
  <c r="BE255" i="55" s="1"/>
  <c r="AU254" i="55"/>
  <c r="BE254" i="55" s="1"/>
  <c r="AU253" i="55"/>
  <c r="BE253" i="55" s="1"/>
  <c r="AU252" i="55"/>
  <c r="AU251" i="55"/>
  <c r="BE251" i="55" s="1"/>
  <c r="AU250" i="55"/>
  <c r="AU249" i="55"/>
  <c r="BE249" i="55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BE224" i="55" s="1"/>
  <c r="AU223" i="55"/>
  <c r="BE223" i="55" s="1"/>
  <c r="AU222" i="55"/>
  <c r="AU221" i="55"/>
  <c r="AU220" i="55"/>
  <c r="BE220" i="55" s="1"/>
  <c r="AU219" i="55"/>
  <c r="AU218" i="55"/>
  <c r="AU217" i="55"/>
  <c r="BE217" i="55" s="1"/>
  <c r="AU198" i="55"/>
  <c r="AU197" i="55"/>
  <c r="BE197" i="55" s="1"/>
  <c r="AU196" i="55"/>
  <c r="BE196" i="55" s="1"/>
  <c r="AU195" i="55"/>
  <c r="AU194" i="55"/>
  <c r="BE194" i="55" s="1"/>
  <c r="AU193" i="55"/>
  <c r="BE193" i="55" s="1"/>
  <c r="AU192" i="55"/>
  <c r="AU191" i="55"/>
  <c r="BE191" i="55" s="1"/>
  <c r="AU190" i="55"/>
  <c r="BE190" i="55" s="1"/>
  <c r="AU189" i="55"/>
  <c r="AU188" i="55"/>
  <c r="BE188" i="55" s="1"/>
  <c r="AU187" i="55"/>
  <c r="BE187" i="55" s="1"/>
  <c r="AU168" i="55"/>
  <c r="BE168" i="55" s="1"/>
  <c r="AU167" i="55"/>
  <c r="AU166" i="55"/>
  <c r="AU165" i="55"/>
  <c r="BE165" i="55" s="1"/>
  <c r="AU164" i="55"/>
  <c r="BE164" i="55" s="1"/>
  <c r="AU163" i="55"/>
  <c r="BE163" i="55" s="1"/>
  <c r="AU162" i="55"/>
  <c r="AU161" i="55"/>
  <c r="BE161" i="55" s="1"/>
  <c r="AU160" i="55"/>
  <c r="BE160" i="55" s="1"/>
  <c r="AU159" i="55"/>
  <c r="AU158" i="55"/>
  <c r="AU157" i="55"/>
  <c r="BE157" i="55" s="1"/>
  <c r="AU138" i="55"/>
  <c r="AU137" i="55"/>
  <c r="AU136" i="55"/>
  <c r="BE136" i="55" s="1"/>
  <c r="AU135" i="55"/>
  <c r="AU134" i="55"/>
  <c r="AU133" i="55"/>
  <c r="AU132" i="55"/>
  <c r="AU131" i="55"/>
  <c r="BE131" i="55" s="1"/>
  <c r="AU130" i="55"/>
  <c r="AU129" i="55"/>
  <c r="BE129" i="55" s="1"/>
  <c r="AU128" i="55"/>
  <c r="BE128" i="55" s="1"/>
  <c r="AU127" i="55"/>
  <c r="V127" i="55" s="1"/>
  <c r="AU108" i="55"/>
  <c r="AU107" i="55"/>
  <c r="AU106" i="55"/>
  <c r="BE106" i="55" s="1"/>
  <c r="AU105" i="55"/>
  <c r="BE105" i="55" s="1"/>
  <c r="AU104" i="55"/>
  <c r="BE104" i="55" s="1"/>
  <c r="AU103" i="55"/>
  <c r="BE103" i="55" s="1"/>
  <c r="AU102" i="55"/>
  <c r="AU101" i="55"/>
  <c r="BE101" i="55" s="1"/>
  <c r="AU100" i="55"/>
  <c r="BE100" i="55" s="1"/>
  <c r="AU99" i="55"/>
  <c r="AU98" i="55"/>
  <c r="BE98" i="55" s="1"/>
  <c r="AU97" i="55"/>
  <c r="V97" i="55" s="1"/>
  <c r="AU78" i="55"/>
  <c r="AU77" i="55"/>
  <c r="V77" i="55" s="1"/>
  <c r="AU76" i="55"/>
  <c r="V76" i="55" s="1"/>
  <c r="AU75" i="55"/>
  <c r="BE75" i="55" s="1"/>
  <c r="AU74" i="55"/>
  <c r="BE74" i="55" s="1"/>
  <c r="AU73" i="55"/>
  <c r="V73" i="55" s="1"/>
  <c r="AU72" i="55"/>
  <c r="BE72" i="55" s="1"/>
  <c r="AU71" i="55"/>
  <c r="AU70" i="55"/>
  <c r="BE70" i="55" s="1"/>
  <c r="AU69" i="55"/>
  <c r="BE69" i="55" s="1"/>
  <c r="AU68" i="55"/>
  <c r="BE68" i="55" s="1"/>
  <c r="AU67" i="55"/>
  <c r="BE67" i="55" s="1"/>
  <c r="AU48" i="55"/>
  <c r="BE48" i="55" s="1"/>
  <c r="AU47" i="55"/>
  <c r="AU46" i="55"/>
  <c r="BE46" i="55" s="1"/>
  <c r="AU45" i="55"/>
  <c r="AU44" i="55"/>
  <c r="V44" i="55" s="1"/>
  <c r="AU43" i="55"/>
  <c r="BE43" i="55" s="1"/>
  <c r="AU42" i="55"/>
  <c r="AU41" i="55"/>
  <c r="BE41" i="55"/>
  <c r="AU40" i="55"/>
  <c r="BE40" i="55" s="1"/>
  <c r="AU39" i="55"/>
  <c r="BE39" i="55" s="1"/>
  <c r="AU38" i="55"/>
  <c r="AU37" i="55"/>
  <c r="BE37" i="55" s="1"/>
  <c r="AU18" i="55"/>
  <c r="BE18" i="55" s="1"/>
  <c r="AU17" i="55"/>
  <c r="AU16" i="55"/>
  <c r="BE16" i="55" s="1"/>
  <c r="AU15" i="55"/>
  <c r="AU14" i="55"/>
  <c r="BE14" i="55" s="1"/>
  <c r="AU13" i="55"/>
  <c r="AU12" i="55"/>
  <c r="BE12" i="55" s="1"/>
  <c r="AU11" i="55"/>
  <c r="AU10" i="55"/>
  <c r="BE10" i="55" s="1"/>
  <c r="AU9" i="55"/>
  <c r="BE9" i="55" s="1"/>
  <c r="AU8" i="55"/>
  <c r="BE8" i="55" s="1"/>
  <c r="AU7" i="55"/>
  <c r="BE7" i="55" s="1"/>
  <c r="AU288" i="53"/>
  <c r="BE288" i="53" s="1"/>
  <c r="AU287" i="53"/>
  <c r="AU286" i="53"/>
  <c r="BE286" i="53" s="1"/>
  <c r="AU285" i="53"/>
  <c r="AU284" i="53"/>
  <c r="AU283" i="53"/>
  <c r="AU282" i="53"/>
  <c r="BE282" i="53" s="1"/>
  <c r="AU281" i="53"/>
  <c r="BE281" i="53" s="1"/>
  <c r="AU280" i="53"/>
  <c r="AU279" i="53"/>
  <c r="BE279" i="53" s="1"/>
  <c r="AU278" i="53"/>
  <c r="BE278" i="53"/>
  <c r="AU277" i="53"/>
  <c r="BE277" i="53" s="1"/>
  <c r="AU258" i="53"/>
  <c r="BE258" i="53" s="1"/>
  <c r="AU257" i="53"/>
  <c r="BE257" i="53" s="1"/>
  <c r="AU256" i="53"/>
  <c r="BE256" i="53" s="1"/>
  <c r="AU255" i="53"/>
  <c r="AU254" i="53"/>
  <c r="BE254" i="53" s="1"/>
  <c r="AU253" i="53"/>
  <c r="BE253" i="53" s="1"/>
  <c r="AU252" i="53"/>
  <c r="AU251" i="53"/>
  <c r="BE251" i="53" s="1"/>
  <c r="AU250" i="53"/>
  <c r="AU249" i="53"/>
  <c r="BE249" i="53" s="1"/>
  <c r="AU248" i="53"/>
  <c r="AU247" i="53"/>
  <c r="BE247" i="53" s="1"/>
  <c r="AU228" i="53"/>
  <c r="AU227" i="53"/>
  <c r="BE227" i="53" s="1"/>
  <c r="AU226" i="53"/>
  <c r="BE226" i="53" s="1"/>
  <c r="AU225" i="53"/>
  <c r="BE225" i="53" s="1"/>
  <c r="AU224" i="53"/>
  <c r="BE224" i="53" s="1"/>
  <c r="AU223" i="53"/>
  <c r="AU222" i="53"/>
  <c r="BE222" i="53" s="1"/>
  <c r="AU221" i="53"/>
  <c r="BE221" i="53" s="1"/>
  <c r="AU220" i="53"/>
  <c r="AU219" i="53"/>
  <c r="AU218" i="53"/>
  <c r="V218" i="53" s="1"/>
  <c r="AU217" i="53"/>
  <c r="AU198" i="53"/>
  <c r="AU197" i="53"/>
  <c r="AU196" i="53"/>
  <c r="BE196" i="53" s="1"/>
  <c r="AU195" i="53"/>
  <c r="AU194" i="53"/>
  <c r="BE194" i="53" s="1"/>
  <c r="AU193" i="53"/>
  <c r="BE193" i="53" s="1"/>
  <c r="AU192" i="53"/>
  <c r="BE192" i="53"/>
  <c r="AU191" i="53"/>
  <c r="BE191" i="53" s="1"/>
  <c r="AU190" i="53"/>
  <c r="AU189" i="53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 s="1"/>
  <c r="AU163" i="53"/>
  <c r="BE163" i="53" s="1"/>
  <c r="AU162" i="53"/>
  <c r="AU161" i="53"/>
  <c r="AU160" i="53"/>
  <c r="BE160" i="53" s="1"/>
  <c r="AU159" i="53"/>
  <c r="BE159" i="53" s="1"/>
  <c r="AU158" i="53"/>
  <c r="AU157" i="53"/>
  <c r="BE157" i="53" s="1"/>
  <c r="AU138" i="53"/>
  <c r="BE138" i="53" s="1"/>
  <c r="AU137" i="53"/>
  <c r="AU136" i="53"/>
  <c r="V136" i="53" s="1"/>
  <c r="AU135" i="53"/>
  <c r="AU134" i="53"/>
  <c r="V134" i="53" s="1"/>
  <c r="AU133" i="53"/>
  <c r="BE133" i="53" s="1"/>
  <c r="AU132" i="53"/>
  <c r="BE132" i="53" s="1"/>
  <c r="AU131" i="53"/>
  <c r="AU130" i="53"/>
  <c r="BE130" i="53" s="1"/>
  <c r="AU129" i="53"/>
  <c r="BE129" i="53" s="1"/>
  <c r="AU128" i="53"/>
  <c r="BE128" i="53" s="1"/>
  <c r="AU127" i="53"/>
  <c r="AU108" i="53"/>
  <c r="BE108" i="53" s="1"/>
  <c r="AU107" i="53"/>
  <c r="AU106" i="53"/>
  <c r="BE106" i="53" s="1"/>
  <c r="AU105" i="53"/>
  <c r="BE105" i="53" s="1"/>
  <c r="AU104" i="53"/>
  <c r="BE104" i="53" s="1"/>
  <c r="AU103" i="53"/>
  <c r="AU102" i="53"/>
  <c r="BE102" i="53" s="1"/>
  <c r="AU101" i="53"/>
  <c r="AU100" i="53"/>
  <c r="BE100" i="53" s="1"/>
  <c r="AU99" i="53"/>
  <c r="BE99" i="53" s="1"/>
  <c r="AU98" i="53"/>
  <c r="BE98" i="53" s="1"/>
  <c r="AU97" i="53"/>
  <c r="AU78" i="53"/>
  <c r="BE78" i="53" s="1"/>
  <c r="AU77" i="53"/>
  <c r="BE77" i="53" s="1"/>
  <c r="AU76" i="53"/>
  <c r="BE76" i="53" s="1"/>
  <c r="AU75" i="53"/>
  <c r="BE75" i="53" s="1"/>
  <c r="AU74" i="53"/>
  <c r="BE74" i="53" s="1"/>
  <c r="AU73" i="53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BE46" i="53" s="1"/>
  <c r="AU45" i="53"/>
  <c r="BE45" i="53" s="1"/>
  <c r="AU44" i="53"/>
  <c r="BE44" i="53" s="1"/>
  <c r="AU43" i="53"/>
  <c r="BE43" i="53" s="1"/>
  <c r="AU42" i="53"/>
  <c r="BE42" i="53" s="1"/>
  <c r="AU41" i="53"/>
  <c r="AU40" i="53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AU14" i="53"/>
  <c r="BE14" i="53" s="1"/>
  <c r="AU13" i="53"/>
  <c r="BE13" i="53" s="1"/>
  <c r="AU12" i="53"/>
  <c r="BE12" i="53" s="1"/>
  <c r="AU11" i="53"/>
  <c r="AU10" i="53"/>
  <c r="BE10" i="53" s="1"/>
  <c r="AU9" i="53"/>
  <c r="BE9" i="53" s="1"/>
  <c r="AU8" i="53"/>
  <c r="BE8" i="53" s="1"/>
  <c r="AU7" i="53"/>
  <c r="AU288" i="52"/>
  <c r="BE288" i="52" s="1"/>
  <c r="AU287" i="52"/>
  <c r="BE287" i="52" s="1"/>
  <c r="AU286" i="52"/>
  <c r="V286" i="52" s="1"/>
  <c r="AU285" i="52"/>
  <c r="AU284" i="52"/>
  <c r="AU283" i="52"/>
  <c r="BE283" i="52" s="1"/>
  <c r="AU282" i="52"/>
  <c r="BE282" i="52" s="1"/>
  <c r="AU281" i="52"/>
  <c r="V281" i="52" s="1"/>
  <c r="AU280" i="52"/>
  <c r="BE280" i="52" s="1"/>
  <c r="AU279" i="52"/>
  <c r="AU278" i="52"/>
  <c r="BE278" i="52" s="1"/>
  <c r="AU277" i="52"/>
  <c r="V277" i="52" s="1"/>
  <c r="AU258" i="52"/>
  <c r="AU257" i="52"/>
  <c r="BE257" i="52" s="1"/>
  <c r="AU256" i="52"/>
  <c r="BE256" i="52" s="1"/>
  <c r="AU255" i="52"/>
  <c r="BE255" i="52" s="1"/>
  <c r="AU254" i="52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V225" i="52" s="1"/>
  <c r="AU224" i="52"/>
  <c r="BE224" i="52" s="1"/>
  <c r="AU223" i="52"/>
  <c r="BE223" i="52" s="1"/>
  <c r="AU222" i="52"/>
  <c r="AU221" i="52"/>
  <c r="BE221" i="52" s="1"/>
  <c r="AU220" i="52"/>
  <c r="AU219" i="52"/>
  <c r="V219" i="52" s="1"/>
  <c r="AU218" i="52"/>
  <c r="BE218" i="52" s="1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BE191" i="52" s="1"/>
  <c r="AU190" i="52"/>
  <c r="BE190" i="52" s="1"/>
  <c r="AU189" i="52"/>
  <c r="BE189" i="52" s="1"/>
  <c r="AU188" i="52"/>
  <c r="BE188" i="52" s="1"/>
  <c r="AU187" i="52"/>
  <c r="AU168" i="52"/>
  <c r="BE168" i="52" s="1"/>
  <c r="AU167" i="52"/>
  <c r="AU166" i="52"/>
  <c r="AU165" i="52"/>
  <c r="AU164" i="52"/>
  <c r="BE164" i="52" s="1"/>
  <c r="AU163" i="52"/>
  <c r="BE163" i="52" s="1"/>
  <c r="AU162" i="52"/>
  <c r="BE162" i="52" s="1"/>
  <c r="AU161" i="52"/>
  <c r="V161" i="52" s="1"/>
  <c r="AU160" i="52"/>
  <c r="AU159" i="52"/>
  <c r="BE159" i="52" s="1"/>
  <c r="AU158" i="52"/>
  <c r="BE158" i="52" s="1"/>
  <c r="AU157" i="52"/>
  <c r="BE157" i="52" s="1"/>
  <c r="AU138" i="52"/>
  <c r="V138" i="52" s="1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BE130" i="52" s="1"/>
  <c r="AU129" i="52"/>
  <c r="AU128" i="52"/>
  <c r="AU127" i="52"/>
  <c r="V127" i="52" s="1"/>
  <c r="AU108" i="52"/>
  <c r="AU107" i="52"/>
  <c r="AU106" i="52"/>
  <c r="BE106" i="52" s="1"/>
  <c r="AU105" i="52"/>
  <c r="BE105" i="52" s="1"/>
  <c r="AU104" i="52"/>
  <c r="BE104" i="52" s="1"/>
  <c r="AU103" i="52"/>
  <c r="BE103" i="52" s="1"/>
  <c r="AU102" i="52"/>
  <c r="AU101" i="52"/>
  <c r="BE101" i="52" s="1"/>
  <c r="AU100" i="52"/>
  <c r="BE100" i="52" s="1"/>
  <c r="AU99" i="52"/>
  <c r="AU98" i="52"/>
  <c r="AU97" i="52"/>
  <c r="V97" i="52" s="1"/>
  <c r="AU78" i="52"/>
  <c r="BE78" i="52" s="1"/>
  <c r="AU77" i="52"/>
  <c r="AU76" i="52"/>
  <c r="BE76" i="52" s="1"/>
  <c r="AU75" i="52"/>
  <c r="BE75" i="52" s="1"/>
  <c r="AU74" i="52"/>
  <c r="BE74" i="52" s="1"/>
  <c r="AU73" i="52"/>
  <c r="BE73" i="52" s="1"/>
  <c r="AU72" i="52"/>
  <c r="BE72" i="52" s="1"/>
  <c r="AU71" i="52"/>
  <c r="BE71" i="52" s="1"/>
  <c r="AU70" i="52"/>
  <c r="V70" i="52" s="1"/>
  <c r="AU69" i="52"/>
  <c r="AU68" i="52"/>
  <c r="BE68" i="52" s="1"/>
  <c r="AU67" i="52"/>
  <c r="BE67" i="52" s="1"/>
  <c r="AU48" i="52"/>
  <c r="AU47" i="52"/>
  <c r="BE47" i="52" s="1"/>
  <c r="AU46" i="52"/>
  <c r="V46" i="52" s="1"/>
  <c r="AU45" i="52"/>
  <c r="AU44" i="52"/>
  <c r="AU43" i="52"/>
  <c r="BE43" i="52" s="1"/>
  <c r="AU42" i="52"/>
  <c r="BE42" i="52" s="1"/>
  <c r="AU41" i="52"/>
  <c r="BE41" i="52" s="1"/>
  <c r="AU40" i="52"/>
  <c r="BE40" i="52" s="1"/>
  <c r="AU39" i="52"/>
  <c r="V39" i="52"/>
  <c r="AU38" i="52"/>
  <c r="AU37" i="52"/>
  <c r="BE37" i="52" s="1"/>
  <c r="AU18" i="52"/>
  <c r="AU17" i="52"/>
  <c r="BE17" i="52" s="1"/>
  <c r="AU16" i="52"/>
  <c r="V16" i="52" s="1"/>
  <c r="AU15" i="52"/>
  <c r="AU14" i="52"/>
  <c r="V14" i="52" s="1"/>
  <c r="AU13" i="52"/>
  <c r="V13" i="52" s="1"/>
  <c r="AU12" i="52"/>
  <c r="BE12" i="52" s="1"/>
  <c r="AU11" i="52"/>
  <c r="BE11" i="52" s="1"/>
  <c r="AU10" i="52"/>
  <c r="V10" i="52" s="1"/>
  <c r="AU9" i="52"/>
  <c r="BE9" i="52" s="1"/>
  <c r="AU8" i="52"/>
  <c r="BE8" i="52" s="1"/>
  <c r="AU7" i="52"/>
  <c r="AS289" i="59"/>
  <c r="AQ289" i="59"/>
  <c r="R289" i="59" s="1"/>
  <c r="AO289" i="59"/>
  <c r="AM289" i="59"/>
  <c r="N289" i="59" s="1"/>
  <c r="AK289" i="59"/>
  <c r="L289" i="59" s="1"/>
  <c r="AI289" i="59"/>
  <c r="J289" i="59" s="1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N259" i="59" s="1"/>
  <c r="AK259" i="59"/>
  <c r="L259" i="59" s="1"/>
  <c r="AI259" i="59"/>
  <c r="AG259" i="59"/>
  <c r="AE259" i="59"/>
  <c r="AC259" i="59"/>
  <c r="D259" i="59" s="1"/>
  <c r="AS229" i="59"/>
  <c r="AQ229" i="59"/>
  <c r="R229" i="59" s="1"/>
  <c r="AO229" i="59"/>
  <c r="P229" i="59" s="1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D199" i="59" s="1"/>
  <c r="AS169" i="59"/>
  <c r="T169" i="59" s="1"/>
  <c r="AQ169" i="59"/>
  <c r="R169" i="59" s="1"/>
  <c r="AO169" i="59"/>
  <c r="AM169" i="59"/>
  <c r="N169" i="59" s="1"/>
  <c r="AK169" i="59"/>
  <c r="AI169" i="59"/>
  <c r="AG169" i="59"/>
  <c r="H169" i="59" s="1"/>
  <c r="AE169" i="59"/>
  <c r="F169" i="59" s="1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H139" i="59" s="1"/>
  <c r="AE139" i="59"/>
  <c r="F139" i="59" s="1"/>
  <c r="AC139" i="59"/>
  <c r="D139" i="59" s="1"/>
  <c r="AS109" i="59"/>
  <c r="T109" i="59" s="1"/>
  <c r="AQ109" i="59"/>
  <c r="R109" i="59" s="1"/>
  <c r="AO109" i="59"/>
  <c r="P109" i="59" s="1"/>
  <c r="AM109" i="59"/>
  <c r="N109" i="59" s="1"/>
  <c r="AK109" i="59"/>
  <c r="AI109" i="59"/>
  <c r="J109" i="59" s="1"/>
  <c r="AG109" i="59"/>
  <c r="H109" i="59" s="1"/>
  <c r="AE109" i="59"/>
  <c r="F109" i="59" s="1"/>
  <c r="AC109" i="59"/>
  <c r="D109" i="59" s="1"/>
  <c r="AS79" i="59"/>
  <c r="T79" i="59" s="1"/>
  <c r="AQ79" i="59"/>
  <c r="R79" i="59" s="1"/>
  <c r="AO79" i="59"/>
  <c r="AM79" i="59"/>
  <c r="AK79" i="59"/>
  <c r="L79" i="59" s="1"/>
  <c r="AI79" i="59"/>
  <c r="AG79" i="59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 s="1"/>
  <c r="AK49" i="59"/>
  <c r="L49" i="59" s="1"/>
  <c r="AI49" i="59"/>
  <c r="AG49" i="59"/>
  <c r="H49" i="59" s="1"/>
  <c r="AE49" i="59"/>
  <c r="F49" i="59" s="1"/>
  <c r="AC49" i="59"/>
  <c r="D49" i="59" s="1"/>
  <c r="AS19" i="59"/>
  <c r="T19" i="59" s="1"/>
  <c r="AQ19" i="59"/>
  <c r="R19" i="59" s="1"/>
  <c r="AO19" i="59"/>
  <c r="P19" i="59" s="1"/>
  <c r="AM19" i="59"/>
  <c r="AK19" i="59"/>
  <c r="L19" i="59" s="1"/>
  <c r="AI19" i="59"/>
  <c r="J19" i="59" s="1"/>
  <c r="AG19" i="59"/>
  <c r="H19" i="59" s="1"/>
  <c r="AE19" i="59"/>
  <c r="F19" i="59" s="1"/>
  <c r="AC19" i="59"/>
  <c r="D19" i="59" s="1"/>
  <c r="AS289" i="58"/>
  <c r="AQ289" i="58"/>
  <c r="AO289" i="58"/>
  <c r="AM289" i="58"/>
  <c r="N289" i="58" s="1"/>
  <c r="AK289" i="58"/>
  <c r="AI289" i="58"/>
  <c r="AG289" i="58"/>
  <c r="H289" i="58" s="1"/>
  <c r="AE289" i="58"/>
  <c r="AC289" i="58"/>
  <c r="AS259" i="58"/>
  <c r="AQ259" i="58"/>
  <c r="R259" i="58" s="1"/>
  <c r="AO259" i="58"/>
  <c r="P259" i="58" s="1"/>
  <c r="AM259" i="58"/>
  <c r="AK259" i="58"/>
  <c r="AI259" i="58"/>
  <c r="AG259" i="58"/>
  <c r="H259" i="58" s="1"/>
  <c r="AE259" i="58"/>
  <c r="F259" i="58" s="1"/>
  <c r="AC259" i="58"/>
  <c r="D259" i="58" s="1"/>
  <c r="AS229" i="58"/>
  <c r="AQ229" i="58"/>
  <c r="AO229" i="58"/>
  <c r="P229" i="58" s="1"/>
  <c r="AM229" i="58"/>
  <c r="AK229" i="58"/>
  <c r="L229" i="58" s="1"/>
  <c r="AI229" i="58"/>
  <c r="J229" i="58" s="1"/>
  <c r="AG229" i="58"/>
  <c r="H229" i="58" s="1"/>
  <c r="AE229" i="58"/>
  <c r="AC229" i="58"/>
  <c r="AS199" i="58"/>
  <c r="T199" i="58" s="1"/>
  <c r="AQ199" i="58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AO169" i="58"/>
  <c r="AM169" i="58"/>
  <c r="AK169" i="58"/>
  <c r="AI169" i="58"/>
  <c r="AG169" i="58"/>
  <c r="H169" i="58" s="1"/>
  <c r="AE169" i="58"/>
  <c r="F169" i="58" s="1"/>
  <c r="AC169" i="58"/>
  <c r="D169" i="58" s="1"/>
  <c r="AS139" i="58"/>
  <c r="AQ139" i="58"/>
  <c r="R139" i="58" s="1"/>
  <c r="AO139" i="58"/>
  <c r="P139" i="58" s="1"/>
  <c r="AM139" i="58"/>
  <c r="AK139" i="58"/>
  <c r="AI139" i="58"/>
  <c r="AG139" i="58"/>
  <c r="AE139" i="58"/>
  <c r="F139" i="58" s="1"/>
  <c r="AC139" i="58"/>
  <c r="AS109" i="58"/>
  <c r="T109" i="58" s="1"/>
  <c r="AQ109" i="58"/>
  <c r="R109" i="58" s="1"/>
  <c r="AO109" i="58"/>
  <c r="P109" i="58" s="1"/>
  <c r="AM109" i="58"/>
  <c r="N109" i="58" s="1"/>
  <c r="AK109" i="58"/>
  <c r="L109" i="58" s="1"/>
  <c r="AI109" i="58"/>
  <c r="J109" i="58" s="1"/>
  <c r="AG109" i="58"/>
  <c r="AE109" i="58"/>
  <c r="F109" i="58" s="1"/>
  <c r="AC109" i="58"/>
  <c r="AS79" i="58"/>
  <c r="T79" i="58" s="1"/>
  <c r="AQ79" i="58"/>
  <c r="R79" i="58" s="1"/>
  <c r="AO79" i="58"/>
  <c r="AM79" i="58"/>
  <c r="AK79" i="58"/>
  <c r="AI79" i="58"/>
  <c r="AG79" i="58"/>
  <c r="AE79" i="58"/>
  <c r="F79" i="58" s="1"/>
  <c r="AC79" i="58"/>
  <c r="AS49" i="58"/>
  <c r="T49" i="58" s="1"/>
  <c r="AQ49" i="58"/>
  <c r="AO49" i="58"/>
  <c r="AM49" i="58"/>
  <c r="AK49" i="58"/>
  <c r="L49" i="58" s="1"/>
  <c r="AI49" i="58"/>
  <c r="J49" i="58" s="1"/>
  <c r="AG49" i="58"/>
  <c r="H49" i="58" s="1"/>
  <c r="AE49" i="58"/>
  <c r="AC49" i="58"/>
  <c r="D49" i="58" s="1"/>
  <c r="AS19" i="58"/>
  <c r="T19" i="58" s="1"/>
  <c r="AQ19" i="58"/>
  <c r="R19" i="58" s="1"/>
  <c r="AO19" i="58"/>
  <c r="P19" i="58" s="1"/>
  <c r="AM19" i="58"/>
  <c r="AK19" i="58"/>
  <c r="L19" i="58" s="1"/>
  <c r="AI19" i="58"/>
  <c r="J19" i="58" s="1"/>
  <c r="AG19" i="58"/>
  <c r="H19" i="58" s="1"/>
  <c r="AE19" i="58"/>
  <c r="F19" i="58" s="1"/>
  <c r="AC19" i="58"/>
  <c r="D19" i="58" s="1"/>
  <c r="AS289" i="57"/>
  <c r="T289" i="57" s="1"/>
  <c r="AQ289" i="57"/>
  <c r="R289" i="57" s="1"/>
  <c r="AO289" i="57"/>
  <c r="P289" i="57" s="1"/>
  <c r="AM289" i="57"/>
  <c r="N289" i="57" s="1"/>
  <c r="AK289" i="57"/>
  <c r="L289" i="57" s="1"/>
  <c r="AI289" i="57"/>
  <c r="J289" i="57" s="1"/>
  <c r="AG289" i="57"/>
  <c r="AE289" i="57"/>
  <c r="F289" i="57" s="1"/>
  <c r="AC289" i="57"/>
  <c r="D289" i="57" s="1"/>
  <c r="AS259" i="57"/>
  <c r="T259" i="57" s="1"/>
  <c r="AQ259" i="57"/>
  <c r="R259" i="57" s="1"/>
  <c r="AO259" i="57"/>
  <c r="AM259" i="57"/>
  <c r="N259" i="57" s="1"/>
  <c r="AK259" i="57"/>
  <c r="AI259" i="57"/>
  <c r="J259" i="57" s="1"/>
  <c r="AG259" i="57"/>
  <c r="H259" i="57" s="1"/>
  <c r="AE259" i="57"/>
  <c r="F259" i="57" s="1"/>
  <c r="AC259" i="57"/>
  <c r="D259" i="57" s="1"/>
  <c r="AS229" i="57"/>
  <c r="AQ229" i="57"/>
  <c r="R229" i="57" s="1"/>
  <c r="AO229" i="57"/>
  <c r="P229" i="57" s="1"/>
  <c r="AM229" i="57"/>
  <c r="N229" i="57" s="1"/>
  <c r="AK229" i="57"/>
  <c r="AI229" i="57"/>
  <c r="J229" i="57" s="1"/>
  <c r="AG229" i="57"/>
  <c r="AE229" i="57"/>
  <c r="F229" i="57" s="1"/>
  <c r="AC229" i="57"/>
  <c r="AS199" i="57"/>
  <c r="T199" i="57" s="1"/>
  <c r="AQ199" i="57"/>
  <c r="AO199" i="57"/>
  <c r="AM199" i="57"/>
  <c r="AK199" i="57"/>
  <c r="AI199" i="57"/>
  <c r="AG199" i="57"/>
  <c r="H199" i="57" s="1"/>
  <c r="AE199" i="57"/>
  <c r="F199" i="57" s="1"/>
  <c r="AC199" i="57"/>
  <c r="D199" i="57" s="1"/>
  <c r="AS169" i="57"/>
  <c r="AQ169" i="57"/>
  <c r="R169" i="57" s="1"/>
  <c r="AO169" i="57"/>
  <c r="P169" i="57" s="1"/>
  <c r="AM169" i="57"/>
  <c r="N169" i="57" s="1"/>
  <c r="AK169" i="57"/>
  <c r="AI169" i="57"/>
  <c r="AG169" i="57"/>
  <c r="H169" i="57" s="1"/>
  <c r="AE169" i="57"/>
  <c r="AC169" i="57"/>
  <c r="D169" i="57" s="1"/>
  <c r="AS139" i="57"/>
  <c r="T139" i="57" s="1"/>
  <c r="AQ139" i="57"/>
  <c r="R139" i="57" s="1"/>
  <c r="AO139" i="57"/>
  <c r="AM139" i="57"/>
  <c r="N139" i="57" s="1"/>
  <c r="AK139" i="57"/>
  <c r="AI139" i="57"/>
  <c r="AG139" i="57"/>
  <c r="AE139" i="57"/>
  <c r="F139" i="57" s="1"/>
  <c r="AC139" i="57"/>
  <c r="D139" i="57" s="1"/>
  <c r="AS109" i="57"/>
  <c r="T109" i="57" s="1"/>
  <c r="AQ109" i="57"/>
  <c r="R109" i="57" s="1"/>
  <c r="AO109" i="57"/>
  <c r="AM109" i="57"/>
  <c r="N109" i="57" s="1"/>
  <c r="AK109" i="57"/>
  <c r="L109" i="57" s="1"/>
  <c r="AI109" i="57"/>
  <c r="J109" i="57" s="1"/>
  <c r="AG109" i="57"/>
  <c r="H109" i="57" s="1"/>
  <c r="AE109" i="57"/>
  <c r="AC109" i="57"/>
  <c r="D109" i="57" s="1"/>
  <c r="AS79" i="57"/>
  <c r="AQ79" i="57"/>
  <c r="R79" i="57" s="1"/>
  <c r="AO79" i="57"/>
  <c r="P79" i="57" s="1"/>
  <c r="AM79" i="57"/>
  <c r="N79" i="57" s="1"/>
  <c r="AK79" i="57"/>
  <c r="L79" i="57" s="1"/>
  <c r="AI79" i="57"/>
  <c r="AG79" i="57"/>
  <c r="H79" i="57" s="1"/>
  <c r="AE79" i="57"/>
  <c r="F79" i="57" s="1"/>
  <c r="AC79" i="57"/>
  <c r="D79" i="57" s="1"/>
  <c r="AS49" i="57"/>
  <c r="T49" i="57" s="1"/>
  <c r="AQ49" i="57"/>
  <c r="R49" i="57" s="1"/>
  <c r="AO49" i="57"/>
  <c r="P49" i="57" s="1"/>
  <c r="AM49" i="57"/>
  <c r="AK49" i="57"/>
  <c r="AI49" i="57"/>
  <c r="AG49" i="57"/>
  <c r="H49" i="57" s="1"/>
  <c r="AE49" i="57"/>
  <c r="F49" i="57" s="1"/>
  <c r="AC49" i="57"/>
  <c r="D49" i="57" s="1"/>
  <c r="AS19" i="57"/>
  <c r="T19" i="57" s="1"/>
  <c r="AQ19" i="57"/>
  <c r="AO19" i="57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 s="1"/>
  <c r="AM289" i="55"/>
  <c r="AK289" i="55"/>
  <c r="L289" i="55" s="1"/>
  <c r="AI289" i="55"/>
  <c r="J289" i="55" s="1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F259" i="55" s="1"/>
  <c r="AC259" i="55"/>
  <c r="AS229" i="55"/>
  <c r="T229" i="55" s="1"/>
  <c r="AQ229" i="55"/>
  <c r="R229" i="55" s="1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D229" i="55" s="1"/>
  <c r="AS199" i="55"/>
  <c r="T199" i="55" s="1"/>
  <c r="AQ199" i="55"/>
  <c r="R199" i="55" s="1"/>
  <c r="AO199" i="55"/>
  <c r="AM199" i="55"/>
  <c r="N199" i="55" s="1"/>
  <c r="AK199" i="55"/>
  <c r="L199" i="55" s="1"/>
  <c r="AI199" i="55"/>
  <c r="J199" i="55" s="1"/>
  <c r="AG199" i="55"/>
  <c r="H199" i="55" s="1"/>
  <c r="AE199" i="55"/>
  <c r="AC199" i="55"/>
  <c r="AS169" i="55"/>
  <c r="T169" i="55" s="1"/>
  <c r="AQ169" i="55"/>
  <c r="R169" i="55" s="1"/>
  <c r="AO169" i="55"/>
  <c r="P169" i="55" s="1"/>
  <c r="AM169" i="55"/>
  <c r="AK169" i="55"/>
  <c r="L169" i="55" s="1"/>
  <c r="AI169" i="55"/>
  <c r="J169" i="55" s="1"/>
  <c r="AG169" i="55"/>
  <c r="H169" i="55" s="1"/>
  <c r="AE169" i="55"/>
  <c r="F169" i="55" s="1"/>
  <c r="AC169" i="55"/>
  <c r="D169" i="55" s="1"/>
  <c r="AS139" i="55"/>
  <c r="T139" i="55" s="1"/>
  <c r="AQ139" i="55"/>
  <c r="R139" i="55" s="1"/>
  <c r="AO139" i="55"/>
  <c r="P139" i="55" s="1"/>
  <c r="AM139" i="55"/>
  <c r="N139" i="55" s="1"/>
  <c r="AK139" i="55"/>
  <c r="AI139" i="55"/>
  <c r="J139" i="55" s="1"/>
  <c r="AG139" i="55"/>
  <c r="H139" i="55" s="1"/>
  <c r="AE139" i="55"/>
  <c r="F139" i="55" s="1"/>
  <c r="AC139" i="55"/>
  <c r="D139" i="55" s="1"/>
  <c r="AS109" i="55"/>
  <c r="T109" i="55" s="1"/>
  <c r="AQ109" i="55"/>
  <c r="R109" i="55" s="1"/>
  <c r="AO109" i="55"/>
  <c r="P109" i="55" s="1"/>
  <c r="AM109" i="55"/>
  <c r="N109" i="55" s="1"/>
  <c r="AK109" i="55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N79" i="55" s="1"/>
  <c r="AK79" i="55"/>
  <c r="L79" i="55" s="1"/>
  <c r="AI79" i="55"/>
  <c r="AG79" i="55"/>
  <c r="H79" i="55" s="1"/>
  <c r="AE79" i="55"/>
  <c r="F79" i="55" s="1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/>
  <c r="AE49" i="55"/>
  <c r="F49" i="55" s="1"/>
  <c r="AC49" i="55"/>
  <c r="AS19" i="55"/>
  <c r="T19" i="55" s="1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R289" i="53" s="1"/>
  <c r="AO289" i="53"/>
  <c r="P289" i="53" s="1"/>
  <c r="AM289" i="53"/>
  <c r="N289" i="53" s="1"/>
  <c r="AK289" i="53"/>
  <c r="L289" i="53" s="1"/>
  <c r="AI289" i="53"/>
  <c r="AG289" i="53"/>
  <c r="AE289" i="53"/>
  <c r="F289" i="53" s="1"/>
  <c r="AC289" i="53"/>
  <c r="AS259" i="53"/>
  <c r="T259" i="53" s="1"/>
  <c r="AQ259" i="53"/>
  <c r="AO259" i="53"/>
  <c r="P259" i="53" s="1"/>
  <c r="AM259" i="53"/>
  <c r="N259" i="53" s="1"/>
  <c r="AK259" i="53"/>
  <c r="AI259" i="53"/>
  <c r="J259" i="53" s="1"/>
  <c r="AG259" i="53"/>
  <c r="H259" i="53" s="1"/>
  <c r="AE259" i="53"/>
  <c r="F259" i="53" s="1"/>
  <c r="AC259" i="53"/>
  <c r="D259" i="53" s="1"/>
  <c r="AS229" i="53"/>
  <c r="AQ229" i="53"/>
  <c r="R229" i="53" s="1"/>
  <c r="AO229" i="53"/>
  <c r="AM229" i="53"/>
  <c r="N229" i="53" s="1"/>
  <c r="AK229" i="53"/>
  <c r="L229" i="53" s="1"/>
  <c r="AI229" i="53"/>
  <c r="AG229" i="53"/>
  <c r="AE229" i="53"/>
  <c r="F229" i="53" s="1"/>
  <c r="AC229" i="53"/>
  <c r="D229" i="53" s="1"/>
  <c r="AS199" i="53"/>
  <c r="T199" i="53" s="1"/>
  <c r="AQ199" i="53"/>
  <c r="R199" i="53" s="1"/>
  <c r="AO199" i="53"/>
  <c r="P199" i="53" s="1"/>
  <c r="AM199" i="53"/>
  <c r="AK199" i="53"/>
  <c r="AI199" i="53"/>
  <c r="J199" i="53" s="1"/>
  <c r="AG199" i="53"/>
  <c r="H199" i="53" s="1"/>
  <c r="AE199" i="53"/>
  <c r="F199" i="53" s="1"/>
  <c r="AC199" i="53"/>
  <c r="D199" i="53" s="1"/>
  <c r="AS169" i="53"/>
  <c r="T169" i="53" s="1"/>
  <c r="AQ169" i="53"/>
  <c r="AO169" i="53"/>
  <c r="P169" i="53" s="1"/>
  <c r="AM169" i="53"/>
  <c r="N169" i="53" s="1"/>
  <c r="AK169" i="53"/>
  <c r="AI169" i="53"/>
  <c r="AG169" i="53"/>
  <c r="H169" i="53" s="1"/>
  <c r="AE169" i="53"/>
  <c r="F169" i="53" s="1"/>
  <c r="AC169" i="53"/>
  <c r="D169" i="53" s="1"/>
  <c r="AS139" i="53"/>
  <c r="AQ139" i="53"/>
  <c r="R139" i="53" s="1"/>
  <c r="AO139" i="53"/>
  <c r="P139" i="53" s="1"/>
  <c r="AM139" i="53"/>
  <c r="AK139" i="53"/>
  <c r="AI139" i="53"/>
  <c r="J139" i="53" s="1"/>
  <c r="AG139" i="53"/>
  <c r="AE139" i="53"/>
  <c r="AC139" i="53"/>
  <c r="D139" i="53" s="1"/>
  <c r="AS109" i="53"/>
  <c r="AQ109" i="53"/>
  <c r="R109" i="53" s="1"/>
  <c r="AO109" i="53"/>
  <c r="AM109" i="53"/>
  <c r="N109" i="53" s="1"/>
  <c r="AK109" i="53"/>
  <c r="AI109" i="53"/>
  <c r="J109" i="53" s="1"/>
  <c r="AG109" i="53"/>
  <c r="AE109" i="53"/>
  <c r="AC109" i="53"/>
  <c r="D109" i="53" s="1"/>
  <c r="AS79" i="53"/>
  <c r="T79" i="53" s="1"/>
  <c r="AQ79" i="53"/>
  <c r="R79" i="53" s="1"/>
  <c r="AO79" i="53"/>
  <c r="P79" i="53" s="1"/>
  <c r="AM79" i="53"/>
  <c r="N79" i="53" s="1"/>
  <c r="AK79" i="53"/>
  <c r="L79" i="53" s="1"/>
  <c r="AI79" i="53"/>
  <c r="J79" i="53" s="1"/>
  <c r="AG79" i="53"/>
  <c r="H79" i="53" s="1"/>
  <c r="AE79" i="53"/>
  <c r="AC79" i="53"/>
  <c r="AS49" i="53"/>
  <c r="AQ49" i="53"/>
  <c r="R49" i="53" s="1"/>
  <c r="AO49" i="53"/>
  <c r="P49" i="53" s="1"/>
  <c r="AM49" i="53"/>
  <c r="N49" i="53" s="1"/>
  <c r="AK49" i="53"/>
  <c r="AI49" i="53"/>
  <c r="AG49" i="53"/>
  <c r="AE49" i="53"/>
  <c r="AC49" i="53"/>
  <c r="D49" i="53" s="1"/>
  <c r="AS19" i="53"/>
  <c r="T19" i="53" s="1"/>
  <c r="AQ19" i="53"/>
  <c r="R19" i="53" s="1"/>
  <c r="AO19" i="53"/>
  <c r="P19" i="53" s="1"/>
  <c r="AM19" i="53"/>
  <c r="N19" i="53" s="1"/>
  <c r="AK19" i="53"/>
  <c r="L19" i="53" s="1"/>
  <c r="AI19" i="53"/>
  <c r="J19" i="53" s="1"/>
  <c r="AG19" i="53"/>
  <c r="AE19" i="53"/>
  <c r="AC19" i="53"/>
  <c r="D19" i="53" s="1"/>
  <c r="AS289" i="52"/>
  <c r="T289" i="52" s="1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L259" i="52" s="1"/>
  <c r="AI259" i="52"/>
  <c r="J259" i="52" s="1"/>
  <c r="AG259" i="52"/>
  <c r="H259" i="52" s="1"/>
  <c r="AE259" i="52"/>
  <c r="F259" i="52" s="1"/>
  <c r="AC259" i="52"/>
  <c r="AS229" i="52"/>
  <c r="T229" i="52" s="1"/>
  <c r="AQ229" i="52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 s="1"/>
  <c r="AQ199" i="52"/>
  <c r="R199" i="52" s="1"/>
  <c r="AO199" i="52"/>
  <c r="P199" i="52" s="1"/>
  <c r="AM199" i="52"/>
  <c r="N199" i="52" s="1"/>
  <c r="AK199" i="52"/>
  <c r="L199" i="52" s="1"/>
  <c r="AI199" i="52"/>
  <c r="J199" i="52" s="1"/>
  <c r="AG199" i="52"/>
  <c r="H199" i="52" s="1"/>
  <c r="AE199" i="52"/>
  <c r="F199" i="52" s="1"/>
  <c r="AC199" i="52"/>
  <c r="D199" i="52" s="1"/>
  <c r="AS169" i="52"/>
  <c r="T169" i="52"/>
  <c r="AQ169" i="52"/>
  <c r="R169" i="52" s="1"/>
  <c r="AO169" i="52"/>
  <c r="P169" i="52" s="1"/>
  <c r="AM169" i="52"/>
  <c r="N169" i="52" s="1"/>
  <c r="AK169" i="52"/>
  <c r="L169" i="52" s="1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H139" i="52" s="1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 s="1"/>
  <c r="AM79" i="52"/>
  <c r="N79" i="52" s="1"/>
  <c r="AK79" i="52"/>
  <c r="L79" i="52" s="1"/>
  <c r="AI79" i="52"/>
  <c r="J79" i="52" s="1"/>
  <c r="AG79" i="52"/>
  <c r="AE79" i="52"/>
  <c r="F79" i="52" s="1"/>
  <c r="AC79" i="52"/>
  <c r="D79" i="52" s="1"/>
  <c r="AS49" i="52"/>
  <c r="T49" i="52" s="1"/>
  <c r="AQ49" i="52"/>
  <c r="R49" i="52" s="1"/>
  <c r="AO49" i="52"/>
  <c r="P49" i="52" s="1"/>
  <c r="AM49" i="52"/>
  <c r="N49" i="52" s="1"/>
  <c r="AK49" i="52"/>
  <c r="L49" i="52" s="1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AC19" i="52"/>
  <c r="D19" i="52" s="1"/>
  <c r="A1" i="96"/>
  <c r="T22" i="51"/>
  <c r="R22" i="51"/>
  <c r="R23" i="51" s="1"/>
  <c r="P22" i="51"/>
  <c r="P23" i="51" s="1"/>
  <c r="N22" i="51"/>
  <c r="L22" i="51"/>
  <c r="L23" i="51" s="1"/>
  <c r="J22" i="51"/>
  <c r="H22" i="51"/>
  <c r="H23" i="51" s="1"/>
  <c r="F22" i="51"/>
  <c r="D22" i="51"/>
  <c r="D23" i="51" s="1"/>
  <c r="T22" i="50"/>
  <c r="T23" i="50" s="1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P23" i="49" s="1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N22" i="46"/>
  <c r="N23" i="46" s="1"/>
  <c r="L22" i="46"/>
  <c r="L23" i="46" s="1"/>
  <c r="J22" i="46"/>
  <c r="H22" i="46"/>
  <c r="H23" i="46" s="1"/>
  <c r="F22" i="46"/>
  <c r="F23" i="46" s="1"/>
  <c r="D22" i="46"/>
  <c r="D23" i="46" s="1"/>
  <c r="T22" i="45"/>
  <c r="T23" i="45" s="1"/>
  <c r="R22" i="45"/>
  <c r="R23" i="45" s="1"/>
  <c r="P22" i="45"/>
  <c r="N22" i="45"/>
  <c r="N23" i="45" s="1"/>
  <c r="L22" i="45"/>
  <c r="L23" i="45" s="1"/>
  <c r="J22" i="45"/>
  <c r="J23" i="45" s="1"/>
  <c r="H22" i="45"/>
  <c r="H23" i="45" s="1"/>
  <c r="F22" i="45"/>
  <c r="F23" i="45" s="1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D51" i="50" s="1"/>
  <c r="D52" i="50" s="1"/>
  <c r="F30" i="50"/>
  <c r="F262" i="49"/>
  <c r="F233" i="49"/>
  <c r="F204" i="49"/>
  <c r="F175" i="49"/>
  <c r="F146" i="49"/>
  <c r="F117" i="49"/>
  <c r="F88" i="49"/>
  <c r="F59" i="49"/>
  <c r="B31" i="49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77" i="52"/>
  <c r="B77" i="52" s="1"/>
  <c r="AA196" i="55"/>
  <c r="B196" i="55" s="1"/>
  <c r="AA196" i="53"/>
  <c r="B196" i="53" s="1"/>
  <c r="AA278" i="55"/>
  <c r="B278" i="55" s="1"/>
  <c r="B1" i="71"/>
  <c r="AA97" i="53" s="1"/>
  <c r="B97" i="53" s="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B227" i="55" s="1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281" i="52"/>
  <c r="B281" i="52" s="1"/>
  <c r="AA70" i="59"/>
  <c r="B70" i="59" s="1"/>
  <c r="AA286" i="59"/>
  <c r="B286" i="59" s="1"/>
  <c r="DI8" i="16"/>
  <c r="AD94" i="59" s="1"/>
  <c r="DJ8" i="16"/>
  <c r="DK8" i="16"/>
  <c r="AH94" i="59" s="1"/>
  <c r="DL8" i="16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P9" i="16"/>
  <c r="AR124" i="59" s="1"/>
  <c r="DI10" i="16"/>
  <c r="DJ10" i="16"/>
  <c r="AF154" i="59" s="1"/>
  <c r="DK10" i="16"/>
  <c r="AH154" i="59" s="1"/>
  <c r="DL10" i="16"/>
  <c r="AJ154" i="59" s="1"/>
  <c r="DM10" i="16"/>
  <c r="AL154" i="59" s="1"/>
  <c r="DN10" i="16"/>
  <c r="DP10" i="16"/>
  <c r="DQ10" i="16"/>
  <c r="DI11" i="16"/>
  <c r="AD184" i="59" s="1"/>
  <c r="DJ11" i="16"/>
  <c r="AF184" i="59"/>
  <c r="DM11" i="16"/>
  <c r="AL184" i="59" s="1"/>
  <c r="DN11" i="16"/>
  <c r="AN184" i="59" s="1"/>
  <c r="DO11" i="16"/>
  <c r="AP184" i="59" s="1"/>
  <c r="DP11" i="16"/>
  <c r="AR184" i="59" s="1"/>
  <c r="DQ11" i="16"/>
  <c r="AT184" i="59" s="1"/>
  <c r="DI12" i="16"/>
  <c r="DJ12" i="16"/>
  <c r="DK12" i="16"/>
  <c r="AH214" i="59" s="1"/>
  <c r="DL12" i="16"/>
  <c r="AJ214" i="59" s="1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O13" i="16"/>
  <c r="DQ13" i="16"/>
  <c r="AT244" i="59" s="1"/>
  <c r="DI14" i="16"/>
  <c r="DJ14" i="16"/>
  <c r="AF274" i="59" s="1"/>
  <c r="DK14" i="16"/>
  <c r="AH274" i="59" s="1"/>
  <c r="DL14" i="16"/>
  <c r="AJ274" i="59" s="1"/>
  <c r="DM14" i="16"/>
  <c r="AL274" i="59" s="1"/>
  <c r="DN14" i="16"/>
  <c r="AN274" i="59" s="1"/>
  <c r="DO14" i="16"/>
  <c r="AP274" i="59" s="1"/>
  <c r="DQ14" i="16"/>
  <c r="AT274" i="59" s="1"/>
  <c r="DK7" i="16"/>
  <c r="AH64" i="59"/>
  <c r="DL7" i="16"/>
  <c r="AJ64" i="59" s="1"/>
  <c r="DN7" i="16"/>
  <c r="AN64" i="59" s="1"/>
  <c r="DO7" i="16"/>
  <c r="AP64" i="59" s="1"/>
  <c r="DP7" i="16"/>
  <c r="AR64" i="59" s="1"/>
  <c r="DQ7" i="16"/>
  <c r="CP8" i="16"/>
  <c r="AF94" i="58" s="1"/>
  <c r="CQ8" i="16"/>
  <c r="AH94" i="58" s="1"/>
  <c r="CR8" i="16"/>
  <c r="AJ94" i="58" s="1"/>
  <c r="CS8" i="16"/>
  <c r="AL94" i="58" s="1"/>
  <c r="CU8" i="16"/>
  <c r="AP94" i="58" s="1"/>
  <c r="CP9" i="16"/>
  <c r="AF124" i="58" s="1"/>
  <c r="CR9" i="16"/>
  <c r="AJ124" i="58" s="1"/>
  <c r="CT9" i="16"/>
  <c r="CU9" i="16"/>
  <c r="AP124" i="58" s="1"/>
  <c r="CV9" i="16"/>
  <c r="AR124" i="58" s="1"/>
  <c r="CW9" i="16"/>
  <c r="AT124" i="58" s="1"/>
  <c r="CP10" i="16"/>
  <c r="CS10" i="16"/>
  <c r="AL154" i="58" s="1"/>
  <c r="CV10" i="16"/>
  <c r="AR154" i="58" s="1"/>
  <c r="CO11" i="16"/>
  <c r="AD184" i="58" s="1"/>
  <c r="CQ11" i="16"/>
  <c r="AH184" i="58" s="1"/>
  <c r="CR11" i="16"/>
  <c r="AJ184" i="58" s="1"/>
  <c r="CS11" i="16"/>
  <c r="AL184" i="58" s="1"/>
  <c r="CU11" i="16"/>
  <c r="AP184" i="58" s="1"/>
  <c r="CO12" i="16"/>
  <c r="CR12" i="16"/>
  <c r="AJ214" i="58" s="1"/>
  <c r="CV12" i="16"/>
  <c r="AR214" i="58" s="1"/>
  <c r="CW12" i="16"/>
  <c r="AT214" i="58"/>
  <c r="CO13" i="16"/>
  <c r="CQ13" i="16"/>
  <c r="CT13" i="16"/>
  <c r="CV13" i="16"/>
  <c r="AR244" i="58" s="1"/>
  <c r="CO14" i="16"/>
  <c r="AD274" i="58" s="1"/>
  <c r="CR14" i="16"/>
  <c r="AJ274" i="58" s="1"/>
  <c r="CS14" i="16"/>
  <c r="CT14" i="16"/>
  <c r="AN274" i="58" s="1"/>
  <c r="CV14" i="16"/>
  <c r="AR274" i="58" s="1"/>
  <c r="CQ7" i="16"/>
  <c r="CT7" i="16"/>
  <c r="CV7" i="16"/>
  <c r="AR64" i="58" s="1"/>
  <c r="BX6" i="16"/>
  <c r="AJ34" i="57" s="1"/>
  <c r="BV7" i="16"/>
  <c r="AF64" i="57" s="1"/>
  <c r="BW7" i="16"/>
  <c r="AH64" i="57" s="1"/>
  <c r="CA7" i="16"/>
  <c r="AP64" i="57" s="1"/>
  <c r="BU8" i="16"/>
  <c r="BW8" i="16"/>
  <c r="CA8" i="16"/>
  <c r="AP94" i="57" s="1"/>
  <c r="CB8" i="16"/>
  <c r="AR94" i="57" s="1"/>
  <c r="BW9" i="16"/>
  <c r="BY9" i="16"/>
  <c r="AL124" i="57" s="1"/>
  <c r="BZ9" i="16"/>
  <c r="AN124" i="57" s="1"/>
  <c r="CA9" i="16"/>
  <c r="AP124" i="57" s="1"/>
  <c r="CB9" i="16"/>
  <c r="BX10" i="16"/>
  <c r="AJ154" i="57"/>
  <c r="BY10" i="16"/>
  <c r="AL154" i="57" s="1"/>
  <c r="BU11" i="16"/>
  <c r="AD184" i="57" s="1"/>
  <c r="BW11" i="16"/>
  <c r="AH184" i="57" s="1"/>
  <c r="BX11" i="16"/>
  <c r="AJ184" i="57" s="1"/>
  <c r="BZ11" i="16"/>
  <c r="AN184" i="57" s="1"/>
  <c r="BX12" i="16"/>
  <c r="AJ214" i="57" s="1"/>
  <c r="CB12" i="16"/>
  <c r="AR214" i="57" s="1"/>
  <c r="BY13" i="16"/>
  <c r="AL244" i="57" s="1"/>
  <c r="BZ13" i="16"/>
  <c r="AN244" i="57" s="1"/>
  <c r="CA13" i="16"/>
  <c r="AP244" i="57" s="1"/>
  <c r="BU14" i="16"/>
  <c r="AD274" i="57" s="1"/>
  <c r="BV14" i="16"/>
  <c r="AF274" i="57" s="1"/>
  <c r="BW14" i="16"/>
  <c r="AH274" i="57"/>
  <c r="CB14" i="16"/>
  <c r="AR274" i="57" s="1"/>
  <c r="BY5" i="16"/>
  <c r="CA5" i="16"/>
  <c r="BC6" i="16"/>
  <c r="AH34" i="55" s="1"/>
  <c r="BD6" i="16"/>
  <c r="AJ34" i="55" s="1"/>
  <c r="BH6" i="16"/>
  <c r="AR34" i="55" s="1"/>
  <c r="BI6" i="16"/>
  <c r="AT34" i="55" s="1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/>
  <c r="BF14" i="16"/>
  <c r="AN274" i="55" s="1"/>
  <c r="BI14" i="16"/>
  <c r="AT274" i="55" s="1"/>
  <c r="AH6" i="16"/>
  <c r="AF34" i="53" s="1"/>
  <c r="AM6" i="16"/>
  <c r="AP34" i="53" s="1"/>
  <c r="AJ8" i="16"/>
  <c r="AO10" i="16"/>
  <c r="AO11" i="16"/>
  <c r="AL12" i="16"/>
  <c r="AI5" i="16"/>
  <c r="AN5" i="16"/>
  <c r="S4" i="45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B11" i="59" s="1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6" i="53"/>
  <c r="B16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79" i="52"/>
  <c r="B279" i="52" s="1"/>
  <c r="AA258" i="52"/>
  <c r="B258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7" i="52"/>
  <c r="B17" i="52" s="1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A3" i="53"/>
  <c r="AC22" i="53"/>
  <c r="AE22" i="53"/>
  <c r="AE23" i="53" s="1"/>
  <c r="F23" i="53" s="1"/>
  <c r="AG22" i="53"/>
  <c r="AI22" i="53"/>
  <c r="AK22" i="53"/>
  <c r="L22" i="53" s="1"/>
  <c r="AM22" i="53"/>
  <c r="AM23" i="53" s="1"/>
  <c r="N23" i="53" s="1"/>
  <c r="AO22" i="53"/>
  <c r="AQ22" i="53"/>
  <c r="AS22" i="53"/>
  <c r="AE31" i="53"/>
  <c r="F31" i="53" s="1"/>
  <c r="AT31" i="53"/>
  <c r="U31" i="53" s="1"/>
  <c r="AE32" i="53"/>
  <c r="F32" i="53" s="1"/>
  <c r="AC52" i="53"/>
  <c r="AE52" i="53"/>
  <c r="AG52" i="53"/>
  <c r="AG53" i="53" s="1"/>
  <c r="H53" i="53" s="1"/>
  <c r="AI52" i="53"/>
  <c r="AI53" i="53" s="1"/>
  <c r="J53" i="53" s="1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 s="1"/>
  <c r="V77" i="53"/>
  <c r="AC82" i="53"/>
  <c r="D82" i="53" s="1"/>
  <c r="AE82" i="53"/>
  <c r="F82" i="53" s="1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V104" i="53"/>
  <c r="AC112" i="53"/>
  <c r="AE112" i="53"/>
  <c r="F112" i="53" s="1"/>
  <c r="AG112" i="53"/>
  <c r="AI112" i="53"/>
  <c r="AK112" i="53"/>
  <c r="L112" i="53" s="1"/>
  <c r="AM112" i="53"/>
  <c r="AO112" i="53"/>
  <c r="AQ112" i="53"/>
  <c r="AS112" i="53"/>
  <c r="AE121" i="53"/>
  <c r="F121" i="53" s="1"/>
  <c r="AT121" i="53"/>
  <c r="U121" i="53" s="1"/>
  <c r="AE122" i="53"/>
  <c r="F122" i="53" s="1"/>
  <c r="AC142" i="53"/>
  <c r="AE142" i="53"/>
  <c r="AG142" i="53"/>
  <c r="H142" i="53" s="1"/>
  <c r="AI142" i="53"/>
  <c r="AI143" i="53" s="1"/>
  <c r="J143" i="53" s="1"/>
  <c r="AK142" i="53"/>
  <c r="AM142" i="53"/>
  <c r="AO142" i="53"/>
  <c r="AQ142" i="53"/>
  <c r="AQ143" i="53" s="1"/>
  <c r="R143" i="53" s="1"/>
  <c r="AS142" i="53"/>
  <c r="AE151" i="53"/>
  <c r="F151" i="53" s="1"/>
  <c r="AT151" i="53"/>
  <c r="U151" i="53" s="1"/>
  <c r="AE152" i="53"/>
  <c r="F152" i="53" s="1"/>
  <c r="AC172" i="53"/>
  <c r="D172" i="53" s="1"/>
  <c r="AE172" i="53"/>
  <c r="AG172" i="53"/>
  <c r="H172" i="53" s="1"/>
  <c r="AI172" i="53"/>
  <c r="AI173" i="53" s="1"/>
  <c r="J173" i="53" s="1"/>
  <c r="AK172" i="53"/>
  <c r="AM172" i="53"/>
  <c r="AO172" i="53"/>
  <c r="AQ172" i="53"/>
  <c r="AQ173" i="53" s="1"/>
  <c r="R173" i="53" s="1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AG202" i="53"/>
  <c r="AG203" i="53" s="1"/>
  <c r="H203" i="53" s="1"/>
  <c r="AI202" i="53"/>
  <c r="AK202" i="53"/>
  <c r="AM202" i="53"/>
  <c r="AO202" i="53"/>
  <c r="AQ202" i="53"/>
  <c r="AS202" i="53"/>
  <c r="AE211" i="53"/>
  <c r="F211" i="53" s="1"/>
  <c r="AT211" i="53"/>
  <c r="U211" i="53" s="1"/>
  <c r="AE212" i="53"/>
  <c r="F212" i="53" s="1"/>
  <c r="AC232" i="53"/>
  <c r="AE232" i="53"/>
  <c r="AG232" i="53"/>
  <c r="AG233" i="53" s="1"/>
  <c r="H233" i="53" s="1"/>
  <c r="AI232" i="53"/>
  <c r="J232" i="53" s="1"/>
  <c r="AK232" i="53"/>
  <c r="AM232" i="53"/>
  <c r="N232" i="53" s="1"/>
  <c r="AO232" i="53"/>
  <c r="AO233" i="53" s="1"/>
  <c r="P233" i="53" s="1"/>
  <c r="AQ232" i="53"/>
  <c r="AQ233" i="53" s="1"/>
  <c r="R233" i="53" s="1"/>
  <c r="AS232" i="53"/>
  <c r="T232" i="53" s="1"/>
  <c r="AE241" i="53"/>
  <c r="F241" i="53" s="1"/>
  <c r="AT241" i="53"/>
  <c r="U241" i="53" s="1"/>
  <c r="AE242" i="53"/>
  <c r="F242" i="53" s="1"/>
  <c r="AC262" i="53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F271" i="53" s="1"/>
  <c r="AT271" i="53"/>
  <c r="U271" i="53" s="1"/>
  <c r="AE272" i="53"/>
  <c r="F272" i="53" s="1"/>
  <c r="AC292" i="53"/>
  <c r="D292" i="53" s="1"/>
  <c r="AE292" i="53"/>
  <c r="AE293" i="53" s="1"/>
  <c r="F293" i="53" s="1"/>
  <c r="AG292" i="53"/>
  <c r="AG293" i="53" s="1"/>
  <c r="H293" i="53" s="1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AM292" i="59"/>
  <c r="AK292" i="59"/>
  <c r="AI292" i="59"/>
  <c r="AI293" i="59" s="1"/>
  <c r="J293" i="59" s="1"/>
  <c r="AG292" i="59"/>
  <c r="AE292" i="59"/>
  <c r="F292" i="59" s="1"/>
  <c r="AC292" i="59"/>
  <c r="V288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O263" i="59" s="1"/>
  <c r="P263" i="59" s="1"/>
  <c r="AM262" i="59"/>
  <c r="AK262" i="59"/>
  <c r="AI262" i="59"/>
  <c r="AG262" i="59"/>
  <c r="AG263" i="59" s="1"/>
  <c r="H263" i="59" s="1"/>
  <c r="AE262" i="59"/>
  <c r="AC262" i="59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E212" i="59"/>
  <c r="F212" i="59" s="1"/>
  <c r="AT211" i="59"/>
  <c r="U211" i="59" s="1"/>
  <c r="AE211" i="59"/>
  <c r="F211" i="59" s="1"/>
  <c r="AS202" i="59"/>
  <c r="AS203" i="59" s="1"/>
  <c r="T203" i="59" s="1"/>
  <c r="AQ202" i="59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R172" i="59" s="1"/>
  <c r="AO172" i="59"/>
  <c r="P172" i="59" s="1"/>
  <c r="AM172" i="59"/>
  <c r="AK172" i="59"/>
  <c r="AI172" i="59"/>
  <c r="AI173" i="59" s="1"/>
  <c r="J173" i="59" s="1"/>
  <c r="AG172" i="59"/>
  <c r="AE172" i="59"/>
  <c r="AC172" i="59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AI142" i="59"/>
  <c r="AG142" i="59"/>
  <c r="AE142" i="59"/>
  <c r="AC142" i="59"/>
  <c r="D142" i="59" s="1"/>
  <c r="V135" i="59"/>
  <c r="AE122" i="59"/>
  <c r="F122" i="59" s="1"/>
  <c r="AT121" i="59"/>
  <c r="U121" i="59" s="1"/>
  <c r="AE121" i="59"/>
  <c r="F121" i="59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M82" i="59"/>
  <c r="N82" i="59" s="1"/>
  <c r="AK82" i="59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Q52" i="59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AQ22" i="59"/>
  <c r="R22" i="59" s="1"/>
  <c r="AO22" i="59"/>
  <c r="AM22" i="59"/>
  <c r="AK22" i="59"/>
  <c r="AI22" i="59"/>
  <c r="AG22" i="59"/>
  <c r="H22" i="59" s="1"/>
  <c r="AE22" i="59"/>
  <c r="AC22" i="59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V194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 s="1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V14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T9" i="59"/>
  <c r="R9" i="59"/>
  <c r="P9" i="59"/>
  <c r="N9" i="59"/>
  <c r="L9" i="59"/>
  <c r="J9" i="59"/>
  <c r="H9" i="59"/>
  <c r="F9" i="59"/>
  <c r="D9" i="59"/>
  <c r="C9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BU7" i="59" s="1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E2" i="59"/>
  <c r="A3" i="69" s="1"/>
  <c r="T2" i="59"/>
  <c r="B2" i="59"/>
  <c r="AT1" i="59"/>
  <c r="A2" i="77" s="1"/>
  <c r="AE1" i="59"/>
  <c r="F1" i="59" s="1"/>
  <c r="D1" i="59"/>
  <c r="B1" i="59"/>
  <c r="AS292" i="58"/>
  <c r="AQ292" i="58"/>
  <c r="AQ293" i="58" s="1"/>
  <c r="R293" i="58" s="1"/>
  <c r="AO292" i="58"/>
  <c r="AM292" i="58"/>
  <c r="AM293" i="58" s="1"/>
  <c r="N293" i="58" s="1"/>
  <c r="AK292" i="58"/>
  <c r="AI292" i="58"/>
  <c r="AI293" i="58" s="1"/>
  <c r="J293" i="58" s="1"/>
  <c r="AG292" i="58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AC262" i="58"/>
  <c r="AC263" i="58" s="1"/>
  <c r="D263" i="58" s="1"/>
  <c r="AE242" i="58"/>
  <c r="F242" i="58" s="1"/>
  <c r="AT241" i="58"/>
  <c r="U241" i="58" s="1"/>
  <c r="AE241" i="58"/>
  <c r="F241" i="58" s="1"/>
  <c r="AS232" i="58"/>
  <c r="AS233" i="58" s="1"/>
  <c r="T233" i="58" s="1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Q202" i="58"/>
  <c r="AO202" i="58"/>
  <c r="AM202" i="58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AQ172" i="58"/>
  <c r="AO172" i="58"/>
  <c r="AM172" i="58"/>
  <c r="AK172" i="58"/>
  <c r="AI172" i="58"/>
  <c r="AI173" i="58" s="1"/>
  <c r="J173" i="58" s="1"/>
  <c r="AG172" i="58"/>
  <c r="AE172" i="58"/>
  <c r="AC172" i="58"/>
  <c r="V168" i="58"/>
  <c r="AE152" i="58"/>
  <c r="F152" i="58" s="1"/>
  <c r="AT151" i="58"/>
  <c r="U151" i="58" s="1"/>
  <c r="AE151" i="58"/>
  <c r="F151" i="58" s="1"/>
  <c r="AS142" i="58"/>
  <c r="AQ142" i="58"/>
  <c r="AO142" i="58"/>
  <c r="AM142" i="58"/>
  <c r="AK142" i="58"/>
  <c r="AK143" i="58" s="1"/>
  <c r="L143" i="58" s="1"/>
  <c r="AI142" i="58"/>
  <c r="AG142" i="58"/>
  <c r="AG143" i="58" s="1"/>
  <c r="H143" i="58" s="1"/>
  <c r="AE142" i="58"/>
  <c r="AC142" i="58"/>
  <c r="AC143" i="58" s="1"/>
  <c r="D143" i="58" s="1"/>
  <c r="AE122" i="58"/>
  <c r="F122" i="58" s="1"/>
  <c r="AT121" i="58"/>
  <c r="U121" i="58" s="1"/>
  <c r="AE121" i="58"/>
  <c r="F121" i="58"/>
  <c r="AS112" i="58"/>
  <c r="AS113" i="58" s="1"/>
  <c r="T113" i="58" s="1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G112" i="58"/>
  <c r="AE112" i="58"/>
  <c r="AE113" i="58" s="1"/>
  <c r="F113" i="58" s="1"/>
  <c r="AC112" i="58"/>
  <c r="AE92" i="58"/>
  <c r="F92" i="58" s="1"/>
  <c r="AT91" i="58"/>
  <c r="U91" i="58" s="1"/>
  <c r="AE91" i="58"/>
  <c r="F91" i="58"/>
  <c r="AS82" i="58"/>
  <c r="AQ82" i="58"/>
  <c r="AO82" i="58"/>
  <c r="AM82" i="58"/>
  <c r="AM83" i="58" s="1"/>
  <c r="N83" i="58" s="1"/>
  <c r="AK82" i="58"/>
  <c r="L82" i="58" s="1"/>
  <c r="AI82" i="58"/>
  <c r="AG82" i="58"/>
  <c r="H82" i="58" s="1"/>
  <c r="AE82" i="58"/>
  <c r="AC82" i="58"/>
  <c r="AE62" i="58"/>
  <c r="F62" i="58" s="1"/>
  <c r="AT61" i="58"/>
  <c r="U61" i="58" s="1"/>
  <c r="AE61" i="58"/>
  <c r="F61" i="58" s="1"/>
  <c r="AS52" i="58"/>
  <c r="AS53" i="58" s="1"/>
  <c r="T53" i="58" s="1"/>
  <c r="AQ52" i="58"/>
  <c r="R52" i="58" s="1"/>
  <c r="AO52" i="58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P22" i="58" s="1"/>
  <c r="AM22" i="58"/>
  <c r="AM23" i="58" s="1"/>
  <c r="N23" i="58" s="1"/>
  <c r="AK22" i="58"/>
  <c r="AI22" i="58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D229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D139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D109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 s="1"/>
  <c r="D1" i="58"/>
  <c r="B1" i="58"/>
  <c r="AS292" i="57"/>
  <c r="AS293" i="57" s="1"/>
  <c r="T293" i="57" s="1"/>
  <c r="AQ292" i="57"/>
  <c r="AO292" i="57"/>
  <c r="AM292" i="57"/>
  <c r="AK292" i="57"/>
  <c r="AI292" i="57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AM262" i="57"/>
  <c r="N262" i="57" s="1"/>
  <c r="AK262" i="57"/>
  <c r="AK263" i="57" s="1"/>
  <c r="L263" i="57" s="1"/>
  <c r="AI262" i="57"/>
  <c r="J262" i="57" s="1"/>
  <c r="AG262" i="57"/>
  <c r="AG263" i="57" s="1"/>
  <c r="H263" i="57" s="1"/>
  <c r="AE262" i="57"/>
  <c r="AC262" i="57"/>
  <c r="AE242" i="57"/>
  <c r="F242" i="57" s="1"/>
  <c r="AT241" i="57"/>
  <c r="U241" i="57" s="1"/>
  <c r="AE241" i="57"/>
  <c r="F241" i="57" s="1"/>
  <c r="AS232" i="57"/>
  <c r="T232" i="57" s="1"/>
  <c r="AQ232" i="57"/>
  <c r="AO232" i="57"/>
  <c r="AM232" i="57"/>
  <c r="AM233" i="57" s="1"/>
  <c r="N233" i="57" s="1"/>
  <c r="AK232" i="57"/>
  <c r="AI232" i="57"/>
  <c r="AG232" i="57"/>
  <c r="AG233" i="57" s="1"/>
  <c r="H233" i="57" s="1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O202" i="57"/>
  <c r="AO203" i="57" s="1"/>
  <c r="P203" i="57" s="1"/>
  <c r="AM202" i="57"/>
  <c r="N202" i="57" s="1"/>
  <c r="AK202" i="57"/>
  <c r="AK203" i="57" s="1"/>
  <c r="L203" i="57" s="1"/>
  <c r="AI202" i="57"/>
  <c r="AG202" i="57"/>
  <c r="AE202" i="57"/>
  <c r="F202" i="57" s="1"/>
  <c r="AC202" i="57"/>
  <c r="V195" i="57"/>
  <c r="AE182" i="57"/>
  <c r="F182" i="57" s="1"/>
  <c r="AT181" i="57"/>
  <c r="U181" i="57" s="1"/>
  <c r="AE181" i="57"/>
  <c r="F181" i="57" s="1"/>
  <c r="AS172" i="57"/>
  <c r="AQ172" i="57"/>
  <c r="R172" i="57" s="1"/>
  <c r="AO172" i="57"/>
  <c r="P172" i="57" s="1"/>
  <c r="AM172" i="57"/>
  <c r="AK172" i="57"/>
  <c r="AI172" i="57"/>
  <c r="AI173" i="57" s="1"/>
  <c r="J173" i="57" s="1"/>
  <c r="AG172" i="57"/>
  <c r="AE172" i="57"/>
  <c r="AE173" i="57" s="1"/>
  <c r="F173" i="57" s="1"/>
  <c r="AC172" i="57"/>
  <c r="AE152" i="57"/>
  <c r="F152" i="57" s="1"/>
  <c r="AT151" i="57"/>
  <c r="U151" i="57" s="1"/>
  <c r="AE151" i="57"/>
  <c r="F151" i="57" s="1"/>
  <c r="AS142" i="57"/>
  <c r="AS148" i="57" s="1"/>
  <c r="AQ142" i="57"/>
  <c r="R142" i="57" s="1"/>
  <c r="AO142" i="57"/>
  <c r="P142" i="57" s="1"/>
  <c r="AM142" i="57"/>
  <c r="N142" i="57" s="1"/>
  <c r="AK142" i="57"/>
  <c r="AI142" i="57"/>
  <c r="AI143" i="57" s="1"/>
  <c r="J143" i="57" s="1"/>
  <c r="AG142" i="57"/>
  <c r="H142" i="57" s="1"/>
  <c r="AE142" i="57"/>
  <c r="AC142" i="57"/>
  <c r="D142" i="57" s="1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I118" i="57" s="1"/>
  <c r="J118" i="57" s="1"/>
  <c r="AG112" i="57"/>
  <c r="H112" i="57" s="1"/>
  <c r="AE112" i="57"/>
  <c r="AC112" i="57"/>
  <c r="AC113" i="57" s="1"/>
  <c r="D113" i="57" s="1"/>
  <c r="AE92" i="57"/>
  <c r="F92" i="57" s="1"/>
  <c r="AT91" i="57"/>
  <c r="U91" i="57" s="1"/>
  <c r="AE91" i="57"/>
  <c r="F91" i="57" s="1"/>
  <c r="AS82" i="57"/>
  <c r="T82" i="57" s="1"/>
  <c r="AQ82" i="57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AM52" i="57"/>
  <c r="N52" i="57" s="1"/>
  <c r="AK52" i="57"/>
  <c r="AI52" i="57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E22" i="57"/>
  <c r="F22" i="57" s="1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D229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V161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V135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 s="1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 s="1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AT1" i="57"/>
  <c r="A2" i="70" s="1"/>
  <c r="AE1" i="57"/>
  <c r="F1" i="57" s="1"/>
  <c r="D1" i="57"/>
  <c r="B1" i="57"/>
  <c r="AS292" i="55"/>
  <c r="T292" i="55" s="1"/>
  <c r="AQ292" i="55"/>
  <c r="AO292" i="55"/>
  <c r="AM292" i="55"/>
  <c r="AK292" i="55"/>
  <c r="L292" i="55" s="1"/>
  <c r="AI292" i="55"/>
  <c r="AG292" i="55"/>
  <c r="AE292" i="55"/>
  <c r="AC292" i="55"/>
  <c r="AC293" i="55" s="1"/>
  <c r="D293" i="55" s="1"/>
  <c r="AE272" i="55"/>
  <c r="F272" i="55" s="1"/>
  <c r="AT271" i="55"/>
  <c r="U271" i="55" s="1"/>
  <c r="AE271" i="55"/>
  <c r="F271" i="55" s="1"/>
  <c r="AS262" i="55"/>
  <c r="AQ262" i="55"/>
  <c r="AO262" i="55"/>
  <c r="P262" i="55" s="1"/>
  <c r="AM262" i="55"/>
  <c r="AK262" i="55"/>
  <c r="L262" i="55" s="1"/>
  <c r="AI262" i="55"/>
  <c r="AG262" i="55"/>
  <c r="AE262" i="55"/>
  <c r="AE263" i="55" s="1"/>
  <c r="F263" i="55" s="1"/>
  <c r="AC262" i="55"/>
  <c r="V255" i="55"/>
  <c r="AE242" i="55"/>
  <c r="F242" i="55" s="1"/>
  <c r="AT241" i="55"/>
  <c r="U241" i="55" s="1"/>
  <c r="AE241" i="55"/>
  <c r="F241" i="55"/>
  <c r="AS232" i="55"/>
  <c r="AS233" i="55" s="1"/>
  <c r="T233" i="55" s="1"/>
  <c r="AQ232" i="55"/>
  <c r="R232" i="55" s="1"/>
  <c r="AO232" i="55"/>
  <c r="AM232" i="55"/>
  <c r="AM233" i="55" s="1"/>
  <c r="N233" i="55" s="1"/>
  <c r="AK232" i="55"/>
  <c r="AI232" i="55"/>
  <c r="AG232" i="55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O202" i="55"/>
  <c r="AM202" i="55"/>
  <c r="N202" i="55" s="1"/>
  <c r="AK202" i="55"/>
  <c r="AI202" i="55"/>
  <c r="AG202" i="55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AQ172" i="55"/>
  <c r="AO172" i="55"/>
  <c r="AM172" i="55"/>
  <c r="N172" i="55" s="1"/>
  <c r="AK172" i="55"/>
  <c r="AI172" i="55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AK142" i="55"/>
  <c r="AI142" i="55"/>
  <c r="AG142" i="55"/>
  <c r="H142" i="55" s="1"/>
  <c r="AE142" i="55"/>
  <c r="AC14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K112" i="55"/>
  <c r="AK113" i="55" s="1"/>
  <c r="L113" i="55" s="1"/>
  <c r="AI112" i="55"/>
  <c r="AG112" i="55"/>
  <c r="H112" i="55" s="1"/>
  <c r="AE112" i="55"/>
  <c r="AE113" i="55" s="1"/>
  <c r="F113" i="55" s="1"/>
  <c r="AC112" i="55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AM82" i="55"/>
  <c r="AK82" i="55"/>
  <c r="AI82" i="55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 s="1"/>
  <c r="AS22" i="55"/>
  <c r="AS23" i="55" s="1"/>
  <c r="T23" i="55" s="1"/>
  <c r="AQ22" i="55"/>
  <c r="AO22" i="55"/>
  <c r="AO23" i="55" s="1"/>
  <c r="P23" i="55" s="1"/>
  <c r="AM22" i="55"/>
  <c r="N22" i="55" s="1"/>
  <c r="AK22" i="55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 s="1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F199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V9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 s="1"/>
  <c r="AE62" i="52"/>
  <c r="F62" i="52" s="1"/>
  <c r="AE61" i="52"/>
  <c r="F61" i="52" s="1"/>
  <c r="AE32" i="52"/>
  <c r="F32" i="52" s="1"/>
  <c r="AE31" i="52"/>
  <c r="F31" i="52" s="1"/>
  <c r="AE2" i="52"/>
  <c r="A3" i="60" s="1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I292" i="52"/>
  <c r="AG292" i="52"/>
  <c r="H292" i="52" s="1"/>
  <c r="AE292" i="52"/>
  <c r="F292" i="52" s="1"/>
  <c r="AC292" i="52"/>
  <c r="AC293" i="52" s="1"/>
  <c r="D293" i="52" s="1"/>
  <c r="AS262" i="52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H262" i="52" s="1"/>
  <c r="AE262" i="52"/>
  <c r="AC262" i="52"/>
  <c r="D262" i="52" s="1"/>
  <c r="AS232" i="52"/>
  <c r="T232" i="52" s="1"/>
  <c r="AQ232" i="52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C172" i="52"/>
  <c r="D172" i="52" s="1"/>
  <c r="AS142" i="52"/>
  <c r="AQ142" i="52"/>
  <c r="AO142" i="52"/>
  <c r="AO143" i="52" s="1"/>
  <c r="P143" i="52" s="1"/>
  <c r="AM142" i="52"/>
  <c r="AK142" i="52"/>
  <c r="AI142" i="52"/>
  <c r="AG142" i="52"/>
  <c r="H142" i="52" s="1"/>
  <c r="AE142" i="52"/>
  <c r="F142" i="52" s="1"/>
  <c r="AC142" i="52"/>
  <c r="AS112" i="52"/>
  <c r="AS113" i="52" s="1"/>
  <c r="T113" i="52" s="1"/>
  <c r="AQ112" i="52"/>
  <c r="AQ113" i="52" s="1"/>
  <c r="R113" i="52" s="1"/>
  <c r="AO112" i="52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AM82" i="52"/>
  <c r="AM83" i="52" s="1"/>
  <c r="N83" i="52" s="1"/>
  <c r="AK82" i="52"/>
  <c r="AI82" i="52"/>
  <c r="J82" i="52" s="1"/>
  <c r="AG82" i="52"/>
  <c r="AE82" i="52"/>
  <c r="AC82" i="52"/>
  <c r="AC88" i="52" s="1"/>
  <c r="AD76" i="52" s="1"/>
  <c r="E76" i="52" s="1"/>
  <c r="AS52" i="52"/>
  <c r="AQ52" i="52"/>
  <c r="AO52" i="52"/>
  <c r="AO53" i="52" s="1"/>
  <c r="P53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 s="1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V138" i="53"/>
  <c r="T138" i="53"/>
  <c r="R138" i="53"/>
  <c r="P138" i="53"/>
  <c r="N138" i="53"/>
  <c r="L138" i="53"/>
  <c r="J138" i="53"/>
  <c r="H138" i="53"/>
  <c r="F138" i="53"/>
  <c r="D138" i="53"/>
  <c r="C138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T135" i="53"/>
  <c r="R135" i="53"/>
  <c r="P135" i="53"/>
  <c r="N135" i="53"/>
  <c r="L135" i="53"/>
  <c r="J135" i="53"/>
  <c r="H135" i="53"/>
  <c r="F135" i="53"/>
  <c r="D135" i="53"/>
  <c r="C135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V105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V99" i="53"/>
  <c r="T99" i="53"/>
  <c r="R99" i="53"/>
  <c r="P99" i="53"/>
  <c r="N99" i="53"/>
  <c r="L99" i="53"/>
  <c r="J99" i="53"/>
  <c r="H99" i="53"/>
  <c r="F99" i="53"/>
  <c r="D99" i="53"/>
  <c r="C99" i="53"/>
  <c r="V98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F79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J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T45" i="53"/>
  <c r="R45" i="53"/>
  <c r="P45" i="53"/>
  <c r="N45" i="53"/>
  <c r="L45" i="53"/>
  <c r="J45" i="53"/>
  <c r="H45" i="53"/>
  <c r="F45" i="53"/>
  <c r="D45" i="53"/>
  <c r="C45" i="53"/>
  <c r="V44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H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V16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/>
  <c r="B152" i="52"/>
  <c r="B153" i="52" s="1"/>
  <c r="B122" i="52"/>
  <c r="B123" i="52" s="1"/>
  <c r="B92" i="52"/>
  <c r="B93" i="52" s="1"/>
  <c r="B62" i="52"/>
  <c r="B63" i="52" s="1"/>
  <c r="B32" i="52"/>
  <c r="B33" i="52" s="1"/>
  <c r="B2" i="52"/>
  <c r="B3" i="52" s="1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K22" i="52"/>
  <c r="AK23" i="52" s="1"/>
  <c r="L23" i="52" s="1"/>
  <c r="AI22" i="52"/>
  <c r="AG22" i="52"/>
  <c r="H22" i="52" s="1"/>
  <c r="AE22" i="52"/>
  <c r="AC22" i="52"/>
  <c r="D22" i="52" s="1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R229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T160" i="52"/>
  <c r="R160" i="52"/>
  <c r="P160" i="52"/>
  <c r="N160" i="52"/>
  <c r="L160" i="52"/>
  <c r="J160" i="52"/>
  <c r="H160" i="52"/>
  <c r="F160" i="52"/>
  <c r="D160" i="52"/>
  <c r="C160" i="52"/>
  <c r="V159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N23" i="51"/>
  <c r="J23" i="51"/>
  <c r="F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 s="1"/>
  <c r="R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P23" i="46"/>
  <c r="J23" i="46"/>
  <c r="B3" i="46"/>
  <c r="F1" i="46"/>
  <c r="P8" i="93"/>
  <c r="P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CN14" i="16"/>
  <c r="AF244" i="59"/>
  <c r="DH13" i="16"/>
  <c r="AN244" i="58"/>
  <c r="CN13" i="16"/>
  <c r="AF214" i="59"/>
  <c r="DH12" i="16"/>
  <c r="CN12" i="16"/>
  <c r="DH11" i="16"/>
  <c r="CN11" i="16"/>
  <c r="AR154" i="59"/>
  <c r="AN154" i="59"/>
  <c r="DH10" i="16"/>
  <c r="CN10" i="16"/>
  <c r="DH9" i="16"/>
  <c r="CN9" i="16"/>
  <c r="AT94" i="59"/>
  <c r="DH8" i="16"/>
  <c r="CN8" i="16"/>
  <c r="DH7" i="16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BT13" i="16"/>
  <c r="AZ13" i="16"/>
  <c r="BT12" i="16"/>
  <c r="AL214" i="55"/>
  <c r="AZ12" i="16"/>
  <c r="BT11" i="16"/>
  <c r="AZ11" i="16"/>
  <c r="BT10" i="16"/>
  <c r="AP154" i="55"/>
  <c r="AZ10" i="16"/>
  <c r="AR124" i="57"/>
  <c r="AH124" i="57"/>
  <c r="BT9" i="16"/>
  <c r="AZ9" i="16"/>
  <c r="AH94" i="57"/>
  <c r="BT8" i="16"/>
  <c r="AZ8" i="16"/>
  <c r="BT7" i="16"/>
  <c r="AZ7" i="16"/>
  <c r="BT6" i="16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6" i="16"/>
  <c r="AF5" i="16"/>
  <c r="C2" i="16"/>
  <c r="F263" i="41" s="1"/>
  <c r="F1" i="41"/>
  <c r="P8" i="89" s="1"/>
  <c r="U14" i="16"/>
  <c r="AT274" i="52" s="1"/>
  <c r="P12" i="16"/>
  <c r="AJ214" i="52" s="1"/>
  <c r="N12" i="16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T23" i="41"/>
  <c r="R23" i="41"/>
  <c r="P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V280" i="57"/>
  <c r="V257" i="55"/>
  <c r="V279" i="55"/>
  <c r="F259" i="59"/>
  <c r="V68" i="59"/>
  <c r="V72" i="59"/>
  <c r="V105" i="59"/>
  <c r="V104" i="52"/>
  <c r="V188" i="52"/>
  <c r="V191" i="52"/>
  <c r="V71" i="52"/>
  <c r="V78" i="52"/>
  <c r="V223" i="52"/>
  <c r="V164" i="52"/>
  <c r="V134" i="52"/>
  <c r="V17" i="52"/>
  <c r="V42" i="52"/>
  <c r="J109" i="52"/>
  <c r="V282" i="52"/>
  <c r="V105" i="52"/>
  <c r="V72" i="52"/>
  <c r="V11" i="52"/>
  <c r="AD64" i="55"/>
  <c r="AD94" i="57"/>
  <c r="AF154" i="58"/>
  <c r="AD214" i="58"/>
  <c r="AD214" i="59"/>
  <c r="AD244" i="58"/>
  <c r="V249" i="52"/>
  <c r="H49" i="53"/>
  <c r="F19" i="53"/>
  <c r="V70" i="53"/>
  <c r="V282" i="53"/>
  <c r="N199" i="53"/>
  <c r="V100" i="53"/>
  <c r="L109" i="53"/>
  <c r="H109" i="53"/>
  <c r="F109" i="53"/>
  <c r="T139" i="53"/>
  <c r="F139" i="53"/>
  <c r="J169" i="53"/>
  <c r="H289" i="53"/>
  <c r="D289" i="53"/>
  <c r="V277" i="53"/>
  <c r="AA197" i="52"/>
  <c r="B197" i="52" s="1"/>
  <c r="AA221" i="52"/>
  <c r="B221" i="52" s="1"/>
  <c r="AA100" i="53"/>
  <c r="B100" i="53" s="1"/>
  <c r="AA166" i="53"/>
  <c r="B166" i="53" s="1"/>
  <c r="AA227" i="52"/>
  <c r="B227" i="52" s="1"/>
  <c r="AA228" i="52"/>
  <c r="B228" i="52" s="1"/>
  <c r="R259" i="53"/>
  <c r="L259" i="53"/>
  <c r="J229" i="53"/>
  <c r="H229" i="53"/>
  <c r="AA77" i="53"/>
  <c r="B77" i="53" s="1"/>
  <c r="AA38" i="52"/>
  <c r="B38" i="52" s="1"/>
  <c r="AA40" i="52"/>
  <c r="B40" i="52" s="1"/>
  <c r="AA73" i="52"/>
  <c r="B73" i="52" s="1"/>
  <c r="AA73" i="53"/>
  <c r="B73" i="53" s="1"/>
  <c r="AA130" i="53"/>
  <c r="B130" i="53" s="1"/>
  <c r="AA7" i="53"/>
  <c r="AA223" i="52"/>
  <c r="B223" i="52" s="1"/>
  <c r="AA106" i="53"/>
  <c r="B106" i="53" s="1"/>
  <c r="AA68" i="52"/>
  <c r="B68" i="52" s="1"/>
  <c r="AK263" i="53"/>
  <c r="L263" i="53" s="1"/>
  <c r="AQ53" i="53"/>
  <c r="R53" i="53" s="1"/>
  <c r="N22" i="58"/>
  <c r="AM143" i="57"/>
  <c r="N143" i="57" s="1"/>
  <c r="R262" i="53"/>
  <c r="AG173" i="53"/>
  <c r="H173" i="53" s="1"/>
  <c r="AE23" i="57"/>
  <c r="F23" i="57" s="1"/>
  <c r="T292" i="53"/>
  <c r="R232" i="53"/>
  <c r="J52" i="59"/>
  <c r="T52" i="58"/>
  <c r="AQ53" i="58"/>
  <c r="R53" i="58" s="1"/>
  <c r="T112" i="58"/>
  <c r="AO23" i="53"/>
  <c r="P23" i="53" s="1"/>
  <c r="P22" i="53"/>
  <c r="AM113" i="53"/>
  <c r="N113" i="53" s="1"/>
  <c r="N112" i="53"/>
  <c r="P262" i="59"/>
  <c r="AO83" i="53"/>
  <c r="P83" i="53" s="1"/>
  <c r="P82" i="53"/>
  <c r="AE173" i="53"/>
  <c r="F173" i="53" s="1"/>
  <c r="J172" i="58"/>
  <c r="N232" i="57"/>
  <c r="AG263" i="52"/>
  <c r="H263" i="52" s="1"/>
  <c r="AQ203" i="58"/>
  <c r="R203" i="58" s="1"/>
  <c r="AM263" i="58"/>
  <c r="N263" i="58" s="1"/>
  <c r="N262" i="58"/>
  <c r="AI203" i="59"/>
  <c r="J203" i="59" s="1"/>
  <c r="J202" i="59"/>
  <c r="N142" i="59"/>
  <c r="AM203" i="58"/>
  <c r="N203" i="58" s="1"/>
  <c r="N202" i="58"/>
  <c r="AE233" i="59"/>
  <c r="F233" i="59" s="1"/>
  <c r="F232" i="59"/>
  <c r="AQ263" i="55"/>
  <c r="R263" i="55" s="1"/>
  <c r="AS203" i="57"/>
  <c r="T203" i="57" s="1"/>
  <c r="T202" i="57"/>
  <c r="AC293" i="57"/>
  <c r="D293" i="57" s="1"/>
  <c r="H226" i="55"/>
  <c r="AQ263" i="53"/>
  <c r="R263" i="53" s="1"/>
  <c r="AS233" i="53"/>
  <c r="T233" i="53" s="1"/>
  <c r="J142" i="53"/>
  <c r="V288" i="55"/>
  <c r="V284" i="55"/>
  <c r="H196" i="55"/>
  <c r="H190" i="55"/>
  <c r="H127" i="55"/>
  <c r="P76" i="55"/>
  <c r="V72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18" i="52"/>
  <c r="B218" i="52" s="1"/>
  <c r="AA217" i="53"/>
  <c r="B217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52" i="57"/>
  <c r="V219" i="57"/>
  <c r="H193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22" i="59"/>
  <c r="V224" i="59"/>
  <c r="V195" i="59"/>
  <c r="V162" i="59"/>
  <c r="V45" i="59"/>
  <c r="V42" i="59"/>
  <c r="V15" i="59"/>
  <c r="P283" i="58"/>
  <c r="V284" i="58"/>
  <c r="V287" i="58"/>
  <c r="V254" i="58"/>
  <c r="V248" i="58"/>
  <c r="R223" i="58"/>
  <c r="V218" i="58"/>
  <c r="V219" i="58"/>
  <c r="V225" i="58"/>
  <c r="V192" i="58"/>
  <c r="T157" i="58"/>
  <c r="V158" i="58"/>
  <c r="H76" i="58"/>
  <c r="H73" i="58"/>
  <c r="J70" i="58"/>
  <c r="V72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198" i="58"/>
  <c r="V78" i="58"/>
  <c r="T193" i="57"/>
  <c r="V71" i="57"/>
  <c r="V68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T232" i="58"/>
  <c r="L262" i="58"/>
  <c r="T142" i="59"/>
  <c r="AS143" i="59"/>
  <c r="T143" i="59" s="1"/>
  <c r="H112" i="59"/>
  <c r="AM53" i="57"/>
  <c r="N53" i="57" s="1"/>
  <c r="J172" i="59"/>
  <c r="H82" i="53"/>
  <c r="AK23" i="57"/>
  <c r="L23" i="57" s="1"/>
  <c r="AI143" i="58"/>
  <c r="J143" i="58" s="1"/>
  <c r="AG293" i="58"/>
  <c r="H293" i="58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N136" i="57"/>
  <c r="N253" i="57"/>
  <c r="P127" i="55"/>
  <c r="R67" i="55"/>
  <c r="N247" i="55"/>
  <c r="N70" i="55"/>
  <c r="P196" i="55"/>
  <c r="T190" i="55"/>
  <c r="P247" i="59"/>
  <c r="N259" i="58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7" i="59"/>
  <c r="V285" i="58"/>
  <c r="V279" i="53"/>
  <c r="V287" i="57"/>
  <c r="V288" i="52"/>
  <c r="F289" i="58"/>
  <c r="V249" i="53"/>
  <c r="T220" i="59"/>
  <c r="V227" i="58"/>
  <c r="V221" i="58"/>
  <c r="V228" i="58"/>
  <c r="P226" i="55"/>
  <c r="V222" i="58"/>
  <c r="L226" i="55"/>
  <c r="F229" i="59"/>
  <c r="V194" i="57"/>
  <c r="V189" i="52"/>
  <c r="V192" i="53"/>
  <c r="V167" i="59"/>
  <c r="V168" i="59"/>
  <c r="V165" i="55"/>
  <c r="F169" i="57"/>
  <c r="N160" i="57"/>
  <c r="V168" i="55"/>
  <c r="V138" i="58"/>
  <c r="V131" i="55"/>
  <c r="L97" i="59"/>
  <c r="V108" i="58"/>
  <c r="N97" i="59"/>
  <c r="T40" i="59"/>
  <c r="L37" i="57"/>
  <c r="V39" i="55"/>
  <c r="V39" i="57"/>
  <c r="V39" i="59"/>
  <c r="L46" i="55"/>
  <c r="V42" i="57"/>
  <c r="N37" i="57"/>
  <c r="L43" i="55"/>
  <c r="J46" i="55"/>
  <c r="T11" i="57"/>
  <c r="J7" i="55"/>
  <c r="N13" i="55"/>
  <c r="T127" i="59"/>
  <c r="P40" i="59"/>
  <c r="T70" i="59"/>
  <c r="R40" i="59"/>
  <c r="P43" i="59"/>
  <c r="N73" i="59"/>
  <c r="V165" i="59"/>
  <c r="V137" i="59"/>
  <c r="J76" i="58"/>
  <c r="N73" i="58"/>
  <c r="N70" i="58"/>
  <c r="R67" i="58"/>
  <c r="R13" i="58"/>
  <c r="V39" i="58"/>
  <c r="V99" i="58"/>
  <c r="T223" i="57"/>
  <c r="V38" i="57"/>
  <c r="V69" i="57"/>
  <c r="V225" i="57"/>
  <c r="V248" i="57"/>
  <c r="V47" i="57"/>
  <c r="V9" i="57"/>
  <c r="L7" i="55"/>
  <c r="V69" i="55"/>
  <c r="V129" i="55"/>
  <c r="V164" i="55"/>
  <c r="V105" i="55"/>
  <c r="V197" i="55"/>
  <c r="V191" i="55"/>
  <c r="V249" i="55"/>
  <c r="V281" i="55"/>
  <c r="V228" i="55"/>
  <c r="V224" i="55"/>
  <c r="V225" i="55"/>
  <c r="V18" i="53"/>
  <c r="V8" i="53"/>
  <c r="H277" i="58"/>
  <c r="N221" i="58"/>
  <c r="R226" i="55"/>
  <c r="H220" i="59"/>
  <c r="H226" i="58"/>
  <c r="H223" i="58"/>
  <c r="H160" i="55"/>
  <c r="P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V16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N98" i="57"/>
  <c r="H163" i="57"/>
  <c r="J169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P221" i="58"/>
  <c r="J223" i="58"/>
  <c r="T226" i="55"/>
  <c r="J220" i="59"/>
  <c r="J169" i="59"/>
  <c r="J160" i="55"/>
  <c r="L169" i="58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J97" i="58"/>
  <c r="N76" i="58"/>
  <c r="H79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V247" i="57"/>
  <c r="J247" i="57"/>
  <c r="J16" i="57"/>
  <c r="J217" i="57"/>
  <c r="J199" i="57"/>
  <c r="J133" i="57"/>
  <c r="J13" i="57"/>
  <c r="J130" i="57"/>
  <c r="L187" i="57"/>
  <c r="L76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J157" i="55"/>
  <c r="J187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9" i="55"/>
  <c r="L103" i="57"/>
  <c r="L106" i="59"/>
  <c r="L106" i="57"/>
  <c r="R46" i="55"/>
  <c r="R43" i="55"/>
  <c r="L40" i="55"/>
  <c r="L43" i="59"/>
  <c r="L46" i="57"/>
  <c r="P11" i="55"/>
  <c r="N19" i="58"/>
  <c r="L16" i="55"/>
  <c r="L10" i="57"/>
  <c r="T13" i="55"/>
  <c r="N7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J79" i="58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N229" i="58"/>
  <c r="L217" i="58"/>
  <c r="L43" i="58"/>
  <c r="J139" i="58"/>
  <c r="V103" i="58"/>
  <c r="N103" i="58"/>
  <c r="L196" i="58"/>
  <c r="L280" i="58"/>
  <c r="N130" i="58"/>
  <c r="P76" i="58"/>
  <c r="L67" i="58"/>
  <c r="J28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J139" i="57"/>
  <c r="L43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L166" i="55"/>
  <c r="L97" i="55"/>
  <c r="L130" i="55"/>
  <c r="L106" i="55"/>
  <c r="L37" i="55"/>
  <c r="L73" i="55"/>
  <c r="L223" i="55"/>
  <c r="N289" i="55"/>
  <c r="T221" i="58"/>
  <c r="N220" i="59"/>
  <c r="N169" i="55"/>
  <c r="N160" i="55"/>
  <c r="T97" i="59"/>
  <c r="N103" i="57"/>
  <c r="N106" i="57"/>
  <c r="N106" i="59"/>
  <c r="T46" i="55"/>
  <c r="T43" i="55"/>
  <c r="N40" i="55"/>
  <c r="N49" i="57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7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L139" i="57"/>
  <c r="N13" i="57"/>
  <c r="L259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89" i="58"/>
  <c r="P220" i="59"/>
  <c r="P169" i="59"/>
  <c r="R169" i="58"/>
  <c r="P160" i="55"/>
  <c r="P109" i="57"/>
  <c r="P106" i="59"/>
  <c r="P103" i="57"/>
  <c r="P106" i="57"/>
  <c r="P49" i="58"/>
  <c r="P40" i="55"/>
  <c r="P46" i="57"/>
  <c r="T11" i="55"/>
  <c r="P19" i="57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P256" i="59"/>
  <c r="R100" i="59"/>
  <c r="P226" i="59"/>
  <c r="P193" i="59"/>
  <c r="P10" i="59"/>
  <c r="P13" i="59"/>
  <c r="P190" i="59"/>
  <c r="R217" i="59"/>
  <c r="N79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P169" i="58"/>
  <c r="P46" i="58"/>
  <c r="R100" i="58"/>
  <c r="P190" i="58"/>
  <c r="P37" i="58"/>
  <c r="N139" i="58"/>
  <c r="P217" i="58"/>
  <c r="R226" i="58"/>
  <c r="N79" i="58"/>
  <c r="R49" i="58"/>
  <c r="P43" i="58"/>
  <c r="R163" i="58"/>
  <c r="P196" i="58"/>
  <c r="R160" i="58"/>
  <c r="P286" i="58"/>
  <c r="T187" i="58"/>
  <c r="R40" i="58"/>
  <c r="P127" i="58"/>
  <c r="P199" i="57"/>
  <c r="P223" i="57"/>
  <c r="P13" i="57"/>
  <c r="P67" i="57"/>
  <c r="P127" i="57"/>
  <c r="P100" i="57"/>
  <c r="N19" i="57"/>
  <c r="P70" i="57"/>
  <c r="P226" i="57"/>
  <c r="P163" i="57"/>
  <c r="P250" i="57"/>
  <c r="P73" i="57"/>
  <c r="P133" i="57"/>
  <c r="R187" i="57"/>
  <c r="P217" i="57"/>
  <c r="P16" i="57"/>
  <c r="P190" i="57"/>
  <c r="P40" i="57"/>
  <c r="P43" i="57"/>
  <c r="P130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V73" i="57"/>
  <c r="R163" i="55"/>
  <c r="P199" i="55"/>
  <c r="R166" i="55"/>
  <c r="R187" i="55"/>
  <c r="R277" i="55"/>
  <c r="R37" i="55"/>
  <c r="R73" i="55"/>
  <c r="R193" i="55"/>
  <c r="R130" i="55"/>
  <c r="R100" i="55"/>
  <c r="R106" i="55"/>
  <c r="R223" i="55"/>
  <c r="R136" i="55"/>
  <c r="R103" i="55"/>
  <c r="R286" i="55"/>
  <c r="R157" i="55"/>
  <c r="R280" i="55"/>
  <c r="R217" i="55"/>
  <c r="R133" i="55"/>
  <c r="V226" i="57"/>
  <c r="T160" i="55"/>
  <c r="T106" i="57"/>
  <c r="T106" i="59"/>
  <c r="T40" i="55"/>
  <c r="T46" i="57"/>
  <c r="T16" i="55"/>
  <c r="T223" i="59"/>
  <c r="T16" i="59"/>
  <c r="T76" i="59"/>
  <c r="T193" i="59"/>
  <c r="T46" i="59"/>
  <c r="T256" i="59"/>
  <c r="T37" i="59"/>
  <c r="T283" i="59"/>
  <c r="T187" i="59"/>
  <c r="T226" i="59"/>
  <c r="T166" i="59"/>
  <c r="T13" i="59"/>
  <c r="T253" i="59"/>
  <c r="R199" i="59"/>
  <c r="T136" i="59"/>
  <c r="T190" i="59"/>
  <c r="T163" i="59"/>
  <c r="T7" i="59"/>
  <c r="T286" i="59"/>
  <c r="R199" i="58"/>
  <c r="T46" i="58"/>
  <c r="T127" i="58"/>
  <c r="T193" i="58"/>
  <c r="T43" i="58"/>
  <c r="T196" i="58"/>
  <c r="T217" i="58"/>
  <c r="T286" i="58"/>
  <c r="T136" i="58"/>
  <c r="T280" i="58"/>
  <c r="T43" i="57"/>
  <c r="T70" i="57"/>
  <c r="T190" i="57"/>
  <c r="T226" i="57"/>
  <c r="T16" i="57"/>
  <c r="T100" i="57"/>
  <c r="T163" i="57"/>
  <c r="T13" i="57"/>
  <c r="T133" i="57"/>
  <c r="V133" i="57"/>
  <c r="T130" i="57"/>
  <c r="T40" i="57"/>
  <c r="T127" i="57"/>
  <c r="T73" i="57"/>
  <c r="V43" i="57"/>
  <c r="T136" i="55"/>
  <c r="T106" i="55"/>
  <c r="T193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T229" i="57"/>
  <c r="AI23" i="59"/>
  <c r="J23" i="59" s="1"/>
  <c r="J22" i="59"/>
  <c r="P232" i="59"/>
  <c r="AO233" i="59"/>
  <c r="P233" i="59" s="1"/>
  <c r="L19" i="57"/>
  <c r="F109" i="57"/>
  <c r="V70" i="55"/>
  <c r="V104" i="59"/>
  <c r="V132" i="58"/>
  <c r="V197" i="58"/>
  <c r="V107" i="57"/>
  <c r="V134" i="57"/>
  <c r="V138" i="57"/>
  <c r="V159" i="57"/>
  <c r="V166" i="57"/>
  <c r="V98" i="59"/>
  <c r="V285" i="59"/>
  <c r="B32" i="45"/>
  <c r="V136" i="52"/>
  <c r="AI53" i="59"/>
  <c r="J53" i="59" s="1"/>
  <c r="AS203" i="53"/>
  <c r="T203" i="53" s="1"/>
  <c r="T202" i="53"/>
  <c r="AK203" i="53"/>
  <c r="L203" i="53" s="1"/>
  <c r="L202" i="53"/>
  <c r="R172" i="53"/>
  <c r="F172" i="57"/>
  <c r="AO23" i="58"/>
  <c r="P23" i="58" s="1"/>
  <c r="D82" i="58"/>
  <c r="AC83" i="58"/>
  <c r="D83" i="58" s="1"/>
  <c r="J112" i="55"/>
  <c r="AS203" i="55"/>
  <c r="T203" i="55" s="1"/>
  <c r="T202" i="55"/>
  <c r="AI263" i="57"/>
  <c r="J263" i="57" s="1"/>
  <c r="D142" i="58"/>
  <c r="AI233" i="58"/>
  <c r="J233" i="58" s="1"/>
  <c r="AE293" i="58"/>
  <c r="F293" i="58" s="1"/>
  <c r="J52" i="53"/>
  <c r="AM203" i="57"/>
  <c r="N203" i="57" s="1"/>
  <c r="AK113" i="53"/>
  <c r="L113" i="53" s="1"/>
  <c r="V193" i="59"/>
  <c r="V217" i="58"/>
  <c r="V217" i="57"/>
  <c r="P289" i="59"/>
  <c r="H232" i="57"/>
  <c r="V71" i="58"/>
  <c r="AS83" i="58"/>
  <c r="T83" i="58" s="1"/>
  <c r="V194" i="58"/>
  <c r="T82" i="58"/>
  <c r="AC85" i="52"/>
  <c r="D85" i="52" s="1"/>
  <c r="V101" i="57"/>
  <c r="V284" i="57"/>
  <c r="V77" i="58"/>
  <c r="V131" i="58"/>
  <c r="R262" i="52"/>
  <c r="V162" i="57"/>
  <c r="AG175" i="52"/>
  <c r="AG178" i="52"/>
  <c r="AG176" i="52"/>
  <c r="H176" i="52" s="1"/>
  <c r="V159" i="59"/>
  <c r="B60" i="46"/>
  <c r="F80" i="46" s="1"/>
  <c r="F81" i="46" s="1"/>
  <c r="V158" i="52"/>
  <c r="V70" i="57"/>
  <c r="V40" i="57"/>
  <c r="V130" i="58"/>
  <c r="R229" i="58"/>
  <c r="V280" i="55"/>
  <c r="V223" i="57"/>
  <c r="V157" i="58"/>
  <c r="V253" i="57"/>
  <c r="V222" i="57"/>
  <c r="V228" i="57"/>
  <c r="V164" i="57"/>
  <c r="V98" i="55"/>
  <c r="V162" i="58"/>
  <c r="V283" i="57"/>
  <c r="V278" i="58"/>
  <c r="V279" i="59"/>
  <c r="V257" i="58"/>
  <c r="V258" i="57"/>
  <c r="V251" i="58"/>
  <c r="V284" i="59"/>
  <c r="V198" i="59"/>
  <c r="V226" i="58"/>
  <c r="V43" i="55"/>
  <c r="V16" i="57"/>
  <c r="V190" i="57"/>
  <c r="L229" i="57"/>
  <c r="V100" i="59"/>
  <c r="V257" i="57"/>
  <c r="V258" i="55"/>
  <c r="V168" i="57"/>
  <c r="V78" i="59"/>
  <c r="V134" i="59"/>
  <c r="V192" i="59"/>
  <c r="D51" i="45"/>
  <c r="D52" i="45" s="1"/>
  <c r="L51" i="46"/>
  <c r="L52" i="46" s="1"/>
  <c r="N51" i="50"/>
  <c r="N52" i="50" s="1"/>
  <c r="B60" i="50"/>
  <c r="R80" i="50" s="1"/>
  <c r="R81" i="50" s="1"/>
  <c r="F51" i="45"/>
  <c r="F52" i="45" s="1"/>
  <c r="N51" i="46"/>
  <c r="N52" i="46" s="1"/>
  <c r="P51" i="50"/>
  <c r="P52" i="50" s="1"/>
  <c r="H51" i="45"/>
  <c r="H52" i="45" s="1"/>
  <c r="P51" i="46"/>
  <c r="P52" i="46" s="1"/>
  <c r="R51" i="50"/>
  <c r="R52" i="50" s="1"/>
  <c r="J51" i="45"/>
  <c r="J52" i="45" s="1"/>
  <c r="R51" i="46"/>
  <c r="R52" i="46" s="1"/>
  <c r="T51" i="50"/>
  <c r="T52" i="50" s="1"/>
  <c r="T51" i="46"/>
  <c r="T52" i="46" s="1"/>
  <c r="N51" i="45"/>
  <c r="N52" i="45" s="1"/>
  <c r="F51" i="49"/>
  <c r="F52" i="49" s="1"/>
  <c r="P51" i="51"/>
  <c r="P52" i="51" s="1"/>
  <c r="N51" i="49"/>
  <c r="N52" i="49" s="1"/>
  <c r="D51" i="46"/>
  <c r="D52" i="46" s="1"/>
  <c r="R51" i="49"/>
  <c r="R52" i="49" s="1"/>
  <c r="F51" i="50"/>
  <c r="F52" i="50" s="1"/>
  <c r="F51" i="46"/>
  <c r="F52" i="46" s="1"/>
  <c r="H51" i="50"/>
  <c r="H52" i="50" s="1"/>
  <c r="H51" i="46"/>
  <c r="H52" i="46" s="1"/>
  <c r="J51" i="50"/>
  <c r="J52" i="50" s="1"/>
  <c r="AU109" i="53"/>
  <c r="BB110" i="53" s="1"/>
  <c r="V13" i="58"/>
  <c r="V253" i="59"/>
  <c r="V12" i="57"/>
  <c r="V164" i="58"/>
  <c r="V248" i="55"/>
  <c r="V105" i="57"/>
  <c r="V161" i="58"/>
  <c r="V287" i="55"/>
  <c r="AK53" i="53"/>
  <c r="L53" i="53" s="1"/>
  <c r="H51" i="49"/>
  <c r="H52" i="49" s="1"/>
  <c r="J51" i="49"/>
  <c r="J52" i="49" s="1"/>
  <c r="B32" i="50"/>
  <c r="B32" i="46"/>
  <c r="B32" i="49"/>
  <c r="L51" i="50"/>
  <c r="L52" i="50" s="1"/>
  <c r="L51" i="45"/>
  <c r="L52" i="45" s="1"/>
  <c r="B60" i="45"/>
  <c r="P51" i="45"/>
  <c r="P52" i="45" s="1"/>
  <c r="T51" i="45"/>
  <c r="T52" i="45" s="1"/>
  <c r="V41" i="55"/>
  <c r="V100" i="58"/>
  <c r="V163" i="57"/>
  <c r="V98" i="57"/>
  <c r="V97" i="58"/>
  <c r="V13" i="57"/>
  <c r="D202" i="53"/>
  <c r="H112" i="53"/>
  <c r="V164" i="59"/>
  <c r="V159" i="53"/>
  <c r="AA194" i="52"/>
  <c r="B194" i="52" s="1"/>
  <c r="V138" i="59"/>
  <c r="D51" i="51"/>
  <c r="D52" i="51" s="1"/>
  <c r="R51" i="51"/>
  <c r="R52" i="51" s="1"/>
  <c r="BG12" i="59"/>
  <c r="BW70" i="59"/>
  <c r="BW78" i="59"/>
  <c r="BG129" i="59"/>
  <c r="BW164" i="59"/>
  <c r="BW99" i="59"/>
  <c r="BG104" i="59"/>
  <c r="BG135" i="59"/>
  <c r="BS138" i="59"/>
  <c r="BF138" i="59"/>
  <c r="BG159" i="59"/>
  <c r="BS12" i="59"/>
  <c r="BF75" i="59"/>
  <c r="BW104" i="59"/>
  <c r="BS159" i="59"/>
  <c r="BS98" i="59"/>
  <c r="BW138" i="59"/>
  <c r="BG72" i="59"/>
  <c r="BX135" i="59"/>
  <c r="BX138" i="59"/>
  <c r="BF99" i="59"/>
  <c r="BF15" i="59"/>
  <c r="BW222" i="59"/>
  <c r="BX224" i="59"/>
  <c r="BS188" i="59"/>
  <c r="BX198" i="59"/>
  <c r="BF198" i="59"/>
  <c r="BW198" i="59"/>
  <c r="BX222" i="59"/>
  <c r="BS248" i="59"/>
  <c r="BX279" i="59"/>
  <c r="BG221" i="59"/>
  <c r="BS227" i="59"/>
  <c r="BG224" i="59"/>
  <c r="BS224" i="59"/>
  <c r="BW248" i="59"/>
  <c r="BF279" i="59"/>
  <c r="BG282" i="59"/>
  <c r="BF285" i="59"/>
  <c r="BG222" i="59"/>
  <c r="BG279" i="59"/>
  <c r="BF282" i="59"/>
  <c r="BW282" i="59"/>
  <c r="BS285" i="59"/>
  <c r="BX288" i="59"/>
  <c r="BS288" i="59"/>
  <c r="BG288" i="59"/>
  <c r="BW227" i="59"/>
  <c r="BS279" i="59"/>
  <c r="BW224" i="59"/>
  <c r="BW251" i="59"/>
  <c r="BF277" i="59"/>
  <c r="BG68" i="58"/>
  <c r="BS100" i="58"/>
  <c r="BX105" i="58"/>
  <c r="BF102" i="58"/>
  <c r="BW131" i="58"/>
  <c r="BX225" i="58"/>
  <c r="BX228" i="58"/>
  <c r="BG162" i="58"/>
  <c r="BX165" i="58"/>
  <c r="BX191" i="58"/>
  <c r="BF278" i="58"/>
  <c r="BW283" i="58"/>
  <c r="BX283" i="58"/>
  <c r="BF283" i="58"/>
  <c r="BX162" i="58"/>
  <c r="BS225" i="58"/>
  <c r="BG225" i="58"/>
  <c r="BW225" i="58"/>
  <c r="BF249" i="58"/>
  <c r="BF257" i="58"/>
  <c r="BF254" i="58"/>
  <c r="BG257" i="58"/>
  <c r="BS283" i="58"/>
  <c r="BW220" i="58"/>
  <c r="BW228" i="58"/>
  <c r="BX48" i="57"/>
  <c r="BW135" i="57"/>
  <c r="BS75" i="57"/>
  <c r="BS74" i="57"/>
  <c r="BG77" i="57"/>
  <c r="BF43" i="57"/>
  <c r="BW74" i="57"/>
  <c r="BG9" i="57"/>
  <c r="BS45" i="57"/>
  <c r="BX98" i="57"/>
  <c r="BS108" i="57"/>
  <c r="BG127" i="57"/>
  <c r="BS161" i="57"/>
  <c r="BX108" i="57"/>
  <c r="BF198" i="57"/>
  <c r="BW161" i="57"/>
  <c r="BX218" i="57"/>
  <c r="BW192" i="57"/>
  <c r="BG221" i="57"/>
  <c r="BS158" i="57"/>
  <c r="BS134" i="57"/>
  <c r="BW258" i="57"/>
  <c r="BW218" i="57"/>
  <c r="BG188" i="55"/>
  <c r="BX38" i="55"/>
  <c r="BW188" i="55"/>
  <c r="BX282" i="55"/>
  <c r="BW219" i="55"/>
  <c r="BX225" i="55"/>
  <c r="BS285" i="55"/>
  <c r="BS282" i="55"/>
  <c r="BW282" i="55"/>
  <c r="BW39" i="53"/>
  <c r="BG48" i="53"/>
  <c r="BF39" i="53"/>
  <c r="BG42" i="53"/>
  <c r="BX47" i="53"/>
  <c r="BF189" i="53"/>
  <c r="BF16" i="53"/>
  <c r="BX71" i="53"/>
  <c r="BX165" i="53"/>
  <c r="BS165" i="53"/>
  <c r="BX78" i="53"/>
  <c r="BW102" i="53"/>
  <c r="BW249" i="53"/>
  <c r="BX102" i="53"/>
  <c r="BX197" i="53"/>
  <c r="BS194" i="53"/>
  <c r="BW134" i="53"/>
  <c r="BF157" i="53"/>
  <c r="BW226" i="53"/>
  <c r="BS255" i="53"/>
  <c r="BS283" i="53"/>
  <c r="BW220" i="53"/>
  <c r="BF278" i="53"/>
  <c r="BW283" i="53"/>
  <c r="BG258" i="52"/>
  <c r="BG195" i="52"/>
  <c r="AO263" i="52"/>
  <c r="P263" i="52" s="1"/>
  <c r="N292" i="52"/>
  <c r="BF10" i="52"/>
  <c r="AC23" i="52"/>
  <c r="D23" i="52" s="1"/>
  <c r="H79" i="52"/>
  <c r="V41" i="52"/>
  <c r="V101" i="52"/>
  <c r="V135" i="52"/>
  <c r="BE135" i="52"/>
  <c r="BE161" i="52"/>
  <c r="BX69" i="52"/>
  <c r="BS8" i="52"/>
  <c r="BF158" i="52"/>
  <c r="BW168" i="52"/>
  <c r="BW129" i="52"/>
  <c r="BG129" i="52"/>
  <c r="BW72" i="52"/>
  <c r="F199" i="58"/>
  <c r="AC293" i="58"/>
  <c r="D293" i="58" s="1"/>
  <c r="T22" i="55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D232" i="55"/>
  <c r="AC233" i="55"/>
  <c r="D233" i="55" s="1"/>
  <c r="L232" i="53"/>
  <c r="BE194" i="52"/>
  <c r="V194" i="52"/>
  <c r="AI113" i="55"/>
  <c r="J113" i="55" s="1"/>
  <c r="V228" i="52"/>
  <c r="AQ173" i="57"/>
  <c r="R173" i="57" s="1"/>
  <c r="AK233" i="53"/>
  <c r="L233" i="53" s="1"/>
  <c r="T172" i="57"/>
  <c r="AS173" i="57"/>
  <c r="T173" i="57" s="1"/>
  <c r="AD214" i="55"/>
  <c r="AI265" i="58"/>
  <c r="AS173" i="59"/>
  <c r="T173" i="59" s="1"/>
  <c r="AS83" i="57"/>
  <c r="T83" i="57" s="1"/>
  <c r="F112" i="59"/>
  <c r="AA8" i="53"/>
  <c r="B8" i="53" s="1"/>
  <c r="AA7" i="52"/>
  <c r="T82" i="55"/>
  <c r="AK23" i="58"/>
  <c r="L23" i="58" s="1"/>
  <c r="L22" i="58"/>
  <c r="R202" i="58"/>
  <c r="P229" i="53"/>
  <c r="L52" i="55"/>
  <c r="J292" i="57"/>
  <c r="AI293" i="57"/>
  <c r="J293" i="57" s="1"/>
  <c r="J172" i="53"/>
  <c r="AE83" i="55"/>
  <c r="F83" i="55" s="1"/>
  <c r="F172" i="55"/>
  <c r="B3" i="57"/>
  <c r="AO293" i="58"/>
  <c r="P293" i="58" s="1"/>
  <c r="P292" i="58"/>
  <c r="AS55" i="59"/>
  <c r="AG146" i="59"/>
  <c r="AH130" i="59" s="1"/>
  <c r="I130" i="59" s="1"/>
  <c r="AG145" i="59"/>
  <c r="H145" i="59" s="1"/>
  <c r="AG143" i="59"/>
  <c r="H143" i="59" s="1"/>
  <c r="F49" i="53"/>
  <c r="R82" i="59"/>
  <c r="AC53" i="53"/>
  <c r="D53" i="53" s="1"/>
  <c r="D52" i="53"/>
  <c r="AG148" i="59"/>
  <c r="H148" i="59" s="1"/>
  <c r="AD154" i="59"/>
  <c r="AE173" i="55"/>
  <c r="F173" i="55" s="1"/>
  <c r="AE293" i="52"/>
  <c r="F293" i="52" s="1"/>
  <c r="AI113" i="57"/>
  <c r="J113" i="57" s="1"/>
  <c r="T292" i="59"/>
  <c r="AA221" i="55"/>
  <c r="B221" i="55" s="1"/>
  <c r="AH4" i="53"/>
  <c r="I4" i="45"/>
  <c r="AH244" i="58"/>
  <c r="BE11" i="53"/>
  <c r="V11" i="53"/>
  <c r="BE217" i="53"/>
  <c r="V217" i="53"/>
  <c r="L202" i="57"/>
  <c r="F172" i="53"/>
  <c r="AM148" i="53"/>
  <c r="AN136" i="53" s="1"/>
  <c r="O136" i="53" s="1"/>
  <c r="AM147" i="53"/>
  <c r="N147" i="53" s="1"/>
  <c r="AK23" i="53"/>
  <c r="L23" i="53" s="1"/>
  <c r="BW68" i="53"/>
  <c r="AE267" i="57"/>
  <c r="AF253" i="57" s="1"/>
  <c r="G253" i="57" s="1"/>
  <c r="AE265" i="57"/>
  <c r="AF247" i="57" s="1"/>
  <c r="AE266" i="57"/>
  <c r="F266" i="57" s="1"/>
  <c r="AE268" i="57"/>
  <c r="AF256" i="57" s="1"/>
  <c r="AM55" i="57"/>
  <c r="N55" i="57" s="1"/>
  <c r="AM56" i="57"/>
  <c r="AN40" i="57" s="1"/>
  <c r="O40" i="57" s="1"/>
  <c r="AM58" i="57"/>
  <c r="AN46" i="57" s="1"/>
  <c r="O46" i="57" s="1"/>
  <c r="AM57" i="57"/>
  <c r="N57" i="57" s="1"/>
  <c r="AG116" i="53"/>
  <c r="H116" i="53" s="1"/>
  <c r="CB13" i="16"/>
  <c r="AR244" i="57" s="1"/>
  <c r="CA11" i="16"/>
  <c r="AP184" i="57" s="1"/>
  <c r="AA72" i="55"/>
  <c r="B72" i="55" s="1"/>
  <c r="AA67" i="53"/>
  <c r="B67" i="53" s="1"/>
  <c r="BS98" i="57"/>
  <c r="AC147" i="55"/>
  <c r="AD133" i="55" s="1"/>
  <c r="E133" i="55" s="1"/>
  <c r="AC148" i="55"/>
  <c r="AD136" i="55" s="1"/>
  <c r="E136" i="55" s="1"/>
  <c r="AK178" i="55"/>
  <c r="L178" i="55" s="1"/>
  <c r="AO206" i="55"/>
  <c r="AP190" i="55" s="1"/>
  <c r="Q190" i="55" s="1"/>
  <c r="AO205" i="55"/>
  <c r="P205" i="55" s="1"/>
  <c r="F2" i="59"/>
  <c r="AE83" i="59"/>
  <c r="F83" i="59" s="1"/>
  <c r="H232" i="53"/>
  <c r="AA187" i="52"/>
  <c r="B187" i="52" s="1"/>
  <c r="AA187" i="53"/>
  <c r="B187" i="53" s="1"/>
  <c r="AA187" i="55"/>
  <c r="B187" i="55" s="1"/>
  <c r="BY6" i="16"/>
  <c r="CC8" i="16"/>
  <c r="AT94" i="57" s="1"/>
  <c r="BZ10" i="16"/>
  <c r="AN154" i="57" s="1"/>
  <c r="CC11" i="16"/>
  <c r="BX14" i="16"/>
  <c r="AJ274" i="57" s="1"/>
  <c r="CB5" i="16"/>
  <c r="BZ6" i="16"/>
  <c r="CB7" i="16"/>
  <c r="BU9" i="16"/>
  <c r="CA10" i="16"/>
  <c r="AP154" i="57" s="1"/>
  <c r="BV13" i="16"/>
  <c r="AF244" i="57" s="1"/>
  <c r="CA6" i="16"/>
  <c r="CC7" i="16"/>
  <c r="CB10" i="16"/>
  <c r="AR154" i="57" s="1"/>
  <c r="BU12" i="16"/>
  <c r="AD214" i="57" s="1"/>
  <c r="BW13" i="16"/>
  <c r="BY14" i="16"/>
  <c r="AL274" i="57" s="1"/>
  <c r="CC5" i="16"/>
  <c r="AT4" i="57" s="1"/>
  <c r="CB6" i="16"/>
  <c r="BV9" i="16"/>
  <c r="AF124" i="57" s="1"/>
  <c r="CC10" i="16"/>
  <c r="AT154" i="57" s="1"/>
  <c r="BV12" i="16"/>
  <c r="BX13" i="16"/>
  <c r="BZ14" i="16"/>
  <c r="AN274" i="57" s="1"/>
  <c r="BU5" i="16"/>
  <c r="E4" i="49" s="1"/>
  <c r="CC6" i="16"/>
  <c r="BV8" i="16"/>
  <c r="AF94" i="57" s="1"/>
  <c r="BX9" i="16"/>
  <c r="AJ124" i="57" s="1"/>
  <c r="BW12" i="16"/>
  <c r="CA14" i="16"/>
  <c r="BU6" i="16"/>
  <c r="AD34" i="57" s="1"/>
  <c r="BY8" i="16"/>
  <c r="AL94" i="57" s="1"/>
  <c r="CC9" i="16"/>
  <c r="AT124" i="57" s="1"/>
  <c r="BY11" i="16"/>
  <c r="AL184" i="57"/>
  <c r="CC13" i="16"/>
  <c r="BW5" i="16"/>
  <c r="AH4" i="57" s="1"/>
  <c r="BV6" i="16"/>
  <c r="AF34" i="57" s="1"/>
  <c r="BX7" i="16"/>
  <c r="BZ8" i="16"/>
  <c r="AN94" i="57" s="1"/>
  <c r="BU10" i="16"/>
  <c r="AD154" i="57" s="1"/>
  <c r="CA12" i="16"/>
  <c r="AP214" i="57" s="1"/>
  <c r="BX5" i="16"/>
  <c r="AJ4" i="57" s="1"/>
  <c r="AK177" i="57"/>
  <c r="L177" i="57" s="1"/>
  <c r="AK176" i="57"/>
  <c r="L176" i="57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BE8" i="16"/>
  <c r="BA11" i="16"/>
  <c r="BC12" i="16"/>
  <c r="AH214" i="55" s="1"/>
  <c r="BG14" i="16"/>
  <c r="AP274" i="55"/>
  <c r="BF8" i="16"/>
  <c r="AN94" i="55" s="1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AP244" i="55" s="1"/>
  <c r="BB6" i="16"/>
  <c r="AF34" i="55" s="1"/>
  <c r="BH8" i="16"/>
  <c r="AR94" i="55"/>
  <c r="BA10" i="16"/>
  <c r="AD154" i="55" s="1"/>
  <c r="BD11" i="16"/>
  <c r="AJ184" i="55" s="1"/>
  <c r="BF12" i="16"/>
  <c r="AN214" i="55" s="1"/>
  <c r="BH13" i="16"/>
  <c r="AR244" i="55" s="1"/>
  <c r="BB5" i="16"/>
  <c r="BF6" i="16"/>
  <c r="AN34" i="55" s="1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 s="1"/>
  <c r="BF10" i="16"/>
  <c r="AN154" i="55" s="1"/>
  <c r="BH11" i="16"/>
  <c r="AR184" i="55" s="1"/>
  <c r="BA13" i="16"/>
  <c r="AD244" i="55" s="1"/>
  <c r="BC14" i="16"/>
  <c r="BH5" i="16"/>
  <c r="S4" i="46" s="1"/>
  <c r="AL7" i="16"/>
  <c r="AJ9" i="16"/>
  <c r="AH11" i="16"/>
  <c r="AO12" i="16"/>
  <c r="AM14" i="16"/>
  <c r="AI6" i="16"/>
  <c r="AH34" i="53" s="1"/>
  <c r="AM7" i="16"/>
  <c r="AK9" i="16"/>
  <c r="AI11" i="16"/>
  <c r="AG13" i="16"/>
  <c r="AN14" i="16"/>
  <c r="AJ6" i="16"/>
  <c r="K33" i="45" s="1"/>
  <c r="AN7" i="16"/>
  <c r="AL9" i="16"/>
  <c r="AJ11" i="16"/>
  <c r="AH13" i="16"/>
  <c r="AO14" i="16"/>
  <c r="AO7" i="16"/>
  <c r="AM9" i="16"/>
  <c r="AK11" i="16"/>
  <c r="AI13" i="16"/>
  <c r="AH5" i="16"/>
  <c r="AF4" i="53" s="1"/>
  <c r="AH8" i="16"/>
  <c r="AO9" i="16"/>
  <c r="AM11" i="16"/>
  <c r="AK13" i="16"/>
  <c r="AJ5" i="16"/>
  <c r="AO6" i="16"/>
  <c r="AT34" i="53" s="1"/>
  <c r="AM8" i="16"/>
  <c r="AK10" i="16"/>
  <c r="AI12" i="16"/>
  <c r="AG14" i="16"/>
  <c r="AO5" i="16"/>
  <c r="AG7" i="16"/>
  <c r="AN8" i="16"/>
  <c r="AL10" i="16"/>
  <c r="AJ12" i="16"/>
  <c r="AH14" i="16"/>
  <c r="AG5" i="16"/>
  <c r="AD4" i="53" s="1"/>
  <c r="AC295" i="57"/>
  <c r="AC298" i="57"/>
  <c r="AD286" i="57" s="1"/>
  <c r="E286" i="57" s="1"/>
  <c r="H292" i="53"/>
  <c r="BZ5" i="16"/>
  <c r="BU13" i="16"/>
  <c r="AD244" i="57" s="1"/>
  <c r="BV11" i="16"/>
  <c r="AF184" i="57" s="1"/>
  <c r="BX8" i="16"/>
  <c r="AG118" i="53"/>
  <c r="H118" i="53" s="1"/>
  <c r="AM86" i="58"/>
  <c r="A2" i="68"/>
  <c r="R142" i="53"/>
  <c r="AO296" i="59"/>
  <c r="AP280" i="59" s="1"/>
  <c r="BS224" i="52"/>
  <c r="AC58" i="58"/>
  <c r="AC55" i="58"/>
  <c r="AD37" i="58" s="1"/>
  <c r="V128" i="58"/>
  <c r="AC57" i="58"/>
  <c r="AD43" i="58" s="1"/>
  <c r="E43" i="58" s="1"/>
  <c r="BS8" i="53"/>
  <c r="BG284" i="53"/>
  <c r="BG248" i="59"/>
  <c r="BX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AQ265" i="53"/>
  <c r="BF132" i="52"/>
  <c r="BS45" i="53"/>
  <c r="BX252" i="57"/>
  <c r="AK115" i="58"/>
  <c r="AL97" i="58" s="1"/>
  <c r="M97" i="58" s="1"/>
  <c r="AQ177" i="59"/>
  <c r="AQ176" i="59"/>
  <c r="R176" i="59" s="1"/>
  <c r="AI205" i="53"/>
  <c r="BX39" i="53"/>
  <c r="AO175" i="53"/>
  <c r="BF288" i="52"/>
  <c r="AM265" i="59"/>
  <c r="AN247" i="59" s="1"/>
  <c r="O247" i="59" s="1"/>
  <c r="BS279" i="52"/>
  <c r="BG165" i="55"/>
  <c r="BW219" i="59"/>
  <c r="BF219" i="59"/>
  <c r="BG219" i="59"/>
  <c r="BX219" i="59"/>
  <c r="BX68" i="53"/>
  <c r="BW157" i="53"/>
  <c r="BX77" i="57"/>
  <c r="BS162" i="58"/>
  <c r="BG198" i="59"/>
  <c r="BW288" i="55"/>
  <c r="BG67" i="57"/>
  <c r="BG102" i="55"/>
  <c r="BG47" i="53"/>
  <c r="BF188" i="55"/>
  <c r="BG194" i="53"/>
  <c r="BX219" i="57"/>
  <c r="BW47" i="53"/>
  <c r="BS40" i="53"/>
  <c r="BG40" i="53"/>
  <c r="BF100" i="53"/>
  <c r="V221" i="52"/>
  <c r="BE281" i="52"/>
  <c r="BF100" i="58"/>
  <c r="BF283" i="53"/>
  <c r="BS41" i="55"/>
  <c r="BG138" i="59"/>
  <c r="BS10" i="58"/>
  <c r="BS16" i="53"/>
  <c r="BG278" i="53"/>
  <c r="BG75" i="57"/>
  <c r="BS78" i="57"/>
  <c r="BW128" i="58"/>
  <c r="BS228" i="53"/>
  <c r="BG282" i="55"/>
  <c r="BG100" i="57"/>
  <c r="BW137" i="57"/>
  <c r="BW68" i="58"/>
  <c r="BG43" i="57"/>
  <c r="BS39" i="53"/>
  <c r="BF225" i="58"/>
  <c r="BG134" i="59"/>
  <c r="BS97" i="58"/>
  <c r="BW72" i="53"/>
  <c r="BG258" i="57"/>
  <c r="BX100" i="58"/>
  <c r="BF165" i="58"/>
  <c r="BS72" i="59"/>
  <c r="BF72" i="59"/>
  <c r="BG219" i="55"/>
  <c r="BW287" i="55"/>
  <c r="BS69" i="57"/>
  <c r="BG70" i="58"/>
  <c r="BG101" i="57"/>
  <c r="BF220" i="58"/>
  <c r="BX159" i="59"/>
  <c r="BF159" i="59"/>
  <c r="BF101" i="57"/>
  <c r="BG75" i="59"/>
  <c r="BG258" i="58"/>
  <c r="BG195" i="59"/>
  <c r="BX68" i="58"/>
  <c r="BF228" i="58"/>
  <c r="BW15" i="59"/>
  <c r="BX15" i="59"/>
  <c r="BS105" i="59"/>
  <c r="BF191" i="58"/>
  <c r="BS70" i="59"/>
  <c r="BF164" i="59"/>
  <c r="BS221" i="59"/>
  <c r="BG189" i="57"/>
  <c r="BF132" i="59"/>
  <c r="BF108" i="58"/>
  <c r="BX104" i="59"/>
  <c r="BF101" i="58"/>
  <c r="BF162" i="58"/>
  <c r="BG107" i="59"/>
  <c r="BS251" i="59"/>
  <c r="BF128" i="58"/>
  <c r="BG286" i="58"/>
  <c r="BG78" i="59"/>
  <c r="BG167" i="59"/>
  <c r="BS282" i="59"/>
  <c r="BW285" i="59"/>
  <c r="V286" i="57"/>
  <c r="BE278" i="57"/>
  <c r="BG253" i="57"/>
  <c r="BF247" i="57"/>
  <c r="BS247" i="57"/>
  <c r="BG247" i="57"/>
  <c r="BW247" i="57"/>
  <c r="BX158" i="57"/>
  <c r="V158" i="57"/>
  <c r="BG158" i="57"/>
  <c r="BF158" i="57"/>
  <c r="BW158" i="57"/>
  <c r="V157" i="57"/>
  <c r="V130" i="57"/>
  <c r="BF106" i="57"/>
  <c r="BS103" i="57"/>
  <c r="BF103" i="57"/>
  <c r="BG103" i="57"/>
  <c r="AU109" i="57"/>
  <c r="BB110" i="57" s="1"/>
  <c r="V97" i="57"/>
  <c r="T79" i="57"/>
  <c r="BF47" i="57"/>
  <c r="BW40" i="57"/>
  <c r="BF40" i="57"/>
  <c r="BS40" i="57"/>
  <c r="BG37" i="57"/>
  <c r="BF37" i="57"/>
  <c r="BF16" i="57"/>
  <c r="BW16" i="57"/>
  <c r="D112" i="57"/>
  <c r="D52" i="58"/>
  <c r="AA167" i="55"/>
  <c r="B167" i="55" s="1"/>
  <c r="AA167" i="52"/>
  <c r="B167" i="52" s="1"/>
  <c r="AA167" i="53"/>
  <c r="B167" i="53" s="1"/>
  <c r="F2" i="57"/>
  <c r="T202" i="59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AP163" i="53" s="1"/>
  <c r="Q163" i="53" s="1"/>
  <c r="AO176" i="53"/>
  <c r="AP160" i="53" s="1"/>
  <c r="Q160" i="53" s="1"/>
  <c r="AA136" i="52"/>
  <c r="B136" i="52" s="1"/>
  <c r="P292" i="59"/>
  <c r="AQ268" i="53"/>
  <c r="AQ267" i="53"/>
  <c r="AR253" i="53" s="1"/>
  <c r="S253" i="53" s="1"/>
  <c r="BX69" i="57"/>
  <c r="AA46" i="53"/>
  <c r="B46" i="53" s="1"/>
  <c r="BW76" i="57"/>
  <c r="BW223" i="53"/>
  <c r="BG223" i="53"/>
  <c r="BG254" i="55"/>
  <c r="BF45" i="57"/>
  <c r="BG105" i="58"/>
  <c r="BX258" i="57"/>
  <c r="BS160" i="57"/>
  <c r="BF168" i="58"/>
  <c r="BF279" i="57"/>
  <c r="BW78" i="58"/>
  <c r="K33" i="49"/>
  <c r="BG285" i="57"/>
  <c r="BS225" i="59"/>
  <c r="BX198" i="52"/>
  <c r="BW194" i="58"/>
  <c r="BS222" i="59"/>
  <c r="BF251" i="59"/>
  <c r="BG11" i="53"/>
  <c r="BS11" i="53"/>
  <c r="BX11" i="53"/>
  <c r="BG157" i="53"/>
  <c r="BF192" i="53"/>
  <c r="BF8" i="57"/>
  <c r="BG278" i="57"/>
  <c r="BS284" i="57"/>
  <c r="BG228" i="58"/>
  <c r="BF226" i="53"/>
  <c r="AI293" i="52"/>
  <c r="J293" i="52" s="1"/>
  <c r="J292" i="52"/>
  <c r="AO23" i="57"/>
  <c r="P23" i="57" s="1"/>
  <c r="P22" i="57"/>
  <c r="D232" i="52"/>
  <c r="AI83" i="58"/>
  <c r="J83" i="58" s="1"/>
  <c r="J82" i="58"/>
  <c r="AQ55" i="52"/>
  <c r="AR37" i="52" s="1"/>
  <c r="S37" i="52" s="1"/>
  <c r="AR4" i="53"/>
  <c r="F292" i="53"/>
  <c r="AQ143" i="55"/>
  <c r="R143" i="55" s="1"/>
  <c r="AQ203" i="55"/>
  <c r="R20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M173" i="53"/>
  <c r="N173" i="53" s="1"/>
  <c r="AC173" i="52"/>
  <c r="D173" i="52" s="1"/>
  <c r="AI115" i="57"/>
  <c r="J115" i="57" s="1"/>
  <c r="J112" i="57"/>
  <c r="AQ293" i="59"/>
  <c r="R293" i="59" s="1"/>
  <c r="R292" i="59"/>
  <c r="AG293" i="52"/>
  <c r="H293" i="52" s="1"/>
  <c r="AA127" i="57"/>
  <c r="B127" i="57" s="1"/>
  <c r="AA127" i="55"/>
  <c r="B127" i="55" s="1"/>
  <c r="H22" i="55"/>
  <c r="BX283" i="53"/>
  <c r="BF219" i="55"/>
  <c r="BF135" i="59"/>
  <c r="CT6" i="16"/>
  <c r="CV6" i="16"/>
  <c r="CU5" i="16"/>
  <c r="Q4" i="50" s="1"/>
  <c r="DL6" i="16"/>
  <c r="K33" i="51" s="1"/>
  <c r="DK5" i="16"/>
  <c r="I4" i="51" s="1"/>
  <c r="DN6" i="16"/>
  <c r="DM5" i="16"/>
  <c r="M4" i="51" s="1"/>
  <c r="DO6" i="16"/>
  <c r="Q33" i="51"/>
  <c r="DN5" i="16"/>
  <c r="AN4" i="59" s="1"/>
  <c r="DP6" i="16"/>
  <c r="DO5" i="16"/>
  <c r="Q4" i="51" s="1"/>
  <c r="DJ6" i="16"/>
  <c r="G33" i="51" s="1"/>
  <c r="DI5" i="16"/>
  <c r="E4" i="51" s="1"/>
  <c r="CR6" i="16"/>
  <c r="AJ34" i="58" s="1"/>
  <c r="CQ5" i="16"/>
  <c r="AH4" i="58" s="1"/>
  <c r="CS6" i="16"/>
  <c r="M33" i="50" s="1"/>
  <c r="CR5" i="16"/>
  <c r="CS5" i="16"/>
  <c r="AL4" i="58" s="1"/>
  <c r="CU6" i="16"/>
  <c r="CT5" i="16"/>
  <c r="CO6" i="16"/>
  <c r="E33" i="50" s="1"/>
  <c r="CW6" i="16"/>
  <c r="CV5" i="16"/>
  <c r="AR4" i="58" s="1"/>
  <c r="CP6" i="16"/>
  <c r="CO5" i="16"/>
  <c r="L112" i="58"/>
  <c r="AQ233" i="55"/>
  <c r="R233" i="55" s="1"/>
  <c r="J22" i="57"/>
  <c r="L232" i="59"/>
  <c r="AT4" i="58"/>
  <c r="H82" i="55"/>
  <c r="AK173" i="55"/>
  <c r="L173" i="55" s="1"/>
  <c r="AF214" i="53"/>
  <c r="AK53" i="59"/>
  <c r="L53" i="59" s="1"/>
  <c r="N292" i="58"/>
  <c r="AI203" i="53"/>
  <c r="J203" i="53" s="1"/>
  <c r="AS263" i="55"/>
  <c r="T263" i="55" s="1"/>
  <c r="T262" i="55"/>
  <c r="AS23" i="57"/>
  <c r="T23" i="57" s="1"/>
  <c r="AL124" i="59"/>
  <c r="AF94" i="59"/>
  <c r="AD274" i="59"/>
  <c r="AT154" i="59"/>
  <c r="AE113" i="53"/>
  <c r="F113" i="53" s="1"/>
  <c r="AE83" i="53"/>
  <c r="F83" i="53" s="1"/>
  <c r="AI233" i="53"/>
  <c r="J233" i="53" s="1"/>
  <c r="AG143" i="53"/>
  <c r="H143" i="53" s="1"/>
  <c r="J292" i="59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T292" i="58"/>
  <c r="AS293" i="58"/>
  <c r="T293" i="58" s="1"/>
  <c r="AE23" i="59"/>
  <c r="F23" i="59" s="1"/>
  <c r="F22" i="59"/>
  <c r="AE53" i="59"/>
  <c r="F53" i="59" s="1"/>
  <c r="F52" i="59"/>
  <c r="H82" i="59"/>
  <c r="AG83" i="59"/>
  <c r="H83" i="59" s="1"/>
  <c r="AG113" i="59"/>
  <c r="H113" i="59" s="1"/>
  <c r="DQ6" i="16"/>
  <c r="DR6" i="16" s="1"/>
  <c r="DJ5" i="16"/>
  <c r="G4" i="51" s="1"/>
  <c r="DL5" i="16"/>
  <c r="DP5" i="16"/>
  <c r="AR4" i="59" s="1"/>
  <c r="BS280" i="58"/>
  <c r="BG280" i="58"/>
  <c r="BW280" i="58"/>
  <c r="BF280" i="58"/>
  <c r="BW277" i="58"/>
  <c r="BG277" i="58"/>
  <c r="BW256" i="58"/>
  <c r="F229" i="58"/>
  <c r="BW217" i="58"/>
  <c r="BG217" i="58"/>
  <c r="BS217" i="58"/>
  <c r="BF217" i="58"/>
  <c r="BF196" i="58"/>
  <c r="BS196" i="58"/>
  <c r="BW196" i="58"/>
  <c r="BS193" i="58"/>
  <c r="H199" i="58"/>
  <c r="BG160" i="58"/>
  <c r="BS160" i="58"/>
  <c r="BW160" i="58"/>
  <c r="BF160" i="58"/>
  <c r="BF157" i="58"/>
  <c r="BG157" i="58"/>
  <c r="BW157" i="58"/>
  <c r="BW136" i="58"/>
  <c r="BG136" i="58"/>
  <c r="BS133" i="58"/>
  <c r="BF133" i="58"/>
  <c r="BE133" i="58"/>
  <c r="BF130" i="58"/>
  <c r="BF107" i="58"/>
  <c r="BG107" i="58"/>
  <c r="BW107" i="58"/>
  <c r="BS107" i="58"/>
  <c r="BW97" i="58"/>
  <c r="BG97" i="58"/>
  <c r="BF97" i="58"/>
  <c r="V43" i="58"/>
  <c r="BW44" i="58"/>
  <c r="J292" i="58"/>
  <c r="AA278" i="57"/>
  <c r="B278" i="57" s="1"/>
  <c r="AA250" i="57"/>
  <c r="B250" i="57" s="1"/>
  <c r="D80" i="46"/>
  <c r="D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X249" i="58"/>
  <c r="BE225" i="52"/>
  <c r="DI6" i="16"/>
  <c r="DK6" i="16"/>
  <c r="AH34" i="59" s="1"/>
  <c r="DM6" i="16"/>
  <c r="BX257" i="53"/>
  <c r="BW257" i="53"/>
  <c r="R169" i="53"/>
  <c r="BS161" i="53"/>
  <c r="AN34" i="57"/>
  <c r="O33" i="49"/>
  <c r="F176" i="51"/>
  <c r="U262" i="50"/>
  <c r="U1" i="50"/>
  <c r="Q6" i="91" s="1"/>
  <c r="V225" i="59"/>
  <c r="AM23" i="52"/>
  <c r="N23" i="52" s="1"/>
  <c r="N22" i="52"/>
  <c r="H262" i="57"/>
  <c r="V26" i="16"/>
  <c r="AK113" i="57"/>
  <c r="L113" i="57" s="1"/>
  <c r="L112" i="57"/>
  <c r="F147" i="51"/>
  <c r="F234" i="51"/>
  <c r="AA217" i="55"/>
  <c r="B217" i="55" s="1"/>
  <c r="V44" i="52"/>
  <c r="BE44" i="52"/>
  <c r="BS17" i="53"/>
  <c r="BS220" i="59"/>
  <c r="BG285" i="55"/>
  <c r="AA70" i="52"/>
  <c r="B70" i="52" s="1"/>
  <c r="BG45" i="53"/>
  <c r="BS221" i="52"/>
  <c r="BF227" i="52"/>
  <c r="BS281" i="53"/>
  <c r="BW258" i="58"/>
  <c r="AA14" i="58"/>
  <c r="B14" i="58" s="1"/>
  <c r="BF68" i="58"/>
  <c r="BX192" i="59"/>
  <c r="BG102" i="58"/>
  <c r="BW188" i="59"/>
  <c r="BS228" i="59"/>
  <c r="BS249" i="53"/>
  <c r="BS132" i="57"/>
  <c r="BF228" i="53"/>
  <c r="BW48" i="57"/>
  <c r="BX107" i="58"/>
  <c r="BW135" i="59"/>
  <c r="BG254" i="59"/>
  <c r="BW252" i="53"/>
  <c r="BX68" i="57"/>
  <c r="BS287" i="57"/>
  <c r="BG278" i="55"/>
  <c r="BG128" i="57"/>
  <c r="BW223" i="57"/>
  <c r="BX12" i="59"/>
  <c r="BG15" i="59"/>
  <c r="BF17" i="57"/>
  <c r="BG220" i="57"/>
  <c r="BS97" i="53"/>
  <c r="BF218" i="53"/>
  <c r="BF254" i="55"/>
  <c r="BG157" i="57"/>
  <c r="BG187" i="58"/>
  <c r="BE39" i="52"/>
  <c r="BG136" i="57"/>
  <c r="BW256" i="59"/>
  <c r="V250" i="59"/>
  <c r="BE226" i="59"/>
  <c r="BS226" i="59"/>
  <c r="V220" i="59"/>
  <c r="J229" i="59"/>
  <c r="BS193" i="59"/>
  <c r="BW193" i="59"/>
  <c r="V191" i="59"/>
  <c r="BG190" i="59"/>
  <c r="BS190" i="59"/>
  <c r="BW190" i="59"/>
  <c r="BF190" i="59"/>
  <c r="V187" i="59"/>
  <c r="BS166" i="59"/>
  <c r="BX166" i="59"/>
  <c r="BW166" i="59"/>
  <c r="BF166" i="59"/>
  <c r="BG163" i="59"/>
  <c r="BG161" i="59"/>
  <c r="BW161" i="59"/>
  <c r="BF161" i="59"/>
  <c r="V161" i="59"/>
  <c r="BW130" i="59"/>
  <c r="BF130" i="59"/>
  <c r="BS130" i="59"/>
  <c r="BG130" i="59"/>
  <c r="BX127" i="59"/>
  <c r="BF127" i="59"/>
  <c r="BS127" i="59"/>
  <c r="BW127" i="59"/>
  <c r="BG127" i="59"/>
  <c r="V107" i="59"/>
  <c r="BF107" i="59"/>
  <c r="BX107" i="59"/>
  <c r="BW107" i="59"/>
  <c r="V102" i="59"/>
  <c r="BG100" i="59"/>
  <c r="BS100" i="59"/>
  <c r="BW100" i="59"/>
  <c r="V97" i="59"/>
  <c r="BF76" i="59"/>
  <c r="BX76" i="59"/>
  <c r="BG74" i="59"/>
  <c r="BF74" i="59"/>
  <c r="V74" i="59"/>
  <c r="BS73" i="59"/>
  <c r="BG70" i="59"/>
  <c r="BF67" i="59"/>
  <c r="BG67" i="59"/>
  <c r="BW67" i="59"/>
  <c r="BG41" i="59"/>
  <c r="V40" i="59"/>
  <c r="BG13" i="59"/>
  <c r="BW13" i="59"/>
  <c r="V11" i="59"/>
  <c r="BX288" i="58"/>
  <c r="BG288" i="58"/>
  <c r="BS288" i="58"/>
  <c r="BF288" i="58"/>
  <c r="BW288" i="58"/>
  <c r="BS8" i="59"/>
  <c r="BF8" i="59"/>
  <c r="BX8" i="59"/>
  <c r="BX9" i="59"/>
  <c r="BS9" i="59"/>
  <c r="BG9" i="59"/>
  <c r="BF9" i="59"/>
  <c r="BW11" i="59"/>
  <c r="BG17" i="59"/>
  <c r="BS17" i="59"/>
  <c r="BW17" i="59"/>
  <c r="BF17" i="59"/>
  <c r="BX17" i="59"/>
  <c r="BS38" i="59"/>
  <c r="BX38" i="59"/>
  <c r="BG38" i="59"/>
  <c r="BF38" i="59"/>
  <c r="BW38" i="59"/>
  <c r="BW40" i="59"/>
  <c r="BX42" i="59"/>
  <c r="BG42" i="59"/>
  <c r="BF43" i="59"/>
  <c r="BW43" i="59"/>
  <c r="BG43" i="59"/>
  <c r="BS46" i="59"/>
  <c r="BW46" i="59"/>
  <c r="BG46" i="59"/>
  <c r="BX46" i="59"/>
  <c r="BF46" i="59"/>
  <c r="BS284" i="59"/>
  <c r="BF284" i="59"/>
  <c r="BW284" i="59"/>
  <c r="BX284" i="59"/>
  <c r="BG284" i="59"/>
  <c r="BS286" i="59"/>
  <c r="BG286" i="59"/>
  <c r="BS287" i="59"/>
  <c r="BF287" i="59"/>
  <c r="BX287" i="59"/>
  <c r="BG287" i="59"/>
  <c r="BW287" i="59"/>
  <c r="BF189" i="58"/>
  <c r="BW189" i="58"/>
  <c r="BX189" i="58"/>
  <c r="BS189" i="58"/>
  <c r="BG189" i="58"/>
  <c r="BG194" i="58"/>
  <c r="BX194" i="58"/>
  <c r="BS194" i="58"/>
  <c r="BF194" i="58"/>
  <c r="BW195" i="58"/>
  <c r="BX195" i="58"/>
  <c r="BS197" i="58"/>
  <c r="BG197" i="58"/>
  <c r="BW197" i="58"/>
  <c r="BF197" i="58"/>
  <c r="BX197" i="58"/>
  <c r="BG198" i="58"/>
  <c r="BS198" i="58"/>
  <c r="BW198" i="58"/>
  <c r="BW218" i="58"/>
  <c r="BX218" i="58"/>
  <c r="BX221" i="58"/>
  <c r="BF221" i="58"/>
  <c r="BS223" i="58"/>
  <c r="BG247" i="58"/>
  <c r="BS250" i="58"/>
  <c r="BF250" i="58"/>
  <c r="BW250" i="58"/>
  <c r="BF252" i="58"/>
  <c r="BG252" i="58"/>
  <c r="BS252" i="58"/>
  <c r="BX252" i="58"/>
  <c r="BW252" i="58"/>
  <c r="BS253" i="58"/>
  <c r="BX226" i="59"/>
  <c r="BW226" i="59"/>
  <c r="BF278" i="59"/>
  <c r="BS278" i="59"/>
  <c r="BW278" i="59"/>
  <c r="BF281" i="59"/>
  <c r="BG281" i="59"/>
  <c r="BX281" i="59"/>
  <c r="BS281" i="59"/>
  <c r="BG283" i="59"/>
  <c r="M4" i="49"/>
  <c r="AL4" i="57"/>
  <c r="BE195" i="53"/>
  <c r="V195" i="53"/>
  <c r="BE195" i="55"/>
  <c r="V195" i="55"/>
  <c r="BS16" i="58"/>
  <c r="BW18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G194" i="59"/>
  <c r="BW197" i="59"/>
  <c r="BS197" i="59"/>
  <c r="BS218" i="59"/>
  <c r="BX218" i="59"/>
  <c r="BF218" i="59"/>
  <c r="BW218" i="59"/>
  <c r="BW220" i="59"/>
  <c r="BF220" i="59"/>
  <c r="BG220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F142" i="58"/>
  <c r="AE143" i="58"/>
  <c r="F143" i="58" s="1"/>
  <c r="AT64" i="59"/>
  <c r="BE127" i="53"/>
  <c r="V127" i="53"/>
  <c r="BE107" i="55"/>
  <c r="V107" i="55"/>
  <c r="BG281" i="57"/>
  <c r="BW281" i="57"/>
  <c r="BX281" i="57"/>
  <c r="BF281" i="57"/>
  <c r="BS281" i="57"/>
  <c r="BX282" i="57"/>
  <c r="BW282" i="57"/>
  <c r="BF282" i="57"/>
  <c r="BW284" i="57"/>
  <c r="BX284" i="57"/>
  <c r="BF284" i="57"/>
  <c r="BG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S205" i="58"/>
  <c r="AT187" i="58" s="1"/>
  <c r="U187" i="58" s="1"/>
  <c r="AS203" i="58"/>
  <c r="T203" i="58" s="1"/>
  <c r="T202" i="58"/>
  <c r="AS207" i="58"/>
  <c r="T207" i="58" s="1"/>
  <c r="AS206" i="58"/>
  <c r="AT190" i="58" s="1"/>
  <c r="AS208" i="58"/>
  <c r="T208" i="58" s="1"/>
  <c r="T172" i="58"/>
  <c r="AS173" i="58"/>
  <c r="T173" i="58" s="1"/>
  <c r="AE263" i="59"/>
  <c r="F263" i="59" s="1"/>
  <c r="F262" i="59"/>
  <c r="AC173" i="53"/>
  <c r="D173" i="53" s="1"/>
  <c r="F118" i="46"/>
  <c r="AI116" i="57"/>
  <c r="J116" i="57" s="1"/>
  <c r="AI117" i="57"/>
  <c r="AJ103" i="57" s="1"/>
  <c r="K103" i="57" s="1"/>
  <c r="T292" i="52"/>
  <c r="AS263" i="52"/>
  <c r="T263" i="52" s="1"/>
  <c r="T262" i="52"/>
  <c r="L80" i="45"/>
  <c r="L81" i="45" s="1"/>
  <c r="AE23" i="52"/>
  <c r="F23" i="52" s="1"/>
  <c r="F22" i="52"/>
  <c r="AS53" i="52"/>
  <c r="T53" i="52" s="1"/>
  <c r="T52" i="52"/>
  <c r="N19" i="59"/>
  <c r="AA161" i="57"/>
  <c r="B161" i="57" s="1"/>
  <c r="B3" i="55"/>
  <c r="P142" i="59"/>
  <c r="AO143" i="59"/>
  <c r="P143" i="59" s="1"/>
  <c r="AJ214" i="53"/>
  <c r="F205" i="50"/>
  <c r="R112" i="52"/>
  <c r="AO297" i="59"/>
  <c r="P297" i="59" s="1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S218" i="52"/>
  <c r="BG102" i="53"/>
  <c r="BG138" i="57"/>
  <c r="V161" i="53"/>
  <c r="BE161" i="53"/>
  <c r="BG40" i="57"/>
  <c r="BS67" i="59"/>
  <c r="G33" i="45"/>
  <c r="R51" i="45"/>
  <c r="R52" i="45" s="1"/>
  <c r="BG222" i="53"/>
  <c r="BG257" i="53"/>
  <c r="BX219" i="55"/>
  <c r="BW37" i="57"/>
  <c r="BF224" i="59"/>
  <c r="BW279" i="59"/>
  <c r="BF255" i="59"/>
  <c r="BX47" i="58"/>
  <c r="BW45" i="59"/>
  <c r="BG226" i="59"/>
  <c r="BF131" i="58"/>
  <c r="BW281" i="59"/>
  <c r="BG251" i="59"/>
  <c r="BX47" i="55"/>
  <c r="BG158" i="52"/>
  <c r="BG191" i="53"/>
  <c r="BX255" i="55"/>
  <c r="BG196" i="58"/>
  <c r="BF285" i="52"/>
  <c r="BS108" i="58"/>
  <c r="BX97" i="58"/>
  <c r="BG47" i="57"/>
  <c r="BX278" i="57"/>
  <c r="BG278" i="58"/>
  <c r="BG254" i="53"/>
  <c r="BG250" i="53"/>
  <c r="BW251" i="55"/>
  <c r="BW249" i="52"/>
  <c r="BG249" i="57"/>
  <c r="BW256" i="57"/>
  <c r="BS249" i="52"/>
  <c r="BF249" i="52"/>
  <c r="V251" i="53"/>
  <c r="BX254" i="53"/>
  <c r="BF256" i="57"/>
  <c r="BS254" i="58"/>
  <c r="BW250" i="53"/>
  <c r="V258" i="58"/>
  <c r="BF258" i="53"/>
  <c r="BF254" i="53"/>
  <c r="V257" i="53"/>
  <c r="BW254" i="53"/>
  <c r="V254" i="57"/>
  <c r="V250" i="58"/>
  <c r="BW249" i="58"/>
  <c r="BX188" i="58"/>
  <c r="BS191" i="58"/>
  <c r="BG133" i="58"/>
  <c r="BX130" i="58"/>
  <c r="V108" i="53"/>
  <c r="BG71" i="57"/>
  <c r="BX71" i="55"/>
  <c r="BE39" i="53"/>
  <c r="V39" i="53"/>
  <c r="BE47" i="53"/>
  <c r="V47" i="53"/>
  <c r="BE45" i="55"/>
  <c r="V45" i="55"/>
  <c r="BE37" i="57"/>
  <c r="BX37" i="57"/>
  <c r="V37" i="57"/>
  <c r="BE45" i="58"/>
  <c r="V45" i="58"/>
  <c r="BX41" i="52"/>
  <c r="BW45" i="52"/>
  <c r="BX45" i="52"/>
  <c r="BG38" i="57"/>
  <c r="BX38" i="57"/>
  <c r="BS38" i="57"/>
  <c r="BF42" i="57"/>
  <c r="BW42" i="57"/>
  <c r="BX42" i="57"/>
  <c r="BX45" i="57"/>
  <c r="BW38" i="57"/>
  <c r="BS42" i="53"/>
  <c r="V37" i="52"/>
  <c r="V14" i="58"/>
  <c r="V18" i="57"/>
  <c r="BS15" i="58"/>
  <c r="BE247" i="59"/>
  <c r="BX190" i="59"/>
  <c r="BE188" i="59"/>
  <c r="BS195" i="59"/>
  <c r="BE163" i="59"/>
  <c r="BX16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F70" i="59"/>
  <c r="BX67" i="59"/>
  <c r="BE73" i="59"/>
  <c r="BW41" i="59"/>
  <c r="BG44" i="59"/>
  <c r="BS37" i="59"/>
  <c r="BF41" i="59"/>
  <c r="V41" i="59"/>
  <c r="BX41" i="59"/>
  <c r="BS41" i="59"/>
  <c r="BX44" i="59"/>
  <c r="BS44" i="59"/>
  <c r="BW44" i="59"/>
  <c r="BF44" i="59"/>
  <c r="BE47" i="59"/>
  <c r="BE37" i="59"/>
  <c r="BX37" i="59"/>
  <c r="AF214" i="52"/>
  <c r="AT274" i="53"/>
  <c r="AP34" i="59"/>
  <c r="AI233" i="52"/>
  <c r="J233" i="52" s="1"/>
  <c r="AG113" i="52"/>
  <c r="H113" i="52" s="1"/>
  <c r="H112" i="52"/>
  <c r="AE263" i="57"/>
  <c r="F263" i="57" s="1"/>
  <c r="F262" i="57"/>
  <c r="AK173" i="52"/>
  <c r="L173" i="52" s="1"/>
  <c r="L172" i="52"/>
  <c r="AM143" i="55"/>
  <c r="N143" i="55" s="1"/>
  <c r="N142" i="55"/>
  <c r="AK143" i="52"/>
  <c r="L143" i="52" s="1"/>
  <c r="L142" i="52"/>
  <c r="AS263" i="59"/>
  <c r="T263" i="59" s="1"/>
  <c r="T262" i="59"/>
  <c r="D80" i="50"/>
  <c r="D81" i="50" s="1"/>
  <c r="F2" i="58"/>
  <c r="BE190" i="59"/>
  <c r="CQ6" i="16"/>
  <c r="I33" i="50" s="1"/>
  <c r="AI88" i="59"/>
  <c r="AM85" i="58"/>
  <c r="AN67" i="58" s="1"/>
  <c r="O67" i="58" s="1"/>
  <c r="AI203" i="52"/>
  <c r="J203" i="52" s="1"/>
  <c r="AG53" i="55"/>
  <c r="H53" i="55" s="1"/>
  <c r="AM87" i="58"/>
  <c r="AN73" i="58" s="1"/>
  <c r="O73" i="58" s="1"/>
  <c r="AM113" i="57"/>
  <c r="N113" i="57" s="1"/>
  <c r="AM88" i="58"/>
  <c r="N88" i="58" s="1"/>
  <c r="AM143" i="52"/>
  <c r="N143" i="52" s="1"/>
  <c r="N142" i="52"/>
  <c r="AG53" i="58"/>
  <c r="H53" i="58" s="1"/>
  <c r="AI83" i="59"/>
  <c r="J83" i="59" s="1"/>
  <c r="AC233" i="57"/>
  <c r="D233" i="57" s="1"/>
  <c r="D52" i="59"/>
  <c r="D52" i="52"/>
  <c r="L262" i="57"/>
  <c r="H52" i="53"/>
  <c r="AM113" i="52"/>
  <c r="N113" i="52" s="1"/>
  <c r="AG203" i="58"/>
  <c r="H203" i="58" s="1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N232" i="58"/>
  <c r="R112" i="59"/>
  <c r="N82" i="58"/>
  <c r="AK83" i="53"/>
  <c r="L83" i="53" s="1"/>
  <c r="AQ143" i="59"/>
  <c r="R143" i="59" s="1"/>
  <c r="AO143" i="55"/>
  <c r="P143" i="55" s="1"/>
  <c r="AI86" i="59"/>
  <c r="AJ70" i="59" s="1"/>
  <c r="K70" i="59" s="1"/>
  <c r="AQ143" i="57"/>
  <c r="R143" i="57" s="1"/>
  <c r="F232" i="52"/>
  <c r="J82" i="59"/>
  <c r="AI85" i="59"/>
  <c r="AJ67" i="59" s="1"/>
  <c r="K67" i="59" s="1"/>
  <c r="D22" i="55"/>
  <c r="T52" i="55"/>
  <c r="N172" i="52"/>
  <c r="T112" i="52"/>
  <c r="P22" i="55"/>
  <c r="AG233" i="52"/>
  <c r="H233" i="52" s="1"/>
  <c r="AQ83" i="52"/>
  <c r="R83" i="52" s="1"/>
  <c r="AS83" i="52"/>
  <c r="T83" i="52" s="1"/>
  <c r="AS147" i="57"/>
  <c r="T147" i="57" s="1"/>
  <c r="AS143" i="57"/>
  <c r="T143" i="57" s="1"/>
  <c r="J172" i="52"/>
  <c r="J172" i="55"/>
  <c r="AI173" i="55"/>
  <c r="J173" i="55" s="1"/>
  <c r="D262" i="59"/>
  <c r="AC263" i="59"/>
  <c r="D263" i="59" s="1"/>
  <c r="AG113" i="58"/>
  <c r="H113" i="58" s="1"/>
  <c r="H112" i="58"/>
  <c r="J142" i="58"/>
  <c r="AM173" i="58"/>
  <c r="N173" i="58" s="1"/>
  <c r="N172" i="58"/>
  <c r="AC143" i="52"/>
  <c r="D143" i="52" s="1"/>
  <c r="D142" i="52"/>
  <c r="AM115" i="55"/>
  <c r="N115" i="55" s="1"/>
  <c r="AM113" i="55"/>
  <c r="N113" i="55" s="1"/>
  <c r="N112" i="55"/>
  <c r="AM117" i="55"/>
  <c r="AN103" i="55" s="1"/>
  <c r="O103" i="55" s="1"/>
  <c r="AM116" i="55"/>
  <c r="N116" i="55" s="1"/>
  <c r="AM118" i="55"/>
  <c r="AN106" i="55" s="1"/>
  <c r="O106" i="55" s="1"/>
  <c r="AC233" i="59"/>
  <c r="D233" i="59" s="1"/>
  <c r="D232" i="59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Q23" i="55"/>
  <c r="R23" i="55" s="1"/>
  <c r="R22" i="55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AC263" i="55"/>
  <c r="D263" i="55" s="1"/>
  <c r="D262" i="55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E266" i="52"/>
  <c r="F266" i="52" s="1"/>
  <c r="AE265" i="52"/>
  <c r="AF247" i="52" s="1"/>
  <c r="AE268" i="52"/>
  <c r="AF256" i="52" s="1"/>
  <c r="G256" i="52" s="1"/>
  <c r="AE263" i="52"/>
  <c r="F263" i="52" s="1"/>
  <c r="AE267" i="52"/>
  <c r="AF253" i="52" s="1"/>
  <c r="G253" i="52" s="1"/>
  <c r="F262" i="52"/>
  <c r="T52" i="53"/>
  <c r="AS53" i="53"/>
  <c r="T53" i="53" s="1"/>
  <c r="AI203" i="55"/>
  <c r="J203" i="55" s="1"/>
  <c r="J202" i="55"/>
  <c r="AO203" i="58"/>
  <c r="P203" i="58" s="1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R19" i="57"/>
  <c r="BE285" i="52"/>
  <c r="V285" i="52"/>
  <c r="BE42" i="55"/>
  <c r="V42" i="55"/>
  <c r="B89" i="50"/>
  <c r="J109" i="50" s="1"/>
  <c r="J110" i="50" s="1"/>
  <c r="J80" i="50"/>
  <c r="J81" i="50" s="1"/>
  <c r="H80" i="50"/>
  <c r="H81" i="50" s="1"/>
  <c r="AE293" i="55"/>
  <c r="F293" i="55" s="1"/>
  <c r="F292" i="55"/>
  <c r="AE203" i="52"/>
  <c r="F203" i="52" s="1"/>
  <c r="F202" i="52"/>
  <c r="AI83" i="55"/>
  <c r="J83" i="55" s="1"/>
  <c r="J82" i="55"/>
  <c r="R172" i="58"/>
  <c r="AQ173" i="58"/>
  <c r="R173" i="58" s="1"/>
  <c r="F176" i="49"/>
  <c r="N22" i="57"/>
  <c r="AM23" i="57"/>
  <c r="N23" i="57" s="1"/>
  <c r="AC143" i="57"/>
  <c r="D143" i="57" s="1"/>
  <c r="AO293" i="52"/>
  <c r="P293" i="52" s="1"/>
  <c r="AG113" i="55"/>
  <c r="H113" i="55" s="1"/>
  <c r="AC173" i="55"/>
  <c r="D173" i="55" s="1"/>
  <c r="V197" i="57"/>
  <c r="V188" i="55"/>
  <c r="U1" i="57"/>
  <c r="A2" i="74"/>
  <c r="U233" i="45"/>
  <c r="U88" i="45"/>
  <c r="U233" i="49"/>
  <c r="I33" i="51"/>
  <c r="AD34" i="59"/>
  <c r="M33" i="49"/>
  <c r="AL34" i="57"/>
  <c r="AF214" i="57"/>
  <c r="AT4" i="53"/>
  <c r="AI83" i="52"/>
  <c r="J83" i="52" s="1"/>
  <c r="N262" i="52"/>
  <c r="AM203" i="55"/>
  <c r="N203" i="55" s="1"/>
  <c r="P142" i="52"/>
  <c r="P172" i="52"/>
  <c r="AQ293" i="52"/>
  <c r="R293" i="52" s="1"/>
  <c r="BE189" i="57"/>
  <c r="V189" i="57"/>
  <c r="H142" i="58"/>
  <c r="BE197" i="53"/>
  <c r="V197" i="53"/>
  <c r="J112" i="52"/>
  <c r="AC53" i="58"/>
  <c r="D53" i="58" s="1"/>
  <c r="L142" i="58"/>
  <c r="N232" i="52"/>
  <c r="AO173" i="59"/>
  <c r="P173" i="59" s="1"/>
  <c r="V76" i="53"/>
  <c r="V106" i="53"/>
  <c r="BG222" i="55"/>
  <c r="BG42" i="57"/>
  <c r="BG258" i="59"/>
  <c r="BG218" i="59"/>
  <c r="BS78" i="59"/>
  <c r="CP5" i="16"/>
  <c r="G4" i="50" s="1"/>
  <c r="U175" i="45"/>
  <c r="U59" i="45"/>
  <c r="U117" i="45"/>
  <c r="U30" i="45"/>
  <c r="U204" i="45"/>
  <c r="U262" i="45"/>
  <c r="U146" i="45"/>
  <c r="AR64" i="57"/>
  <c r="AP244" i="59"/>
  <c r="H262" i="58"/>
  <c r="AI58" i="55"/>
  <c r="J58" i="55" s="1"/>
  <c r="J52" i="55"/>
  <c r="F202" i="58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AJ64" i="55"/>
  <c r="F22" i="53"/>
  <c r="L232" i="55"/>
  <c r="AK233" i="55"/>
  <c r="L233" i="55" s="1"/>
  <c r="E33" i="49"/>
  <c r="L80" i="50"/>
  <c r="L81" i="50" s="1"/>
  <c r="J202" i="53"/>
  <c r="B61" i="45"/>
  <c r="R262" i="55"/>
  <c r="AQ267" i="55"/>
  <c r="N80" i="50"/>
  <c r="N81" i="50" s="1"/>
  <c r="L292" i="59"/>
  <c r="AK293" i="59"/>
  <c r="L293" i="59" s="1"/>
  <c r="E62" i="4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F284" i="52"/>
  <c r="BG284" i="52"/>
  <c r="BG280" i="52"/>
  <c r="D289" i="52"/>
  <c r="BE253" i="52"/>
  <c r="BG251" i="52"/>
  <c r="BX251" i="52"/>
  <c r="BG247" i="52"/>
  <c r="BF224" i="52"/>
  <c r="BG224" i="52"/>
  <c r="V224" i="52"/>
  <c r="BX224" i="52"/>
  <c r="BW162" i="52"/>
  <c r="BS161" i="52"/>
  <c r="BX161" i="52"/>
  <c r="BX137" i="52"/>
  <c r="BS137" i="52"/>
  <c r="BW137" i="52"/>
  <c r="BF137" i="52"/>
  <c r="BE133" i="52"/>
  <c r="BX131" i="52"/>
  <c r="BS107" i="52"/>
  <c r="BF103" i="52"/>
  <c r="V103" i="52"/>
  <c r="BX103" i="52"/>
  <c r="BX98" i="52"/>
  <c r="BF98" i="52"/>
  <c r="BG76" i="52"/>
  <c r="BE70" i="52"/>
  <c r="BG16" i="52"/>
  <c r="BE7" i="52"/>
  <c r="V7" i="52"/>
  <c r="AJ64" i="57"/>
  <c r="AL34" i="58"/>
  <c r="BE48" i="53"/>
  <c r="V48" i="53"/>
  <c r="AH274" i="55"/>
  <c r="BE38" i="53"/>
  <c r="V38" i="53"/>
  <c r="R109" i="50"/>
  <c r="R110" i="50" s="1"/>
  <c r="AH34" i="58"/>
  <c r="AT244" i="57"/>
  <c r="AT184" i="57"/>
  <c r="AH64" i="55"/>
  <c r="BE283" i="53"/>
  <c r="V283" i="53"/>
  <c r="AD154" i="53"/>
  <c r="AD154" i="52"/>
  <c r="F89" i="50"/>
  <c r="F234" i="50"/>
  <c r="AH214" i="57"/>
  <c r="P52" i="57"/>
  <c r="AO53" i="57"/>
  <c r="P53" i="57" s="1"/>
  <c r="AQ23" i="59"/>
  <c r="R23" i="59" s="1"/>
  <c r="AJ34" i="53"/>
  <c r="S4" i="49"/>
  <c r="AR4" i="57"/>
  <c r="J142" i="52"/>
  <c r="AI148" i="52"/>
  <c r="AJ136" i="52" s="1"/>
  <c r="K136" i="52" s="1"/>
  <c r="AI143" i="52"/>
  <c r="J143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S33" i="51"/>
  <c r="AR34" i="59"/>
  <c r="V195" i="52"/>
  <c r="BW288" i="57"/>
  <c r="BG188" i="57"/>
  <c r="BF68" i="59"/>
  <c r="P172" i="55"/>
  <c r="AO173" i="55"/>
  <c r="P173" i="55" s="1"/>
  <c r="BW10" i="59"/>
  <c r="BX10" i="59"/>
  <c r="BG10" i="59"/>
  <c r="BS10" i="59"/>
  <c r="BG16" i="59"/>
  <c r="BW18" i="59"/>
  <c r="BG18" i="59"/>
  <c r="BF18" i="59"/>
  <c r="BG37" i="59"/>
  <c r="BX39" i="59"/>
  <c r="BW39" i="59"/>
  <c r="BF45" i="59"/>
  <c r="BG45" i="59"/>
  <c r="BX45" i="59"/>
  <c r="BS45" i="59"/>
  <c r="BF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X134" i="59"/>
  <c r="BF134" i="59"/>
  <c r="BX137" i="59"/>
  <c r="BW137" i="59"/>
  <c r="V166" i="52"/>
  <c r="BE166" i="52"/>
  <c r="BE137" i="58"/>
  <c r="V137" i="58"/>
  <c r="V196" i="59"/>
  <c r="BE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S102" i="55"/>
  <c r="BW102" i="55"/>
  <c r="BF102" i="55"/>
  <c r="BX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F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W158" i="55"/>
  <c r="BF158" i="55"/>
  <c r="BX158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F192" i="55"/>
  <c r="BG192" i="55"/>
  <c r="BF194" i="55"/>
  <c r="BS194" i="55"/>
  <c r="BG195" i="55"/>
  <c r="BW195" i="55"/>
  <c r="BX195" i="55"/>
  <c r="BG197" i="55"/>
  <c r="BX197" i="55"/>
  <c r="BW197" i="55"/>
  <c r="BS221" i="55"/>
  <c r="BX221" i="55"/>
  <c r="BG221" i="55"/>
  <c r="BW221" i="55"/>
  <c r="BS228" i="55"/>
  <c r="BW228" i="55"/>
  <c r="BF228" i="55"/>
  <c r="BX228" i="55"/>
  <c r="BS249" i="55"/>
  <c r="BX249" i="55"/>
  <c r="BW249" i="55"/>
  <c r="BF249" i="55"/>
  <c r="BF250" i="55"/>
  <c r="BW162" i="57"/>
  <c r="BX162" i="57"/>
  <c r="BG162" i="57"/>
  <c r="BW164" i="57"/>
  <c r="BG164" i="57"/>
  <c r="BX164" i="57"/>
  <c r="BS165" i="57"/>
  <c r="BX165" i="57"/>
  <c r="BF165" i="57"/>
  <c r="BG165" i="57"/>
  <c r="BW165" i="57"/>
  <c r="BX190" i="57"/>
  <c r="BS190" i="57"/>
  <c r="BW190" i="57"/>
  <c r="BG190" i="57"/>
  <c r="BF190" i="57"/>
  <c r="BF191" i="57"/>
  <c r="BS191" i="57"/>
  <c r="BG194" i="57"/>
  <c r="BF194" i="57"/>
  <c r="BS198" i="57"/>
  <c r="BG198" i="57"/>
  <c r="BW198" i="57"/>
  <c r="BX198" i="57"/>
  <c r="BS217" i="57"/>
  <c r="BS222" i="57"/>
  <c r="BX222" i="57"/>
  <c r="BG225" i="57"/>
  <c r="BX225" i="57"/>
  <c r="BF225" i="57"/>
  <c r="BF253" i="57"/>
  <c r="BW253" i="57"/>
  <c r="BS256" i="57"/>
  <c r="BW257" i="57"/>
  <c r="BX257" i="57"/>
  <c r="BS257" i="57"/>
  <c r="BX285" i="57"/>
  <c r="BF285" i="57"/>
  <c r="BG8" i="58"/>
  <c r="BS8" i="58"/>
  <c r="BX11" i="58"/>
  <c r="BS11" i="58"/>
  <c r="BW16" i="58"/>
  <c r="BF16" i="58"/>
  <c r="BG16" i="58"/>
  <c r="BG17" i="58"/>
  <c r="BS38" i="58"/>
  <c r="BF38" i="58"/>
  <c r="BW45" i="58"/>
  <c r="BS45" i="58"/>
  <c r="BF72" i="58"/>
  <c r="BG72" i="58"/>
  <c r="BX72" i="58"/>
  <c r="BG74" i="58"/>
  <c r="BS74" i="58"/>
  <c r="BW74" i="58"/>
  <c r="BG75" i="58"/>
  <c r="BX75" i="58"/>
  <c r="BF77" i="58"/>
  <c r="BX77" i="58"/>
  <c r="BS77" i="58"/>
  <c r="BG127" i="58"/>
  <c r="BF129" i="58"/>
  <c r="BW129" i="58"/>
  <c r="BG129" i="58"/>
  <c r="BX129" i="58"/>
  <c r="BW134" i="58"/>
  <c r="BG134" i="58"/>
  <c r="BF134" i="58"/>
  <c r="BS134" i="58"/>
  <c r="BX134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AP64" i="53" s="1"/>
  <c r="R6" i="16"/>
  <c r="P14" i="16"/>
  <c r="AJ274" i="53" s="1"/>
  <c r="U12" i="16"/>
  <c r="AT214" i="53" s="1"/>
  <c r="R11" i="16"/>
  <c r="AN184" i="53"/>
  <c r="O10" i="16"/>
  <c r="AH154" i="53" s="1"/>
  <c r="T8" i="16"/>
  <c r="AR94" i="52" s="1"/>
  <c r="Q6" i="16"/>
  <c r="M33" i="41" s="1"/>
  <c r="O5" i="16"/>
  <c r="I274" i="53" s="1"/>
  <c r="M13" i="16"/>
  <c r="AD244" i="53" s="1"/>
  <c r="Q11" i="16"/>
  <c r="AL184" i="53" s="1"/>
  <c r="R7" i="16"/>
  <c r="AN64" i="52" s="1"/>
  <c r="O14" i="16"/>
  <c r="T12" i="16"/>
  <c r="P11" i="16"/>
  <c r="N10" i="16"/>
  <c r="S8" i="16"/>
  <c r="AP94" i="52" s="1"/>
  <c r="P6" i="16"/>
  <c r="N5" i="16"/>
  <c r="G154" i="52" s="1"/>
  <c r="M14" i="16"/>
  <c r="N14" i="16"/>
  <c r="S12" i="16"/>
  <c r="AP214" i="53" s="1"/>
  <c r="Q7" i="16"/>
  <c r="P13" i="16"/>
  <c r="AJ244" i="52" s="1"/>
  <c r="U10" i="16"/>
  <c r="O9" i="16"/>
  <c r="O7" i="16"/>
  <c r="AH64" i="53" s="1"/>
  <c r="R5" i="16"/>
  <c r="O214" i="58" s="1"/>
  <c r="T14" i="16"/>
  <c r="S10" i="16"/>
  <c r="AP154" i="52" s="1"/>
  <c r="N9" i="16"/>
  <c r="AF124" i="52" s="1"/>
  <c r="N7" i="16"/>
  <c r="N15" i="16" s="1"/>
  <c r="S14" i="16"/>
  <c r="AP274" i="52" s="1"/>
  <c r="R12" i="16"/>
  <c r="AN214" i="52" s="1"/>
  <c r="R8" i="16"/>
  <c r="AN94" i="52"/>
  <c r="P5" i="16"/>
  <c r="R14" i="16"/>
  <c r="AN274" i="53" s="1"/>
  <c r="R10" i="16"/>
  <c r="U6" i="16"/>
  <c r="M6" i="16"/>
  <c r="AD34" i="52" s="1"/>
  <c r="S13" i="16"/>
  <c r="AP244" i="52" s="1"/>
  <c r="N11" i="16"/>
  <c r="O8" i="16"/>
  <c r="AH94" i="52" s="1"/>
  <c r="U5" i="16"/>
  <c r="U34" i="53" s="1"/>
  <c r="M5" i="16"/>
  <c r="E64" i="52" s="1"/>
  <c r="T10" i="16"/>
  <c r="T5" i="16"/>
  <c r="S274" i="57"/>
  <c r="R13" i="16"/>
  <c r="AN244" i="53" s="1"/>
  <c r="N8" i="16"/>
  <c r="AF94" i="52" s="1"/>
  <c r="Q10" i="16"/>
  <c r="AL154" i="53" s="1"/>
  <c r="U7" i="16"/>
  <c r="S5" i="16"/>
  <c r="Q4" i="52" s="1"/>
  <c r="O13" i="16"/>
  <c r="U9" i="16"/>
  <c r="AT124" i="52" s="1"/>
  <c r="T7" i="16"/>
  <c r="AR64" i="53" s="1"/>
  <c r="Q5" i="16"/>
  <c r="M64" i="59" s="1"/>
  <c r="Q14" i="16"/>
  <c r="AL274" i="53" s="1"/>
  <c r="P9" i="16"/>
  <c r="U13" i="16"/>
  <c r="S9" i="16"/>
  <c r="N6" i="16"/>
  <c r="G33" i="41" s="1"/>
  <c r="R9" i="16"/>
  <c r="AN124" i="53"/>
  <c r="T13" i="16"/>
  <c r="AR244" i="52" s="1"/>
  <c r="Q9" i="16"/>
  <c r="AL124" i="52" s="1"/>
  <c r="Q13" i="16"/>
  <c r="AL244" i="53" s="1"/>
  <c r="M7" i="16"/>
  <c r="AD64" i="52" s="1"/>
  <c r="Q12" i="16"/>
  <c r="AL214" i="53" s="1"/>
  <c r="M8" i="16"/>
  <c r="AD94" i="53" s="1"/>
  <c r="T11" i="16"/>
  <c r="P7" i="16"/>
  <c r="AJ64" i="52" s="1"/>
  <c r="M11" i="16"/>
  <c r="O11" i="16"/>
  <c r="AH184" i="52" s="1"/>
  <c r="P10" i="16"/>
  <c r="M12" i="16"/>
  <c r="AD214" i="53" s="1"/>
  <c r="T9" i="16"/>
  <c r="AR124" i="52" s="1"/>
  <c r="Q8" i="16"/>
  <c r="AL94" i="52" s="1"/>
  <c r="S6" i="16"/>
  <c r="Q33" i="41" s="1"/>
  <c r="O12" i="16"/>
  <c r="AH214" i="53" s="1"/>
  <c r="O6" i="16"/>
  <c r="AH34" i="52" s="1"/>
  <c r="U11" i="16"/>
  <c r="AT184" i="53" s="1"/>
  <c r="M9" i="16"/>
  <c r="AD124" i="52" s="1"/>
  <c r="BG129" i="55"/>
  <c r="BF48" i="52"/>
  <c r="BF189" i="55"/>
  <c r="BF195" i="55"/>
  <c r="BF9" i="58"/>
  <c r="T6" i="16"/>
  <c r="T172" i="53"/>
  <c r="AS173" i="53"/>
  <c r="T173" i="53" s="1"/>
  <c r="AC83" i="53"/>
  <c r="D83" i="53" s="1"/>
  <c r="BE128" i="52"/>
  <c r="V128" i="52"/>
  <c r="BX75" i="52"/>
  <c r="BW75" i="52"/>
  <c r="BG75" i="52"/>
  <c r="BS75" i="52"/>
  <c r="BF254" i="52"/>
  <c r="BG254" i="52"/>
  <c r="BX254" i="52"/>
  <c r="BW254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G77" i="53"/>
  <c r="BX77" i="53"/>
  <c r="BF77" i="53"/>
  <c r="BW77" i="53"/>
  <c r="BS77" i="53"/>
  <c r="BX98" i="53"/>
  <c r="BF98" i="53"/>
  <c r="BS98" i="53"/>
  <c r="BG98" i="53"/>
  <c r="BG100" i="53"/>
  <c r="BW100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X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X158" i="53"/>
  <c r="BW159" i="53"/>
  <c r="BF159" i="53"/>
  <c r="BS159" i="53"/>
  <c r="BX159" i="53"/>
  <c r="BG159" i="53"/>
  <c r="BW161" i="53"/>
  <c r="BG161" i="53"/>
  <c r="BG163" i="53"/>
  <c r="BF164" i="53"/>
  <c r="BG164" i="53"/>
  <c r="BS164" i="53"/>
  <c r="BX164" i="53"/>
  <c r="BF166" i="53"/>
  <c r="BX167" i="53"/>
  <c r="BG167" i="53"/>
  <c r="BF167" i="53"/>
  <c r="BW167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8" i="53"/>
  <c r="BX248" i="53"/>
  <c r="BS248" i="53"/>
  <c r="BF248" i="53"/>
  <c r="BX253" i="53"/>
  <c r="BX255" i="53"/>
  <c r="BW255" i="53"/>
  <c r="BF255" i="53"/>
  <c r="BG255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7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S220" i="57"/>
  <c r="BX108" i="55"/>
  <c r="BW167" i="57"/>
  <c r="BS132" i="58"/>
  <c r="AM293" i="53"/>
  <c r="N293" i="53" s="1"/>
  <c r="N292" i="53"/>
  <c r="L259" i="55"/>
  <c r="H139" i="58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BS106" i="58"/>
  <c r="H82" i="52"/>
  <c r="AG83" i="52"/>
  <c r="H83" i="52" s="1"/>
  <c r="BG228" i="55"/>
  <c r="BF162" i="57"/>
  <c r="BX132" i="58"/>
  <c r="BW102" i="59"/>
  <c r="BS129" i="59"/>
  <c r="BG227" i="57"/>
  <c r="BS158" i="55"/>
  <c r="BX102" i="55"/>
  <c r="BW71" i="59"/>
  <c r="P8" i="16"/>
  <c r="AJ94" i="52" s="1"/>
  <c r="AE143" i="57"/>
  <c r="F143" i="57" s="1"/>
  <c r="F142" i="57"/>
  <c r="BG277" i="57"/>
  <c r="AI145" i="52"/>
  <c r="AJ127" i="52" s="1"/>
  <c r="K127" i="52" s="1"/>
  <c r="BF134" i="55"/>
  <c r="BX168" i="55"/>
  <c r="BG69" i="58"/>
  <c r="AG173" i="57"/>
  <c r="H173" i="57" s="1"/>
  <c r="H172" i="57"/>
  <c r="S62" i="50"/>
  <c r="I62" i="50"/>
  <c r="F80" i="50"/>
  <c r="F81" i="50" s="1"/>
  <c r="T80" i="50"/>
  <c r="T81" i="50" s="1"/>
  <c r="BE198" i="55"/>
  <c r="V198" i="55"/>
  <c r="BE198" i="57"/>
  <c r="V198" i="57"/>
  <c r="B61" i="50"/>
  <c r="R172" i="52"/>
  <c r="L142" i="59"/>
  <c r="AK143" i="59"/>
  <c r="L143" i="59" s="1"/>
  <c r="AN124" i="58"/>
  <c r="P80" i="50"/>
  <c r="P81" i="50" s="1"/>
  <c r="L82" i="52"/>
  <c r="AK83" i="52"/>
  <c r="L83" i="52" s="1"/>
  <c r="D112" i="53"/>
  <c r="AC113" i="53"/>
  <c r="D113" i="53" s="1"/>
  <c r="AR4" i="55"/>
  <c r="U204" i="50"/>
  <c r="U146" i="50"/>
  <c r="U88" i="50"/>
  <c r="U59" i="50"/>
  <c r="AG23" i="57"/>
  <c r="H23" i="57" s="1"/>
  <c r="H22" i="57"/>
  <c r="AK293" i="57"/>
  <c r="L293" i="57" s="1"/>
  <c r="L292" i="57"/>
  <c r="T51" i="51"/>
  <c r="T52" i="51" s="1"/>
  <c r="L51" i="51"/>
  <c r="L52" i="51" s="1"/>
  <c r="B60" i="51"/>
  <c r="K62" i="51" s="1"/>
  <c r="R80" i="51"/>
  <c r="R81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S193" i="57"/>
  <c r="BF193" i="57"/>
  <c r="BX194" i="57"/>
  <c r="BW194" i="57"/>
  <c r="BS194" i="57"/>
  <c r="BG217" i="57"/>
  <c r="BF217" i="57"/>
  <c r="BW217" i="57"/>
  <c r="BW219" i="57"/>
  <c r="BF219" i="57"/>
  <c r="BG219" i="57"/>
  <c r="BF220" i="57"/>
  <c r="BF222" i="57"/>
  <c r="BW222" i="57"/>
  <c r="BG223" i="57"/>
  <c r="BS223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G256" i="57"/>
  <c r="BF257" i="57"/>
  <c r="BG257" i="57"/>
  <c r="BF278" i="57"/>
  <c r="BW278" i="57"/>
  <c r="BS278" i="57"/>
  <c r="BG283" i="57"/>
  <c r="BW283" i="57"/>
  <c r="BS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X108" i="59"/>
  <c r="BG108" i="59"/>
  <c r="BF108" i="59"/>
  <c r="BW108" i="59"/>
  <c r="BX129" i="59"/>
  <c r="BF131" i="59"/>
  <c r="BW131" i="59"/>
  <c r="BX131" i="59"/>
  <c r="BS132" i="59"/>
  <c r="BW132" i="59"/>
  <c r="BW134" i="59"/>
  <c r="BS134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M203" i="53"/>
  <c r="N203" i="53" s="1"/>
  <c r="N202" i="53"/>
  <c r="AS143" i="53"/>
  <c r="T143" i="53" s="1"/>
  <c r="T142" i="53"/>
  <c r="AT34" i="58"/>
  <c r="U33" i="50"/>
  <c r="AE23" i="55"/>
  <c r="F23" i="55" s="1"/>
  <c r="F22" i="55"/>
  <c r="P112" i="55"/>
  <c r="AK173" i="58"/>
  <c r="L173" i="58" s="1"/>
  <c r="L172" i="58"/>
  <c r="P22" i="59"/>
  <c r="AO23" i="59"/>
  <c r="P23" i="59" s="1"/>
  <c r="AS143" i="58"/>
  <c r="T143" i="58" s="1"/>
  <c r="T142" i="58"/>
  <c r="AI113" i="59"/>
  <c r="J113" i="59" s="1"/>
  <c r="J112" i="59"/>
  <c r="BE279" i="52"/>
  <c r="V279" i="52"/>
  <c r="BE136" i="53"/>
  <c r="AI143" i="55"/>
  <c r="J143" i="55" s="1"/>
  <c r="J142" i="55"/>
  <c r="AS233" i="57"/>
  <c r="T233" i="57" s="1"/>
  <c r="B3" i="53"/>
  <c r="J112" i="58"/>
  <c r="AI113" i="58"/>
  <c r="J113" i="58" s="1"/>
  <c r="AP26" i="16"/>
  <c r="AQ293" i="53"/>
  <c r="R293" i="53" s="1"/>
  <c r="R292" i="53"/>
  <c r="AM53" i="58"/>
  <c r="N53" i="58" s="1"/>
  <c r="N52" i="58"/>
  <c r="AC203" i="58"/>
  <c r="D203" i="58" s="1"/>
  <c r="D202" i="58"/>
  <c r="AQ53" i="59"/>
  <c r="R53" i="59" s="1"/>
  <c r="R52" i="59"/>
  <c r="T52" i="57"/>
  <c r="AS53" i="57"/>
  <c r="T53" i="57" s="1"/>
  <c r="P202" i="59"/>
  <c r="AG203" i="52"/>
  <c r="H203" i="52" s="1"/>
  <c r="H202" i="52"/>
  <c r="L292" i="52"/>
  <c r="AK297" i="52"/>
  <c r="L297" i="52" s="1"/>
  <c r="AK293" i="52"/>
  <c r="L293" i="52" s="1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D82" i="52"/>
  <c r="AE143" i="52"/>
  <c r="F143" i="52" s="1"/>
  <c r="H172" i="52"/>
  <c r="F112" i="55"/>
  <c r="BE11" i="55"/>
  <c r="V11" i="55"/>
  <c r="BE255" i="57"/>
  <c r="BX161" i="59"/>
  <c r="V98" i="52"/>
  <c r="BE98" i="52"/>
  <c r="V9" i="53"/>
  <c r="BE228" i="53"/>
  <c r="V228" i="53"/>
  <c r="BF131" i="52"/>
  <c r="BE99" i="52"/>
  <c r="V99" i="52"/>
  <c r="AN9" i="16"/>
  <c r="AM12" i="16"/>
  <c r="AO8" i="16"/>
  <c r="AH12" i="16"/>
  <c r="AM5" i="16"/>
  <c r="AP4" i="53" s="1"/>
  <c r="AN6" i="16"/>
  <c r="AJ10" i="16"/>
  <c r="AO13" i="16"/>
  <c r="AH7" i="16"/>
  <c r="G62" i="45" s="1"/>
  <c r="AM10" i="16"/>
  <c r="AI14" i="16"/>
  <c r="AI7" i="16"/>
  <c r="I62" i="45" s="1"/>
  <c r="AN10" i="16"/>
  <c r="AJ14" i="16"/>
  <c r="AK7" i="16"/>
  <c r="M62" i="45"/>
  <c r="AG11" i="16"/>
  <c r="AL14" i="16"/>
  <c r="AL8" i="16"/>
  <c r="AL13" i="16"/>
  <c r="AG9" i="16"/>
  <c r="AM13" i="16"/>
  <c r="AM15" i="16" s="1"/>
  <c r="AH9" i="16"/>
  <c r="AN13" i="16"/>
  <c r="AI9" i="16"/>
  <c r="AK14" i="16"/>
  <c r="AJ7" i="16"/>
  <c r="K62" i="45" s="1"/>
  <c r="AG12" i="16"/>
  <c r="BX252" i="52"/>
  <c r="BW255" i="52"/>
  <c r="V107" i="52"/>
  <c r="BE107" i="52"/>
  <c r="BF252" i="59"/>
  <c r="BF100" i="52"/>
  <c r="BX132" i="59"/>
  <c r="BX227" i="59"/>
  <c r="BW11" i="52"/>
  <c r="BX44" i="52"/>
  <c r="BS76" i="52"/>
  <c r="BF76" i="52"/>
  <c r="BG254" i="57"/>
  <c r="BG11" i="52"/>
  <c r="BG137" i="52"/>
  <c r="BX288" i="57"/>
  <c r="BX100" i="59"/>
  <c r="BF161" i="52"/>
  <c r="BX191" i="59"/>
  <c r="AN184" i="52"/>
  <c r="Q244" i="55"/>
  <c r="Q4" i="53"/>
  <c r="G4" i="41"/>
  <c r="S124" i="55"/>
  <c r="S184" i="59"/>
  <c r="S154" i="53"/>
  <c r="S94" i="57"/>
  <c r="AR4" i="52"/>
  <c r="S214" i="55"/>
  <c r="S34" i="59"/>
  <c r="S274" i="52"/>
  <c r="S154" i="52"/>
  <c r="S244" i="53"/>
  <c r="S34" i="53"/>
  <c r="S124" i="57"/>
  <c r="S244" i="59"/>
  <c r="S124" i="53"/>
  <c r="S214" i="52"/>
  <c r="S214" i="53"/>
  <c r="S64" i="57"/>
  <c r="AN124" i="52"/>
  <c r="AF34" i="52"/>
  <c r="AR274" i="52"/>
  <c r="AR274" i="53"/>
  <c r="U124" i="55"/>
  <c r="U274" i="53"/>
  <c r="U4" i="59"/>
  <c r="U4" i="58"/>
  <c r="U64" i="53"/>
  <c r="U94" i="55"/>
  <c r="O4" i="41"/>
  <c r="AL184" i="52"/>
  <c r="AH4" i="52"/>
  <c r="I4" i="52"/>
  <c r="I244" i="59"/>
  <c r="I4" i="55"/>
  <c r="I154" i="57"/>
  <c r="I214" i="59"/>
  <c r="I244" i="57"/>
  <c r="I34" i="52"/>
  <c r="I64" i="58"/>
  <c r="I64" i="57"/>
  <c r="I4" i="57"/>
  <c r="I34" i="55"/>
  <c r="I64" i="55"/>
  <c r="I184" i="52"/>
  <c r="M214" i="59"/>
  <c r="AD184" i="53"/>
  <c r="AD184" i="52"/>
  <c r="AL64" i="52"/>
  <c r="AN154" i="52"/>
  <c r="AN154" i="53"/>
  <c r="AP214" i="52"/>
  <c r="AF274" i="53"/>
  <c r="L199" i="53"/>
  <c r="T229" i="53"/>
  <c r="V193" i="53"/>
  <c r="BG127" i="53"/>
  <c r="BS127" i="53"/>
  <c r="BX127" i="53"/>
  <c r="BF76" i="53"/>
  <c r="BS76" i="53"/>
  <c r="BW76" i="53"/>
  <c r="BS13" i="53"/>
  <c r="BG13" i="53"/>
  <c r="BF13" i="53"/>
  <c r="BF10" i="53"/>
  <c r="BS10" i="53"/>
  <c r="AT214" i="52"/>
  <c r="G154" i="59"/>
  <c r="G4" i="58"/>
  <c r="G34" i="55"/>
  <c r="G154" i="55"/>
  <c r="G94" i="52"/>
  <c r="G274" i="55"/>
  <c r="G154" i="53"/>
  <c r="S4" i="41"/>
  <c r="S94" i="52"/>
  <c r="S184" i="57"/>
  <c r="S124" i="59"/>
  <c r="S244" i="55"/>
  <c r="S34" i="55"/>
  <c r="G4" i="55"/>
  <c r="G4" i="59"/>
  <c r="H109" i="50"/>
  <c r="H110" i="50" s="1"/>
  <c r="F109" i="50"/>
  <c r="F110" i="50" s="1"/>
  <c r="N109" i="50"/>
  <c r="N110" i="50" s="1"/>
  <c r="G91" i="50"/>
  <c r="L109" i="50"/>
  <c r="L110" i="50" s="1"/>
  <c r="T109" i="50"/>
  <c r="T110" i="50" s="1"/>
  <c r="M91" i="50"/>
  <c r="B90" i="50"/>
  <c r="O62" i="45"/>
  <c r="J22" i="53"/>
  <c r="AI23" i="53"/>
  <c r="J23" i="53" s="1"/>
  <c r="AK173" i="57"/>
  <c r="L173" i="57" s="1"/>
  <c r="L172" i="57"/>
  <c r="AK178" i="57"/>
  <c r="L178" i="57" s="1"/>
  <c r="AK175" i="57"/>
  <c r="L175" i="57" s="1"/>
  <c r="AO146" i="58"/>
  <c r="P146" i="58" s="1"/>
  <c r="AO145" i="58"/>
  <c r="P145" i="58" s="1"/>
  <c r="AO148" i="58"/>
  <c r="AP136" i="58" s="1"/>
  <c r="Q136" i="58" s="1"/>
  <c r="AL94" i="55"/>
  <c r="S62" i="45"/>
  <c r="D289" i="58"/>
  <c r="BE129" i="59"/>
  <c r="V129" i="59"/>
  <c r="AJ34" i="59"/>
  <c r="L49" i="53"/>
  <c r="N139" i="53"/>
  <c r="AQ175" i="59"/>
  <c r="AR157" i="59" s="1"/>
  <c r="S157" i="59" s="1"/>
  <c r="AQ173" i="59"/>
  <c r="R173" i="59" s="1"/>
  <c r="AQ178" i="59"/>
  <c r="U88" i="51"/>
  <c r="U233" i="5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W22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Q91" i="45" s="1"/>
  <c r="AC113" i="58"/>
  <c r="D113" i="58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AO83" i="52"/>
  <c r="P83" i="52" s="1"/>
  <c r="P82" i="52"/>
  <c r="AI23" i="55"/>
  <c r="J23" i="55" s="1"/>
  <c r="J22" i="55"/>
  <c r="AM146" i="53"/>
  <c r="N146" i="53" s="1"/>
  <c r="AM145" i="53"/>
  <c r="N145" i="53" s="1"/>
  <c r="AI53" i="52"/>
  <c r="J53" i="52" s="1"/>
  <c r="AC263" i="57"/>
  <c r="D263" i="57" s="1"/>
  <c r="D262" i="57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BE255" i="53"/>
  <c r="V255" i="53"/>
  <c r="BE284" i="53"/>
  <c r="V284" i="53"/>
  <c r="V161" i="55"/>
  <c r="AE293" i="59"/>
  <c r="F293" i="59" s="1"/>
  <c r="AO83" i="59"/>
  <c r="P83" i="59" s="1"/>
  <c r="P82" i="59"/>
  <c r="BE222" i="52"/>
  <c r="V222" i="52"/>
  <c r="F89" i="51"/>
  <c r="F60" i="51"/>
  <c r="AS83" i="53"/>
  <c r="T83" i="53" s="1"/>
  <c r="BX227" i="58"/>
  <c r="BG166" i="59"/>
  <c r="BX70" i="53"/>
  <c r="BG73" i="52"/>
  <c r="BW128" i="52"/>
  <c r="BF282" i="58"/>
  <c r="BF74" i="55"/>
  <c r="BG71" i="59"/>
  <c r="Q33" i="45"/>
  <c r="BE221" i="59"/>
  <c r="V221" i="59"/>
  <c r="BG288" i="57"/>
  <c r="BE15" i="58"/>
  <c r="V15" i="58"/>
  <c r="BG76" i="53"/>
  <c r="BG43" i="58"/>
  <c r="BF69" i="58"/>
  <c r="V75" i="59"/>
  <c r="BW227" i="57"/>
  <c r="BS43" i="59"/>
  <c r="BS282" i="57"/>
  <c r="BG11" i="58"/>
  <c r="BX188" i="57"/>
  <c r="BW127" i="53"/>
  <c r="BW188" i="58"/>
  <c r="BS42" i="59"/>
  <c r="BF100" i="59"/>
  <c r="BS130" i="58"/>
  <c r="BX68" i="59"/>
  <c r="BF250" i="53"/>
  <c r="BG131" i="59"/>
  <c r="BE227" i="57"/>
  <c r="V227" i="57"/>
  <c r="BF160" i="59"/>
  <c r="BW277" i="55"/>
  <c r="BW286" i="55"/>
  <c r="BF286" i="55"/>
  <c r="V286" i="55"/>
  <c r="BW283" i="55"/>
  <c r="BG283" i="55"/>
  <c r="V283" i="55"/>
  <c r="BF283" i="55"/>
  <c r="BG280" i="55"/>
  <c r="BS280" i="55"/>
  <c r="BF280" i="55"/>
  <c r="BW280" i="55"/>
  <c r="F289" i="55"/>
  <c r="BF277" i="55"/>
  <c r="V277" i="55"/>
  <c r="BG277" i="55"/>
  <c r="BW253" i="55"/>
  <c r="BS253" i="55"/>
  <c r="BF253" i="55"/>
  <c r="BG253" i="55"/>
  <c r="BF252" i="55"/>
  <c r="BX252" i="55"/>
  <c r="BW252" i="55"/>
  <c r="BG252" i="55"/>
  <c r="BF251" i="55"/>
  <c r="BG251" i="55"/>
  <c r="BS251" i="55"/>
  <c r="BF247" i="55"/>
  <c r="BS247" i="55"/>
  <c r="BG247" i="55"/>
  <c r="BX226" i="55"/>
  <c r="BF226" i="55"/>
  <c r="BS226" i="55"/>
  <c r="BF224" i="55"/>
  <c r="BW224" i="55"/>
  <c r="V217" i="55"/>
  <c r="BG166" i="55"/>
  <c r="BS166" i="55"/>
  <c r="BF166" i="55"/>
  <c r="BX127" i="55"/>
  <c r="V106" i="55"/>
  <c r="V101" i="55"/>
  <c r="V100" i="55"/>
  <c r="V67" i="55"/>
  <c r="V37" i="55"/>
  <c r="V7" i="55"/>
  <c r="AF244" i="52"/>
  <c r="AF244" i="53"/>
  <c r="AT244" i="52"/>
  <c r="AT244" i="53"/>
  <c r="AF184" i="53"/>
  <c r="AF184" i="52"/>
  <c r="AR34" i="57"/>
  <c r="S33" i="49"/>
  <c r="AJ94" i="59"/>
  <c r="O274" i="53"/>
  <c r="O274" i="59"/>
  <c r="O244" i="55"/>
  <c r="O4" i="57"/>
  <c r="O34" i="57"/>
  <c r="O124" i="57"/>
  <c r="O124" i="53"/>
  <c r="O4" i="52"/>
  <c r="O124" i="52"/>
  <c r="O184" i="55"/>
  <c r="O34" i="58"/>
  <c r="O34" i="55"/>
  <c r="Q62" i="51"/>
  <c r="B61" i="51"/>
  <c r="D80" i="51"/>
  <c r="D81" i="51" s="1"/>
  <c r="J80" i="51"/>
  <c r="J81" i="51" s="1"/>
  <c r="B89" i="51"/>
  <c r="E91" i="51" s="1"/>
  <c r="T80" i="51"/>
  <c r="T81" i="51" s="1"/>
  <c r="L80" i="51"/>
  <c r="L81" i="51" s="1"/>
  <c r="M94" i="57"/>
  <c r="I154" i="53"/>
  <c r="I124" i="55"/>
  <c r="I34" i="57"/>
  <c r="I154" i="59"/>
  <c r="I274" i="59"/>
  <c r="I214" i="58"/>
  <c r="I184" i="58"/>
  <c r="R82" i="53"/>
  <c r="I94" i="55"/>
  <c r="I34" i="59"/>
  <c r="I184" i="57"/>
  <c r="G34" i="57"/>
  <c r="G244" i="53"/>
  <c r="G244" i="57"/>
  <c r="I94" i="53"/>
  <c r="I34" i="53"/>
  <c r="I274" i="55"/>
  <c r="AF94" i="53"/>
  <c r="O33" i="41"/>
  <c r="AT94" i="53"/>
  <c r="S4" i="50"/>
  <c r="BG288" i="53"/>
  <c r="BS288" i="53"/>
  <c r="BX288" i="53"/>
  <c r="BF288" i="53"/>
  <c r="BW288" i="53"/>
  <c r="BF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W46" i="55"/>
  <c r="BG46" i="55"/>
  <c r="BF46" i="55"/>
  <c r="BX46" i="55"/>
  <c r="BX69" i="55"/>
  <c r="BG69" i="55"/>
  <c r="BW69" i="55"/>
  <c r="BF69" i="55"/>
  <c r="BS69" i="55"/>
  <c r="BS70" i="55"/>
  <c r="BG72" i="55"/>
  <c r="BF72" i="55"/>
  <c r="BW72" i="55"/>
  <c r="BX72" i="55"/>
  <c r="BS72" i="55"/>
  <c r="BG73" i="55"/>
  <c r="BF73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X107" i="55"/>
  <c r="BG107" i="55"/>
  <c r="BW107" i="55"/>
  <c r="BF107" i="55"/>
  <c r="BS107" i="55"/>
  <c r="BG130" i="55"/>
  <c r="BS132" i="55"/>
  <c r="BW132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G164" i="55"/>
  <c r="BF78" i="55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AD184" i="55"/>
  <c r="BS71" i="52"/>
  <c r="BF71" i="52"/>
  <c r="BW71" i="52"/>
  <c r="BS73" i="52"/>
  <c r="BX73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D124" i="57"/>
  <c r="A2" i="73"/>
  <c r="A2" i="63"/>
  <c r="U1" i="55"/>
  <c r="BS46" i="55"/>
  <c r="CA15" i="16"/>
  <c r="AP274" i="57"/>
  <c r="V9" i="52"/>
  <c r="BG98" i="55"/>
  <c r="AQ293" i="57"/>
  <c r="R293" i="57" s="1"/>
  <c r="R292" i="57"/>
  <c r="AO147" i="58"/>
  <c r="P142" i="58"/>
  <c r="AO143" i="58"/>
  <c r="P143" i="58" s="1"/>
  <c r="E33" i="51"/>
  <c r="BF41" i="55"/>
  <c r="F172" i="52"/>
  <c r="AE173" i="52"/>
  <c r="F173" i="52" s="1"/>
  <c r="AC173" i="59"/>
  <c r="D173" i="59" s="1"/>
  <c r="D172" i="59"/>
  <c r="BS98" i="55"/>
  <c r="AI23" i="52"/>
  <c r="J23" i="52" s="1"/>
  <c r="J22" i="52"/>
  <c r="O33" i="51"/>
  <c r="AN34" i="59"/>
  <c r="BW17" i="55"/>
  <c r="N172" i="57"/>
  <c r="AM173" i="57"/>
  <c r="N173" i="57" s="1"/>
  <c r="S4" i="51"/>
  <c r="AK143" i="55"/>
  <c r="L143" i="55" s="1"/>
  <c r="L142" i="55"/>
  <c r="H202" i="57"/>
  <c r="P172" i="58"/>
  <c r="AO173" i="58"/>
  <c r="P173" i="58" s="1"/>
  <c r="BX15" i="53"/>
  <c r="BG15" i="53"/>
  <c r="BW44" i="53"/>
  <c r="BF44" i="53"/>
  <c r="D262" i="58"/>
  <c r="U4" i="49"/>
  <c r="N52" i="55"/>
  <c r="T22" i="59"/>
  <c r="AS23" i="59"/>
  <c r="T23" i="59" s="1"/>
  <c r="P232" i="52"/>
  <c r="BE165" i="53"/>
  <c r="V165" i="53"/>
  <c r="V68" i="55"/>
  <c r="AK113" i="52"/>
  <c r="L113" i="52" s="1"/>
  <c r="L112" i="52"/>
  <c r="BJ26" i="16"/>
  <c r="BW14" i="53"/>
  <c r="BX14" i="53"/>
  <c r="BS46" i="53"/>
  <c r="BF46" i="53"/>
  <c r="BG133" i="53"/>
  <c r="BS133" i="53"/>
  <c r="BW9" i="57"/>
  <c r="BS9" i="57"/>
  <c r="BW10" i="57"/>
  <c r="BG10" i="57"/>
  <c r="BS10" i="57"/>
  <c r="BX10" i="57"/>
  <c r="BF12" i="57"/>
  <c r="BX12" i="57"/>
  <c r="BG12" i="57"/>
  <c r="BX18" i="57"/>
  <c r="BF18" i="57"/>
  <c r="BX39" i="57"/>
  <c r="BF39" i="57"/>
  <c r="BG41" i="57"/>
  <c r="BW41" i="57"/>
  <c r="BS44" i="57"/>
  <c r="BW44" i="57"/>
  <c r="BG46" i="57"/>
  <c r="BS46" i="57"/>
  <c r="BF46" i="57"/>
  <c r="BW46" i="57"/>
  <c r="BF68" i="57"/>
  <c r="BW68" i="57"/>
  <c r="BG70" i="57"/>
  <c r="BS70" i="57"/>
  <c r="BX72" i="57"/>
  <c r="BS72" i="57"/>
  <c r="BW72" i="57"/>
  <c r="BW73" i="57"/>
  <c r="BF73" i="57"/>
  <c r="BS73" i="57"/>
  <c r="BX73" i="57"/>
  <c r="BG78" i="57"/>
  <c r="BX78" i="57"/>
  <c r="BX99" i="57"/>
  <c r="BF99" i="57"/>
  <c r="BS99" i="57"/>
  <c r="BW101" i="57"/>
  <c r="BX101" i="57"/>
  <c r="BX104" i="57"/>
  <c r="BS104" i="57"/>
  <c r="BF127" i="57"/>
  <c r="BS127" i="57"/>
  <c r="BW127" i="57"/>
  <c r="BW131" i="57"/>
  <c r="BG131" i="57"/>
  <c r="BS131" i="57"/>
  <c r="BW133" i="57"/>
  <c r="BS133" i="57"/>
  <c r="BG135" i="57"/>
  <c r="BS135" i="57"/>
  <c r="BS136" i="57"/>
  <c r="BW136" i="57"/>
  <c r="BW138" i="57"/>
  <c r="BF138" i="57"/>
  <c r="BX159" i="57"/>
  <c r="BF159" i="57"/>
  <c r="BW159" i="57"/>
  <c r="BS159" i="57"/>
  <c r="BW8" i="53"/>
  <c r="BF8" i="53"/>
  <c r="BG8" i="53"/>
  <c r="BG12" i="53"/>
  <c r="BW12" i="53"/>
  <c r="BX16" i="53"/>
  <c r="BG16" i="53"/>
  <c r="BF17" i="53"/>
  <c r="BG17" i="53"/>
  <c r="BW38" i="53"/>
  <c r="BX38" i="53"/>
  <c r="BW41" i="53"/>
  <c r="BW225" i="55"/>
  <c r="BS225" i="55"/>
  <c r="BF225" i="55"/>
  <c r="BX254" i="55"/>
  <c r="BW254" i="55"/>
  <c r="BS257" i="55"/>
  <c r="BX257" i="55"/>
  <c r="BS281" i="55"/>
  <c r="BX281" i="55"/>
  <c r="BF281" i="55"/>
  <c r="BG284" i="55"/>
  <c r="BS284" i="55"/>
  <c r="BW284" i="55"/>
  <c r="BS288" i="55"/>
  <c r="BX288" i="55"/>
  <c r="K62" i="46"/>
  <c r="I62" i="46"/>
  <c r="U62" i="46"/>
  <c r="E62" i="46"/>
  <c r="G62" i="46"/>
  <c r="BG167" i="52"/>
  <c r="BX167" i="52"/>
  <c r="BG198" i="52"/>
  <c r="BS198" i="52"/>
  <c r="BW219" i="52"/>
  <c r="BX219" i="52"/>
  <c r="BG221" i="52"/>
  <c r="BX221" i="52"/>
  <c r="BW222" i="52"/>
  <c r="BG222" i="52"/>
  <c r="AC233" i="58"/>
  <c r="D233" i="58" s="1"/>
  <c r="AM268" i="59"/>
  <c r="N268" i="59" s="1"/>
  <c r="N262" i="59"/>
  <c r="AM266" i="59"/>
  <c r="N266" i="59" s="1"/>
  <c r="N292" i="59"/>
  <c r="AM293" i="59"/>
  <c r="N293" i="59" s="1"/>
  <c r="BE197" i="52"/>
  <c r="V197" i="52"/>
  <c r="N232" i="55"/>
  <c r="AM293" i="57"/>
  <c r="N293" i="57" s="1"/>
  <c r="N292" i="57"/>
  <c r="H292" i="58"/>
  <c r="AG297" i="58"/>
  <c r="H297" i="58" s="1"/>
  <c r="AG296" i="58"/>
  <c r="H296" i="58" s="1"/>
  <c r="AO295" i="59"/>
  <c r="AO298" i="59"/>
  <c r="V187" i="52"/>
  <c r="BE187" i="52"/>
  <c r="E4" i="45"/>
  <c r="AO293" i="57"/>
  <c r="P293" i="57" s="1"/>
  <c r="P292" i="57"/>
  <c r="BE219" i="53"/>
  <c r="V219" i="53"/>
  <c r="U117" i="50"/>
  <c r="BE12" i="59"/>
  <c r="V12" i="59"/>
  <c r="U30" i="50"/>
  <c r="AO203" i="55"/>
  <c r="P203" i="55" s="1"/>
  <c r="T262" i="58"/>
  <c r="BG71" i="52"/>
  <c r="BW13" i="53"/>
  <c r="BX43" i="59"/>
  <c r="BE6" i="16"/>
  <c r="AL34" i="55" s="1"/>
  <c r="BD8" i="16"/>
  <c r="AJ94" i="55" s="1"/>
  <c r="BD14" i="16"/>
  <c r="AJ274" i="55" s="1"/>
  <c r="BE7" i="16"/>
  <c r="BA9" i="16"/>
  <c r="AD124" i="55" s="1"/>
  <c r="BF5" i="16"/>
  <c r="BF7" i="16"/>
  <c r="BB9" i="16"/>
  <c r="BF11" i="16"/>
  <c r="AN184" i="55" s="1"/>
  <c r="BD13" i="16"/>
  <c r="AJ244" i="55" s="1"/>
  <c r="BI5" i="16"/>
  <c r="BA5" i="16"/>
  <c r="BG12" i="16"/>
  <c r="AP214" i="55" s="1"/>
  <c r="BC5" i="16"/>
  <c r="BH7" i="16"/>
  <c r="BB10" i="16"/>
  <c r="BD5" i="16"/>
  <c r="BC10" i="16"/>
  <c r="AH154" i="55" s="1"/>
  <c r="BH12" i="16"/>
  <c r="AR214" i="55" s="1"/>
  <c r="BE5" i="16"/>
  <c r="BA8" i="16"/>
  <c r="BD10" i="16"/>
  <c r="AJ154" i="55" s="1"/>
  <c r="BB8" i="16"/>
  <c r="BB13" i="16"/>
  <c r="BG8" i="16"/>
  <c r="AP94" i="55" s="1"/>
  <c r="BE11" i="16"/>
  <c r="AL184" i="55" s="1"/>
  <c r="BA14" i="16"/>
  <c r="AD274" i="55" s="1"/>
  <c r="V128" i="53"/>
  <c r="BB14" i="16"/>
  <c r="BE9" i="16"/>
  <c r="BA6" i="16"/>
  <c r="AD34" i="55" s="1"/>
  <c r="U33" i="46"/>
  <c r="BW68" i="52"/>
  <c r="BI11" i="16"/>
  <c r="AT184" i="55" s="1"/>
  <c r="BG7" i="16"/>
  <c r="BW6" i="16"/>
  <c r="I33" i="49" s="1"/>
  <c r="CC12" i="16"/>
  <c r="CD12" i="16" s="1"/>
  <c r="BV5" i="16"/>
  <c r="G4" i="49" s="1"/>
  <c r="BU7" i="16"/>
  <c r="AD64" i="57" s="1"/>
  <c r="CB11" i="16"/>
  <c r="AR184" i="57" s="1"/>
  <c r="BY7" i="16"/>
  <c r="AL64" i="57" s="1"/>
  <c r="BV10" i="16"/>
  <c r="BY12" i="16"/>
  <c r="BZ12" i="16"/>
  <c r="AN214" i="57" s="1"/>
  <c r="CC14" i="16"/>
  <c r="BZ7" i="16"/>
  <c r="AN64" i="57" s="1"/>
  <c r="BW10" i="16"/>
  <c r="AH154" i="57" s="1"/>
  <c r="BX157" i="53"/>
  <c r="D199" i="55"/>
  <c r="BG46" i="58"/>
  <c r="BE256" i="58"/>
  <c r="J51" i="46"/>
  <c r="J52" i="46" s="1"/>
  <c r="V252" i="52"/>
  <c r="BG167" i="57"/>
  <c r="S33" i="46"/>
  <c r="K33" i="46"/>
  <c r="O33" i="46"/>
  <c r="I33" i="46"/>
  <c r="G33" i="46"/>
  <c r="Q33" i="46"/>
  <c r="BX222" i="52"/>
  <c r="BW221" i="58"/>
  <c r="BG228" i="57"/>
  <c r="BG132" i="59"/>
  <c r="BW101" i="58"/>
  <c r="BF193" i="58"/>
  <c r="BS219" i="58"/>
  <c r="BG45" i="52"/>
  <c r="BS161" i="59"/>
  <c r="DP8" i="16"/>
  <c r="AR94" i="59"/>
  <c r="DQ9" i="16"/>
  <c r="AT124" i="59" s="1"/>
  <c r="DL11" i="16"/>
  <c r="DL15" i="16" s="1"/>
  <c r="DN12" i="16"/>
  <c r="AN214" i="59" s="1"/>
  <c r="DP13" i="16"/>
  <c r="AR244" i="59" s="1"/>
  <c r="DP14" i="16"/>
  <c r="DR14" i="16" s="1"/>
  <c r="DI7" i="16"/>
  <c r="E62" i="51" s="1"/>
  <c r="BW128" i="55"/>
  <c r="BW165" i="55"/>
  <c r="U4" i="46"/>
  <c r="AT4" i="55"/>
  <c r="L109" i="51"/>
  <c r="L110" i="51" s="1"/>
  <c r="G91" i="51"/>
  <c r="P109" i="51"/>
  <c r="P110" i="51" s="1"/>
  <c r="H109" i="51"/>
  <c r="H110" i="51" s="1"/>
  <c r="B90" i="51"/>
  <c r="AF94" i="55"/>
  <c r="S62" i="46"/>
  <c r="AR154" i="53"/>
  <c r="AR154" i="52"/>
  <c r="K33" i="41"/>
  <c r="AJ34" i="52"/>
  <c r="AR124" i="53"/>
  <c r="AF124" i="53"/>
  <c r="E4" i="50"/>
  <c r="AD4" i="58"/>
  <c r="AJ244" i="57"/>
  <c r="AJ124" i="52"/>
  <c r="AJ124" i="53"/>
  <c r="F109" i="45"/>
  <c r="F110" i="45" s="1"/>
  <c r="AN94" i="53"/>
  <c r="S91" i="45"/>
  <c r="M124" i="59"/>
  <c r="M94" i="55"/>
  <c r="M4" i="55"/>
  <c r="M184" i="55"/>
  <c r="M214" i="53"/>
  <c r="M94" i="59"/>
  <c r="H109" i="45"/>
  <c r="H110" i="45" s="1"/>
  <c r="AJ64" i="53"/>
  <c r="AR184" i="52"/>
  <c r="U4" i="45"/>
  <c r="Q154" i="59"/>
  <c r="Q94" i="53"/>
  <c r="Q244" i="59"/>
  <c r="I214" i="55"/>
  <c r="I244" i="53"/>
  <c r="I184" i="53"/>
  <c r="I214" i="52"/>
  <c r="I214" i="57"/>
  <c r="I64" i="52"/>
  <c r="I124" i="57"/>
  <c r="I64" i="59"/>
  <c r="I124" i="53"/>
  <c r="I4" i="41"/>
  <c r="I4" i="53"/>
  <c r="I124" i="59"/>
  <c r="I124" i="52"/>
  <c r="U91" i="45"/>
  <c r="AT64" i="57"/>
  <c r="S154" i="57"/>
  <c r="S184" i="53"/>
  <c r="S34" i="57"/>
  <c r="S214" i="57"/>
  <c r="S64" i="55"/>
  <c r="K91" i="50"/>
  <c r="F80" i="45"/>
  <c r="F81" i="45" s="1"/>
  <c r="AL4" i="59"/>
  <c r="BE137" i="55"/>
  <c r="V137" i="55"/>
  <c r="U62" i="45"/>
  <c r="D80" i="45"/>
  <c r="D81" i="45" s="1"/>
  <c r="AF4" i="59"/>
  <c r="K4" i="49"/>
  <c r="AS235" i="52"/>
  <c r="AT217" i="52" s="1"/>
  <c r="U217" i="52" s="1"/>
  <c r="AE83" i="57"/>
  <c r="F83" i="57" s="1"/>
  <c r="F82" i="57"/>
  <c r="H80" i="45"/>
  <c r="H81" i="45" s="1"/>
  <c r="CX26" i="16"/>
  <c r="AO207" i="55"/>
  <c r="AP193" i="55" s="1"/>
  <c r="Q193" i="55" s="1"/>
  <c r="P202" i="55"/>
  <c r="AO208" i="55"/>
  <c r="AG293" i="55"/>
  <c r="H293" i="55" s="1"/>
  <c r="H292" i="55"/>
  <c r="I4" i="49"/>
  <c r="T172" i="55"/>
  <c r="AS173" i="55"/>
  <c r="T173" i="55" s="1"/>
  <c r="S244" i="57"/>
  <c r="S64" i="53"/>
  <c r="S184" i="52"/>
  <c r="AD34" i="58"/>
  <c r="S34" i="52"/>
  <c r="S124" i="58"/>
  <c r="K33" i="50"/>
  <c r="Q4" i="45"/>
  <c r="S4" i="53"/>
  <c r="S274" i="53"/>
  <c r="R80" i="45"/>
  <c r="R81" i="45" s="1"/>
  <c r="N262" i="55"/>
  <c r="AM263" i="55"/>
  <c r="N263" i="55" s="1"/>
  <c r="S154" i="59"/>
  <c r="S124" i="52"/>
  <c r="S4" i="52"/>
  <c r="U33" i="45"/>
  <c r="N80" i="45"/>
  <c r="N81" i="45" s="1"/>
  <c r="AP4" i="55"/>
  <c r="AO263" i="55"/>
  <c r="P263" i="55" s="1"/>
  <c r="V165" i="57"/>
  <c r="AA76" i="55"/>
  <c r="B76" i="55" s="1"/>
  <c r="AA76" i="53"/>
  <c r="BE255" i="59"/>
  <c r="V255" i="59"/>
  <c r="V251" i="52"/>
  <c r="BE251" i="52"/>
  <c r="BW194" i="55"/>
  <c r="BS252" i="55"/>
  <c r="BF162" i="52"/>
  <c r="BE220" i="52"/>
  <c r="V220" i="52"/>
  <c r="BF193" i="53"/>
  <c r="BF161" i="53"/>
  <c r="BG227" i="53"/>
  <c r="BS277" i="55"/>
  <c r="BS192" i="58"/>
  <c r="V163" i="55"/>
  <c r="BF195" i="52"/>
  <c r="BS69" i="53"/>
  <c r="BF219" i="53"/>
  <c r="BG108" i="58"/>
  <c r="V250" i="55"/>
  <c r="BE250" i="55"/>
  <c r="BS192" i="55"/>
  <c r="BX192" i="57"/>
  <c r="BX278" i="55"/>
  <c r="BX8" i="55"/>
  <c r="BX251" i="55"/>
  <c r="BG103" i="58"/>
  <c r="BG279" i="58"/>
  <c r="DM8" i="16"/>
  <c r="M91" i="51" s="1"/>
  <c r="DO9" i="16"/>
  <c r="AP124" i="59" s="1"/>
  <c r="DK11" i="16"/>
  <c r="DK15" i="16" s="1"/>
  <c r="DO12" i="16"/>
  <c r="DJ7" i="16"/>
  <c r="G62" i="51" s="1"/>
  <c r="AF64" i="59"/>
  <c r="BS280" i="57"/>
  <c r="BG280" i="57"/>
  <c r="BF280" i="57"/>
  <c r="BX251" i="57"/>
  <c r="BG251" i="57"/>
  <c r="BS251" i="57"/>
  <c r="BW251" i="57"/>
  <c r="BG196" i="57"/>
  <c r="BS196" i="57"/>
  <c r="BW196" i="57"/>
  <c r="BE187" i="57"/>
  <c r="BS130" i="57"/>
  <c r="BG130" i="57"/>
  <c r="BW130" i="57"/>
  <c r="BX130" i="57"/>
  <c r="P139" i="57"/>
  <c r="BF7" i="57"/>
  <c r="BS7" i="57"/>
  <c r="AJ154" i="53"/>
  <c r="AJ154" i="52"/>
  <c r="AR64" i="55"/>
  <c r="E4" i="46"/>
  <c r="U33" i="51"/>
  <c r="AN64" i="53"/>
  <c r="O4" i="49"/>
  <c r="AN4" i="57"/>
  <c r="N80" i="51"/>
  <c r="N81" i="51" s="1"/>
  <c r="F80" i="51"/>
  <c r="F81" i="51" s="1"/>
  <c r="I62" i="51"/>
  <c r="S62" i="51"/>
  <c r="O62" i="51"/>
  <c r="M244" i="53"/>
  <c r="M154" i="57"/>
  <c r="O34" i="53"/>
  <c r="U274" i="52"/>
  <c r="U184" i="53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U94" i="57"/>
  <c r="U154" i="59"/>
  <c r="U124" i="53"/>
  <c r="U124" i="58"/>
  <c r="M34" i="57"/>
  <c r="M64" i="57"/>
  <c r="U124" i="57"/>
  <c r="U4" i="52"/>
  <c r="U94" i="53"/>
  <c r="Q33" i="50"/>
  <c r="R262" i="58"/>
  <c r="AQ263" i="58"/>
  <c r="R263" i="58" s="1"/>
  <c r="U154" i="53"/>
  <c r="M184" i="53"/>
  <c r="M124" i="53"/>
  <c r="O244" i="53"/>
  <c r="U244" i="55"/>
  <c r="U4" i="55"/>
  <c r="AO53" i="58"/>
  <c r="P53" i="58" s="1"/>
  <c r="P52" i="58"/>
  <c r="M154" i="59"/>
  <c r="M64" i="52"/>
  <c r="U274" i="55"/>
  <c r="U34" i="57"/>
  <c r="U4" i="41"/>
  <c r="M274" i="52"/>
  <c r="U184" i="52"/>
  <c r="U64" i="55"/>
  <c r="U94" i="59"/>
  <c r="AI293" i="55"/>
  <c r="J293" i="55" s="1"/>
  <c r="J292" i="55"/>
  <c r="Q214" i="53"/>
  <c r="M94" i="53"/>
  <c r="U214" i="52"/>
  <c r="U274" i="57"/>
  <c r="AP4" i="58"/>
  <c r="U34" i="59"/>
  <c r="U154" i="55"/>
  <c r="U184" i="55"/>
  <c r="R52" i="55"/>
  <c r="AQ53" i="55"/>
  <c r="R53" i="55" s="1"/>
  <c r="AF34" i="59"/>
  <c r="I33" i="45"/>
  <c r="CD26" i="16"/>
  <c r="AK263" i="55"/>
  <c r="L263" i="55" s="1"/>
  <c r="AG83" i="58"/>
  <c r="H83" i="58" s="1"/>
  <c r="G4" i="45"/>
  <c r="H172" i="55"/>
  <c r="AM233" i="53"/>
  <c r="N233" i="53" s="1"/>
  <c r="BX9" i="58"/>
  <c r="BX188" i="53"/>
  <c r="BX217" i="57"/>
  <c r="BW101" i="53"/>
  <c r="BS195" i="53"/>
  <c r="BX43" i="57"/>
  <c r="BF46" i="58"/>
  <c r="BE247" i="55"/>
  <c r="BX247" i="55"/>
  <c r="BE283" i="58"/>
  <c r="BX279" i="58"/>
  <c r="T289" i="58"/>
  <c r="BX256" i="58"/>
  <c r="BS256" i="58"/>
  <c r="BG256" i="58"/>
  <c r="T259" i="58"/>
  <c r="BF253" i="58"/>
  <c r="BW253" i="58"/>
  <c r="BF247" i="58"/>
  <c r="BS247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W187" i="58"/>
  <c r="BF187" i="58"/>
  <c r="BW163" i="58"/>
  <c r="BE163" i="58"/>
  <c r="BX163" i="58" s="1"/>
  <c r="BS163" i="58"/>
  <c r="BG163" i="58"/>
  <c r="BE160" i="58"/>
  <c r="BX160" i="58"/>
  <c r="BE136" i="58"/>
  <c r="BX136" i="58" s="1"/>
  <c r="BF136" i="58"/>
  <c r="BW132" i="58"/>
  <c r="BG132" i="58"/>
  <c r="BS127" i="58"/>
  <c r="T139" i="58"/>
  <c r="BF127" i="58"/>
  <c r="AU109" i="58"/>
  <c r="BB110" i="58" s="1"/>
  <c r="V107" i="58"/>
  <c r="BS76" i="58"/>
  <c r="AU79" i="58"/>
  <c r="BB80" i="58" s="1"/>
  <c r="BF67" i="58"/>
  <c r="BG67" i="58"/>
  <c r="BS67" i="58"/>
  <c r="V40" i="58"/>
  <c r="V37" i="58"/>
  <c r="BS18" i="58"/>
  <c r="BF12" i="58"/>
  <c r="BX12" i="58"/>
  <c r="BS12" i="58"/>
  <c r="BE7" i="58"/>
  <c r="BX7" i="58" s="1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K184" i="53"/>
  <c r="K214" i="58"/>
  <c r="K124" i="53"/>
  <c r="K94" i="59"/>
  <c r="K154" i="58"/>
  <c r="K274" i="59"/>
  <c r="K34" i="57"/>
  <c r="K244" i="55"/>
  <c r="K184" i="59"/>
  <c r="K94" i="53"/>
  <c r="K184" i="57"/>
  <c r="K124" i="59"/>
  <c r="K274" i="55"/>
  <c r="K124" i="52"/>
  <c r="K184" i="58"/>
  <c r="K214" i="59"/>
  <c r="K64" i="52"/>
  <c r="K64" i="55"/>
  <c r="K94" i="55"/>
  <c r="K214" i="52"/>
  <c r="K154" i="55"/>
  <c r="K244" i="57"/>
  <c r="K214" i="53"/>
  <c r="K184" i="52"/>
  <c r="K34" i="58"/>
  <c r="K94" i="58"/>
  <c r="K274" i="52"/>
  <c r="K4" i="58"/>
  <c r="K154" i="59"/>
  <c r="K4" i="57"/>
  <c r="K154" i="52"/>
  <c r="K4" i="59"/>
  <c r="S33" i="41"/>
  <c r="AJ94" i="57"/>
  <c r="BX15" i="16"/>
  <c r="CD8" i="16"/>
  <c r="AF4" i="57"/>
  <c r="B118" i="45"/>
  <c r="I120" i="45" s="1"/>
  <c r="D109" i="45"/>
  <c r="D110" i="45" s="1"/>
  <c r="T109" i="45"/>
  <c r="T110" i="45" s="1"/>
  <c r="G91" i="45"/>
  <c r="AJ274" i="52"/>
  <c r="AL214" i="57"/>
  <c r="I91" i="51"/>
  <c r="U91" i="51"/>
  <c r="F109" i="51"/>
  <c r="F110" i="51" s="1"/>
  <c r="T109" i="51"/>
  <c r="T110" i="51" s="1"/>
  <c r="R109" i="51"/>
  <c r="R110" i="51" s="1"/>
  <c r="K91" i="51"/>
  <c r="AN4" i="52"/>
  <c r="O244" i="52"/>
  <c r="O94" i="59"/>
  <c r="O154" i="53"/>
  <c r="O184" i="53"/>
  <c r="AD4" i="57"/>
  <c r="AR244" i="53"/>
  <c r="K4" i="50"/>
  <c r="AJ4" i="58"/>
  <c r="I4" i="50"/>
  <c r="S64" i="59"/>
  <c r="S4" i="57"/>
  <c r="S94" i="59"/>
  <c r="S244" i="52"/>
  <c r="S154" i="55"/>
  <c r="S274" i="59"/>
  <c r="S184" i="58"/>
  <c r="S214" i="59"/>
  <c r="S274" i="55"/>
  <c r="S64" i="52"/>
  <c r="S94" i="53"/>
  <c r="S184" i="55"/>
  <c r="AH64" i="52"/>
  <c r="G33" i="50"/>
  <c r="AL64" i="53"/>
  <c r="M34" i="52"/>
  <c r="M124" i="57"/>
  <c r="M4" i="59"/>
  <c r="M4" i="52"/>
  <c r="M34" i="53"/>
  <c r="M244" i="59"/>
  <c r="AF64" i="52"/>
  <c r="AF4" i="55"/>
  <c r="G4" i="46"/>
  <c r="K4" i="51"/>
  <c r="AJ4" i="59"/>
  <c r="CD13" i="16"/>
  <c r="AH244" i="57"/>
  <c r="AP244" i="53"/>
  <c r="I94" i="57"/>
  <c r="I154" i="52"/>
  <c r="U274" i="59"/>
  <c r="AN244" i="52"/>
  <c r="U124" i="52"/>
  <c r="U59" i="51"/>
  <c r="M4" i="50"/>
  <c r="U204" i="51"/>
  <c r="U262" i="51"/>
  <c r="U175" i="51"/>
  <c r="G33" i="49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H82" i="57"/>
  <c r="P112" i="59"/>
  <c r="AO113" i="59"/>
  <c r="P113" i="59" s="1"/>
  <c r="AE143" i="59"/>
  <c r="F143" i="59" s="1"/>
  <c r="F142" i="59"/>
  <c r="BE287" i="53"/>
  <c r="V287" i="53"/>
  <c r="AM173" i="55"/>
  <c r="N173" i="55" s="1"/>
  <c r="A2" i="75"/>
  <c r="U1" i="58"/>
  <c r="BE10" i="58"/>
  <c r="V10" i="58"/>
  <c r="I244" i="52"/>
  <c r="U64" i="59"/>
  <c r="U94" i="58"/>
  <c r="AQ113" i="53"/>
  <c r="R113" i="53" s="1"/>
  <c r="R112" i="53"/>
  <c r="D172" i="57"/>
  <c r="AC173" i="57"/>
  <c r="D173" i="57" s="1"/>
  <c r="U30" i="51"/>
  <c r="U117" i="51"/>
  <c r="DR26" i="16"/>
  <c r="BE127" i="58"/>
  <c r="BX127" i="58"/>
  <c r="V127" i="58"/>
  <c r="BX76" i="58"/>
  <c r="AU139" i="58"/>
  <c r="BB140" i="58" s="1"/>
  <c r="BX223" i="57"/>
  <c r="BS16" i="55"/>
  <c r="BS288" i="52"/>
  <c r="BE137" i="52"/>
  <c r="V137" i="52"/>
  <c r="BG253" i="58"/>
  <c r="BG161" i="57"/>
  <c r="BG106" i="58"/>
  <c r="BW127" i="58"/>
  <c r="BW190" i="58"/>
  <c r="BX11" i="59"/>
  <c r="BG48" i="58"/>
  <c r="BS187" i="58"/>
  <c r="BS78" i="53"/>
  <c r="BX247" i="57"/>
  <c r="BF279" i="58"/>
  <c r="BX16" i="57"/>
  <c r="BW247" i="58"/>
  <c r="BS286" i="58"/>
  <c r="BF11" i="53"/>
  <c r="BG286" i="55"/>
  <c r="BG12" i="58"/>
  <c r="BS227" i="52"/>
  <c r="BX70" i="57"/>
  <c r="BG78" i="58"/>
  <c r="BF45" i="53"/>
  <c r="BS283" i="55"/>
  <c r="BX196" i="57"/>
  <c r="BX17" i="57"/>
  <c r="BF138" i="58"/>
  <c r="BE98" i="58"/>
  <c r="BW280" i="57"/>
  <c r="BG226" i="55"/>
  <c r="BE223" i="58"/>
  <c r="BX223" i="58"/>
  <c r="O120" i="45"/>
  <c r="BS277" i="59"/>
  <c r="T289" i="59"/>
  <c r="BG277" i="59"/>
  <c r="BW277" i="59"/>
  <c r="BS256" i="59"/>
  <c r="V256" i="59"/>
  <c r="BF256" i="59"/>
  <c r="BG253" i="59"/>
  <c r="T259" i="59"/>
  <c r="BS253" i="59"/>
  <c r="BW253" i="59"/>
  <c r="BG250" i="59"/>
  <c r="BF250" i="59"/>
  <c r="T229" i="59"/>
  <c r="BS196" i="59"/>
  <c r="BG196" i="59"/>
  <c r="BW196" i="59"/>
  <c r="BF196" i="59"/>
  <c r="BG193" i="59"/>
  <c r="BF191" i="59"/>
  <c r="T199" i="59"/>
  <c r="BX167" i="59"/>
  <c r="BF167" i="59"/>
  <c r="BS167" i="59"/>
  <c r="V160" i="59"/>
  <c r="BS158" i="59"/>
  <c r="BG158" i="59"/>
  <c r="BW158" i="59"/>
  <c r="V136" i="59"/>
  <c r="V127" i="59"/>
  <c r="BS106" i="59"/>
  <c r="BG106" i="59"/>
  <c r="BW106" i="59"/>
  <c r="BF103" i="59"/>
  <c r="BS103" i="59"/>
  <c r="L109" i="59"/>
  <c r="AU79" i="59"/>
  <c r="V79" i="59" s="1"/>
  <c r="BW48" i="59"/>
  <c r="BS48" i="59"/>
  <c r="BG48" i="59"/>
  <c r="BX48" i="59"/>
  <c r="BW37" i="59"/>
  <c r="BS16" i="59"/>
  <c r="BE13" i="59"/>
  <c r="V7" i="59"/>
  <c r="V252" i="59"/>
  <c r="V253" i="53"/>
  <c r="V251" i="55"/>
  <c r="BF253" i="59"/>
  <c r="AU259" i="58"/>
  <c r="V259" i="58" s="1"/>
  <c r="BS250" i="59"/>
  <c r="AU259" i="59"/>
  <c r="V259" i="59" s="1"/>
  <c r="BX224" i="53"/>
  <c r="BX220" i="57"/>
  <c r="BS191" i="59"/>
  <c r="BF193" i="59"/>
  <c r="BF163" i="58"/>
  <c r="BX158" i="59"/>
  <c r="V159" i="58"/>
  <c r="BX157" i="57"/>
  <c r="BS136" i="58"/>
  <c r="BF130" i="57"/>
  <c r="V139" i="58"/>
  <c r="BF132" i="58"/>
  <c r="BG97" i="59"/>
  <c r="V109" i="57"/>
  <c r="V104" i="58"/>
  <c r="BF106" i="59"/>
  <c r="BE101" i="58"/>
  <c r="BW69" i="59"/>
  <c r="BX77" i="59"/>
  <c r="BF77" i="59"/>
  <c r="BG73" i="59"/>
  <c r="V67" i="53"/>
  <c r="V68" i="58"/>
  <c r="V75" i="53"/>
  <c r="BG69" i="59"/>
  <c r="BS69" i="59"/>
  <c r="BF69" i="59"/>
  <c r="V75" i="57"/>
  <c r="BX73" i="59"/>
  <c r="V73" i="58"/>
  <c r="V72" i="57"/>
  <c r="BW67" i="58"/>
  <c r="V69" i="59"/>
  <c r="V72" i="53"/>
  <c r="V75" i="55"/>
  <c r="V67" i="58"/>
  <c r="V74" i="53"/>
  <c r="V71" i="59"/>
  <c r="V75" i="52"/>
  <c r="V74" i="57"/>
  <c r="V75" i="58"/>
  <c r="V76" i="58"/>
  <c r="BE77" i="59"/>
  <c r="BX37" i="58"/>
  <c r="BS48" i="58"/>
  <c r="BX38" i="52"/>
  <c r="BE46" i="59"/>
  <c r="BX44" i="58"/>
  <c r="BG38" i="52"/>
  <c r="BW40" i="58"/>
  <c r="BS44" i="58"/>
  <c r="V38" i="58"/>
  <c r="BS40" i="58"/>
  <c r="BS38" i="52"/>
  <c r="BG40" i="58"/>
  <c r="V48" i="55"/>
  <c r="BW48" i="58"/>
  <c r="BX48" i="58"/>
  <c r="BF48" i="58"/>
  <c r="V48" i="57"/>
  <c r="V46" i="58"/>
  <c r="V41" i="57"/>
  <c r="BF44" i="58"/>
  <c r="V38" i="59"/>
  <c r="BX40" i="58"/>
  <c r="BF37" i="59"/>
  <c r="BF48" i="59"/>
  <c r="BW14" i="58"/>
  <c r="BE14" i="52"/>
  <c r="BG14" i="58"/>
  <c r="BG18" i="58"/>
  <c r="BG10" i="58"/>
  <c r="V14" i="53"/>
  <c r="V9" i="58"/>
  <c r="BW10" i="58"/>
  <c r="V17" i="58"/>
  <c r="BF10" i="58"/>
  <c r="V18" i="55"/>
  <c r="V15" i="57"/>
  <c r="BX9" i="53"/>
  <c r="BF16" i="59"/>
  <c r="BF18" i="58"/>
  <c r="V16" i="59"/>
  <c r="BX196" i="59"/>
  <c r="H259" i="59"/>
  <c r="BE103" i="59"/>
  <c r="V106" i="59"/>
  <c r="AU229" i="59"/>
  <c r="V229" i="59" s="1"/>
  <c r="T112" i="59"/>
  <c r="BE70" i="58"/>
  <c r="BX70" i="58"/>
  <c r="BE196" i="58"/>
  <c r="BX196" i="58" s="1"/>
  <c r="BE134" i="58"/>
  <c r="V129" i="57"/>
  <c r="V277" i="57"/>
  <c r="BE44" i="55"/>
  <c r="AG23" i="52"/>
  <c r="H23" i="52" s="1"/>
  <c r="AG233" i="55"/>
  <c r="H233" i="55" s="1"/>
  <c r="AK296" i="52"/>
  <c r="AL280" i="52" s="1"/>
  <c r="M280" i="52" s="1"/>
  <c r="T172" i="52"/>
  <c r="AU289" i="59" l="1"/>
  <c r="BB290" i="59" s="1"/>
  <c r="BW223" i="59"/>
  <c r="BF223" i="59"/>
  <c r="BS157" i="59"/>
  <c r="BF40" i="59"/>
  <c r="AU49" i="59"/>
  <c r="V49" i="59" s="1"/>
  <c r="BF14" i="59"/>
  <c r="BS136" i="59"/>
  <c r="J49" i="59"/>
  <c r="BX283" i="59"/>
  <c r="BF283" i="59"/>
  <c r="BS283" i="59"/>
  <c r="BF280" i="59"/>
  <c r="BW280" i="59"/>
  <c r="BS247" i="59"/>
  <c r="BX247" i="59"/>
  <c r="BF247" i="59"/>
  <c r="BG247" i="59"/>
  <c r="BW217" i="59"/>
  <c r="BG217" i="59"/>
  <c r="V217" i="59"/>
  <c r="BX187" i="59"/>
  <c r="BS187" i="59"/>
  <c r="BG187" i="59"/>
  <c r="BF187" i="59"/>
  <c r="AU169" i="59"/>
  <c r="BB170" i="59" s="1"/>
  <c r="BW136" i="59"/>
  <c r="BF136" i="59"/>
  <c r="BW133" i="59"/>
  <c r="AU139" i="59"/>
  <c r="BB140" i="59" s="1"/>
  <c r="BX106" i="59"/>
  <c r="BW103" i="59"/>
  <c r="AU109" i="59"/>
  <c r="V109" i="59" s="1"/>
  <c r="V76" i="59"/>
  <c r="BW14" i="59"/>
  <c r="BS14" i="59"/>
  <c r="BX14" i="59"/>
  <c r="BG14" i="59"/>
  <c r="AU19" i="59"/>
  <c r="BS7" i="59"/>
  <c r="BF7" i="59"/>
  <c r="BS40" i="59"/>
  <c r="BG40" i="59"/>
  <c r="V8" i="59"/>
  <c r="V286" i="59"/>
  <c r="V280" i="59"/>
  <c r="V277" i="59"/>
  <c r="AU199" i="59"/>
  <c r="BB200" i="59" s="1"/>
  <c r="V166" i="59"/>
  <c r="V133" i="59"/>
  <c r="BX130" i="59"/>
  <c r="BE67" i="59"/>
  <c r="V43" i="59"/>
  <c r="BF13" i="59"/>
  <c r="V10" i="59"/>
  <c r="E154" i="53"/>
  <c r="B119" i="45"/>
  <c r="Q184" i="57"/>
  <c r="AJ94" i="53"/>
  <c r="Q214" i="59"/>
  <c r="DI15" i="16"/>
  <c r="Q34" i="55"/>
  <c r="Q94" i="55"/>
  <c r="Q214" i="52"/>
  <c r="Q64" i="58"/>
  <c r="CD5" i="16"/>
  <c r="G94" i="53"/>
  <c r="AR64" i="52"/>
  <c r="E214" i="55"/>
  <c r="G94" i="57"/>
  <c r="G4" i="57"/>
  <c r="AH154" i="52"/>
  <c r="Q184" i="53"/>
  <c r="Q274" i="55"/>
  <c r="AF64" i="53"/>
  <c r="B61" i="46"/>
  <c r="V132" i="53"/>
  <c r="AK295" i="52"/>
  <c r="AK298" i="52"/>
  <c r="AL286" i="52" s="1"/>
  <c r="M286" i="52" s="1"/>
  <c r="P262" i="57"/>
  <c r="AO263" i="57"/>
  <c r="P263" i="57" s="1"/>
  <c r="V198" i="53"/>
  <c r="BE198" i="53"/>
  <c r="BE132" i="59"/>
  <c r="V132" i="59"/>
  <c r="AS293" i="55"/>
  <c r="T293" i="55" s="1"/>
  <c r="AS296" i="55"/>
  <c r="R202" i="59"/>
  <c r="AQ203" i="59"/>
  <c r="R203" i="59" s="1"/>
  <c r="H292" i="59"/>
  <c r="AG293" i="59"/>
  <c r="H293" i="59" s="1"/>
  <c r="AI206" i="53"/>
  <c r="AI207" i="53"/>
  <c r="AJ193" i="53" s="1"/>
  <c r="K193" i="53" s="1"/>
  <c r="AI208" i="53"/>
  <c r="J208" i="53" s="1"/>
  <c r="AK143" i="53"/>
  <c r="L143" i="53" s="1"/>
  <c r="L142" i="53"/>
  <c r="T112" i="53"/>
  <c r="AS113" i="53"/>
  <c r="T113" i="53" s="1"/>
  <c r="BE158" i="53"/>
  <c r="V158" i="53"/>
  <c r="BE218" i="59"/>
  <c r="V218" i="59"/>
  <c r="BF41" i="53"/>
  <c r="BS277" i="53"/>
  <c r="BW43" i="57"/>
  <c r="BS43" i="57"/>
  <c r="BW98" i="57"/>
  <c r="BG98" i="57"/>
  <c r="BG218" i="57"/>
  <c r="BF218" i="57"/>
  <c r="E94" i="58"/>
  <c r="AT34" i="59"/>
  <c r="Q34" i="59"/>
  <c r="Q4" i="58"/>
  <c r="Q124" i="53"/>
  <c r="Q214" i="55"/>
  <c r="E4" i="59"/>
  <c r="G244" i="52"/>
  <c r="G214" i="57"/>
  <c r="AH214" i="52"/>
  <c r="Q64" i="52"/>
  <c r="Q64" i="57"/>
  <c r="P80" i="46"/>
  <c r="P81" i="46" s="1"/>
  <c r="B89" i="46"/>
  <c r="AC143" i="55"/>
  <c r="D143" i="55" s="1"/>
  <c r="D142" i="55"/>
  <c r="AC145" i="55"/>
  <c r="AC146" i="55"/>
  <c r="AD130" i="55" s="1"/>
  <c r="E130" i="55" s="1"/>
  <c r="AK177" i="55"/>
  <c r="AL163" i="55" s="1"/>
  <c r="M163" i="55" s="1"/>
  <c r="AK176" i="55"/>
  <c r="L176" i="55" s="1"/>
  <c r="AK175" i="55"/>
  <c r="L175" i="55" s="1"/>
  <c r="BE167" i="52"/>
  <c r="V167" i="52"/>
  <c r="BE107" i="53"/>
  <c r="V107" i="53"/>
  <c r="Q184" i="52"/>
  <c r="Q184" i="58"/>
  <c r="Q94" i="57"/>
  <c r="Q34" i="53"/>
  <c r="Q214" i="57"/>
  <c r="Q4" i="55"/>
  <c r="J80" i="46"/>
  <c r="J81" i="46" s="1"/>
  <c r="T80" i="46"/>
  <c r="T81" i="46" s="1"/>
  <c r="AI267" i="58"/>
  <c r="J267" i="58" s="1"/>
  <c r="AI268" i="58"/>
  <c r="AJ256" i="58" s="1"/>
  <c r="K256" i="58" s="1"/>
  <c r="AI263" i="58"/>
  <c r="J263" i="58" s="1"/>
  <c r="E4" i="55"/>
  <c r="E124" i="53"/>
  <c r="Q34" i="57"/>
  <c r="Q274" i="57"/>
  <c r="AD64" i="59"/>
  <c r="Q244" i="53"/>
  <c r="G4" i="53"/>
  <c r="AD4" i="52"/>
  <c r="G64" i="59"/>
  <c r="G214" i="59"/>
  <c r="AD124" i="53"/>
  <c r="Q244" i="57"/>
  <c r="Q64" i="55"/>
  <c r="L80" i="46"/>
  <c r="L81" i="46" s="1"/>
  <c r="D292" i="55"/>
  <c r="AS295" i="55"/>
  <c r="T295" i="55" s="1"/>
  <c r="D22" i="57"/>
  <c r="V46" i="53"/>
  <c r="AS57" i="59"/>
  <c r="AT43" i="59" s="1"/>
  <c r="U43" i="59" s="1"/>
  <c r="AS58" i="59"/>
  <c r="H142" i="59"/>
  <c r="AG147" i="59"/>
  <c r="H147" i="59" s="1"/>
  <c r="AG203" i="59"/>
  <c r="H203" i="59" s="1"/>
  <c r="H202" i="59"/>
  <c r="N232" i="59"/>
  <c r="AM233" i="59"/>
  <c r="N233" i="59" s="1"/>
  <c r="AC263" i="53"/>
  <c r="D263" i="53" s="1"/>
  <c r="D262" i="53"/>
  <c r="S120" i="45"/>
  <c r="Q64" i="59"/>
  <c r="E4" i="58"/>
  <c r="BJ11" i="16"/>
  <c r="Q274" i="58"/>
  <c r="Q4" i="41"/>
  <c r="V8" i="16"/>
  <c r="BC15" i="16"/>
  <c r="Q154" i="55"/>
  <c r="AJ244" i="53"/>
  <c r="E154" i="52"/>
  <c r="G214" i="53"/>
  <c r="Q4" i="59"/>
  <c r="Q244" i="52"/>
  <c r="AN214" i="53"/>
  <c r="AS297" i="55"/>
  <c r="T297" i="55" s="1"/>
  <c r="AK203" i="52"/>
  <c r="L203" i="52" s="1"/>
  <c r="L202" i="52"/>
  <c r="AQ173" i="55"/>
  <c r="R173" i="55" s="1"/>
  <c r="R172" i="55"/>
  <c r="AG203" i="55"/>
  <c r="H203" i="55" s="1"/>
  <c r="H202" i="55"/>
  <c r="AO233" i="55"/>
  <c r="P233" i="55" s="1"/>
  <c r="P232" i="55"/>
  <c r="AI203" i="57"/>
  <c r="J203" i="57" s="1"/>
  <c r="J202" i="57"/>
  <c r="D22" i="59"/>
  <c r="AC23" i="59"/>
  <c r="D23" i="59" s="1"/>
  <c r="AU229" i="53"/>
  <c r="BB230" i="53" s="1"/>
  <c r="Q154" i="57"/>
  <c r="E91" i="46"/>
  <c r="E244" i="58"/>
  <c r="Q274" i="53"/>
  <c r="R80" i="46"/>
  <c r="R81" i="46" s="1"/>
  <c r="N80" i="46"/>
  <c r="N81" i="46" s="1"/>
  <c r="AC113" i="55"/>
  <c r="D113" i="55" s="1"/>
  <c r="D112" i="55"/>
  <c r="AE113" i="57"/>
  <c r="F113" i="57" s="1"/>
  <c r="F112" i="57"/>
  <c r="AQ143" i="58"/>
  <c r="R143" i="58" s="1"/>
  <c r="R142" i="58"/>
  <c r="AG295" i="58"/>
  <c r="AG298" i="58"/>
  <c r="BE248" i="53"/>
  <c r="V248" i="53"/>
  <c r="BE15" i="55"/>
  <c r="V15" i="55"/>
  <c r="BE189" i="59"/>
  <c r="V189" i="59"/>
  <c r="BE197" i="59"/>
  <c r="V197" i="59"/>
  <c r="BE223" i="59"/>
  <c r="V223" i="59"/>
  <c r="BE249" i="59"/>
  <c r="V249" i="59"/>
  <c r="BS11" i="52"/>
  <c r="BX42" i="52"/>
  <c r="BF44" i="52"/>
  <c r="BF45" i="52"/>
  <c r="BX71" i="52"/>
  <c r="BW73" i="52"/>
  <c r="BS99" i="52"/>
  <c r="BF105" i="52"/>
  <c r="BF129" i="52"/>
  <c r="BS129" i="52"/>
  <c r="BX129" i="52"/>
  <c r="BW132" i="52"/>
  <c r="BX132" i="52"/>
  <c r="BX158" i="52"/>
  <c r="BS159" i="52"/>
  <c r="BF165" i="52"/>
  <c r="BS167" i="52"/>
  <c r="BS188" i="52"/>
  <c r="BG191" i="52"/>
  <c r="BS194" i="52"/>
  <c r="BX194" i="52"/>
  <c r="BF221" i="52"/>
  <c r="BW221" i="52"/>
  <c r="BW225" i="52"/>
  <c r="BG249" i="52"/>
  <c r="BS252" i="52"/>
  <c r="BX255" i="52"/>
  <c r="BW258" i="52"/>
  <c r="BX279" i="52"/>
  <c r="BG279" i="52"/>
  <c r="BG288" i="52"/>
  <c r="BX8" i="53"/>
  <c r="BG10" i="53"/>
  <c r="BX12" i="53"/>
  <c r="BF14" i="53"/>
  <c r="BG14" i="53"/>
  <c r="Q94" i="59"/>
  <c r="G120" i="45"/>
  <c r="E34" i="58"/>
  <c r="Q15" i="16"/>
  <c r="Q274" i="52"/>
  <c r="Q4" i="57"/>
  <c r="Q124" i="57"/>
  <c r="Q154" i="52"/>
  <c r="G64" i="52"/>
  <c r="E33" i="41"/>
  <c r="E34" i="57"/>
  <c r="G274" i="59"/>
  <c r="G64" i="53"/>
  <c r="G214" i="55"/>
  <c r="G184" i="59"/>
  <c r="Q154" i="53"/>
  <c r="AN274" i="52"/>
  <c r="AS298" i="55"/>
  <c r="T298" i="55" s="1"/>
  <c r="H80" i="46"/>
  <c r="H81" i="46" s="1"/>
  <c r="AG115" i="53"/>
  <c r="AG117" i="53"/>
  <c r="AH103" i="53" s="1"/>
  <c r="I103" i="53" s="1"/>
  <c r="AG113" i="53"/>
  <c r="H113" i="53" s="1"/>
  <c r="AS23" i="53"/>
  <c r="T23" i="53" s="1"/>
  <c r="T22" i="53"/>
  <c r="P51" i="49"/>
  <c r="P52" i="49" s="1"/>
  <c r="D51" i="49"/>
  <c r="D52" i="49" s="1"/>
  <c r="BF37" i="53"/>
  <c r="BF40" i="53"/>
  <c r="BF74" i="53"/>
  <c r="BF133" i="53"/>
  <c r="BF160" i="53"/>
  <c r="BW192" i="53"/>
  <c r="BS253" i="53"/>
  <c r="BS8" i="55"/>
  <c r="BG16" i="55"/>
  <c r="BW73" i="55"/>
  <c r="BF76" i="55"/>
  <c r="BW279" i="55"/>
  <c r="BF72" i="57"/>
  <c r="BX135" i="57"/>
  <c r="BS168" i="57"/>
  <c r="BE15" i="52"/>
  <c r="V15" i="52"/>
  <c r="BE40" i="53"/>
  <c r="V40" i="53"/>
  <c r="BE130" i="55"/>
  <c r="V130" i="55"/>
  <c r="BE138" i="55"/>
  <c r="V138" i="55"/>
  <c r="BE44" i="59"/>
  <c r="V44" i="59"/>
  <c r="BE7" i="53"/>
  <c r="V7" i="53"/>
  <c r="BE15" i="53"/>
  <c r="V15" i="53"/>
  <c r="BE38" i="55"/>
  <c r="V38" i="55"/>
  <c r="BE71" i="55"/>
  <c r="V71" i="55"/>
  <c r="BE70" i="59"/>
  <c r="V70" i="59"/>
  <c r="BE102" i="52"/>
  <c r="V102" i="52"/>
  <c r="BE132" i="55"/>
  <c r="V132" i="55"/>
  <c r="BE158" i="55"/>
  <c r="V158" i="55"/>
  <c r="BE166" i="55"/>
  <c r="V166" i="55"/>
  <c r="BE192" i="55"/>
  <c r="V192" i="55"/>
  <c r="BE218" i="55"/>
  <c r="V218" i="55"/>
  <c r="BE76" i="57"/>
  <c r="BX76" i="57" s="1"/>
  <c r="V76" i="57"/>
  <c r="BE102" i="57"/>
  <c r="V102" i="57"/>
  <c r="BE128" i="57"/>
  <c r="V128" i="57"/>
  <c r="BE188" i="57"/>
  <c r="V188" i="57"/>
  <c r="BE41" i="58"/>
  <c r="V41" i="58"/>
  <c r="BE288" i="58"/>
  <c r="V288" i="58"/>
  <c r="BE69" i="52"/>
  <c r="V69" i="52"/>
  <c r="BE77" i="52"/>
  <c r="V77" i="52"/>
  <c r="BE189" i="53"/>
  <c r="V189" i="53"/>
  <c r="BE99" i="55"/>
  <c r="V99" i="55"/>
  <c r="BE159" i="55"/>
  <c r="V159" i="55"/>
  <c r="BE167" i="55"/>
  <c r="V167" i="55"/>
  <c r="BE252" i="55"/>
  <c r="V252" i="55"/>
  <c r="BE278" i="55"/>
  <c r="V278" i="55"/>
  <c r="BE45" i="57"/>
  <c r="V45" i="57"/>
  <c r="BE77" i="57"/>
  <c r="V77" i="57"/>
  <c r="BE103" i="57"/>
  <c r="V103" i="57"/>
  <c r="BE249" i="57"/>
  <c r="V249" i="57"/>
  <c r="BE8" i="58"/>
  <c r="V8" i="58"/>
  <c r="BE16" i="58"/>
  <c r="BX16" i="58" s="1"/>
  <c r="V16" i="58"/>
  <c r="BE42" i="58"/>
  <c r="V42" i="58"/>
  <c r="BE102" i="58"/>
  <c r="V102" i="58"/>
  <c r="BE247" i="58"/>
  <c r="V247" i="58"/>
  <c r="BW16" i="53"/>
  <c r="BX17" i="53"/>
  <c r="BG18" i="53"/>
  <c r="BF38" i="53"/>
  <c r="BG39" i="53"/>
  <c r="BF42" i="53"/>
  <c r="BF47" i="53"/>
  <c r="BS47" i="53"/>
  <c r="BW69" i="53"/>
  <c r="BG70" i="53"/>
  <c r="BS71" i="53"/>
  <c r="BW71" i="53"/>
  <c r="M15" i="79" s="1"/>
  <c r="BF71" i="53"/>
  <c r="BF75" i="53"/>
  <c r="BG78" i="53"/>
  <c r="BW98" i="53"/>
  <c r="BS102" i="53"/>
  <c r="BF102" i="53"/>
  <c r="BW105" i="53"/>
  <c r="BX107" i="53"/>
  <c r="BG132" i="53"/>
  <c r="BS134" i="53"/>
  <c r="BW135" i="53"/>
  <c r="BS157" i="53"/>
  <c r="BX161" i="53"/>
  <c r="BW164" i="53"/>
  <c r="BF165" i="53"/>
  <c r="BW165" i="53"/>
  <c r="M86" i="79" s="1"/>
  <c r="BG165" i="53"/>
  <c r="BS167" i="53"/>
  <c r="BW189" i="53"/>
  <c r="BS189" i="53"/>
  <c r="BS191" i="53"/>
  <c r="BX191" i="53"/>
  <c r="BF198" i="53"/>
  <c r="BG219" i="53"/>
  <c r="BS223" i="53"/>
  <c r="BF223" i="53"/>
  <c r="BW224" i="53"/>
  <c r="BG228" i="53"/>
  <c r="BX228" i="53"/>
  <c r="BW228" i="53"/>
  <c r="BG248" i="53"/>
  <c r="BS250" i="53"/>
  <c r="BX251" i="53"/>
  <c r="BG252" i="53"/>
  <c r="BS254" i="53"/>
  <c r="BS258" i="53"/>
  <c r="BX277" i="53"/>
  <c r="BG279" i="53"/>
  <c r="BG283" i="53"/>
  <c r="BW12" i="55"/>
  <c r="BG45" i="55"/>
  <c r="BX48" i="55"/>
  <c r="BG68" i="55"/>
  <c r="BG71" i="55"/>
  <c r="BX74" i="55"/>
  <c r="BS108" i="55"/>
  <c r="BS129" i="55"/>
  <c r="BX132" i="55"/>
  <c r="BS188" i="55"/>
  <c r="BG190" i="55"/>
  <c r="BW192" i="55"/>
  <c r="BX194" i="55"/>
  <c r="BS195" i="55"/>
  <c r="BF197" i="55"/>
  <c r="BS219" i="55"/>
  <c r="BF221" i="55"/>
  <c r="BG224" i="55"/>
  <c r="BS227" i="55"/>
  <c r="BW227" i="55"/>
  <c r="BG249" i="55"/>
  <c r="BX253" i="55"/>
  <c r="BG281" i="55"/>
  <c r="BF282" i="55"/>
  <c r="BX284" i="55"/>
  <c r="BW285" i="55"/>
  <c r="BF285" i="55"/>
  <c r="BW7" i="57"/>
  <c r="BF10" i="57"/>
  <c r="BW12" i="57"/>
  <c r="BS15" i="57"/>
  <c r="BS16" i="57"/>
  <c r="BW18" i="57"/>
  <c r="BS37" i="57"/>
  <c r="BS42" i="57"/>
  <c r="BG44" i="57"/>
  <c r="BW45" i="57"/>
  <c r="BG45" i="57"/>
  <c r="BS47" i="57"/>
  <c r="BF48" i="57"/>
  <c r="BG48" i="57"/>
  <c r="BS48" i="57"/>
  <c r="BG68" i="57"/>
  <c r="BG73" i="57"/>
  <c r="BG74" i="57"/>
  <c r="BX74" i="57"/>
  <c r="BW75" i="57"/>
  <c r="BG99" i="57"/>
  <c r="BW103" i="57"/>
  <c r="BF107" i="57"/>
  <c r="BW108" i="57"/>
  <c r="BF108" i="57"/>
  <c r="BG108" i="57"/>
  <c r="BX131" i="57"/>
  <c r="BX132" i="57"/>
  <c r="BW134" i="57"/>
  <c r="BS137" i="57"/>
  <c r="BS138" i="57"/>
  <c r="BX138" i="57"/>
  <c r="BS218" i="57"/>
  <c r="BX221" i="57"/>
  <c r="BF255" i="57"/>
  <c r="BE97" i="53"/>
  <c r="V97" i="53"/>
  <c r="BE223" i="53"/>
  <c r="BX223" i="53" s="1"/>
  <c r="V223" i="53"/>
  <c r="BX100" i="57"/>
  <c r="BS168" i="58"/>
  <c r="BE138" i="52"/>
  <c r="BE134" i="53"/>
  <c r="BE108" i="55"/>
  <c r="V108" i="55"/>
  <c r="BE134" i="55"/>
  <c r="V134" i="55"/>
  <c r="BE188" i="58"/>
  <c r="V188" i="58"/>
  <c r="BE219" i="59"/>
  <c r="V219" i="59"/>
  <c r="BW130" i="53"/>
  <c r="BX247" i="53"/>
  <c r="BG256" i="53"/>
  <c r="N37" i="79" s="1"/>
  <c r="BS7" i="55"/>
  <c r="BS131" i="55"/>
  <c r="BG133" i="55"/>
  <c r="BX217" i="55"/>
  <c r="BG223" i="55"/>
  <c r="DQ5" i="16"/>
  <c r="DN8" i="16"/>
  <c r="DN9" i="16"/>
  <c r="AN124" i="59" s="1"/>
  <c r="DO10" i="16"/>
  <c r="DM12" i="16"/>
  <c r="AL214" i="59" s="1"/>
  <c r="DN13" i="16"/>
  <c r="DM7" i="16"/>
  <c r="BW168" i="58"/>
  <c r="BS105" i="58"/>
  <c r="AE143" i="53"/>
  <c r="F143" i="53" s="1"/>
  <c r="F142" i="53"/>
  <c r="BE38" i="52"/>
  <c r="V38" i="52"/>
  <c r="BE45" i="52"/>
  <c r="V45" i="52"/>
  <c r="BX160" i="53"/>
  <c r="BE218" i="53"/>
  <c r="BE44" i="58"/>
  <c r="V44" i="58"/>
  <c r="BE228" i="59"/>
  <c r="V228" i="59"/>
  <c r="BG286" i="53"/>
  <c r="BW43" i="55"/>
  <c r="BF67" i="55"/>
  <c r="BG100" i="55"/>
  <c r="BG103" i="55"/>
  <c r="BG104" i="55"/>
  <c r="BX106" i="55"/>
  <c r="BS130" i="55"/>
  <c r="BW167" i="55"/>
  <c r="BF227" i="55"/>
  <c r="BG256" i="55"/>
  <c r="AU139" i="53"/>
  <c r="V139" i="53" s="1"/>
  <c r="BE165" i="52"/>
  <c r="V165" i="52"/>
  <c r="BE162" i="55"/>
  <c r="V162" i="55"/>
  <c r="BX7" i="57"/>
  <c r="BE132" i="57"/>
  <c r="V132" i="57"/>
  <c r="BE9" i="59"/>
  <c r="V9" i="59"/>
  <c r="BX8" i="52"/>
  <c r="BF13" i="52"/>
  <c r="BF15" i="52"/>
  <c r="BS17" i="52"/>
  <c r="BS103" i="52"/>
  <c r="BG132" i="52"/>
  <c r="BS158" i="52"/>
  <c r="BW224" i="52"/>
  <c r="BS258" i="52"/>
  <c r="BW11" i="53"/>
  <c r="BS37" i="53"/>
  <c r="BW40" i="53"/>
  <c r="BW45" i="53"/>
  <c r="BF48" i="53"/>
  <c r="BG71" i="53"/>
  <c r="BW97" i="53"/>
  <c r="BW103" i="53"/>
  <c r="M3" i="79" s="1"/>
  <c r="BS105" i="53"/>
  <c r="BF106" i="53"/>
  <c r="BS108" i="53"/>
  <c r="BG134" i="53"/>
  <c r="BX168" i="53"/>
  <c r="BW190" i="53"/>
  <c r="BX194" i="53"/>
  <c r="BX221" i="53"/>
  <c r="BS278" i="53"/>
  <c r="BF39" i="55"/>
  <c r="BF43" i="55"/>
  <c r="BG70" i="55"/>
  <c r="BG77" i="55"/>
  <c r="BS100" i="55"/>
  <c r="BS164" i="55"/>
  <c r="BX188" i="55"/>
  <c r="BF193" i="55"/>
  <c r="BW222" i="55"/>
  <c r="BG227" i="55"/>
  <c r="BF248" i="55"/>
  <c r="BG250" i="55"/>
  <c r="BX277" i="55"/>
  <c r="BX285" i="55"/>
  <c r="BG7" i="57"/>
  <c r="BF9" i="57"/>
  <c r="BX11" i="57"/>
  <c r="BG14" i="57"/>
  <c r="BG17" i="57"/>
  <c r="BF38" i="57"/>
  <c r="BX40" i="57"/>
  <c r="BF74" i="57"/>
  <c r="BX103" i="57"/>
  <c r="BG106" i="57"/>
  <c r="BG132" i="57"/>
  <c r="BS192" i="57"/>
  <c r="BW255" i="57"/>
  <c r="BF258" i="57"/>
  <c r="BX13" i="58"/>
  <c r="BS68" i="58"/>
  <c r="BW102" i="58"/>
  <c r="BG128" i="58"/>
  <c r="BG165" i="58"/>
  <c r="BS228" i="58"/>
  <c r="BS249" i="58"/>
  <c r="BX254" i="58"/>
  <c r="BS257" i="58"/>
  <c r="BW7" i="59"/>
  <c r="BW9" i="59"/>
  <c r="BX72" i="59"/>
  <c r="BX99" i="59"/>
  <c r="BS135" i="59"/>
  <c r="BX193" i="59"/>
  <c r="BS198" i="59"/>
  <c r="BS219" i="59"/>
  <c r="BF248" i="59"/>
  <c r="BX253" i="59"/>
  <c r="BX256" i="59"/>
  <c r="BX282" i="59"/>
  <c r="BG72" i="57"/>
  <c r="Q33" i="49"/>
  <c r="BG255" i="57"/>
  <c r="BE189" i="55"/>
  <c r="V189" i="55"/>
  <c r="BE8" i="57"/>
  <c r="V8" i="57"/>
  <c r="BE279" i="57"/>
  <c r="V279" i="57"/>
  <c r="BG159" i="57"/>
  <c r="BW160" i="57"/>
  <c r="BS162" i="57"/>
  <c r="BF167" i="57"/>
  <c r="BG168" i="57"/>
  <c r="BS225" i="57"/>
  <c r="BF228" i="57"/>
  <c r="BW248" i="57"/>
  <c r="BS254" i="57"/>
  <c r="BX283" i="57"/>
  <c r="BF288" i="57"/>
  <c r="BS17" i="58"/>
  <c r="BX38" i="58"/>
  <c r="BS72" i="58"/>
  <c r="BX74" i="58"/>
  <c r="BW75" i="58"/>
  <c r="BW98" i="58"/>
  <c r="BG130" i="58"/>
  <c r="BG135" i="58"/>
  <c r="BW137" i="58"/>
  <c r="M92" i="82" s="1"/>
  <c r="BF159" i="58"/>
  <c r="BX217" i="58"/>
  <c r="BW219" i="58"/>
  <c r="BW224" i="58"/>
  <c r="BS251" i="58"/>
  <c r="BW255" i="58"/>
  <c r="BF258" i="58"/>
  <c r="BS279" i="58"/>
  <c r="BX287" i="58"/>
  <c r="BF10" i="59"/>
  <c r="BF20" i="59" s="1"/>
  <c r="BS11" i="59"/>
  <c r="BW16" i="59"/>
  <c r="BW42" i="59"/>
  <c r="BS47" i="59"/>
  <c r="BS68" i="59"/>
  <c r="BX74" i="59"/>
  <c r="BS108" i="59"/>
  <c r="BW128" i="59"/>
  <c r="BF129" i="59"/>
  <c r="BS131" i="59"/>
  <c r="BG136" i="59"/>
  <c r="BF158" i="59"/>
  <c r="BX194" i="59"/>
  <c r="BX221" i="59"/>
  <c r="BF226" i="59"/>
  <c r="BW250" i="59"/>
  <c r="U33" i="49"/>
  <c r="BW254" i="58"/>
  <c r="N142" i="58"/>
  <c r="AM143" i="58"/>
  <c r="N143" i="58" s="1"/>
  <c r="AA279" i="55"/>
  <c r="B279" i="55" s="1"/>
  <c r="BE221" i="57"/>
  <c r="V221" i="57"/>
  <c r="BE74" i="58"/>
  <c r="V74" i="58"/>
  <c r="BE279" i="58"/>
  <c r="V279" i="58"/>
  <c r="BG158" i="53"/>
  <c r="BF103" i="53"/>
  <c r="BF187" i="53"/>
  <c r="BF200" i="53" s="1"/>
  <c r="BG220" i="53"/>
  <c r="BX166" i="57"/>
  <c r="BX226" i="57"/>
  <c r="BG250" i="57"/>
  <c r="BS277" i="57"/>
  <c r="BG37" i="58"/>
  <c r="BS166" i="58"/>
  <c r="BF71" i="58"/>
  <c r="BW71" i="58"/>
  <c r="BS71" i="58"/>
  <c r="BG71" i="58"/>
  <c r="BE286" i="58"/>
  <c r="BX286" i="58" s="1"/>
  <c r="BS284" i="58"/>
  <c r="BG283" i="58"/>
  <c r="BE280" i="58"/>
  <c r="BX280" i="58" s="1"/>
  <c r="AU289" i="58"/>
  <c r="BB290" i="58" s="1"/>
  <c r="BS277" i="58"/>
  <c r="BX277" i="58"/>
  <c r="BF277" i="58"/>
  <c r="V253" i="58"/>
  <c r="BB260" i="58"/>
  <c r="BS221" i="58"/>
  <c r="BS220" i="58"/>
  <c r="AU229" i="58"/>
  <c r="BE187" i="58"/>
  <c r="BX187" i="58" s="1"/>
  <c r="BF166" i="58"/>
  <c r="BW166" i="58"/>
  <c r="BG166" i="58"/>
  <c r="BX166" i="58"/>
  <c r="AU169" i="58"/>
  <c r="BX157" i="58"/>
  <c r="BG131" i="58"/>
  <c r="BF140" i="58"/>
  <c r="V109" i="58"/>
  <c r="BF73" i="58"/>
  <c r="BX73" i="58"/>
  <c r="BF43" i="58"/>
  <c r="AU49" i="58"/>
  <c r="BB50" i="58" s="1"/>
  <c r="F49" i="58"/>
  <c r="BS37" i="58"/>
  <c r="BF37" i="58"/>
  <c r="BW37" i="58"/>
  <c r="BG15" i="58"/>
  <c r="AU19" i="58"/>
  <c r="V19" i="58" s="1"/>
  <c r="N38" i="82"/>
  <c r="AU289" i="57"/>
  <c r="V289" i="57" s="1"/>
  <c r="H289" i="57"/>
  <c r="BF277" i="57"/>
  <c r="BW277" i="57"/>
  <c r="BX250" i="57"/>
  <c r="BF250" i="57"/>
  <c r="BW250" i="57"/>
  <c r="V250" i="57"/>
  <c r="BG226" i="57"/>
  <c r="BF226" i="57"/>
  <c r="BW226" i="57"/>
  <c r="BS226" i="57"/>
  <c r="BF223" i="57"/>
  <c r="BF221" i="57"/>
  <c r="BF196" i="57"/>
  <c r="V196" i="57"/>
  <c r="BW193" i="57"/>
  <c r="BX187" i="57"/>
  <c r="BG187" i="57"/>
  <c r="BF187" i="57"/>
  <c r="BW187" i="57"/>
  <c r="BS187" i="57"/>
  <c r="AU199" i="57"/>
  <c r="BF166" i="57"/>
  <c r="BW166" i="57"/>
  <c r="BS166" i="57"/>
  <c r="BG166" i="57"/>
  <c r="N10" i="81" s="1"/>
  <c r="BG163" i="57"/>
  <c r="BF163" i="57"/>
  <c r="BX163" i="57"/>
  <c r="BW163" i="57"/>
  <c r="BS163" i="57"/>
  <c r="AU139" i="57"/>
  <c r="BB140" i="57" s="1"/>
  <c r="V131" i="57"/>
  <c r="H139" i="57"/>
  <c r="BS101" i="57"/>
  <c r="BS100" i="57"/>
  <c r="BW100" i="57"/>
  <c r="BF100" i="57"/>
  <c r="V100" i="57"/>
  <c r="BS76" i="57"/>
  <c r="AU79" i="57"/>
  <c r="V79" i="57" s="1"/>
  <c r="V67" i="57"/>
  <c r="N12" i="81"/>
  <c r="BF13" i="57"/>
  <c r="BW13" i="57"/>
  <c r="AU19" i="57"/>
  <c r="V19" i="57" s="1"/>
  <c r="BW11" i="57"/>
  <c r="BS11" i="57"/>
  <c r="V7" i="57"/>
  <c r="N13" i="81"/>
  <c r="N29" i="81"/>
  <c r="BS286" i="55"/>
  <c r="AU289" i="55"/>
  <c r="V289" i="55" s="1"/>
  <c r="BS256" i="55"/>
  <c r="BF256" i="55"/>
  <c r="BW256" i="55"/>
  <c r="BX256" i="55"/>
  <c r="V253" i="55"/>
  <c r="BX250" i="55"/>
  <c r="BW250" i="55"/>
  <c r="BS250" i="55"/>
  <c r="BG248" i="55"/>
  <c r="BX248" i="55"/>
  <c r="AU259" i="55"/>
  <c r="BB260" i="55" s="1"/>
  <c r="H259" i="55"/>
  <c r="BS248" i="55"/>
  <c r="BX227" i="55"/>
  <c r="V227" i="55"/>
  <c r="V226" i="55"/>
  <c r="BW223" i="55"/>
  <c r="BF223" i="55"/>
  <c r="BS223" i="55"/>
  <c r="BX223" i="55"/>
  <c r="V223" i="55"/>
  <c r="BF220" i="55"/>
  <c r="BG220" i="55"/>
  <c r="BX220" i="55"/>
  <c r="BS220" i="55"/>
  <c r="BW220" i="55"/>
  <c r="V220" i="55"/>
  <c r="BX218" i="55"/>
  <c r="BW218" i="55"/>
  <c r="BS218" i="55"/>
  <c r="BF218" i="55"/>
  <c r="BF217" i="55"/>
  <c r="BG217" i="55"/>
  <c r="AU229" i="55"/>
  <c r="V229" i="55" s="1"/>
  <c r="BW217" i="55"/>
  <c r="BS217" i="55"/>
  <c r="V196" i="55"/>
  <c r="BG196" i="55"/>
  <c r="BW196" i="55"/>
  <c r="BX196" i="55"/>
  <c r="BF196" i="55"/>
  <c r="BS196" i="55"/>
  <c r="BW193" i="55"/>
  <c r="BS193" i="55"/>
  <c r="BG193" i="55"/>
  <c r="V193" i="55"/>
  <c r="BW190" i="55"/>
  <c r="V190" i="55"/>
  <c r="BF190" i="55"/>
  <c r="BF187" i="55"/>
  <c r="BX187" i="55"/>
  <c r="AU199" i="55"/>
  <c r="BB200" i="55" s="1"/>
  <c r="BG187" i="55"/>
  <c r="BS187" i="55"/>
  <c r="BW187" i="55"/>
  <c r="V187" i="55"/>
  <c r="BX167" i="55"/>
  <c r="BS167" i="55"/>
  <c r="BF164" i="55"/>
  <c r="BX164" i="55"/>
  <c r="BW164" i="55"/>
  <c r="BF163" i="55"/>
  <c r="BW163" i="55"/>
  <c r="BS163" i="55"/>
  <c r="BG163" i="55"/>
  <c r="BS160" i="55"/>
  <c r="AU169" i="55"/>
  <c r="BB170" i="55" s="1"/>
  <c r="BW160" i="55"/>
  <c r="BF160" i="55"/>
  <c r="BG160" i="55"/>
  <c r="V160" i="55"/>
  <c r="V157" i="55"/>
  <c r="BW157" i="55"/>
  <c r="BG157" i="55"/>
  <c r="BS157" i="55"/>
  <c r="BF157" i="55"/>
  <c r="BX136" i="55"/>
  <c r="BG136" i="55"/>
  <c r="V136" i="55"/>
  <c r="BW136" i="55"/>
  <c r="BF136" i="55"/>
  <c r="BW133" i="55"/>
  <c r="BS133" i="55"/>
  <c r="BF133" i="55"/>
  <c r="BF130" i="55"/>
  <c r="BX130" i="55"/>
  <c r="BW130" i="55"/>
  <c r="BG131" i="55"/>
  <c r="BW131" i="55"/>
  <c r="V128" i="55"/>
  <c r="BW127" i="55"/>
  <c r="BG127" i="55"/>
  <c r="BF127" i="55"/>
  <c r="BS127" i="55"/>
  <c r="BE127" i="55"/>
  <c r="AU139" i="55"/>
  <c r="BF106" i="55"/>
  <c r="BS106" i="55"/>
  <c r="BG106" i="55"/>
  <c r="BW106" i="55"/>
  <c r="BX104" i="55"/>
  <c r="BF104" i="55"/>
  <c r="BS104" i="55"/>
  <c r="BW104" i="55"/>
  <c r="V104" i="55"/>
  <c r="BF103" i="55"/>
  <c r="BX103" i="55"/>
  <c r="BW103" i="55"/>
  <c r="BS103" i="55"/>
  <c r="V103" i="55"/>
  <c r="BF100" i="55"/>
  <c r="BX100" i="55"/>
  <c r="BW100" i="55"/>
  <c r="AU109" i="55"/>
  <c r="V109" i="55" s="1"/>
  <c r="BS97" i="55"/>
  <c r="BW97" i="55"/>
  <c r="BF97" i="55"/>
  <c r="BF110" i="55" s="1"/>
  <c r="BG97" i="55"/>
  <c r="BE97" i="55"/>
  <c r="BX97" i="55" s="1"/>
  <c r="BE77" i="55"/>
  <c r="BF77" i="55"/>
  <c r="BW77" i="55"/>
  <c r="BX77" i="55"/>
  <c r="BS77" i="55"/>
  <c r="BS76" i="55"/>
  <c r="BG76" i="55"/>
  <c r="BW76" i="55"/>
  <c r="BX76" i="55"/>
  <c r="BE76" i="55"/>
  <c r="BW74" i="55"/>
  <c r="BG74" i="55"/>
  <c r="BS74" i="55"/>
  <c r="V74" i="55"/>
  <c r="BX73" i="55"/>
  <c r="BE73" i="55"/>
  <c r="BS73" i="55"/>
  <c r="BW70" i="55"/>
  <c r="BF70" i="55"/>
  <c r="AU79" i="55"/>
  <c r="V79" i="55" s="1"/>
  <c r="BG67" i="55"/>
  <c r="BS67" i="55"/>
  <c r="BX67" i="55"/>
  <c r="BW67" i="55"/>
  <c r="J79" i="55"/>
  <c r="V46" i="55"/>
  <c r="BX43" i="55"/>
  <c r="BG43" i="55"/>
  <c r="BS43" i="55"/>
  <c r="BW40" i="55"/>
  <c r="BG40" i="55"/>
  <c r="BF40" i="55"/>
  <c r="BS40" i="55"/>
  <c r="V40" i="55"/>
  <c r="BS37" i="55"/>
  <c r="AU49" i="55"/>
  <c r="V49" i="55" s="1"/>
  <c r="BG37" i="55"/>
  <c r="BF37" i="55"/>
  <c r="BW37" i="55"/>
  <c r="D49" i="55"/>
  <c r="BW16" i="55"/>
  <c r="V16" i="55"/>
  <c r="BF16" i="55"/>
  <c r="BX16" i="55"/>
  <c r="BF13" i="55"/>
  <c r="BG13" i="55"/>
  <c r="BW13" i="55"/>
  <c r="BS13" i="55"/>
  <c r="V10" i="55"/>
  <c r="BS10" i="55"/>
  <c r="BG10" i="55"/>
  <c r="BW10" i="55"/>
  <c r="BF10" i="55"/>
  <c r="AU19" i="55"/>
  <c r="V19" i="55" s="1"/>
  <c r="BF8" i="55"/>
  <c r="BG8" i="55"/>
  <c r="BW8" i="55"/>
  <c r="V8" i="55"/>
  <c r="BW7" i="55"/>
  <c r="BG7" i="55"/>
  <c r="BX7" i="55"/>
  <c r="BF163" i="53"/>
  <c r="BG103" i="53"/>
  <c r="BS286" i="53"/>
  <c r="BW286" i="53"/>
  <c r="BF286" i="53"/>
  <c r="AU289" i="53"/>
  <c r="BF277" i="53"/>
  <c r="BG277" i="53"/>
  <c r="N24" i="79" s="1"/>
  <c r="V256" i="53"/>
  <c r="BF256" i="53"/>
  <c r="BW256" i="53"/>
  <c r="BS256" i="53"/>
  <c r="BG253" i="53"/>
  <c r="BW253" i="53"/>
  <c r="M58" i="79" s="1"/>
  <c r="BF253" i="53"/>
  <c r="BG249" i="53"/>
  <c r="BS247" i="53"/>
  <c r="BG247" i="53"/>
  <c r="BW247" i="53"/>
  <c r="M57" i="79" s="1"/>
  <c r="BF247" i="53"/>
  <c r="AU259" i="53"/>
  <c r="BB260" i="53" s="1"/>
  <c r="V226" i="53"/>
  <c r="BS220" i="53"/>
  <c r="BF220" i="53"/>
  <c r="V229" i="53"/>
  <c r="V196" i="53"/>
  <c r="V194" i="53"/>
  <c r="BS190" i="53"/>
  <c r="BG190" i="53"/>
  <c r="BF190" i="53"/>
  <c r="BW187" i="53"/>
  <c r="BS187" i="53"/>
  <c r="BG187" i="53"/>
  <c r="AU199" i="53"/>
  <c r="BB200" i="53" s="1"/>
  <c r="BS166" i="53"/>
  <c r="BG166" i="53"/>
  <c r="N10" i="79" s="1"/>
  <c r="BW166" i="53"/>
  <c r="M10" i="79" s="1"/>
  <c r="BE166" i="53"/>
  <c r="BX166" i="53" s="1"/>
  <c r="BX163" i="53"/>
  <c r="BS163" i="53"/>
  <c r="V163" i="53"/>
  <c r="BS160" i="53"/>
  <c r="BW160" i="53"/>
  <c r="V160" i="53"/>
  <c r="BF158" i="53"/>
  <c r="AU169" i="53"/>
  <c r="V133" i="53"/>
  <c r="BW133" i="53"/>
  <c r="M43" i="79" s="1"/>
  <c r="V130" i="53"/>
  <c r="BG130" i="53"/>
  <c r="BF130" i="53"/>
  <c r="BS130" i="53"/>
  <c r="N42" i="79"/>
  <c r="BW106" i="53"/>
  <c r="BS106" i="53"/>
  <c r="BG106" i="53"/>
  <c r="N5" i="79" s="1"/>
  <c r="BS103" i="53"/>
  <c r="BS100" i="53"/>
  <c r="V109" i="53"/>
  <c r="AU79" i="53"/>
  <c r="BX43" i="53"/>
  <c r="V43" i="53"/>
  <c r="BG37" i="53"/>
  <c r="BW37" i="53"/>
  <c r="M18" i="79" s="1"/>
  <c r="AU49" i="53"/>
  <c r="V49" i="53" s="1"/>
  <c r="V37" i="53"/>
  <c r="N11" i="79"/>
  <c r="O11" i="79" s="1"/>
  <c r="N26" i="79"/>
  <c r="O26" i="79" s="1"/>
  <c r="M11" i="79"/>
  <c r="M26" i="79"/>
  <c r="M59" i="79"/>
  <c r="V13" i="53"/>
  <c r="BW10" i="53"/>
  <c r="BX10" i="53"/>
  <c r="V10" i="53"/>
  <c r="AU19" i="53"/>
  <c r="BB20" i="53" s="1"/>
  <c r="BS13" i="57"/>
  <c r="BW17" i="53"/>
  <c r="BX191" i="52"/>
  <c r="BX43" i="58"/>
  <c r="BE193" i="58"/>
  <c r="V193" i="58"/>
  <c r="BE157" i="59"/>
  <c r="V157" i="59"/>
  <c r="BE257" i="59"/>
  <c r="V257" i="59"/>
  <c r="BG9" i="52"/>
  <c r="BW9" i="52"/>
  <c r="BX12" i="52"/>
  <c r="BW12" i="52"/>
  <c r="BF14" i="52"/>
  <c r="BS14" i="52"/>
  <c r="BG14" i="52"/>
  <c r="BW14" i="52"/>
  <c r="BS39" i="52"/>
  <c r="BX39" i="52"/>
  <c r="BW39" i="52"/>
  <c r="BW41" i="52"/>
  <c r="BG41" i="52"/>
  <c r="BS68" i="52"/>
  <c r="BF68" i="52"/>
  <c r="BW134" i="52"/>
  <c r="BF134" i="52"/>
  <c r="BX134" i="52"/>
  <c r="BG134" i="52"/>
  <c r="BX162" i="52"/>
  <c r="BG162" i="52"/>
  <c r="BX168" i="52"/>
  <c r="BS168" i="52"/>
  <c r="BF168" i="52"/>
  <c r="BW189" i="52"/>
  <c r="BX189" i="52"/>
  <c r="BF189" i="52"/>
  <c r="BG189" i="52"/>
  <c r="BG192" i="52"/>
  <c r="BW192" i="52"/>
  <c r="BS192" i="52"/>
  <c r="BF192" i="52"/>
  <c r="BX192" i="52"/>
  <c r="BF197" i="52"/>
  <c r="BG197" i="52"/>
  <c r="BW197" i="52"/>
  <c r="BG218" i="52"/>
  <c r="BF218" i="52"/>
  <c r="BX218" i="52"/>
  <c r="BW278" i="52"/>
  <c r="BF278" i="52"/>
  <c r="BG278" i="52"/>
  <c r="N23" i="78" s="1"/>
  <c r="BX278" i="52"/>
  <c r="BF281" i="52"/>
  <c r="BX281" i="52"/>
  <c r="BG281" i="52"/>
  <c r="BX7" i="53"/>
  <c r="BS7" i="53"/>
  <c r="BG9" i="53"/>
  <c r="BS9" i="53"/>
  <c r="BF15" i="53"/>
  <c r="BS15" i="53"/>
  <c r="BW18" i="53"/>
  <c r="BS18" i="53"/>
  <c r="BS41" i="53"/>
  <c r="BX41" i="53"/>
  <c r="BS43" i="53"/>
  <c r="BF43" i="53"/>
  <c r="BF50" i="53" s="1"/>
  <c r="BG44" i="53"/>
  <c r="BS44" i="53"/>
  <c r="BG46" i="53"/>
  <c r="N19" i="79" s="1"/>
  <c r="BW46" i="53"/>
  <c r="M19" i="79" s="1"/>
  <c r="BG67" i="53"/>
  <c r="BW67" i="53"/>
  <c r="BG73" i="53"/>
  <c r="N15" i="79" s="1"/>
  <c r="BS73" i="53"/>
  <c r="BF73" i="53"/>
  <c r="BX73" i="53"/>
  <c r="BF78" i="53"/>
  <c r="BW78" i="53"/>
  <c r="BW99" i="53"/>
  <c r="BX99" i="53"/>
  <c r="BS99" i="53"/>
  <c r="BG99" i="53"/>
  <c r="BF104" i="53"/>
  <c r="BW104" i="53"/>
  <c r="BF107" i="53"/>
  <c r="BG107" i="53"/>
  <c r="BW107" i="53"/>
  <c r="BG128" i="53"/>
  <c r="BS128" i="53"/>
  <c r="BS136" i="53"/>
  <c r="BW136" i="53"/>
  <c r="BF162" i="53"/>
  <c r="BX162" i="53"/>
  <c r="BS162" i="53"/>
  <c r="BS188" i="53"/>
  <c r="BG188" i="53"/>
  <c r="BW188" i="53"/>
  <c r="BF188" i="53"/>
  <c r="BS196" i="53"/>
  <c r="BW196" i="53"/>
  <c r="BX196" i="53"/>
  <c r="BF196" i="53"/>
  <c r="BX217" i="53"/>
  <c r="BF217" i="53"/>
  <c r="BG225" i="53"/>
  <c r="BS225" i="53"/>
  <c r="BF251" i="53"/>
  <c r="BW251" i="53"/>
  <c r="BS251" i="53"/>
  <c r="BF280" i="53"/>
  <c r="BF290" i="53" s="1"/>
  <c r="BX280" i="53"/>
  <c r="BG280" i="53"/>
  <c r="N25" i="79" s="1"/>
  <c r="BW287" i="53"/>
  <c r="BS287" i="53"/>
  <c r="BF11" i="55"/>
  <c r="BW11" i="55"/>
  <c r="BF105" i="55"/>
  <c r="BG105" i="55"/>
  <c r="BF131" i="55"/>
  <c r="BX131" i="55"/>
  <c r="BW198" i="55"/>
  <c r="BX198" i="55"/>
  <c r="BS198" i="55"/>
  <c r="BW255" i="55"/>
  <c r="BF255" i="55"/>
  <c r="BS255" i="55"/>
  <c r="BG255" i="55"/>
  <c r="BG257" i="55"/>
  <c r="BW257" i="55"/>
  <c r="BX258" i="55"/>
  <c r="BS258" i="55"/>
  <c r="BW258" i="55"/>
  <c r="BF258" i="55"/>
  <c r="BW278" i="55"/>
  <c r="BS278" i="55"/>
  <c r="BX279" i="55"/>
  <c r="BG279" i="55"/>
  <c r="BF279" i="55"/>
  <c r="BF287" i="55"/>
  <c r="BX287" i="55"/>
  <c r="BS287" i="55"/>
  <c r="BG8" i="57"/>
  <c r="BX8" i="57"/>
  <c r="BX15" i="57"/>
  <c r="BW15" i="57"/>
  <c r="BF15" i="57"/>
  <c r="BS39" i="57"/>
  <c r="BG39" i="57"/>
  <c r="BS41" i="57"/>
  <c r="BF41" i="57"/>
  <c r="BS67" i="57"/>
  <c r="BF67" i="57"/>
  <c r="BF70" i="57"/>
  <c r="BW70" i="57"/>
  <c r="BX71" i="57"/>
  <c r="BF71" i="57"/>
  <c r="BW71" i="57"/>
  <c r="BF75" i="57"/>
  <c r="BX75" i="57"/>
  <c r="BW78" i="57"/>
  <c r="BF78" i="57"/>
  <c r="BS97" i="57"/>
  <c r="BF97" i="57"/>
  <c r="BG97" i="57"/>
  <c r="BW97" i="57"/>
  <c r="BX102" i="57"/>
  <c r="BG102" i="57"/>
  <c r="BF102" i="57"/>
  <c r="BG104" i="57"/>
  <c r="BW104" i="57"/>
  <c r="BW105" i="57"/>
  <c r="BG105" i="57"/>
  <c r="BF105" i="57"/>
  <c r="BX105" i="57"/>
  <c r="BW107" i="57"/>
  <c r="BG107" i="57"/>
  <c r="BS107" i="57"/>
  <c r="BX128" i="57"/>
  <c r="BF128" i="57"/>
  <c r="BX133" i="57"/>
  <c r="BF133" i="57"/>
  <c r="BG133" i="57"/>
  <c r="N43" i="81" s="1"/>
  <c r="BF134" i="57"/>
  <c r="BX134" i="57"/>
  <c r="BF136" i="57"/>
  <c r="BS157" i="57"/>
  <c r="BF157" i="57"/>
  <c r="BW157" i="57"/>
  <c r="BS189" i="57"/>
  <c r="BX189" i="57"/>
  <c r="BW189" i="57"/>
  <c r="BW197" i="57"/>
  <c r="BS197" i="57"/>
  <c r="BX249" i="57"/>
  <c r="BS249" i="57"/>
  <c r="BS252" i="57"/>
  <c r="BW252" i="57"/>
  <c r="BG286" i="57"/>
  <c r="N24" i="81" s="1"/>
  <c r="BW286" i="57"/>
  <c r="BS286" i="57"/>
  <c r="BF286" i="57"/>
  <c r="BF7" i="58"/>
  <c r="BS7" i="58"/>
  <c r="BW41" i="58"/>
  <c r="BF41" i="58"/>
  <c r="BW70" i="58"/>
  <c r="BS70" i="58"/>
  <c r="BF78" i="58"/>
  <c r="BS78" i="58"/>
  <c r="BS104" i="58"/>
  <c r="BX104" i="58"/>
  <c r="BX133" i="58"/>
  <c r="BW133" i="58"/>
  <c r="BW159" i="58"/>
  <c r="BG159" i="58"/>
  <c r="BF188" i="58"/>
  <c r="BS188" i="58"/>
  <c r="BG195" i="58"/>
  <c r="N92" i="82" s="1"/>
  <c r="BF195" i="58"/>
  <c r="BW222" i="58"/>
  <c r="BG222" i="58"/>
  <c r="BX18" i="59"/>
  <c r="BS18" i="59"/>
  <c r="BX71" i="59"/>
  <c r="BF71" i="59"/>
  <c r="BS102" i="59"/>
  <c r="BG102" i="59"/>
  <c r="BX157" i="59"/>
  <c r="BG157" i="59"/>
  <c r="BW157" i="59"/>
  <c r="BF163" i="59"/>
  <c r="BF170" i="59" s="1"/>
  <c r="BW163" i="59"/>
  <c r="BF189" i="59"/>
  <c r="BW189" i="59"/>
  <c r="BW195" i="59"/>
  <c r="BF195" i="59"/>
  <c r="BX195" i="59"/>
  <c r="BF197" i="59"/>
  <c r="BX197" i="59"/>
  <c r="BG197" i="59"/>
  <c r="BW221" i="59"/>
  <c r="BF221" i="59"/>
  <c r="BX223" i="59"/>
  <c r="BG223" i="59"/>
  <c r="BF228" i="59"/>
  <c r="BX228" i="59"/>
  <c r="BF249" i="59"/>
  <c r="BX249" i="59"/>
  <c r="BG249" i="59"/>
  <c r="BS249" i="59"/>
  <c r="BX252" i="59"/>
  <c r="BW252" i="59"/>
  <c r="BS252" i="59"/>
  <c r="BX254" i="59"/>
  <c r="BF254" i="59"/>
  <c r="BW254" i="59"/>
  <c r="BS254" i="59"/>
  <c r="BF258" i="59"/>
  <c r="BW258" i="59"/>
  <c r="BS258" i="59"/>
  <c r="BX278" i="59"/>
  <c r="BG278" i="59"/>
  <c r="BW286" i="59"/>
  <c r="BF286" i="59"/>
  <c r="M9" i="79"/>
  <c r="M41" i="79"/>
  <c r="N4" i="82"/>
  <c r="M20" i="82"/>
  <c r="B147" i="45"/>
  <c r="BB140" i="53"/>
  <c r="CD7" i="16"/>
  <c r="E64" i="59"/>
  <c r="U34" i="52"/>
  <c r="BG16" i="57"/>
  <c r="N28" i="81" s="1"/>
  <c r="BS12" i="57"/>
  <c r="BX197" i="52"/>
  <c r="BW191" i="53"/>
  <c r="BS12" i="53"/>
  <c r="AE83" i="58"/>
  <c r="F83" i="58" s="1"/>
  <c r="F82" i="58"/>
  <c r="AK118" i="58"/>
  <c r="L118" i="58" s="1"/>
  <c r="AK113" i="58"/>
  <c r="L113" i="58" s="1"/>
  <c r="AK117" i="58"/>
  <c r="AL103" i="58" s="1"/>
  <c r="M103" i="58" s="1"/>
  <c r="AK116" i="58"/>
  <c r="L116" i="58" s="1"/>
  <c r="N172" i="59"/>
  <c r="AM173" i="59"/>
  <c r="N173" i="59" s="1"/>
  <c r="AN64" i="58"/>
  <c r="O62" i="50"/>
  <c r="BE10" i="57"/>
  <c r="V10" i="57"/>
  <c r="BE160" i="57"/>
  <c r="BX160" i="57" s="1"/>
  <c r="V160" i="57"/>
  <c r="BE193" i="57"/>
  <c r="BX193" i="57" s="1"/>
  <c r="V193" i="57"/>
  <c r="BY15" i="16"/>
  <c r="V79" i="58"/>
  <c r="BU15" i="16"/>
  <c r="BI15" i="16"/>
  <c r="E214" i="59"/>
  <c r="BG194" i="55"/>
  <c r="BW277" i="53"/>
  <c r="BS70" i="53"/>
  <c r="BF136" i="53"/>
  <c r="BF284" i="55"/>
  <c r="E184" i="57"/>
  <c r="AL214" i="52"/>
  <c r="BW128" i="53"/>
  <c r="BF252" i="57"/>
  <c r="BG165" i="52"/>
  <c r="BW218" i="52"/>
  <c r="BW70" i="53"/>
  <c r="BW281" i="55"/>
  <c r="BW39" i="57"/>
  <c r="BS71" i="57"/>
  <c r="L138" i="45"/>
  <c r="L139" i="45" s="1"/>
  <c r="L109" i="45"/>
  <c r="L110" i="45" s="1"/>
  <c r="BJ13" i="16"/>
  <c r="E214" i="57"/>
  <c r="AO15" i="16"/>
  <c r="AH4" i="59"/>
  <c r="BG43" i="53"/>
  <c r="N21" i="79" s="1"/>
  <c r="BW217" i="53"/>
  <c r="M33" i="79" s="1"/>
  <c r="BG168" i="52"/>
  <c r="BG196" i="53"/>
  <c r="BF70" i="53"/>
  <c r="BG188" i="58"/>
  <c r="BX258" i="59"/>
  <c r="I4" i="46"/>
  <c r="AP7" i="16"/>
  <c r="E4" i="41"/>
  <c r="BF76" i="57"/>
  <c r="BG7" i="53"/>
  <c r="N30" i="79" s="1"/>
  <c r="BG39" i="52"/>
  <c r="BG255" i="52"/>
  <c r="BS217" i="53"/>
  <c r="BG162" i="53"/>
  <c r="BF128" i="53"/>
  <c r="BF129" i="55"/>
  <c r="BF140" i="55" s="1"/>
  <c r="BX78" i="58"/>
  <c r="BG228" i="59"/>
  <c r="B90" i="45"/>
  <c r="AH4" i="55"/>
  <c r="BH15" i="16"/>
  <c r="P109" i="45"/>
  <c r="P110" i="45" s="1"/>
  <c r="N109" i="45"/>
  <c r="N110" i="45" s="1"/>
  <c r="AH34" i="57"/>
  <c r="E64" i="57"/>
  <c r="BW7" i="53"/>
  <c r="M30" i="79" s="1"/>
  <c r="BG42" i="52"/>
  <c r="BS107" i="53"/>
  <c r="BF42" i="52"/>
  <c r="BF252" i="52"/>
  <c r="BW162" i="53"/>
  <c r="BX128" i="53"/>
  <c r="BF160" i="57"/>
  <c r="BF189" i="57"/>
  <c r="BW99" i="57"/>
  <c r="BX107" i="57"/>
  <c r="BG41" i="58"/>
  <c r="BG251" i="53"/>
  <c r="BW15" i="53"/>
  <c r="BS14" i="53"/>
  <c r="BF7" i="53"/>
  <c r="BX41" i="57"/>
  <c r="BX249" i="52"/>
  <c r="BW42" i="52"/>
  <c r="BG68" i="52"/>
  <c r="BF44" i="57"/>
  <c r="BS102" i="57"/>
  <c r="BX47" i="59"/>
  <c r="BS45" i="52"/>
  <c r="BX45" i="55"/>
  <c r="BG13" i="57"/>
  <c r="BG41" i="53"/>
  <c r="BG76" i="57"/>
  <c r="BW280" i="53"/>
  <c r="BG198" i="55"/>
  <c r="BS197" i="52"/>
  <c r="BX68" i="52"/>
  <c r="BS42" i="52"/>
  <c r="BF255" i="52"/>
  <c r="BF225" i="53"/>
  <c r="BF191" i="53"/>
  <c r="BS38" i="53"/>
  <c r="BG258" i="55"/>
  <c r="BG15" i="57"/>
  <c r="BW228" i="59"/>
  <c r="AJ184" i="59"/>
  <c r="K91" i="45"/>
  <c r="E91" i="45"/>
  <c r="E124" i="58"/>
  <c r="AL34" i="52"/>
  <c r="I91" i="50"/>
  <c r="Q91" i="50"/>
  <c r="BX258" i="53"/>
  <c r="BW43" i="53"/>
  <c r="M21" i="79" s="1"/>
  <c r="BW9" i="53"/>
  <c r="BX47" i="57"/>
  <c r="BW132" i="53"/>
  <c r="BS134" i="52"/>
  <c r="BF39" i="52"/>
  <c r="BW252" i="52"/>
  <c r="BX225" i="53"/>
  <c r="BF257" i="55"/>
  <c r="O62" i="49"/>
  <c r="E124" i="59"/>
  <c r="J109" i="45"/>
  <c r="J110" i="45" s="1"/>
  <c r="AL124" i="53"/>
  <c r="BW73" i="53"/>
  <c r="BG217" i="53"/>
  <c r="BG136" i="53"/>
  <c r="BF18" i="53"/>
  <c r="BX224" i="55"/>
  <c r="BS8" i="57"/>
  <c r="BX44" i="57"/>
  <c r="BG252" i="52"/>
  <c r="BX219" i="53"/>
  <c r="BW225" i="53"/>
  <c r="BG38" i="53"/>
  <c r="BS105" i="52"/>
  <c r="BF9" i="53"/>
  <c r="BF197" i="57"/>
  <c r="BG18" i="57"/>
  <c r="BS128" i="57"/>
  <c r="BB80" i="59"/>
  <c r="BF170" i="58"/>
  <c r="CD6" i="16"/>
  <c r="AF244" i="55"/>
  <c r="O214" i="52"/>
  <c r="E4" i="57"/>
  <c r="V14" i="16"/>
  <c r="BS44" i="52"/>
  <c r="BG188" i="52"/>
  <c r="BG193" i="57"/>
  <c r="N8" i="81" s="1"/>
  <c r="BX44" i="53"/>
  <c r="BW249" i="59"/>
  <c r="BS18" i="57"/>
  <c r="BF12" i="53"/>
  <c r="BS9" i="52"/>
  <c r="BF198" i="55"/>
  <c r="BS105" i="57"/>
  <c r="R138" i="45"/>
  <c r="R139" i="45" s="1"/>
  <c r="R109" i="45"/>
  <c r="R110" i="45" s="1"/>
  <c r="BZ15" i="16"/>
  <c r="E214" i="58"/>
  <c r="AT184" i="52"/>
  <c r="BG44" i="52"/>
  <c r="BX14" i="52"/>
  <c r="BW8" i="57"/>
  <c r="BS224" i="55"/>
  <c r="BF278" i="55"/>
  <c r="BG197" i="57"/>
  <c r="BS191" i="52"/>
  <c r="BF167" i="52"/>
  <c r="BF99" i="53"/>
  <c r="BF12" i="52"/>
  <c r="BW281" i="52"/>
  <c r="BS162" i="52"/>
  <c r="BG287" i="55"/>
  <c r="BS68" i="57"/>
  <c r="BW102" i="57"/>
  <c r="BG252" i="59"/>
  <c r="BB230" i="59"/>
  <c r="U120" i="45"/>
  <c r="AH184" i="59"/>
  <c r="J109" i="51"/>
  <c r="J110" i="51" s="1"/>
  <c r="P80" i="51"/>
  <c r="P81" i="51" s="1"/>
  <c r="E124" i="55"/>
  <c r="AH184" i="53"/>
  <c r="AH94" i="53"/>
  <c r="Q184" i="55"/>
  <c r="O4" i="50"/>
  <c r="AN4" i="58"/>
  <c r="BS189" i="52"/>
  <c r="BS278" i="52"/>
  <c r="BS281" i="52"/>
  <c r="BS12" i="52"/>
  <c r="BS280" i="53"/>
  <c r="BX136" i="53"/>
  <c r="BS279" i="55"/>
  <c r="BF104" i="57"/>
  <c r="BF70" i="58"/>
  <c r="AU259" i="57"/>
  <c r="BX9" i="57"/>
  <c r="BW158" i="52"/>
  <c r="BF258" i="52"/>
  <c r="BW278" i="53"/>
  <c r="BS221" i="57"/>
  <c r="BG192" i="57"/>
  <c r="BX102" i="58"/>
  <c r="BE131" i="53"/>
  <c r="V131" i="53"/>
  <c r="BE280" i="53"/>
  <c r="V280" i="53"/>
  <c r="BE281" i="58"/>
  <c r="V281" i="58"/>
  <c r="BE281" i="57"/>
  <c r="V281" i="57"/>
  <c r="BE249" i="58"/>
  <c r="V249" i="58"/>
  <c r="V278" i="59"/>
  <c r="BE278" i="59"/>
  <c r="BF38" i="52"/>
  <c r="BS130" i="52"/>
  <c r="BG131" i="52"/>
  <c r="BG133" i="52"/>
  <c r="BW136" i="52"/>
  <c r="BF217" i="52"/>
  <c r="BF220" i="52"/>
  <c r="BF223" i="52"/>
  <c r="BW227" i="52"/>
  <c r="BW280" i="52"/>
  <c r="BW282" i="52"/>
  <c r="BX45" i="53"/>
  <c r="BX74" i="53"/>
  <c r="BF108" i="53"/>
  <c r="BW163" i="53"/>
  <c r="M12" i="79" s="1"/>
  <c r="BS254" i="55"/>
  <c r="BF288" i="55"/>
  <c r="BW17" i="57"/>
  <c r="BF98" i="57"/>
  <c r="BX106" i="57"/>
  <c r="BF135" i="57"/>
  <c r="BF161" i="57"/>
  <c r="BS164" i="57"/>
  <c r="BS219" i="57"/>
  <c r="BG224" i="57"/>
  <c r="BW224" i="57"/>
  <c r="BF224" i="57"/>
  <c r="BX224" i="57"/>
  <c r="BX253" i="57"/>
  <c r="BX277" i="57"/>
  <c r="BX280" i="57"/>
  <c r="BX71" i="58"/>
  <c r="BF105" i="58"/>
  <c r="BG168" i="58"/>
  <c r="BG223" i="58"/>
  <c r="N54" i="82" s="1"/>
  <c r="BX247" i="58"/>
  <c r="BX250" i="58"/>
  <c r="BX278" i="58"/>
  <c r="BW278" i="58"/>
  <c r="BS278" i="58"/>
  <c r="BW286" i="58"/>
  <c r="M24" i="82" s="1"/>
  <c r="BF286" i="58"/>
  <c r="BX7" i="59"/>
  <c r="BS15" i="59"/>
  <c r="BX70" i="59"/>
  <c r="BF78" i="59"/>
  <c r="BF80" i="59" s="1"/>
  <c r="BS99" i="59"/>
  <c r="BS104" i="59"/>
  <c r="BF104" i="59"/>
  <c r="BF110" i="59" s="1"/>
  <c r="BX133" i="59"/>
  <c r="BS133" i="59"/>
  <c r="BF133" i="59"/>
  <c r="BF140" i="59" s="1"/>
  <c r="BX136" i="59"/>
  <c r="BW159" i="59"/>
  <c r="BX160" i="59"/>
  <c r="BX217" i="59"/>
  <c r="BX220" i="59"/>
  <c r="BF222" i="59"/>
  <c r="BX251" i="59"/>
  <c r="BX277" i="59"/>
  <c r="BX280" i="59"/>
  <c r="BG285" i="59"/>
  <c r="BX285" i="59"/>
  <c r="BW288" i="59"/>
  <c r="M28" i="79"/>
  <c r="N44" i="79"/>
  <c r="M60" i="79"/>
  <c r="N14" i="81"/>
  <c r="AM263" i="59"/>
  <c r="N263" i="59" s="1"/>
  <c r="AM267" i="59"/>
  <c r="AN253" i="59" s="1"/>
  <c r="O253" i="59" s="1"/>
  <c r="A3" i="66"/>
  <c r="F2" i="53"/>
  <c r="BE68" i="53"/>
  <c r="V68" i="53"/>
  <c r="V46" i="57"/>
  <c r="BE46" i="57"/>
  <c r="BX46" i="57" s="1"/>
  <c r="BE47" i="58"/>
  <c r="V47" i="58"/>
  <c r="BE227" i="59"/>
  <c r="V227" i="59"/>
  <c r="V218" i="52"/>
  <c r="AK23" i="55"/>
  <c r="L23" i="55" s="1"/>
  <c r="L22" i="55"/>
  <c r="BE135" i="53"/>
  <c r="V135" i="53"/>
  <c r="BE252" i="53"/>
  <c r="V252" i="53"/>
  <c r="BE285" i="53"/>
  <c r="V285" i="53"/>
  <c r="BE282" i="55"/>
  <c r="V282" i="55"/>
  <c r="BE252" i="58"/>
  <c r="V252" i="58"/>
  <c r="BE99" i="59"/>
  <c r="V99" i="59"/>
  <c r="BE281" i="59"/>
  <c r="V281" i="59"/>
  <c r="BS195" i="52"/>
  <c r="BW195" i="52"/>
  <c r="BW279" i="52"/>
  <c r="BF279" i="52"/>
  <c r="BX42" i="53"/>
  <c r="BW42" i="53"/>
  <c r="BF68" i="53"/>
  <c r="BF80" i="53" s="1"/>
  <c r="BG68" i="53"/>
  <c r="BS68" i="53"/>
  <c r="BF131" i="53"/>
  <c r="BS131" i="53"/>
  <c r="BG189" i="53"/>
  <c r="BX189" i="53"/>
  <c r="BF197" i="53"/>
  <c r="BS197" i="53"/>
  <c r="BF249" i="53"/>
  <c r="BX249" i="53"/>
  <c r="BF252" i="53"/>
  <c r="BX252" i="53"/>
  <c r="BS257" i="53"/>
  <c r="BF257" i="53"/>
  <c r="BW69" i="57"/>
  <c r="BF69" i="57"/>
  <c r="BG69" i="57"/>
  <c r="BS77" i="57"/>
  <c r="BF77" i="57"/>
  <c r="BS129" i="57"/>
  <c r="BX129" i="57"/>
  <c r="BG129" i="57"/>
  <c r="BX137" i="57"/>
  <c r="BF137" i="57"/>
  <c r="BG73" i="58"/>
  <c r="N14" i="82" s="1"/>
  <c r="BW73" i="58"/>
  <c r="M14" i="82" s="1"/>
  <c r="BG191" i="58"/>
  <c r="BW191" i="58"/>
  <c r="BX220" i="58"/>
  <c r="BG220" i="58"/>
  <c r="BW75" i="59"/>
  <c r="BX75" i="59"/>
  <c r="BS75" i="59"/>
  <c r="BS164" i="59"/>
  <c r="BG164" i="59"/>
  <c r="BX164" i="59"/>
  <c r="BG227" i="59"/>
  <c r="BF227" i="59"/>
  <c r="N31" i="79"/>
  <c r="N33" i="81"/>
  <c r="N26" i="82"/>
  <c r="M42" i="82"/>
  <c r="AQ203" i="57"/>
  <c r="R203" i="57" s="1"/>
  <c r="R202" i="57"/>
  <c r="V12" i="58"/>
  <c r="CX5" i="16"/>
  <c r="BS252" i="53"/>
  <c r="BW194" i="53"/>
  <c r="BX134" i="53"/>
  <c r="BF11" i="57"/>
  <c r="BS17" i="57"/>
  <c r="V251" i="57"/>
  <c r="AK83" i="59"/>
  <c r="L83" i="59" s="1"/>
  <c r="L82" i="59"/>
  <c r="H229" i="57"/>
  <c r="AU229" i="57"/>
  <c r="V229" i="57" s="1"/>
  <c r="BE137" i="53"/>
  <c r="V137" i="53"/>
  <c r="BX222" i="55"/>
  <c r="BW197" i="53"/>
  <c r="BF194" i="53"/>
  <c r="BW168" i="53"/>
  <c r="BF105" i="53"/>
  <c r="BX131" i="53"/>
  <c r="BW248" i="55"/>
  <c r="BW14" i="57"/>
  <c r="BS106" i="57"/>
  <c r="BW257" i="58"/>
  <c r="BS102" i="58"/>
  <c r="BG167" i="55"/>
  <c r="BF134" i="53"/>
  <c r="BF222" i="55"/>
  <c r="BW15" i="52"/>
  <c r="BX195" i="52"/>
  <c r="BF168" i="53"/>
  <c r="BF170" i="53" s="1"/>
  <c r="BX105" i="53"/>
  <c r="BF97" i="53"/>
  <c r="BW77" i="57"/>
  <c r="BW106" i="57"/>
  <c r="BS14" i="57"/>
  <c r="BS165" i="58"/>
  <c r="BS73" i="58"/>
  <c r="AK143" i="57"/>
  <c r="L143" i="57" s="1"/>
  <c r="L142" i="57"/>
  <c r="AK293" i="58"/>
  <c r="L293" i="58" s="1"/>
  <c r="L292" i="58"/>
  <c r="AU169" i="57"/>
  <c r="V169" i="57" s="1"/>
  <c r="BG221" i="53"/>
  <c r="BG137" i="57"/>
  <c r="BX278" i="53"/>
  <c r="BS132" i="52"/>
  <c r="BF17" i="52"/>
  <c r="BG168" i="53"/>
  <c r="BG105" i="53"/>
  <c r="BX97" i="53"/>
  <c r="BF167" i="55"/>
  <c r="BS250" i="57"/>
  <c r="BF129" i="57"/>
  <c r="BX14" i="57"/>
  <c r="BX257" i="58"/>
  <c r="BX131" i="58"/>
  <c r="BG11" i="57"/>
  <c r="N67" i="81" s="1"/>
  <c r="BG160" i="53"/>
  <c r="N13" i="79" s="1"/>
  <c r="BS168" i="53"/>
  <c r="BG97" i="53"/>
  <c r="BW131" i="53"/>
  <c r="BF132" i="57"/>
  <c r="BW129" i="57"/>
  <c r="BF14" i="57"/>
  <c r="BW165" i="58"/>
  <c r="BS131" i="58"/>
  <c r="BS128" i="58"/>
  <c r="BG131" i="53"/>
  <c r="N62" i="79" s="1"/>
  <c r="BX258" i="52"/>
  <c r="BG197" i="53"/>
  <c r="BS222" i="55"/>
  <c r="BS258" i="57"/>
  <c r="BW221" i="57"/>
  <c r="BW132" i="57"/>
  <c r="BS157" i="58"/>
  <c r="P80" i="45"/>
  <c r="P81" i="45" s="1"/>
  <c r="J80" i="45"/>
  <c r="J81" i="45" s="1"/>
  <c r="J199" i="58"/>
  <c r="AU199" i="58"/>
  <c r="BE78" i="55"/>
  <c r="V78" i="55"/>
  <c r="BE127" i="57"/>
  <c r="BX127" i="57" s="1"/>
  <c r="V127" i="57"/>
  <c r="BX226" i="58"/>
  <c r="BE48" i="52"/>
  <c r="V48" i="52"/>
  <c r="BE71" i="53"/>
  <c r="V71" i="53"/>
  <c r="BE188" i="53"/>
  <c r="V188" i="53"/>
  <c r="BE48" i="58"/>
  <c r="V48" i="58"/>
  <c r="V73" i="53"/>
  <c r="BE73" i="53"/>
  <c r="BE218" i="57"/>
  <c r="V218" i="57"/>
  <c r="BE248" i="59"/>
  <c r="V248" i="59"/>
  <c r="AC143" i="53"/>
  <c r="D143" i="53" s="1"/>
  <c r="D142" i="53"/>
  <c r="BE18" i="52"/>
  <c r="V18" i="52"/>
  <c r="BE41" i="53"/>
  <c r="V41" i="53"/>
  <c r="BE102" i="55"/>
  <c r="V102" i="55"/>
  <c r="BE135" i="55"/>
  <c r="V135" i="55"/>
  <c r="BE18" i="58"/>
  <c r="V18" i="58"/>
  <c r="BG12" i="52"/>
  <c r="BF187" i="52"/>
  <c r="BS287" i="52"/>
  <c r="BX18" i="53"/>
  <c r="BS190" i="55"/>
  <c r="BG134" i="57"/>
  <c r="BX250" i="59"/>
  <c r="Q4" i="49"/>
  <c r="AP4" i="57"/>
  <c r="BE219" i="55"/>
  <c r="V219" i="55"/>
  <c r="BE220" i="57"/>
  <c r="V220" i="57"/>
  <c r="BE285" i="57"/>
  <c r="V285" i="57"/>
  <c r="BE18" i="59"/>
  <c r="V18" i="59"/>
  <c r="P52" i="52"/>
  <c r="V254" i="55"/>
  <c r="AC83" i="52"/>
  <c r="D83" i="52" s="1"/>
  <c r="AC87" i="52"/>
  <c r="D87" i="52" s="1"/>
  <c r="BE136" i="57"/>
  <c r="BX136" i="57" s="1"/>
  <c r="V136" i="57"/>
  <c r="BE255" i="58"/>
  <c r="V255" i="58"/>
  <c r="Q62" i="45"/>
  <c r="V224" i="58"/>
  <c r="V221" i="55"/>
  <c r="BE221" i="55"/>
  <c r="BX97" i="57"/>
  <c r="BX286" i="57"/>
  <c r="BX46" i="58"/>
  <c r="BX67" i="58"/>
  <c r="BX40" i="59"/>
  <c r="BE222" i="55"/>
  <c r="V222" i="55"/>
  <c r="BE256" i="57"/>
  <c r="BX256" i="57" s="1"/>
  <c r="V256" i="57"/>
  <c r="CD9" i="16"/>
  <c r="T51" i="49"/>
  <c r="T52" i="49" s="1"/>
  <c r="B60" i="49"/>
  <c r="L51" i="49"/>
  <c r="L52" i="49" s="1"/>
  <c r="BE108" i="52"/>
  <c r="V108" i="52"/>
  <c r="BE162" i="53"/>
  <c r="V162" i="53"/>
  <c r="BE191" i="58"/>
  <c r="V191" i="58"/>
  <c r="F202" i="53"/>
  <c r="AE203" i="53"/>
  <c r="F203" i="53" s="1"/>
  <c r="BE13" i="55"/>
  <c r="BX13" i="55" s="1"/>
  <c r="V13" i="55"/>
  <c r="V191" i="57"/>
  <c r="BE191" i="57"/>
  <c r="BX163" i="55"/>
  <c r="BX253" i="58"/>
  <c r="BX16" i="59"/>
  <c r="V256" i="55"/>
  <c r="AJ13" i="16"/>
  <c r="AL6" i="16"/>
  <c r="CO7" i="16"/>
  <c r="CQ14" i="16"/>
  <c r="AH274" i="58" s="1"/>
  <c r="CU12" i="16"/>
  <c r="AP214" i="58" s="1"/>
  <c r="CP11" i="16"/>
  <c r="CS9" i="16"/>
  <c r="AL124" i="58" s="1"/>
  <c r="CO8" i="16"/>
  <c r="BG43" i="52"/>
  <c r="BW46" i="52"/>
  <c r="BW47" i="52"/>
  <c r="BS78" i="52"/>
  <c r="BW104" i="52"/>
  <c r="BG106" i="52"/>
  <c r="BW159" i="52"/>
  <c r="BW167" i="52"/>
  <c r="BG190" i="52"/>
  <c r="N7" i="78" s="1"/>
  <c r="BG220" i="52"/>
  <c r="BS251" i="52"/>
  <c r="BG253" i="52"/>
  <c r="BS254" i="52"/>
  <c r="BS257" i="52"/>
  <c r="BG283" i="52"/>
  <c r="BX288" i="52"/>
  <c r="BX40" i="53"/>
  <c r="BX106" i="53"/>
  <c r="BX187" i="53"/>
  <c r="BX10" i="55"/>
  <c r="BX280" i="55"/>
  <c r="BX283" i="55"/>
  <c r="M29" i="79"/>
  <c r="M45" i="79"/>
  <c r="N15" i="81"/>
  <c r="N31" i="81"/>
  <c r="O31" i="81" s="1"/>
  <c r="AN12" i="16"/>
  <c r="AP12" i="16" s="1"/>
  <c r="AK6" i="16"/>
  <c r="CW7" i="16"/>
  <c r="CP14" i="16"/>
  <c r="AF274" i="58" s="1"/>
  <c r="CT12" i="16"/>
  <c r="AN214" i="58" s="1"/>
  <c r="BS13" i="52"/>
  <c r="BS41" i="52"/>
  <c r="BW44" i="52"/>
  <c r="BS46" i="52"/>
  <c r="BF75" i="52"/>
  <c r="BG77" i="52"/>
  <c r="M9" i="82"/>
  <c r="V162" i="52"/>
  <c r="AK12" i="16"/>
  <c r="AG6" i="16"/>
  <c r="CU7" i="16"/>
  <c r="CW13" i="16"/>
  <c r="AT244" i="58" s="1"/>
  <c r="CS12" i="16"/>
  <c r="AL214" i="58" s="1"/>
  <c r="CW10" i="16"/>
  <c r="AT154" i="58" s="1"/>
  <c r="CQ9" i="16"/>
  <c r="N16" i="79"/>
  <c r="N32" i="79"/>
  <c r="O32" i="79" s="1"/>
  <c r="M48" i="79"/>
  <c r="M11" i="82"/>
  <c r="N43" i="82"/>
  <c r="V157" i="53"/>
  <c r="V222" i="53"/>
  <c r="AN11" i="16"/>
  <c r="CS7" i="16"/>
  <c r="CQ12" i="16"/>
  <c r="AH214" i="58" s="1"/>
  <c r="CU10" i="16"/>
  <c r="AP154" i="58" s="1"/>
  <c r="CO9" i="16"/>
  <c r="BX37" i="52"/>
  <c r="BW226" i="52"/>
  <c r="M36" i="78" s="1"/>
  <c r="BG248" i="52"/>
  <c r="BF250" i="52"/>
  <c r="BF287" i="52"/>
  <c r="M2" i="79"/>
  <c r="N18" i="79"/>
  <c r="M34" i="79"/>
  <c r="M50" i="79"/>
  <c r="M82" i="79"/>
  <c r="N4" i="81"/>
  <c r="N20" i="81"/>
  <c r="M13" i="82"/>
  <c r="N29" i="82"/>
  <c r="V12" i="53"/>
  <c r="V254" i="59"/>
  <c r="V288" i="53"/>
  <c r="AL11" i="16"/>
  <c r="CR7" i="16"/>
  <c r="CU13" i="16"/>
  <c r="AP244" i="58" s="1"/>
  <c r="CP12" i="16"/>
  <c r="CT10" i="16"/>
  <c r="AN154" i="58" s="1"/>
  <c r="CW8" i="16"/>
  <c r="BG97" i="52"/>
  <c r="BS101" i="52"/>
  <c r="BF248" i="52"/>
  <c r="N3" i="79"/>
  <c r="M35" i="79"/>
  <c r="M51" i="79"/>
  <c r="N5" i="81"/>
  <c r="N21" i="81"/>
  <c r="N37" i="81"/>
  <c r="O37" i="81" s="1"/>
  <c r="N30" i="82"/>
  <c r="BW10" i="52"/>
  <c r="M29" i="78" s="1"/>
  <c r="BW97" i="52"/>
  <c r="BW284" i="52"/>
  <c r="BG286" i="52"/>
  <c r="M4" i="79"/>
  <c r="N20" i="79"/>
  <c r="M36" i="79"/>
  <c r="M52" i="79"/>
  <c r="N6" i="81"/>
  <c r="N38" i="81"/>
  <c r="N15" i="82"/>
  <c r="N31" i="82"/>
  <c r="AI10" i="16"/>
  <c r="I149" i="45" s="1"/>
  <c r="CP7" i="16"/>
  <c r="CS13" i="16"/>
  <c r="AL244" i="58" s="1"/>
  <c r="CW11" i="16"/>
  <c r="AT184" i="58" s="1"/>
  <c r="CR10" i="16"/>
  <c r="AJ154" i="58" s="1"/>
  <c r="CV8" i="16"/>
  <c r="BS16" i="52"/>
  <c r="BW43" i="52"/>
  <c r="BS255" i="52"/>
  <c r="BS284" i="52"/>
  <c r="M5" i="79"/>
  <c r="M53" i="79"/>
  <c r="N23" i="81"/>
  <c r="O23" i="81" s="1"/>
  <c r="N39" i="81"/>
  <c r="N16" i="82"/>
  <c r="N32" i="82"/>
  <c r="O32" i="82" s="1"/>
  <c r="V45" i="53"/>
  <c r="AH10" i="16"/>
  <c r="AH15" i="16" s="1"/>
  <c r="CW14" i="16"/>
  <c r="AT274" i="58" s="1"/>
  <c r="CR13" i="16"/>
  <c r="AJ244" i="58" s="1"/>
  <c r="CV11" i="16"/>
  <c r="AR184" i="58" s="1"/>
  <c r="CQ10" i="16"/>
  <c r="AH154" i="58" s="1"/>
  <c r="BF16" i="52"/>
  <c r="BX257" i="52"/>
  <c r="BX286" i="59"/>
  <c r="M6" i="79"/>
  <c r="M22" i="79"/>
  <c r="M38" i="79"/>
  <c r="M54" i="79"/>
  <c r="N33" i="82"/>
  <c r="N10" i="83"/>
  <c r="AG10" i="16"/>
  <c r="BX46" i="53"/>
  <c r="BX67" i="53"/>
  <c r="BX133" i="53"/>
  <c r="BX193" i="53"/>
  <c r="BX256" i="53"/>
  <c r="BX37" i="55"/>
  <c r="BX40" i="55"/>
  <c r="BX166" i="55"/>
  <c r="BX190" i="55"/>
  <c r="BX193" i="55"/>
  <c r="BS197" i="55"/>
  <c r="N7" i="79"/>
  <c r="M23" i="79"/>
  <c r="N39" i="79"/>
  <c r="M55" i="79"/>
  <c r="M2" i="82"/>
  <c r="M34" i="82"/>
  <c r="V191" i="53"/>
  <c r="AK8" i="16"/>
  <c r="M91" i="45" s="1"/>
  <c r="CU14" i="16"/>
  <c r="AP274" i="58" s="1"/>
  <c r="CP13" i="16"/>
  <c r="CT11" i="16"/>
  <c r="AN184" i="58" s="1"/>
  <c r="CO10" i="16"/>
  <c r="CT8" i="16"/>
  <c r="N8" i="79"/>
  <c r="O8" i="79" s="1"/>
  <c r="M24" i="79"/>
  <c r="N40" i="79"/>
  <c r="M56" i="79"/>
  <c r="N26" i="81"/>
  <c r="O26" i="81" s="1"/>
  <c r="N42" i="81"/>
  <c r="N3" i="82"/>
  <c r="M19" i="82"/>
  <c r="AL5" i="16"/>
  <c r="AI8" i="16"/>
  <c r="I91" i="45" s="1"/>
  <c r="BW67" i="57"/>
  <c r="M42" i="79"/>
  <c r="N44" i="81"/>
  <c r="O44" i="81" s="1"/>
  <c r="M21" i="82"/>
  <c r="N37" i="82"/>
  <c r="O37" i="82" s="1"/>
  <c r="AK5" i="16"/>
  <c r="N27" i="79"/>
  <c r="N43" i="79"/>
  <c r="BG287" i="52"/>
  <c r="BX287" i="52"/>
  <c r="BW287" i="52"/>
  <c r="V287" i="52"/>
  <c r="BW286" i="52"/>
  <c r="BX286" i="52"/>
  <c r="BS286" i="52"/>
  <c r="BF286" i="52"/>
  <c r="BX283" i="52"/>
  <c r="BW283" i="52"/>
  <c r="M59" i="78" s="1"/>
  <c r="BF283" i="52"/>
  <c r="BX284" i="52"/>
  <c r="V283" i="52"/>
  <c r="BS283" i="52"/>
  <c r="BX280" i="52"/>
  <c r="BS280" i="52"/>
  <c r="V280" i="52"/>
  <c r="BF280" i="52"/>
  <c r="BS277" i="52"/>
  <c r="BG277" i="52"/>
  <c r="V278" i="52"/>
  <c r="BE277" i="52"/>
  <c r="AU289" i="52"/>
  <c r="V289" i="52" s="1"/>
  <c r="BW277" i="52"/>
  <c r="BF277" i="52"/>
  <c r="BX277" i="52"/>
  <c r="BS256" i="52"/>
  <c r="BF256" i="52"/>
  <c r="BW257" i="52"/>
  <c r="M38" i="78" s="1"/>
  <c r="V257" i="52"/>
  <c r="BW256" i="52"/>
  <c r="BG256" i="52"/>
  <c r="V256" i="52"/>
  <c r="V255" i="52"/>
  <c r="BS253" i="52"/>
  <c r="BF253" i="52"/>
  <c r="BX253" i="52"/>
  <c r="BW253" i="52"/>
  <c r="BW250" i="52"/>
  <c r="M40" i="78" s="1"/>
  <c r="BG250" i="52"/>
  <c r="BX250" i="52"/>
  <c r="BS250" i="52"/>
  <c r="V250" i="52"/>
  <c r="V248" i="52"/>
  <c r="BX248" i="52"/>
  <c r="V247" i="52"/>
  <c r="BW247" i="52"/>
  <c r="AU259" i="52"/>
  <c r="BB260" i="52" s="1"/>
  <c r="BX247" i="52"/>
  <c r="BS247" i="52"/>
  <c r="D259" i="52"/>
  <c r="BF247" i="52"/>
  <c r="BE226" i="52"/>
  <c r="BX226" i="52" s="1"/>
  <c r="BF226" i="52"/>
  <c r="BS226" i="52"/>
  <c r="BG226" i="52"/>
  <c r="BX223" i="52"/>
  <c r="BG223" i="52"/>
  <c r="BW223" i="52"/>
  <c r="M56" i="78" s="1"/>
  <c r="BS223" i="52"/>
  <c r="BX220" i="52"/>
  <c r="BW220" i="52"/>
  <c r="BS220" i="52"/>
  <c r="BE217" i="52"/>
  <c r="BX217" i="52" s="1"/>
  <c r="BW217" i="52"/>
  <c r="M54" i="78" s="1"/>
  <c r="BS217" i="52"/>
  <c r="AU229" i="52"/>
  <c r="BB230" i="52" s="1"/>
  <c r="BG217" i="52"/>
  <c r="N54" i="78" s="1"/>
  <c r="D229" i="52"/>
  <c r="BS196" i="52"/>
  <c r="BF196" i="52"/>
  <c r="BW196" i="52"/>
  <c r="BG196" i="52"/>
  <c r="BE196" i="52"/>
  <c r="BX196" i="52" s="1"/>
  <c r="BW193" i="52"/>
  <c r="M9" i="78" s="1"/>
  <c r="BS193" i="52"/>
  <c r="BE193" i="52"/>
  <c r="BX193" i="52" s="1"/>
  <c r="BF193" i="52"/>
  <c r="BG193" i="52"/>
  <c r="V190" i="52"/>
  <c r="BS190" i="52"/>
  <c r="BF190" i="52"/>
  <c r="BW190" i="52"/>
  <c r="M7" i="78" s="1"/>
  <c r="AU199" i="52"/>
  <c r="BW187" i="52"/>
  <c r="BS187" i="52"/>
  <c r="BG187" i="52"/>
  <c r="BX187" i="52"/>
  <c r="BS166" i="52"/>
  <c r="BX166" i="52"/>
  <c r="BF166" i="52"/>
  <c r="BG166" i="52"/>
  <c r="BW166" i="52"/>
  <c r="M10" i="78" s="1"/>
  <c r="BS163" i="52"/>
  <c r="V163" i="52"/>
  <c r="BX163" i="52"/>
  <c r="BG163" i="52"/>
  <c r="BW163" i="52"/>
  <c r="M12" i="78" s="1"/>
  <c r="BF163" i="52"/>
  <c r="BF160" i="52"/>
  <c r="BW160" i="52"/>
  <c r="M13" i="78" s="1"/>
  <c r="BG160" i="52"/>
  <c r="N13" i="78" s="1"/>
  <c r="BS160" i="52"/>
  <c r="BS157" i="52"/>
  <c r="BX157" i="52"/>
  <c r="BF157" i="52"/>
  <c r="BW157" i="52"/>
  <c r="V157" i="52"/>
  <c r="AU169" i="52"/>
  <c r="BB170" i="52" s="1"/>
  <c r="BG157" i="52"/>
  <c r="N50" i="78" s="1"/>
  <c r="M44" i="79"/>
  <c r="N28" i="79"/>
  <c r="O28" i="79" s="1"/>
  <c r="N12" i="79"/>
  <c r="BG136" i="52"/>
  <c r="N41" i="78" s="1"/>
  <c r="BS136" i="52"/>
  <c r="BF136" i="52"/>
  <c r="BX136" i="52"/>
  <c r="BF133" i="52"/>
  <c r="BX133" i="52"/>
  <c r="BS133" i="52"/>
  <c r="BW133" i="52"/>
  <c r="M43" i="78" s="1"/>
  <c r="BS131" i="52"/>
  <c r="BW131" i="52"/>
  <c r="BE131" i="52"/>
  <c r="BF130" i="52"/>
  <c r="BG130" i="52"/>
  <c r="BW130" i="52"/>
  <c r="BX130" i="52"/>
  <c r="V130" i="52"/>
  <c r="BS127" i="52"/>
  <c r="BE127" i="52"/>
  <c r="BX127" i="52" s="1"/>
  <c r="BW127" i="52"/>
  <c r="M42" i="78" s="1"/>
  <c r="BF127" i="52"/>
  <c r="AU139" i="52"/>
  <c r="BG127" i="52"/>
  <c r="BX106" i="52"/>
  <c r="BF106" i="52"/>
  <c r="V106" i="52"/>
  <c r="BS106" i="52"/>
  <c r="BW106" i="52"/>
  <c r="BS104" i="52"/>
  <c r="BG104" i="52"/>
  <c r="BX104" i="52"/>
  <c r="BF104" i="52"/>
  <c r="BW103" i="52"/>
  <c r="BG103" i="52"/>
  <c r="BG101" i="52"/>
  <c r="BX101" i="52"/>
  <c r="BW101" i="52"/>
  <c r="BF101" i="52"/>
  <c r="BX100" i="52"/>
  <c r="BG100" i="52"/>
  <c r="N48" i="78" s="1"/>
  <c r="V100" i="52"/>
  <c r="BW100" i="52"/>
  <c r="BS100" i="52"/>
  <c r="BS97" i="52"/>
  <c r="AU109" i="52"/>
  <c r="BE97" i="52"/>
  <c r="BX97" i="52" s="1"/>
  <c r="BF97" i="52"/>
  <c r="BX76" i="52"/>
  <c r="V76" i="52"/>
  <c r="BW76" i="52"/>
  <c r="M17" i="78" s="1"/>
  <c r="BF74" i="52"/>
  <c r="V74" i="52"/>
  <c r="BX74" i="52"/>
  <c r="BW74" i="52"/>
  <c r="M51" i="78" s="1"/>
  <c r="BG74" i="52"/>
  <c r="BS74" i="52"/>
  <c r="BF73" i="52"/>
  <c r="V73" i="52"/>
  <c r="BX70" i="52"/>
  <c r="BS70" i="52"/>
  <c r="BW70" i="52"/>
  <c r="BG70" i="52"/>
  <c r="N16" i="78" s="1"/>
  <c r="BG67" i="52"/>
  <c r="V67" i="52"/>
  <c r="BW67" i="52"/>
  <c r="BX67" i="52"/>
  <c r="BS67" i="52"/>
  <c r="BF67" i="52"/>
  <c r="AU79" i="52"/>
  <c r="M2" i="78"/>
  <c r="BF47" i="52"/>
  <c r="BX47" i="52"/>
  <c r="BS47" i="52"/>
  <c r="BG47" i="52"/>
  <c r="V47" i="52"/>
  <c r="BF46" i="52"/>
  <c r="BG46" i="52"/>
  <c r="BX46" i="52"/>
  <c r="BE46" i="52"/>
  <c r="BF43" i="52"/>
  <c r="BX43" i="52"/>
  <c r="BS43" i="52"/>
  <c r="V43" i="52"/>
  <c r="BW40" i="52"/>
  <c r="BS40" i="52"/>
  <c r="BG40" i="52"/>
  <c r="V40" i="52"/>
  <c r="BX40" i="52"/>
  <c r="BF40" i="52"/>
  <c r="AU49" i="52"/>
  <c r="V49" i="52" s="1"/>
  <c r="BF37" i="52"/>
  <c r="BS37" i="52"/>
  <c r="BG37" i="52"/>
  <c r="N18" i="78" s="1"/>
  <c r="D49" i="52"/>
  <c r="BW37" i="52"/>
  <c r="M18" i="78" s="1"/>
  <c r="BW16" i="52"/>
  <c r="BE16" i="52"/>
  <c r="BX16" i="52" s="1"/>
  <c r="BX13" i="52"/>
  <c r="BG13" i="52"/>
  <c r="BE13" i="52"/>
  <c r="BS10" i="52"/>
  <c r="BE10" i="52"/>
  <c r="BX10" i="52" s="1"/>
  <c r="BG10" i="52"/>
  <c r="N29" i="78" s="1"/>
  <c r="AU19" i="52"/>
  <c r="V19" i="52" s="1"/>
  <c r="F19" i="52"/>
  <c r="BW7" i="52"/>
  <c r="M30" i="78" s="1"/>
  <c r="BF7" i="52"/>
  <c r="BX7" i="52"/>
  <c r="BG7" i="52"/>
  <c r="BS7" i="52"/>
  <c r="N26" i="78"/>
  <c r="N11" i="78"/>
  <c r="O11" i="78" s="1"/>
  <c r="N27" i="78"/>
  <c r="N12" i="78"/>
  <c r="N28" i="78"/>
  <c r="O28" i="78" s="1"/>
  <c r="M33" i="78"/>
  <c r="M25" i="78"/>
  <c r="N43" i="78"/>
  <c r="N44" i="78"/>
  <c r="L177" i="55"/>
  <c r="H117" i="53"/>
  <c r="M25" i="79"/>
  <c r="M27" i="79"/>
  <c r="M13" i="79"/>
  <c r="AH160" i="52"/>
  <c r="I160" i="52" s="1"/>
  <c r="AN76" i="58"/>
  <c r="O76" i="58" s="1"/>
  <c r="AD67" i="52"/>
  <c r="E67" i="52" s="1"/>
  <c r="R55" i="52"/>
  <c r="F176" i="58"/>
  <c r="N58" i="57"/>
  <c r="AN43" i="57"/>
  <c r="O43" i="57" s="1"/>
  <c r="T205" i="58"/>
  <c r="AJ97" i="57"/>
  <c r="K97" i="57" s="1"/>
  <c r="AJ250" i="58"/>
  <c r="K250" i="58" s="1"/>
  <c r="J268" i="58"/>
  <c r="J148" i="52"/>
  <c r="N265" i="59"/>
  <c r="F177" i="58"/>
  <c r="N56" i="57"/>
  <c r="AL166" i="55"/>
  <c r="M166" i="55" s="1"/>
  <c r="AL103" i="59"/>
  <c r="M103" i="59" s="1"/>
  <c r="AR160" i="59"/>
  <c r="S160" i="59" s="1"/>
  <c r="R56" i="52"/>
  <c r="AJ106" i="57"/>
  <c r="K106" i="57" s="1"/>
  <c r="R175" i="59"/>
  <c r="AI119" i="57"/>
  <c r="J119" i="57" s="1"/>
  <c r="AH106" i="53"/>
  <c r="I106" i="53" s="1"/>
  <c r="AJ100" i="57"/>
  <c r="K100" i="57" s="1"/>
  <c r="AH127" i="59"/>
  <c r="I127" i="59" s="1"/>
  <c r="P296" i="59"/>
  <c r="J207" i="53"/>
  <c r="AN250" i="59"/>
  <c r="O250" i="59" s="1"/>
  <c r="F237" i="59"/>
  <c r="D146" i="55"/>
  <c r="N85" i="58"/>
  <c r="AM59" i="57"/>
  <c r="AN49" i="57" s="1"/>
  <c r="O49" i="57" s="1"/>
  <c r="P177" i="53"/>
  <c r="AF220" i="59"/>
  <c r="G220" i="59" s="1"/>
  <c r="N34" i="79"/>
  <c r="O34" i="79" s="1"/>
  <c r="AH280" i="58"/>
  <c r="I280" i="58" s="1"/>
  <c r="N23" i="79"/>
  <c r="D298" i="57"/>
  <c r="M37" i="79"/>
  <c r="M40" i="79"/>
  <c r="AT193" i="58"/>
  <c r="U193" i="58" s="1"/>
  <c r="M8" i="79"/>
  <c r="AG235" i="52"/>
  <c r="AH217" i="52" s="1"/>
  <c r="I217" i="52" s="1"/>
  <c r="AS209" i="58"/>
  <c r="T209" i="58" s="1"/>
  <c r="J145" i="52"/>
  <c r="M32" i="79"/>
  <c r="AS265" i="52"/>
  <c r="AT247" i="52" s="1"/>
  <c r="U247" i="52" s="1"/>
  <c r="AC178" i="52"/>
  <c r="AD166" i="52" s="1"/>
  <c r="E166" i="52" s="1"/>
  <c r="AJ46" i="55"/>
  <c r="K46" i="55" s="1"/>
  <c r="AL160" i="55"/>
  <c r="M160" i="55" s="1"/>
  <c r="AK208" i="55"/>
  <c r="L208" i="55" s="1"/>
  <c r="J146" i="52"/>
  <c r="AI145" i="53"/>
  <c r="J145" i="53" s="1"/>
  <c r="N35" i="79"/>
  <c r="O35" i="79" s="1"/>
  <c r="AQ266" i="59"/>
  <c r="AR250" i="59" s="1"/>
  <c r="S250" i="59" s="1"/>
  <c r="J86" i="59"/>
  <c r="AQ296" i="57"/>
  <c r="AR280" i="57" s="1"/>
  <c r="S280" i="57" s="1"/>
  <c r="AM207" i="53"/>
  <c r="AN193" i="53" s="1"/>
  <c r="O193" i="53" s="1"/>
  <c r="AI269" i="58"/>
  <c r="J269" i="58" s="1"/>
  <c r="AO238" i="53"/>
  <c r="P238" i="53" s="1"/>
  <c r="AK86" i="53"/>
  <c r="L86" i="53" s="1"/>
  <c r="N87" i="58"/>
  <c r="AI148" i="53"/>
  <c r="J148" i="53" s="1"/>
  <c r="N22" i="79"/>
  <c r="O22" i="79" s="1"/>
  <c r="D297" i="57"/>
  <c r="AC149" i="55"/>
  <c r="D149" i="55" s="1"/>
  <c r="AG119" i="53"/>
  <c r="H119" i="53" s="1"/>
  <c r="AG295" i="59"/>
  <c r="H295" i="59" s="1"/>
  <c r="T206" i="58"/>
  <c r="D88" i="52"/>
  <c r="AL157" i="55"/>
  <c r="M157" i="55" s="1"/>
  <c r="B7" i="52"/>
  <c r="P148" i="58"/>
  <c r="AM146" i="52"/>
  <c r="AN130" i="52" s="1"/>
  <c r="O130" i="52" s="1"/>
  <c r="J117" i="57"/>
  <c r="AT277" i="55"/>
  <c r="U277" i="55" s="1"/>
  <c r="AK179" i="55"/>
  <c r="AL169" i="55" s="1"/>
  <c r="M169" i="55" s="1"/>
  <c r="AF250" i="52"/>
  <c r="G250" i="52" s="1"/>
  <c r="AP187" i="55"/>
  <c r="Q187" i="55" s="1"/>
  <c r="AK86" i="52"/>
  <c r="L86" i="52" s="1"/>
  <c r="N118" i="55"/>
  <c r="AK176" i="59"/>
  <c r="L176" i="59" s="1"/>
  <c r="N148" i="53"/>
  <c r="P206" i="55"/>
  <c r="AC148" i="59"/>
  <c r="AK207" i="55"/>
  <c r="AS116" i="59"/>
  <c r="AT100" i="59" s="1"/>
  <c r="U100" i="59" s="1"/>
  <c r="AI205" i="59"/>
  <c r="AJ187" i="59" s="1"/>
  <c r="K187" i="59" s="1"/>
  <c r="AC147" i="59"/>
  <c r="D147" i="59" s="1"/>
  <c r="D57" i="58"/>
  <c r="AM297" i="59"/>
  <c r="N297" i="59" s="1"/>
  <c r="L298" i="52"/>
  <c r="AM176" i="55"/>
  <c r="N176" i="55" s="1"/>
  <c r="AC176" i="52"/>
  <c r="D148" i="55"/>
  <c r="D147" i="55"/>
  <c r="AS27" i="59"/>
  <c r="AK236" i="59"/>
  <c r="M16" i="79"/>
  <c r="AL163" i="57"/>
  <c r="M163" i="57" s="1"/>
  <c r="AS239" i="52"/>
  <c r="T239" i="52" s="1"/>
  <c r="AS26" i="59"/>
  <c r="AT10" i="59" s="1"/>
  <c r="U10" i="59" s="1"/>
  <c r="AS176" i="53"/>
  <c r="T176" i="53" s="1"/>
  <c r="AO237" i="53"/>
  <c r="AL160" i="57"/>
  <c r="M160" i="57" s="1"/>
  <c r="AG236" i="59"/>
  <c r="H236" i="59" s="1"/>
  <c r="L115" i="59"/>
  <c r="AM205" i="53"/>
  <c r="AS268" i="58"/>
  <c r="T268" i="58" s="1"/>
  <c r="AE267" i="59"/>
  <c r="AF253" i="59" s="1"/>
  <c r="G253" i="59" s="1"/>
  <c r="AF250" i="57"/>
  <c r="G250" i="57" s="1"/>
  <c r="AC145" i="59"/>
  <c r="AK85" i="53"/>
  <c r="L85" i="53" s="1"/>
  <c r="AQ115" i="53"/>
  <c r="AG296" i="53"/>
  <c r="AM149" i="53"/>
  <c r="AT196" i="58"/>
  <c r="U196" i="58" s="1"/>
  <c r="AJ253" i="58"/>
  <c r="K253" i="58" s="1"/>
  <c r="N34" i="81"/>
  <c r="O34" i="81" s="1"/>
  <c r="AE268" i="59"/>
  <c r="AF256" i="59" s="1"/>
  <c r="G256" i="59" s="1"/>
  <c r="AI206" i="59"/>
  <c r="AJ190" i="59" s="1"/>
  <c r="K190" i="59" s="1"/>
  <c r="AC268" i="53"/>
  <c r="D268" i="53" s="1"/>
  <c r="AS178" i="53"/>
  <c r="AT166" i="53" s="1"/>
  <c r="U166" i="53" s="1"/>
  <c r="M20" i="79"/>
  <c r="AE85" i="53"/>
  <c r="AF67" i="53" s="1"/>
  <c r="G67" i="53" s="1"/>
  <c r="AC267" i="53"/>
  <c r="AI149" i="52"/>
  <c r="AJ139" i="52" s="1"/>
  <c r="AN100" i="55"/>
  <c r="O100" i="55" s="1"/>
  <c r="AP283" i="59"/>
  <c r="Q283" i="59" s="1"/>
  <c r="AC266" i="53"/>
  <c r="D266" i="53" s="1"/>
  <c r="AO87" i="59"/>
  <c r="P87" i="59" s="1"/>
  <c r="AS115" i="59"/>
  <c r="T115" i="59" s="1"/>
  <c r="AI146" i="53"/>
  <c r="AI147" i="53"/>
  <c r="AO235" i="53"/>
  <c r="AP217" i="53" s="1"/>
  <c r="Q217" i="53" s="1"/>
  <c r="AH136" i="59"/>
  <c r="I136" i="59" s="1"/>
  <c r="AE26" i="53"/>
  <c r="AF10" i="53" s="1"/>
  <c r="G10" i="53" s="1"/>
  <c r="AE117" i="59"/>
  <c r="AT286" i="55"/>
  <c r="U286" i="55" s="1"/>
  <c r="AQ267" i="59"/>
  <c r="H146" i="59"/>
  <c r="AQ208" i="59"/>
  <c r="AR196" i="59" s="1"/>
  <c r="S196" i="59" s="1"/>
  <c r="AQ117" i="53"/>
  <c r="AC265" i="53"/>
  <c r="AN130" i="53"/>
  <c r="O130" i="53" s="1"/>
  <c r="N117" i="55"/>
  <c r="AD280" i="57"/>
  <c r="E280" i="57" s="1"/>
  <c r="B7" i="53"/>
  <c r="AS25" i="59"/>
  <c r="D55" i="58"/>
  <c r="AO86" i="59"/>
  <c r="AP70" i="59" s="1"/>
  <c r="Q70" i="59" s="1"/>
  <c r="AG297" i="53"/>
  <c r="H297" i="53" s="1"/>
  <c r="AH283" i="58"/>
  <c r="I283" i="58" s="1"/>
  <c r="T237" i="52"/>
  <c r="AC178" i="59"/>
  <c r="D178" i="59" s="1"/>
  <c r="J85" i="59"/>
  <c r="AK177" i="59"/>
  <c r="AL163" i="59" s="1"/>
  <c r="M163" i="59" s="1"/>
  <c r="AC176" i="59"/>
  <c r="D176" i="59" s="1"/>
  <c r="AE28" i="53"/>
  <c r="AF16" i="53" s="1"/>
  <c r="G16" i="53" s="1"/>
  <c r="AQ178" i="53"/>
  <c r="R178" i="53" s="1"/>
  <c r="AG298" i="53"/>
  <c r="M39" i="79"/>
  <c r="AG238" i="59"/>
  <c r="AH226" i="59" s="1"/>
  <c r="I226" i="59" s="1"/>
  <c r="AK175" i="59"/>
  <c r="L175" i="59" s="1"/>
  <c r="AE115" i="59"/>
  <c r="AF97" i="59" s="1"/>
  <c r="G97" i="59" s="1"/>
  <c r="AK87" i="53"/>
  <c r="AE25" i="53"/>
  <c r="AO88" i="59"/>
  <c r="P88" i="59" s="1"/>
  <c r="AL100" i="59"/>
  <c r="M100" i="59" s="1"/>
  <c r="AM295" i="59"/>
  <c r="N295" i="59" s="1"/>
  <c r="AG237" i="52"/>
  <c r="AH223" i="52" s="1"/>
  <c r="I223" i="52" s="1"/>
  <c r="AM208" i="53"/>
  <c r="AN196" i="53" s="1"/>
  <c r="O196" i="53" s="1"/>
  <c r="AK88" i="53"/>
  <c r="AL76" i="53" s="1"/>
  <c r="M76" i="53" s="1"/>
  <c r="P176" i="53"/>
  <c r="P178" i="53"/>
  <c r="L115" i="58"/>
  <c r="AE116" i="59"/>
  <c r="F116" i="59" s="1"/>
  <c r="AQ205" i="59"/>
  <c r="R205" i="59" s="1"/>
  <c r="AG295" i="53"/>
  <c r="AD187" i="59"/>
  <c r="E187" i="59" s="1"/>
  <c r="AE118" i="59"/>
  <c r="F118" i="59" s="1"/>
  <c r="AI208" i="59"/>
  <c r="AJ196" i="59" s="1"/>
  <c r="K196" i="59" s="1"/>
  <c r="D208" i="59"/>
  <c r="AS28" i="59"/>
  <c r="AK88" i="52"/>
  <c r="AQ118" i="53"/>
  <c r="AR106" i="53" s="1"/>
  <c r="S106" i="53" s="1"/>
  <c r="AH244" i="53"/>
  <c r="AH244" i="52"/>
  <c r="V13" i="16"/>
  <c r="DR12" i="16"/>
  <c r="DO15" i="16"/>
  <c r="U33" i="41"/>
  <c r="U15" i="16"/>
  <c r="O15" i="16"/>
  <c r="AH124" i="52"/>
  <c r="AH124" i="53"/>
  <c r="B100" i="55"/>
  <c r="AC115" i="55"/>
  <c r="AD97" i="55" s="1"/>
  <c r="E97" i="55" s="1"/>
  <c r="AQ27" i="55"/>
  <c r="AR13" i="55" s="1"/>
  <c r="S13" i="55" s="1"/>
  <c r="AT154" i="53"/>
  <c r="V10" i="16"/>
  <c r="AT154" i="52"/>
  <c r="BB260" i="59"/>
  <c r="AC267" i="55"/>
  <c r="D267" i="55" s="1"/>
  <c r="N59" i="79"/>
  <c r="N57" i="79"/>
  <c r="M62" i="46"/>
  <c r="AL64" i="55"/>
  <c r="AM178" i="55"/>
  <c r="BB15" i="16"/>
  <c r="AR214" i="53"/>
  <c r="AR214" i="52"/>
  <c r="O33" i="50"/>
  <c r="AN34" i="58"/>
  <c r="AP184" i="53"/>
  <c r="AP184" i="52"/>
  <c r="AG203" i="57"/>
  <c r="H203" i="57" s="1"/>
  <c r="AG206" i="57"/>
  <c r="AG205" i="57"/>
  <c r="AG207" i="57"/>
  <c r="AG208" i="57"/>
  <c r="AH196" i="57" s="1"/>
  <c r="I196" i="57" s="1"/>
  <c r="AO233" i="57"/>
  <c r="P233" i="57" s="1"/>
  <c r="AO237" i="57"/>
  <c r="AO235" i="57"/>
  <c r="AO236" i="57"/>
  <c r="AO238" i="57"/>
  <c r="P232" i="57"/>
  <c r="O64" i="58"/>
  <c r="O274" i="58"/>
  <c r="U274" i="58"/>
  <c r="I94" i="58"/>
  <c r="E64" i="58"/>
  <c r="G184" i="58"/>
  <c r="Q34" i="58"/>
  <c r="S214" i="58"/>
  <c r="G34" i="58"/>
  <c r="E154" i="58"/>
  <c r="O124" i="58"/>
  <c r="I244" i="58"/>
  <c r="O244" i="58"/>
  <c r="B3" i="58"/>
  <c r="G214" i="58"/>
  <c r="E274" i="58"/>
  <c r="O154" i="58"/>
  <c r="Q154" i="58"/>
  <c r="I4" i="58"/>
  <c r="G244" i="58"/>
  <c r="K274" i="58"/>
  <c r="E184" i="58"/>
  <c r="I274" i="58"/>
  <c r="G94" i="58"/>
  <c r="K64" i="58"/>
  <c r="S274" i="58"/>
  <c r="S154" i="58"/>
  <c r="S34" i="58"/>
  <c r="S64" i="58"/>
  <c r="U154" i="58"/>
  <c r="G124" i="58"/>
  <c r="G154" i="58"/>
  <c r="G274" i="58"/>
  <c r="O94" i="58"/>
  <c r="I154" i="58"/>
  <c r="S244" i="58"/>
  <c r="U64" i="58"/>
  <c r="K124" i="58"/>
  <c r="Q214" i="58"/>
  <c r="I124" i="58"/>
  <c r="G64" i="58"/>
  <c r="O4" i="58"/>
  <c r="O184" i="58"/>
  <c r="K244" i="58"/>
  <c r="B13" i="55"/>
  <c r="AI28" i="55"/>
  <c r="O149" i="45"/>
  <c r="N138" i="45"/>
  <c r="N139" i="45" s="1"/>
  <c r="BG15" i="16"/>
  <c r="M4" i="46"/>
  <c r="AL4" i="55"/>
  <c r="AH274" i="53"/>
  <c r="AH274" i="52"/>
  <c r="DQ15" i="16"/>
  <c r="AF34" i="58"/>
  <c r="CX6" i="16"/>
  <c r="P167" i="45"/>
  <c r="P168" i="45" s="1"/>
  <c r="M62" i="79"/>
  <c r="O64" i="55"/>
  <c r="O94" i="52"/>
  <c r="O34" i="52"/>
  <c r="O4" i="55"/>
  <c r="O94" i="57"/>
  <c r="O184" i="52"/>
  <c r="O64" i="59"/>
  <c r="O274" i="52"/>
  <c r="O214" i="53"/>
  <c r="O124" i="55"/>
  <c r="O154" i="52"/>
  <c r="O64" i="53"/>
  <c r="O214" i="55"/>
  <c r="O4" i="53"/>
  <c r="O64" i="52"/>
  <c r="O184" i="57"/>
  <c r="O154" i="59"/>
  <c r="O184" i="59"/>
  <c r="O34" i="59"/>
  <c r="O244" i="57"/>
  <c r="O154" i="55"/>
  <c r="O64" i="57"/>
  <c r="O94" i="55"/>
  <c r="O214" i="57"/>
  <c r="O154" i="57"/>
  <c r="O4" i="59"/>
  <c r="O214" i="59"/>
  <c r="O274" i="55"/>
  <c r="O94" i="53"/>
  <c r="O244" i="59"/>
  <c r="S149" i="45"/>
  <c r="T138" i="45"/>
  <c r="T139" i="45" s="1"/>
  <c r="E33" i="46"/>
  <c r="AL94" i="53"/>
  <c r="F167" i="45"/>
  <c r="F168" i="45" s="1"/>
  <c r="AE296" i="55"/>
  <c r="AF280" i="55" s="1"/>
  <c r="G280" i="55" s="1"/>
  <c r="AG86" i="55"/>
  <c r="BJ10" i="16"/>
  <c r="AF154" i="55"/>
  <c r="J167" i="45"/>
  <c r="J168" i="45" s="1"/>
  <c r="Q120" i="45"/>
  <c r="DM15" i="16"/>
  <c r="B13" i="53"/>
  <c r="AO236" i="53"/>
  <c r="AS175" i="53"/>
  <c r="AQ116" i="53"/>
  <c r="AE27" i="53"/>
  <c r="F27" i="53" s="1"/>
  <c r="AS177" i="53"/>
  <c r="AM206" i="53"/>
  <c r="AN190" i="53" s="1"/>
  <c r="O190" i="53" s="1"/>
  <c r="BJ9" i="16"/>
  <c r="AL124" i="55"/>
  <c r="AR166" i="59"/>
  <c r="S166" i="59" s="1"/>
  <c r="R178" i="59"/>
  <c r="AJ4" i="52"/>
  <c r="K64" i="53"/>
  <c r="K34" i="55"/>
  <c r="K274" i="57"/>
  <c r="K154" i="57"/>
  <c r="K34" i="59"/>
  <c r="K124" i="55"/>
  <c r="K94" i="52"/>
  <c r="K4" i="55"/>
  <c r="K214" i="55"/>
  <c r="K154" i="53"/>
  <c r="K64" i="59"/>
  <c r="K184" i="55"/>
  <c r="K214" i="57"/>
  <c r="P15" i="16"/>
  <c r="K244" i="53"/>
  <c r="K4" i="41"/>
  <c r="K244" i="59"/>
  <c r="K274" i="53"/>
  <c r="K34" i="53"/>
  <c r="K64" i="57"/>
  <c r="K244" i="52"/>
  <c r="K34" i="52"/>
  <c r="K124" i="57"/>
  <c r="K4" i="52"/>
  <c r="K4" i="53"/>
  <c r="K94" i="57"/>
  <c r="AO268" i="55"/>
  <c r="F138" i="45"/>
  <c r="F139" i="45" s="1"/>
  <c r="DR8" i="16"/>
  <c r="Q91" i="46"/>
  <c r="CD10" i="16"/>
  <c r="BV15" i="16"/>
  <c r="G149" i="45"/>
  <c r="D167" i="45"/>
  <c r="D168" i="45" s="1"/>
  <c r="B176" i="45"/>
  <c r="H167" i="45"/>
  <c r="H168" i="45" s="1"/>
  <c r="B148" i="45"/>
  <c r="N167" i="45"/>
  <c r="N168" i="45" s="1"/>
  <c r="L167" i="45"/>
  <c r="L168" i="45" s="1"/>
  <c r="AK179" i="57"/>
  <c r="AL157" i="57"/>
  <c r="M157" i="57" s="1"/>
  <c r="AP9" i="16"/>
  <c r="AO267" i="55"/>
  <c r="M149" i="45"/>
  <c r="BA15" i="16"/>
  <c r="R167" i="45"/>
  <c r="R168" i="45" s="1"/>
  <c r="AR274" i="59"/>
  <c r="DP15" i="16"/>
  <c r="V12" i="16"/>
  <c r="AD214" i="52"/>
  <c r="E120" i="45"/>
  <c r="M120" i="45"/>
  <c r="J138" i="45"/>
  <c r="J139" i="45" s="1"/>
  <c r="P138" i="45"/>
  <c r="P139" i="45" s="1"/>
  <c r="D138" i="45"/>
  <c r="D139" i="45" s="1"/>
  <c r="H138" i="45"/>
  <c r="H139" i="45" s="1"/>
  <c r="K120" i="45"/>
  <c r="CC15" i="16"/>
  <c r="AT214" i="57"/>
  <c r="AR34" i="52"/>
  <c r="T15" i="16"/>
  <c r="K149" i="45"/>
  <c r="AD4" i="55"/>
  <c r="BB80" i="57"/>
  <c r="AF124" i="55"/>
  <c r="BF110" i="58"/>
  <c r="AJ184" i="53"/>
  <c r="AJ184" i="52"/>
  <c r="AN34" i="52"/>
  <c r="V6" i="16"/>
  <c r="S33" i="50"/>
  <c r="AR34" i="58"/>
  <c r="CV15" i="16"/>
  <c r="R268" i="53"/>
  <c r="AR256" i="53"/>
  <c r="S256" i="53" s="1"/>
  <c r="BE192" i="52"/>
  <c r="V192" i="52"/>
  <c r="BE47" i="55"/>
  <c r="V47" i="55"/>
  <c r="J52" i="57"/>
  <c r="AI53" i="57"/>
  <c r="J53" i="57" s="1"/>
  <c r="AQ85" i="57"/>
  <c r="R85" i="57" s="1"/>
  <c r="AQ87" i="57"/>
  <c r="AR73" i="57" s="1"/>
  <c r="S73" i="57" s="1"/>
  <c r="J112" i="53"/>
  <c r="AI113" i="53"/>
  <c r="J113" i="53" s="1"/>
  <c r="BE160" i="52"/>
  <c r="BX160" i="52" s="1"/>
  <c r="V160" i="52"/>
  <c r="BE195" i="58"/>
  <c r="V195" i="58"/>
  <c r="AS55" i="55"/>
  <c r="AT37" i="55" s="1"/>
  <c r="U37" i="55" s="1"/>
  <c r="S91" i="51"/>
  <c r="N109" i="51"/>
  <c r="N110" i="51" s="1"/>
  <c r="E34" i="55"/>
  <c r="E184" i="55"/>
  <c r="E124" i="57"/>
  <c r="G4" i="52"/>
  <c r="G244" i="55"/>
  <c r="I154" i="55"/>
  <c r="G124" i="59"/>
  <c r="P202" i="57"/>
  <c r="V224" i="57"/>
  <c r="P112" i="52"/>
  <c r="AO118" i="52"/>
  <c r="P142" i="53"/>
  <c r="AO143" i="53"/>
  <c r="P143" i="53" s="1"/>
  <c r="BE220" i="53"/>
  <c r="V220" i="53"/>
  <c r="BE285" i="55"/>
  <c r="V285" i="55"/>
  <c r="E274" i="53"/>
  <c r="BJ12" i="16"/>
  <c r="E214" i="52"/>
  <c r="E244" i="57"/>
  <c r="E124" i="52"/>
  <c r="G64" i="55"/>
  <c r="G124" i="52"/>
  <c r="I184" i="59"/>
  <c r="I214" i="53"/>
  <c r="AP14" i="16"/>
  <c r="V165" i="58"/>
  <c r="BE129" i="52"/>
  <c r="V129" i="52"/>
  <c r="BE190" i="53"/>
  <c r="BX190" i="53" s="1"/>
  <c r="V190" i="53"/>
  <c r="BE99" i="57"/>
  <c r="V99" i="57"/>
  <c r="V131" i="59"/>
  <c r="BE131" i="59"/>
  <c r="E274" i="59"/>
  <c r="E94" i="55"/>
  <c r="E154" i="57"/>
  <c r="E94" i="57"/>
  <c r="AD64" i="53"/>
  <c r="E274" i="52"/>
  <c r="E184" i="53"/>
  <c r="E94" i="52"/>
  <c r="E244" i="53"/>
  <c r="BF200" i="57"/>
  <c r="G184" i="53"/>
  <c r="G244" i="59"/>
  <c r="G34" i="52"/>
  <c r="I244" i="55"/>
  <c r="AD94" i="52"/>
  <c r="V19" i="53"/>
  <c r="AQ86" i="57"/>
  <c r="R86" i="57" s="1"/>
  <c r="AQ23" i="58"/>
  <c r="R23" i="58" s="1"/>
  <c r="DJ15" i="16"/>
  <c r="BW15" i="16"/>
  <c r="E244" i="55"/>
  <c r="E244" i="59"/>
  <c r="E154" i="59"/>
  <c r="E274" i="55"/>
  <c r="G94" i="59"/>
  <c r="G274" i="53"/>
  <c r="AT124" i="53"/>
  <c r="AF274" i="52"/>
  <c r="I34" i="58"/>
  <c r="R82" i="57"/>
  <c r="R292" i="55"/>
  <c r="AQ293" i="55"/>
  <c r="R293" i="55" s="1"/>
  <c r="V11" i="16"/>
  <c r="AQ83" i="57"/>
  <c r="R83" i="57" s="1"/>
  <c r="AQ179" i="59"/>
  <c r="F31" i="51"/>
  <c r="F205" i="51"/>
  <c r="F118" i="51"/>
  <c r="F2" i="51"/>
  <c r="E8" i="90" s="1"/>
  <c r="AK173" i="59"/>
  <c r="L173" i="59" s="1"/>
  <c r="L172" i="59"/>
  <c r="L172" i="53"/>
  <c r="AK173" i="53"/>
  <c r="L173" i="53" s="1"/>
  <c r="BE133" i="55"/>
  <c r="BX133" i="55" s="1"/>
  <c r="V133" i="55"/>
  <c r="BE167" i="57"/>
  <c r="V167" i="57"/>
  <c r="BE135" i="58"/>
  <c r="V135" i="58"/>
  <c r="BJ8" i="16"/>
  <c r="M15" i="16"/>
  <c r="E4" i="52"/>
  <c r="E214" i="53"/>
  <c r="G124" i="53"/>
  <c r="G214" i="52"/>
  <c r="G274" i="52"/>
  <c r="K4" i="45"/>
  <c r="AJ4" i="53"/>
  <c r="P82" i="55"/>
  <c r="AO83" i="55"/>
  <c r="P83" i="55" s="1"/>
  <c r="AS56" i="59"/>
  <c r="AS53" i="59"/>
  <c r="T53" i="59" s="1"/>
  <c r="T52" i="59"/>
  <c r="P202" i="53"/>
  <c r="AO203" i="53"/>
  <c r="P203" i="53" s="1"/>
  <c r="BE284" i="52"/>
  <c r="V284" i="52"/>
  <c r="E184" i="52"/>
  <c r="B118" i="51"/>
  <c r="AF4" i="52"/>
  <c r="U62" i="51"/>
  <c r="E34" i="59"/>
  <c r="E34" i="53"/>
  <c r="G64" i="57"/>
  <c r="G154" i="57"/>
  <c r="G124" i="55"/>
  <c r="G184" i="52"/>
  <c r="AR94" i="53"/>
  <c r="I4" i="59"/>
  <c r="I274" i="52"/>
  <c r="AP94" i="53"/>
  <c r="AP13" i="16"/>
  <c r="D109" i="50"/>
  <c r="D110" i="50" s="1"/>
  <c r="AQ88" i="57"/>
  <c r="R88" i="57" s="1"/>
  <c r="E154" i="55"/>
  <c r="E34" i="52"/>
  <c r="E4" i="53"/>
  <c r="A2" i="66"/>
  <c r="BE137" i="57"/>
  <c r="V137" i="57"/>
  <c r="BE105" i="58"/>
  <c r="V105" i="58"/>
  <c r="BE282" i="58"/>
  <c r="V282" i="58"/>
  <c r="E274" i="57"/>
  <c r="E64" i="53"/>
  <c r="G94" i="55"/>
  <c r="G124" i="57"/>
  <c r="AP274" i="53"/>
  <c r="AP154" i="53"/>
  <c r="A2" i="72"/>
  <c r="B32" i="41"/>
  <c r="B60" i="41"/>
  <c r="BE254" i="52"/>
  <c r="V254" i="52"/>
  <c r="AU49" i="57"/>
  <c r="BE44" i="57"/>
  <c r="V44" i="57"/>
  <c r="V5" i="16"/>
  <c r="DR11" i="16"/>
  <c r="D109" i="51"/>
  <c r="D110" i="51" s="1"/>
  <c r="DR7" i="16"/>
  <c r="H80" i="51"/>
  <c r="H81" i="51" s="1"/>
  <c r="E244" i="52"/>
  <c r="E184" i="59"/>
  <c r="G34" i="53"/>
  <c r="G184" i="57"/>
  <c r="G34" i="59"/>
  <c r="AI23" i="58"/>
  <c r="J23" i="58" s="1"/>
  <c r="J22" i="58"/>
  <c r="BF135" i="52"/>
  <c r="BS135" i="52"/>
  <c r="BX138" i="52"/>
  <c r="BF138" i="52"/>
  <c r="BW161" i="52"/>
  <c r="BG161" i="52"/>
  <c r="BF164" i="52"/>
  <c r="BX164" i="52"/>
  <c r="BG164" i="52"/>
  <c r="BS164" i="52"/>
  <c r="BW164" i="52"/>
  <c r="BX165" i="52"/>
  <c r="BS165" i="52"/>
  <c r="BW165" i="52"/>
  <c r="BW188" i="52"/>
  <c r="BX188" i="52"/>
  <c r="BF191" i="52"/>
  <c r="BW191" i="52"/>
  <c r="M66" i="78" s="1"/>
  <c r="BG194" i="52"/>
  <c r="BW194" i="52"/>
  <c r="BF194" i="52"/>
  <c r="BW198" i="52"/>
  <c r="BF198" i="52"/>
  <c r="BF219" i="52"/>
  <c r="BS219" i="52"/>
  <c r="BF222" i="52"/>
  <c r="BS222" i="52"/>
  <c r="BF225" i="52"/>
  <c r="BG225" i="52"/>
  <c r="BX227" i="52"/>
  <c r="BG227" i="52"/>
  <c r="BF228" i="52"/>
  <c r="BW228" i="52"/>
  <c r="BW248" i="52"/>
  <c r="M39" i="78" s="1"/>
  <c r="BS248" i="52"/>
  <c r="BS282" i="52"/>
  <c r="BG282" i="52"/>
  <c r="BF282" i="52"/>
  <c r="BX282" i="52"/>
  <c r="BG285" i="52"/>
  <c r="BS285" i="52"/>
  <c r="BW285" i="52"/>
  <c r="BX285" i="52"/>
  <c r="F262" i="58"/>
  <c r="AE263" i="58"/>
  <c r="F263" i="58" s="1"/>
  <c r="BE103" i="53"/>
  <c r="V103" i="53"/>
  <c r="BE14" i="57"/>
  <c r="V14" i="57"/>
  <c r="BE108" i="57"/>
  <c r="V108" i="57"/>
  <c r="BG8" i="52"/>
  <c r="BW8" i="52"/>
  <c r="BF8" i="52"/>
  <c r="BF9" i="52"/>
  <c r="BX9" i="52"/>
  <c r="BX11" i="52"/>
  <c r="BF11" i="52"/>
  <c r="BX15" i="52"/>
  <c r="BS15" i="52"/>
  <c r="BX17" i="52"/>
  <c r="BG17" i="52"/>
  <c r="BW17" i="52"/>
  <c r="BX18" i="52"/>
  <c r="BS18" i="52"/>
  <c r="BG18" i="52"/>
  <c r="N73" i="78" s="1"/>
  <c r="BW18" i="52"/>
  <c r="BF18" i="52"/>
  <c r="BW69" i="52"/>
  <c r="BS69" i="52"/>
  <c r="BG69" i="52"/>
  <c r="BF69" i="52"/>
  <c r="BF72" i="52"/>
  <c r="BX72" i="52"/>
  <c r="BS72" i="52"/>
  <c r="AR184" i="53"/>
  <c r="AD94" i="55"/>
  <c r="Q91" i="51"/>
  <c r="CX14" i="16"/>
  <c r="I64" i="53"/>
  <c r="I94" i="52"/>
  <c r="E94" i="53"/>
  <c r="E64" i="55"/>
  <c r="E94" i="59"/>
  <c r="G184" i="55"/>
  <c r="G274" i="57"/>
  <c r="I94" i="59"/>
  <c r="O4" i="51"/>
  <c r="BE250" i="53"/>
  <c r="BX250" i="53" s="1"/>
  <c r="V250" i="53"/>
  <c r="BX76" i="53"/>
  <c r="BX100" i="53"/>
  <c r="BX103" i="53"/>
  <c r="BX220" i="53"/>
  <c r="BX286" i="53"/>
  <c r="BG252" i="57"/>
  <c r="BX10" i="58"/>
  <c r="BX69" i="59"/>
  <c r="BG77" i="59"/>
  <c r="BW167" i="59"/>
  <c r="N24" i="78"/>
  <c r="M17" i="79"/>
  <c r="N33" i="79"/>
  <c r="M49" i="79"/>
  <c r="N3" i="81"/>
  <c r="N19" i="81"/>
  <c r="N51" i="81"/>
  <c r="O51" i="81" s="1"/>
  <c r="M28" i="82"/>
  <c r="N21" i="83"/>
  <c r="BW288" i="52"/>
  <c r="BX190" i="52"/>
  <c r="BX256" i="52"/>
  <c r="BX13" i="53"/>
  <c r="BX37" i="53"/>
  <c r="BG103" i="59"/>
  <c r="AM207" i="58"/>
  <c r="N207" i="58" s="1"/>
  <c r="BW166" i="55"/>
  <c r="BG44" i="58"/>
  <c r="BX193" i="58"/>
  <c r="BG75" i="53"/>
  <c r="BW249" i="57"/>
  <c r="BW46" i="58"/>
  <c r="V168" i="53"/>
  <c r="AQ176" i="53"/>
  <c r="AR160" i="53" s="1"/>
  <c r="S160" i="53" s="1"/>
  <c r="BW128" i="57"/>
  <c r="BF70" i="52"/>
  <c r="BF41" i="52"/>
  <c r="BF14" i="58"/>
  <c r="BF256" i="58"/>
  <c r="BF260" i="58" s="1"/>
  <c r="BF188" i="52"/>
  <c r="BW226" i="55"/>
  <c r="BF40" i="58"/>
  <c r="BW38" i="52"/>
  <c r="BX67" i="57"/>
  <c r="BF251" i="57"/>
  <c r="BF260" i="57" s="1"/>
  <c r="BW13" i="52"/>
  <c r="M27" i="78" s="1"/>
  <c r="BX286" i="55"/>
  <c r="BX13" i="57"/>
  <c r="BF226" i="58"/>
  <c r="BF230" i="58" s="1"/>
  <c r="BX157" i="55"/>
  <c r="BX160" i="55"/>
  <c r="BG280" i="59"/>
  <c r="V286" i="53"/>
  <c r="BX70" i="55"/>
  <c r="BX18" i="58"/>
  <c r="BW73" i="59"/>
  <c r="BG256" i="59"/>
  <c r="BS217" i="59"/>
  <c r="AM298" i="53"/>
  <c r="AQ296" i="53"/>
  <c r="AQ26" i="53"/>
  <c r="R26" i="53" s="1"/>
  <c r="AQ205" i="53"/>
  <c r="AR187" i="53" s="1"/>
  <c r="S187" i="53" s="1"/>
  <c r="AK266" i="57"/>
  <c r="L266" i="57" s="1"/>
  <c r="AQ235" i="55"/>
  <c r="R235" i="55" s="1"/>
  <c r="N17" i="79"/>
  <c r="O17" i="79" s="1"/>
  <c r="M8" i="78"/>
  <c r="M81" i="79"/>
  <c r="AG147" i="57"/>
  <c r="AH133" i="57" s="1"/>
  <c r="AG235" i="53"/>
  <c r="AS57" i="53"/>
  <c r="AM295" i="53"/>
  <c r="AN277" i="53" s="1"/>
  <c r="O277" i="53" s="1"/>
  <c r="AO266" i="57"/>
  <c r="P266" i="57" s="1"/>
  <c r="AS297" i="53"/>
  <c r="B9" i="58"/>
  <c r="AC175" i="55"/>
  <c r="AK27" i="55"/>
  <c r="L27" i="55" s="1"/>
  <c r="AI176" i="55"/>
  <c r="AI295" i="58"/>
  <c r="J295" i="58" s="1"/>
  <c r="AQ269" i="53"/>
  <c r="R269" i="53" s="1"/>
  <c r="AQ295" i="57"/>
  <c r="AG146" i="53"/>
  <c r="AO148" i="53"/>
  <c r="AK268" i="53"/>
  <c r="AG208" i="53"/>
  <c r="AK176" i="53"/>
  <c r="AQ85" i="55"/>
  <c r="AM235" i="55"/>
  <c r="AS56" i="53"/>
  <c r="AQ87" i="55"/>
  <c r="AR73" i="55" s="1"/>
  <c r="S73" i="55" s="1"/>
  <c r="AK238" i="55"/>
  <c r="AL226" i="55" s="1"/>
  <c r="M226" i="55" s="1"/>
  <c r="AS237" i="57"/>
  <c r="AI235" i="53"/>
  <c r="J235" i="53" s="1"/>
  <c r="AE297" i="53"/>
  <c r="AF283" i="53" s="1"/>
  <c r="G283" i="53" s="1"/>
  <c r="AM85" i="53"/>
  <c r="AN67" i="53" s="1"/>
  <c r="O67" i="53" s="1"/>
  <c r="AG177" i="53"/>
  <c r="AH163" i="53" s="1"/>
  <c r="I163" i="53" s="1"/>
  <c r="AI207" i="57"/>
  <c r="J207" i="57" s="1"/>
  <c r="AQ147" i="53"/>
  <c r="AK237" i="55"/>
  <c r="AI116" i="55"/>
  <c r="AI118" i="53"/>
  <c r="AS235" i="55"/>
  <c r="M65" i="79"/>
  <c r="AM235" i="53"/>
  <c r="AN217" i="53" s="1"/>
  <c r="AC295" i="55"/>
  <c r="AD277" i="55" s="1"/>
  <c r="E277" i="55" s="1"/>
  <c r="AK207" i="57"/>
  <c r="AL193" i="57" s="1"/>
  <c r="M193" i="57" s="1"/>
  <c r="AC56" i="53"/>
  <c r="AD40" i="53" s="1"/>
  <c r="E40" i="53" s="1"/>
  <c r="AK115" i="53"/>
  <c r="AL97" i="53" s="1"/>
  <c r="M97" i="53" s="1"/>
  <c r="AO28" i="53"/>
  <c r="AO147" i="53"/>
  <c r="AE87" i="53"/>
  <c r="AC115" i="53"/>
  <c r="AK236" i="55"/>
  <c r="AS175" i="57"/>
  <c r="AE265" i="55"/>
  <c r="AF247" i="55" s="1"/>
  <c r="G247" i="55" s="1"/>
  <c r="AS25" i="53"/>
  <c r="AS115" i="53"/>
  <c r="AQ298" i="53"/>
  <c r="AG296" i="55"/>
  <c r="AG206" i="53"/>
  <c r="AH190" i="53" s="1"/>
  <c r="I190" i="53" s="1"/>
  <c r="AS238" i="55"/>
  <c r="AT226" i="55" s="1"/>
  <c r="U226" i="55" s="1"/>
  <c r="AS27" i="57"/>
  <c r="AT13" i="57" s="1"/>
  <c r="U13" i="57" s="1"/>
  <c r="AM265" i="55"/>
  <c r="N265" i="55" s="1"/>
  <c r="AE175" i="53"/>
  <c r="AM25" i="55"/>
  <c r="AE208" i="58"/>
  <c r="F208" i="58" s="1"/>
  <c r="AQ147" i="59"/>
  <c r="AR133" i="59" s="1"/>
  <c r="S133" i="59" s="1"/>
  <c r="AQ298" i="57"/>
  <c r="R298" i="57" s="1"/>
  <c r="AE145" i="59"/>
  <c r="AF127" i="59" s="1"/>
  <c r="G127" i="59" s="1"/>
  <c r="AI146" i="55"/>
  <c r="AI58" i="53"/>
  <c r="AM56" i="53"/>
  <c r="AN40" i="53" s="1"/>
  <c r="O40" i="53" s="1"/>
  <c r="AC298" i="55"/>
  <c r="AO177" i="57"/>
  <c r="AC85" i="59"/>
  <c r="AD67" i="59" s="1"/>
  <c r="E67" i="59" s="1"/>
  <c r="AC117" i="57"/>
  <c r="AD103" i="57" s="1"/>
  <c r="E103" i="57" s="1"/>
  <c r="AG208" i="55"/>
  <c r="AE206" i="53"/>
  <c r="AE267" i="55"/>
  <c r="AF253" i="55" s="1"/>
  <c r="G253" i="55" s="1"/>
  <c r="AM265" i="57"/>
  <c r="N265" i="57" s="1"/>
  <c r="AI87" i="58"/>
  <c r="J87" i="58" s="1"/>
  <c r="AC206" i="53"/>
  <c r="D206" i="53" s="1"/>
  <c r="AG118" i="55"/>
  <c r="AH106" i="55" s="1"/>
  <c r="I106" i="55" s="1"/>
  <c r="AK175" i="53"/>
  <c r="AG87" i="58"/>
  <c r="AK26" i="55"/>
  <c r="AS25" i="55"/>
  <c r="T25" i="55" s="1"/>
  <c r="AI177" i="57"/>
  <c r="AG205" i="53"/>
  <c r="AK57" i="55"/>
  <c r="AQ55" i="53"/>
  <c r="AK178" i="58"/>
  <c r="AE206" i="55"/>
  <c r="AC237" i="57"/>
  <c r="AG115" i="55"/>
  <c r="AG178" i="53"/>
  <c r="AO176" i="58"/>
  <c r="AP160" i="58" s="1"/>
  <c r="Q160" i="58" s="1"/>
  <c r="AK295" i="55"/>
  <c r="AL277" i="55" s="1"/>
  <c r="M277" i="55" s="1"/>
  <c r="AS267" i="55"/>
  <c r="AS237" i="55"/>
  <c r="T237" i="55" s="1"/>
  <c r="AI178" i="57"/>
  <c r="AG25" i="53"/>
  <c r="AK206" i="57"/>
  <c r="AI28" i="53"/>
  <c r="J28" i="53" s="1"/>
  <c r="AI175" i="53"/>
  <c r="J175" i="53" s="1"/>
  <c r="AK145" i="53"/>
  <c r="AK146" i="55"/>
  <c r="AC116" i="57"/>
  <c r="F238" i="59"/>
  <c r="AG146" i="57"/>
  <c r="H146" i="57" s="1"/>
  <c r="AE115" i="53"/>
  <c r="F115" i="53" s="1"/>
  <c r="AE208" i="53"/>
  <c r="AS178" i="55"/>
  <c r="AO85" i="57"/>
  <c r="AO145" i="55"/>
  <c r="B75" i="59"/>
  <c r="AS266" i="59"/>
  <c r="T266" i="59" s="1"/>
  <c r="AQ146" i="59"/>
  <c r="R146" i="59" s="1"/>
  <c r="AS268" i="59"/>
  <c r="AM87" i="59"/>
  <c r="AG115" i="59"/>
  <c r="H115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O27" i="59"/>
  <c r="AP13" i="59" s="1"/>
  <c r="Q13" i="59" s="1"/>
  <c r="AC28" i="59"/>
  <c r="AD16" i="59" s="1"/>
  <c r="E16" i="59" s="1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AH103" i="58" s="1"/>
  <c r="I103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AD163" i="58" s="1"/>
  <c r="E163" i="58" s="1"/>
  <c r="AC148" i="58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P178" i="59" s="1"/>
  <c r="AE207" i="59"/>
  <c r="F207" i="59" s="1"/>
  <c r="AK58" i="59"/>
  <c r="L58" i="59" s="1"/>
  <c r="AK237" i="59"/>
  <c r="L237" i="59" s="1"/>
  <c r="AO235" i="59"/>
  <c r="AP217" i="59" s="1"/>
  <c r="Q217" i="59" s="1"/>
  <c r="AI235" i="59"/>
  <c r="AJ217" i="59" s="1"/>
  <c r="K217" i="59" s="1"/>
  <c r="AG208" i="59"/>
  <c r="AM178" i="59"/>
  <c r="N178" i="59" s="1"/>
  <c r="AQ87" i="59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AR100" i="59" s="1"/>
  <c r="S100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K266" i="53"/>
  <c r="AC295" i="53"/>
  <c r="AI26" i="53"/>
  <c r="AK146" i="53"/>
  <c r="AM238" i="53"/>
  <c r="AM88" i="53"/>
  <c r="AO266" i="53"/>
  <c r="AQ145" i="53"/>
  <c r="AS207" i="53"/>
  <c r="T207" i="53" s="1"/>
  <c r="AS148" i="53"/>
  <c r="AE295" i="53"/>
  <c r="AK147" i="53"/>
  <c r="AG237" i="53"/>
  <c r="AO27" i="53"/>
  <c r="AM236" i="53"/>
  <c r="AM267" i="53"/>
  <c r="AI116" i="53"/>
  <c r="AM296" i="53"/>
  <c r="AO297" i="53"/>
  <c r="AK148" i="53"/>
  <c r="AE205" i="53"/>
  <c r="F205" i="53" s="1"/>
  <c r="AS205" i="53"/>
  <c r="AM87" i="53"/>
  <c r="AO86" i="53"/>
  <c r="AQ295" i="53"/>
  <c r="AS28" i="53"/>
  <c r="AC85" i="53"/>
  <c r="AS117" i="53"/>
  <c r="AM297" i="53"/>
  <c r="AK55" i="53"/>
  <c r="AQ297" i="53"/>
  <c r="AC117" i="53"/>
  <c r="AC118" i="53"/>
  <c r="AI178" i="53"/>
  <c r="AQ208" i="53"/>
  <c r="AC148" i="53"/>
  <c r="AS267" i="53"/>
  <c r="AC205" i="53"/>
  <c r="AG87" i="53"/>
  <c r="AK237" i="53"/>
  <c r="AO296" i="53"/>
  <c r="AK58" i="53"/>
  <c r="AC88" i="53"/>
  <c r="AS298" i="53"/>
  <c r="AT286" i="53" s="1"/>
  <c r="U286" i="53" s="1"/>
  <c r="AK265" i="53"/>
  <c r="AL247" i="53" s="1"/>
  <c r="M247" i="53" s="1"/>
  <c r="AS295" i="53"/>
  <c r="AT277" i="53" s="1"/>
  <c r="U277" i="53" s="1"/>
  <c r="AE207" i="53"/>
  <c r="AF193" i="53" s="1"/>
  <c r="G193" i="53" s="1"/>
  <c r="AG176" i="53"/>
  <c r="AC147" i="53"/>
  <c r="AM86" i="53"/>
  <c r="AG26" i="53"/>
  <c r="AG85" i="53"/>
  <c r="AQ25" i="53"/>
  <c r="R25" i="53" s="1"/>
  <c r="AK238" i="53"/>
  <c r="AK177" i="53"/>
  <c r="AC296" i="53"/>
  <c r="AQ146" i="53"/>
  <c r="AO295" i="53"/>
  <c r="AE178" i="53"/>
  <c r="AF166" i="53" s="1"/>
  <c r="G166" i="53" s="1"/>
  <c r="AG27" i="53"/>
  <c r="AI56" i="53"/>
  <c r="AC57" i="53"/>
  <c r="AO56" i="53"/>
  <c r="AC207" i="53"/>
  <c r="AI117" i="53"/>
  <c r="AI237" i="53"/>
  <c r="AE296" i="53"/>
  <c r="F296" i="53" s="1"/>
  <c r="AI176" i="53"/>
  <c r="AQ235" i="53"/>
  <c r="AI55" i="53"/>
  <c r="AO268" i="53"/>
  <c r="AO55" i="53"/>
  <c r="AO88" i="53"/>
  <c r="AQ206" i="53"/>
  <c r="AI25" i="53"/>
  <c r="J25" i="53" s="1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T268" i="53" s="1"/>
  <c r="AE116" i="53"/>
  <c r="F116" i="53" s="1"/>
  <c r="AE177" i="53"/>
  <c r="F177" i="53" s="1"/>
  <c r="AK178" i="53"/>
  <c r="AL166" i="53" s="1"/>
  <c r="M166" i="53" s="1"/>
  <c r="AQ237" i="53"/>
  <c r="R237" i="53" s="1"/>
  <c r="AE88" i="53"/>
  <c r="AS27" i="53"/>
  <c r="AM177" i="53"/>
  <c r="AO85" i="53"/>
  <c r="AK205" i="53"/>
  <c r="AS145" i="53"/>
  <c r="AT127" i="53" s="1"/>
  <c r="U127" i="53" s="1"/>
  <c r="AM57" i="53"/>
  <c r="N57" i="53" s="1"/>
  <c r="AG147" i="53"/>
  <c r="AQ148" i="53"/>
  <c r="R148" i="53" s="1"/>
  <c r="AK235" i="53"/>
  <c r="AM237" i="53"/>
  <c r="AO26" i="53"/>
  <c r="AP10" i="53" s="1"/>
  <c r="Q10" i="53" s="1"/>
  <c r="AO57" i="53"/>
  <c r="P57" i="53" s="1"/>
  <c r="AC55" i="53"/>
  <c r="AM178" i="53"/>
  <c r="AO146" i="53"/>
  <c r="AE298" i="53"/>
  <c r="AC58" i="53"/>
  <c r="AI57" i="53"/>
  <c r="AO265" i="53"/>
  <c r="AS118" i="53"/>
  <c r="AM55" i="53"/>
  <c r="AG148" i="53"/>
  <c r="AS116" i="53"/>
  <c r="AT100" i="53" s="1"/>
  <c r="U100" i="53" s="1"/>
  <c r="AK57" i="53"/>
  <c r="L57" i="53" s="1"/>
  <c r="AS296" i="53"/>
  <c r="AQ27" i="53"/>
  <c r="AM266" i="53"/>
  <c r="AQ58" i="53"/>
  <c r="AQ207" i="53"/>
  <c r="AS266" i="53"/>
  <c r="AM58" i="53"/>
  <c r="AN46" i="53" s="1"/>
  <c r="O46" i="53" s="1"/>
  <c r="AC116" i="53"/>
  <c r="AE118" i="53"/>
  <c r="AF106" i="53" s="1"/>
  <c r="G106" i="53" s="1"/>
  <c r="AG236" i="53"/>
  <c r="AM26" i="53"/>
  <c r="N26" i="53" s="1"/>
  <c r="AK118" i="53"/>
  <c r="AL106" i="53" s="1"/>
  <c r="M106" i="53" s="1"/>
  <c r="AS265" i="53"/>
  <c r="AK116" i="53"/>
  <c r="AO87" i="53"/>
  <c r="AG207" i="53"/>
  <c r="AQ28" i="53"/>
  <c r="AC298" i="53"/>
  <c r="AD286" i="53" s="1"/>
  <c r="E286" i="53" s="1"/>
  <c r="AI236" i="53"/>
  <c r="AC208" i="53"/>
  <c r="AC145" i="53"/>
  <c r="AM176" i="53"/>
  <c r="AI238" i="53"/>
  <c r="AK208" i="53"/>
  <c r="AK117" i="53"/>
  <c r="AS146" i="53"/>
  <c r="AQ177" i="53"/>
  <c r="AI115" i="53"/>
  <c r="AI2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K236" i="53"/>
  <c r="AL220" i="53" s="1"/>
  <c r="AO298" i="53"/>
  <c r="AS58" i="53"/>
  <c r="AE176" i="53"/>
  <c r="AS147" i="53"/>
  <c r="AE117" i="53"/>
  <c r="F117" i="53" s="1"/>
  <c r="AM175" i="53"/>
  <c r="AQ175" i="53"/>
  <c r="AR157" i="53" s="1"/>
  <c r="S157" i="53" s="1"/>
  <c r="AG88" i="53"/>
  <c r="AO267" i="53"/>
  <c r="AP253" i="53" s="1"/>
  <c r="Q253" i="53" s="1"/>
  <c r="AO25" i="53"/>
  <c r="AC86" i="53"/>
  <c r="AG28" i="53"/>
  <c r="AQ236" i="53"/>
  <c r="R236" i="53" s="1"/>
  <c r="AQ56" i="53"/>
  <c r="AO58" i="53"/>
  <c r="AM27" i="53"/>
  <c r="AG145" i="53"/>
  <c r="AC87" i="53"/>
  <c r="AS26" i="53"/>
  <c r="AO145" i="53"/>
  <c r="AK267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AL97" i="55" s="1"/>
  <c r="M97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AH166" i="52"/>
  <c r="I166" i="52" s="1"/>
  <c r="H178" i="52"/>
  <c r="AQ295" i="55"/>
  <c r="AQ88" i="55"/>
  <c r="AR76" i="55" s="1"/>
  <c r="S76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T58" i="59"/>
  <c r="AT46" i="59"/>
  <c r="U46" i="59" s="1"/>
  <c r="AC28" i="55"/>
  <c r="D145" i="55"/>
  <c r="AD127" i="55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B7" i="59"/>
  <c r="AM145" i="59"/>
  <c r="AO148" i="59"/>
  <c r="P148" i="59" s="1"/>
  <c r="AE208" i="59"/>
  <c r="AF196" i="59" s="1"/>
  <c r="G196" i="59" s="1"/>
  <c r="AQ268" i="59"/>
  <c r="AC88" i="59"/>
  <c r="AQ206" i="59"/>
  <c r="AR190" i="59" s="1"/>
  <c r="S190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N296" i="59" s="1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AL16" i="55" s="1"/>
  <c r="M16" i="55" s="1"/>
  <c r="AI208" i="55"/>
  <c r="AC237" i="55"/>
  <c r="AO58" i="55"/>
  <c r="AG116" i="55"/>
  <c r="AC268" i="55"/>
  <c r="AD256" i="55" s="1"/>
  <c r="E256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AH76" i="55" s="1"/>
  <c r="I76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AF193" i="55" s="1"/>
  <c r="G193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F118" i="55" s="1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L147" i="55" s="1"/>
  <c r="AK116" i="55"/>
  <c r="AS176" i="55"/>
  <c r="AE116" i="55"/>
  <c r="AF100" i="55" s="1"/>
  <c r="G100" i="55" s="1"/>
  <c r="AO28" i="55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AK205" i="55"/>
  <c r="AS56" i="55"/>
  <c r="AG87" i="55"/>
  <c r="AM268" i="55"/>
  <c r="AQ177" i="55"/>
  <c r="AR163" i="59"/>
  <c r="S163" i="59" s="1"/>
  <c r="R177" i="59"/>
  <c r="T296" i="55"/>
  <c r="AT280" i="55"/>
  <c r="U280" i="55" s="1"/>
  <c r="AQ206" i="55"/>
  <c r="AC58" i="57"/>
  <c r="D58" i="57" s="1"/>
  <c r="AC85" i="55"/>
  <c r="AC297" i="55"/>
  <c r="AO178" i="55"/>
  <c r="AC118" i="57"/>
  <c r="D118" i="57" s="1"/>
  <c r="AS266" i="52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J176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AP199" i="55" s="1"/>
  <c r="Q19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F177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5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H177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D58" i="58"/>
  <c r="AD46" i="58"/>
  <c r="E46" i="58" s="1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AF187" i="52" s="1"/>
  <c r="G187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AF196" i="52" s="1"/>
  <c r="G196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AN40" i="52" s="1"/>
  <c r="O40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D206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H58" i="52" s="1"/>
  <c r="AG57" i="52"/>
  <c r="AG56" i="52"/>
  <c r="AG55" i="52"/>
  <c r="AH37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AL76" i="55" s="1"/>
  <c r="M76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O55" i="58"/>
  <c r="AC116" i="52"/>
  <c r="AQ27" i="52"/>
  <c r="AS176" i="52"/>
  <c r="AO205" i="58"/>
  <c r="AQ26" i="58"/>
  <c r="AJ76" i="59"/>
  <c r="K76" i="59" s="1"/>
  <c r="J88" i="59"/>
  <c r="AT37" i="59"/>
  <c r="U37" i="59" s="1"/>
  <c r="T55" i="59"/>
  <c r="J265" i="58"/>
  <c r="AJ247" i="58"/>
  <c r="K247" i="58" s="1"/>
  <c r="AH157" i="52"/>
  <c r="I157" i="52" s="1"/>
  <c r="H175" i="52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G266" i="53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AL166" i="57"/>
  <c r="M166" i="57" s="1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I266" i="53"/>
  <c r="AS237" i="53"/>
  <c r="AS238" i="53"/>
  <c r="AG58" i="53"/>
  <c r="AI265" i="53"/>
  <c r="AS236" i="53"/>
  <c r="AQ88" i="53"/>
  <c r="AC178" i="53"/>
  <c r="AC177" i="53"/>
  <c r="AM118" i="53"/>
  <c r="AK25" i="53"/>
  <c r="AQ87" i="53"/>
  <c r="AM117" i="53"/>
  <c r="AK28" i="53"/>
  <c r="AG56" i="53"/>
  <c r="AM116" i="53"/>
  <c r="AI267" i="53"/>
  <c r="AQ85" i="53"/>
  <c r="AC176" i="53"/>
  <c r="AG57" i="53"/>
  <c r="AC175" i="53"/>
  <c r="AE146" i="53"/>
  <c r="AK27" i="53"/>
  <c r="AO205" i="53"/>
  <c r="AS235" i="53"/>
  <c r="AO208" i="53"/>
  <c r="AG55" i="53"/>
  <c r="AM115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AF166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R265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I296" i="53"/>
  <c r="AI298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8" i="53"/>
  <c r="F238" i="53" s="1"/>
  <c r="AE235" i="53"/>
  <c r="AF217" i="53" s="1"/>
  <c r="G217" i="53" s="1"/>
  <c r="AE236" i="53"/>
  <c r="AE233" i="53"/>
  <c r="F233" i="53" s="1"/>
  <c r="F232" i="53"/>
  <c r="AE237" i="53"/>
  <c r="AO116" i="53"/>
  <c r="AO115" i="53"/>
  <c r="AO117" i="53"/>
  <c r="P112" i="53"/>
  <c r="AO113" i="53"/>
  <c r="P113" i="53" s="1"/>
  <c r="AO118" i="53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AC28" i="53"/>
  <c r="AC25" i="53"/>
  <c r="AC26" i="53"/>
  <c r="AC27" i="53"/>
  <c r="D22" i="53"/>
  <c r="AQ205" i="57"/>
  <c r="AI56" i="57"/>
  <c r="AO207" i="53"/>
  <c r="AE27" i="58"/>
  <c r="F27" i="58" s="1"/>
  <c r="AC87" i="57"/>
  <c r="AG176" i="57"/>
  <c r="AS145" i="52"/>
  <c r="AE148" i="53"/>
  <c r="AQ88" i="58"/>
  <c r="AM147" i="57"/>
  <c r="AE236" i="57"/>
  <c r="F236" i="57" s="1"/>
  <c r="AS86" i="57"/>
  <c r="AK26" i="53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E147" i="53"/>
  <c r="AS55" i="57"/>
  <c r="AK266" i="52"/>
  <c r="AI268" i="53"/>
  <c r="AR253" i="55"/>
  <c r="S253" i="55" s="1"/>
  <c r="R267" i="55"/>
  <c r="AT283" i="55"/>
  <c r="U283" i="55" s="1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AS299" i="55"/>
  <c r="T299" i="55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C59" i="58"/>
  <c r="AD49" i="58" s="1"/>
  <c r="E49" i="58" s="1"/>
  <c r="AD40" i="58"/>
  <c r="E40" i="58" s="1"/>
  <c r="AP127" i="58"/>
  <c r="Q127" i="58" s="1"/>
  <c r="AN256" i="59"/>
  <c r="O256" i="59" s="1"/>
  <c r="AN127" i="53"/>
  <c r="O127" i="53" s="1"/>
  <c r="E37" i="58"/>
  <c r="L296" i="52"/>
  <c r="D207" i="59"/>
  <c r="AD193" i="59"/>
  <c r="AR250" i="53"/>
  <c r="R266" i="53"/>
  <c r="AJ190" i="53"/>
  <c r="J206" i="53"/>
  <c r="U190" i="58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C113" i="59"/>
  <c r="D113" i="59" s="1"/>
  <c r="AC293" i="53"/>
  <c r="D293" i="53" s="1"/>
  <c r="AL283" i="52"/>
  <c r="M283" i="52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AK299" i="52"/>
  <c r="AI89" i="59"/>
  <c r="J87" i="59"/>
  <c r="AH97" i="53"/>
  <c r="H115" i="53"/>
  <c r="AG299" i="58"/>
  <c r="H295" i="58"/>
  <c r="AH277" i="58"/>
  <c r="F265" i="52"/>
  <c r="AR247" i="55"/>
  <c r="R265" i="55"/>
  <c r="AP133" i="58"/>
  <c r="P147" i="58"/>
  <c r="T236" i="52"/>
  <c r="F205" i="45"/>
  <c r="F263" i="45"/>
  <c r="U30" i="46"/>
  <c r="G247" i="57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265" i="57"/>
  <c r="F89" i="45"/>
  <c r="U88" i="49"/>
  <c r="F267" i="57"/>
  <c r="F60" i="45"/>
  <c r="U175" i="49"/>
  <c r="F31" i="45"/>
  <c r="U1" i="49"/>
  <c r="Q6" i="94" s="1"/>
  <c r="F147" i="45"/>
  <c r="F176" i="45"/>
  <c r="F235" i="59"/>
  <c r="AE269" i="57"/>
  <c r="U1" i="52"/>
  <c r="AE239" i="59"/>
  <c r="F268" i="57"/>
  <c r="F2" i="55"/>
  <c r="G166" i="58"/>
  <c r="AE269" i="52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F267" i="52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56" i="57"/>
  <c r="G247" i="52"/>
  <c r="U1" i="59"/>
  <c r="A2" i="69"/>
  <c r="BF50" i="59"/>
  <c r="N49" i="83"/>
  <c r="O49" i="83" s="1"/>
  <c r="N37" i="83"/>
  <c r="N9" i="83"/>
  <c r="N4" i="83"/>
  <c r="N26" i="83"/>
  <c r="N31" i="83"/>
  <c r="N20" i="83"/>
  <c r="N14" i="83"/>
  <c r="N32" i="83"/>
  <c r="O32" i="83" s="1"/>
  <c r="N55" i="83"/>
  <c r="N68" i="83"/>
  <c r="O68" i="83" s="1"/>
  <c r="N52" i="83"/>
  <c r="O52" i="83" s="1"/>
  <c r="N46" i="83"/>
  <c r="N65" i="83"/>
  <c r="N60" i="83"/>
  <c r="N42" i="83"/>
  <c r="N45" i="83"/>
  <c r="N33" i="83"/>
  <c r="N2" i="83"/>
  <c r="N70" i="83"/>
  <c r="O70" i="83" s="1"/>
  <c r="N51" i="83"/>
  <c r="O51" i="83" s="1"/>
  <c r="N54" i="83"/>
  <c r="N41" i="83"/>
  <c r="N30" i="83"/>
  <c r="N22" i="83"/>
  <c r="O22" i="83" s="1"/>
  <c r="N16" i="83"/>
  <c r="N73" i="83"/>
  <c r="N35" i="83"/>
  <c r="O35" i="83" s="1"/>
  <c r="N18" i="83"/>
  <c r="N3" i="83"/>
  <c r="N50" i="83"/>
  <c r="N5" i="83"/>
  <c r="N8" i="83"/>
  <c r="N36" i="83"/>
  <c r="N12" i="83"/>
  <c r="N53" i="83"/>
  <c r="O53" i="83" s="1"/>
  <c r="N59" i="83"/>
  <c r="N61" i="83"/>
  <c r="O61" i="83" s="1"/>
  <c r="N64" i="83"/>
  <c r="O64" i="83" s="1"/>
  <c r="N66" i="83"/>
  <c r="N15" i="83"/>
  <c r="N71" i="83"/>
  <c r="O71" i="83" s="1"/>
  <c r="N58" i="83"/>
  <c r="N56" i="83"/>
  <c r="O56" i="83" s="1"/>
  <c r="N38" i="83"/>
  <c r="O38" i="83" s="1"/>
  <c r="N24" i="83"/>
  <c r="N72" i="83"/>
  <c r="O72" i="83" s="1"/>
  <c r="N17" i="83"/>
  <c r="O17" i="83" s="1"/>
  <c r="N23" i="83"/>
  <c r="N39" i="83"/>
  <c r="N47" i="83"/>
  <c r="O47" i="83" s="1"/>
  <c r="N44" i="83"/>
  <c r="O44" i="83" s="1"/>
  <c r="N7" i="83"/>
  <c r="N69" i="83"/>
  <c r="O69" i="83" s="1"/>
  <c r="N43" i="83"/>
  <c r="N40" i="83"/>
  <c r="N62" i="83"/>
  <c r="N34" i="83"/>
  <c r="O34" i="83" s="1"/>
  <c r="N88" i="83"/>
  <c r="O88" i="83" s="1"/>
  <c r="M31" i="82"/>
  <c r="M36" i="82"/>
  <c r="M26" i="82"/>
  <c r="M10" i="82"/>
  <c r="M73" i="82"/>
  <c r="M37" i="82"/>
  <c r="M57" i="82"/>
  <c r="M41" i="82"/>
  <c r="M62" i="82"/>
  <c r="M50" i="82"/>
  <c r="M15" i="82"/>
  <c r="M70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2" i="82"/>
  <c r="M5" i="82"/>
  <c r="M33" i="82"/>
  <c r="M44" i="82"/>
  <c r="M6" i="82"/>
  <c r="N25" i="82"/>
  <c r="N10" i="82"/>
  <c r="N42" i="82"/>
  <c r="N9" i="82"/>
  <c r="N7" i="82"/>
  <c r="N11" i="82"/>
  <c r="N61" i="82"/>
  <c r="O61" i="82" s="1"/>
  <c r="N28" i="82"/>
  <c r="N57" i="82"/>
  <c r="N45" i="82"/>
  <c r="N46" i="82"/>
  <c r="O46" i="82" s="1"/>
  <c r="N66" i="82"/>
  <c r="N58" i="82"/>
  <c r="N13" i="82"/>
  <c r="N36" i="82"/>
  <c r="N52" i="82"/>
  <c r="O52" i="82" s="1"/>
  <c r="N19" i="82"/>
  <c r="O19" i="82" s="1"/>
  <c r="N64" i="82"/>
  <c r="O64" i="82" s="1"/>
  <c r="N68" i="82"/>
  <c r="O68" i="82" s="1"/>
  <c r="N35" i="82"/>
  <c r="O35" i="82" s="1"/>
  <c r="N17" i="82"/>
  <c r="N23" i="82"/>
  <c r="O23" i="82" s="1"/>
  <c r="N2" i="82"/>
  <c r="N20" i="82"/>
  <c r="N21" i="82"/>
  <c r="N51" i="82"/>
  <c r="O51" i="82" s="1"/>
  <c r="N27" i="82"/>
  <c r="N41" i="82"/>
  <c r="N73" i="82"/>
  <c r="N59" i="82"/>
  <c r="N5" i="82"/>
  <c r="N22" i="82"/>
  <c r="O22" i="82" s="1"/>
  <c r="N39" i="82"/>
  <c r="N8" i="82"/>
  <c r="N34" i="82"/>
  <c r="O34" i="82" s="1"/>
  <c r="N65" i="82"/>
  <c r="N24" i="82"/>
  <c r="N44" i="82"/>
  <c r="O44" i="82" s="1"/>
  <c r="N63" i="82"/>
  <c r="O63" i="82" s="1"/>
  <c r="N69" i="82"/>
  <c r="O69" i="82" s="1"/>
  <c r="N48" i="82"/>
  <c r="N18" i="82"/>
  <c r="N70" i="82"/>
  <c r="O70" i="82" s="1"/>
  <c r="N71" i="82"/>
  <c r="O71" i="82" s="1"/>
  <c r="N56" i="82"/>
  <c r="O56" i="82" s="1"/>
  <c r="N60" i="82"/>
  <c r="N53" i="82"/>
  <c r="O53" i="82" s="1"/>
  <c r="N40" i="82"/>
  <c r="O40" i="82" s="1"/>
  <c r="N55" i="82"/>
  <c r="N12" i="82"/>
  <c r="N6" i="82"/>
  <c r="N37" i="78"/>
  <c r="N5" i="78"/>
  <c r="N21" i="78"/>
  <c r="N25" i="78"/>
  <c r="N22" i="78"/>
  <c r="N49" i="78"/>
  <c r="N57" i="78"/>
  <c r="N47" i="78"/>
  <c r="N15" i="78"/>
  <c r="N3" i="78"/>
  <c r="N19" i="78"/>
  <c r="N35" i="78"/>
  <c r="O35" i="78" s="1"/>
  <c r="N51" i="78"/>
  <c r="N6" i="78"/>
  <c r="O6" i="78" s="1"/>
  <c r="N14" i="78"/>
  <c r="O14" i="78" s="1"/>
  <c r="N32" i="78"/>
  <c r="O32" i="78" s="1"/>
  <c r="N56" i="78"/>
  <c r="N2" i="78"/>
  <c r="N65" i="78"/>
  <c r="N4" i="78"/>
  <c r="N39" i="78"/>
  <c r="N59" i="78"/>
  <c r="N40" i="78"/>
  <c r="N34" i="78"/>
  <c r="O34" i="78" s="1"/>
  <c r="N53" i="78"/>
  <c r="N46" i="78"/>
  <c r="N42" i="78"/>
  <c r="N17" i="78"/>
  <c r="N33" i="78"/>
  <c r="O33" i="78" s="1"/>
  <c r="N38" i="78"/>
  <c r="N55" i="78"/>
  <c r="N10" i="78"/>
  <c r="N31" i="78"/>
  <c r="O31" i="78" s="1"/>
  <c r="N52" i="78"/>
  <c r="N20" i="78"/>
  <c r="N36" i="78"/>
  <c r="N60" i="78"/>
  <c r="N8" i="78"/>
  <c r="O8" i="78" s="1"/>
  <c r="M2" i="83"/>
  <c r="M18" i="83"/>
  <c r="N25" i="83"/>
  <c r="N19" i="83"/>
  <c r="AQ238" i="53"/>
  <c r="AS206" i="53"/>
  <c r="B76" i="53"/>
  <c r="AP124" i="53"/>
  <c r="S15" i="16"/>
  <c r="AP124" i="52"/>
  <c r="V9" i="16"/>
  <c r="N29" i="83"/>
  <c r="AG268" i="55"/>
  <c r="AC57" i="55"/>
  <c r="AQ56" i="55"/>
  <c r="AC265" i="55"/>
  <c r="AG266" i="55"/>
  <c r="AC177" i="55"/>
  <c r="N9" i="79"/>
  <c r="N2" i="81"/>
  <c r="M26" i="78"/>
  <c r="M5" i="78"/>
  <c r="M6" i="78"/>
  <c r="M21" i="78"/>
  <c r="M72" i="82"/>
  <c r="AR34" i="53"/>
  <c r="AN15" i="16"/>
  <c r="S33" i="45"/>
  <c r="AP6" i="16"/>
  <c r="N13" i="83"/>
  <c r="AO88" i="55"/>
  <c r="AK205" i="57"/>
  <c r="AS235" i="57"/>
  <c r="B13" i="57"/>
  <c r="AO58" i="57"/>
  <c r="AE86" i="57"/>
  <c r="N28" i="83"/>
  <c r="N58" i="79"/>
  <c r="AG175" i="53"/>
  <c r="N61" i="79"/>
  <c r="AG28" i="57"/>
  <c r="AO235" i="55"/>
  <c r="AO177" i="55"/>
  <c r="N11" i="81"/>
  <c r="O11" i="81" s="1"/>
  <c r="N36" i="81"/>
  <c r="N64" i="81"/>
  <c r="O64" i="81" s="1"/>
  <c r="N65" i="81"/>
  <c r="N28" i="80"/>
  <c r="O28" i="80" s="1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N46" i="79"/>
  <c r="N49" i="79"/>
  <c r="O49" i="79" s="1"/>
  <c r="N14" i="79"/>
  <c r="O14" i="79" s="1"/>
  <c r="N67" i="79"/>
  <c r="N2" i="79"/>
  <c r="N47" i="79"/>
  <c r="N38" i="79"/>
  <c r="O38" i="79" s="1"/>
  <c r="N51" i="79"/>
  <c r="N29" i="79"/>
  <c r="N50" i="79"/>
  <c r="N71" i="79"/>
  <c r="N35" i="81"/>
  <c r="O35" i="81" s="1"/>
  <c r="N25" i="81"/>
  <c r="N17" i="81"/>
  <c r="N32" i="81"/>
  <c r="N18" i="81"/>
  <c r="N63" i="81"/>
  <c r="O63" i="81" s="1"/>
  <c r="AO207" i="57"/>
  <c r="AM28" i="55"/>
  <c r="AI148" i="57"/>
  <c r="AS207" i="55"/>
  <c r="N41" i="81"/>
  <c r="N27" i="81"/>
  <c r="N4" i="79"/>
  <c r="BF15" i="16"/>
  <c r="O4" i="46"/>
  <c r="AN4" i="55"/>
  <c r="AC116" i="55"/>
  <c r="N56" i="79"/>
  <c r="N53" i="81"/>
  <c r="O53" i="81" s="1"/>
  <c r="N64" i="79"/>
  <c r="K4" i="46"/>
  <c r="BD15" i="16"/>
  <c r="AJ4" i="55"/>
  <c r="BJ5" i="16"/>
  <c r="AF274" i="55"/>
  <c r="BJ14" i="16"/>
  <c r="N11" i="83"/>
  <c r="AO26" i="55"/>
  <c r="CD11" i="16"/>
  <c r="CB15" i="16"/>
  <c r="N40" i="81"/>
  <c r="AI115" i="55"/>
  <c r="AO236" i="55"/>
  <c r="N54" i="79"/>
  <c r="O54" i="79" s="1"/>
  <c r="N54" i="81"/>
  <c r="AG176" i="55"/>
  <c r="AC207" i="55"/>
  <c r="B40" i="55"/>
  <c r="AM27" i="55"/>
  <c r="AI267" i="55"/>
  <c r="AG175" i="55"/>
  <c r="N6" i="83"/>
  <c r="AS208" i="53"/>
  <c r="N66" i="81"/>
  <c r="N22" i="81"/>
  <c r="AI298" i="55"/>
  <c r="AS265" i="55"/>
  <c r="AQ207" i="55"/>
  <c r="N6" i="79"/>
  <c r="AG177" i="57"/>
  <c r="AK118" i="55"/>
  <c r="AM236" i="55"/>
  <c r="N16" i="81"/>
  <c r="O16" i="81" s="1"/>
  <c r="N48" i="81"/>
  <c r="AL94" i="59"/>
  <c r="AP214" i="59"/>
  <c r="E62" i="49"/>
  <c r="BF230" i="55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3"/>
  <c r="AD274" i="52"/>
  <c r="BJ7" i="16"/>
  <c r="Q62" i="46"/>
  <c r="M33" i="46"/>
  <c r="BE15" i="16"/>
  <c r="AT274" i="57"/>
  <c r="CD14" i="16"/>
  <c r="K91" i="46"/>
  <c r="N45" i="78"/>
  <c r="N30" i="78"/>
  <c r="L196" i="45"/>
  <c r="L197" i="45" s="1"/>
  <c r="N9" i="81"/>
  <c r="N7" i="81"/>
  <c r="BJ6" i="16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244" i="52"/>
  <c r="Q124" i="58"/>
  <c r="AD244" i="52"/>
  <c r="BF260" i="53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AT64" i="53"/>
  <c r="U34" i="55"/>
  <c r="AP34" i="52"/>
  <c r="AT34" i="57"/>
  <c r="U154" i="57"/>
  <c r="AF154" i="52"/>
  <c r="AF154" i="53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AL274" i="52"/>
  <c r="U34" i="58"/>
  <c r="U244" i="58"/>
  <c r="Q64" i="53"/>
  <c r="Q124" i="55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BW77" i="59"/>
  <c r="M50" i="83" s="1"/>
  <c r="Q280" i="59"/>
  <c r="AG179" i="52"/>
  <c r="M52" i="78"/>
  <c r="M4" i="78"/>
  <c r="M64" i="78"/>
  <c r="M68" i="78"/>
  <c r="M3" i="78"/>
  <c r="M34" i="78"/>
  <c r="M15" i="78"/>
  <c r="M16" i="78"/>
  <c r="M23" i="78"/>
  <c r="M37" i="78"/>
  <c r="M53" i="78"/>
  <c r="M32" i="78"/>
  <c r="M28" i="78"/>
  <c r="M22" i="78"/>
  <c r="M31" i="78"/>
  <c r="M35" i="78"/>
  <c r="M49" i="78"/>
  <c r="M60" i="78"/>
  <c r="M41" i="78"/>
  <c r="H177" i="52"/>
  <c r="M14" i="78"/>
  <c r="M44" i="78"/>
  <c r="M11" i="78"/>
  <c r="M24" i="78"/>
  <c r="M20" i="78"/>
  <c r="M19" i="78"/>
  <c r="M50" i="78"/>
  <c r="I163" i="52"/>
  <c r="N7" i="80"/>
  <c r="N23" i="80"/>
  <c r="N8" i="80"/>
  <c r="N40" i="80"/>
  <c r="BF290" i="59" l="1"/>
  <c r="V289" i="59"/>
  <c r="V139" i="59"/>
  <c r="BB50" i="59"/>
  <c r="V169" i="59"/>
  <c r="BF230" i="59"/>
  <c r="V199" i="59"/>
  <c r="O50" i="83"/>
  <c r="AH133" i="59"/>
  <c r="I133" i="59" s="1"/>
  <c r="BB110" i="59"/>
  <c r="BB20" i="59"/>
  <c r="V19" i="59"/>
  <c r="T57" i="59"/>
  <c r="AG149" i="59"/>
  <c r="AH139" i="59" s="1"/>
  <c r="O2" i="83"/>
  <c r="O18" i="83"/>
  <c r="N81" i="82"/>
  <c r="N102" i="81"/>
  <c r="O102" i="81" s="1"/>
  <c r="BF110" i="52"/>
  <c r="BF290" i="55"/>
  <c r="AP154" i="59"/>
  <c r="DR10" i="16"/>
  <c r="BT46" i="59"/>
  <c r="BF290" i="52"/>
  <c r="AI209" i="53"/>
  <c r="J209" i="53" s="1"/>
  <c r="CW15" i="16"/>
  <c r="M74" i="79"/>
  <c r="N30" i="81"/>
  <c r="M93" i="79"/>
  <c r="BF200" i="59"/>
  <c r="BF290" i="57"/>
  <c r="AN94" i="59"/>
  <c r="O91" i="51"/>
  <c r="M97" i="79"/>
  <c r="N85" i="83"/>
  <c r="O85" i="83" s="1"/>
  <c r="AS59" i="59"/>
  <c r="AT49" i="59" s="1"/>
  <c r="U49" i="59" s="1"/>
  <c r="BF230" i="53"/>
  <c r="U4" i="51"/>
  <c r="AT4" i="59"/>
  <c r="H109" i="46"/>
  <c r="H110" i="46" s="1"/>
  <c r="O91" i="46"/>
  <c r="B118" i="46"/>
  <c r="I91" i="46"/>
  <c r="B90" i="46"/>
  <c r="U91" i="46"/>
  <c r="T109" i="46"/>
  <c r="T110" i="46" s="1"/>
  <c r="N109" i="46"/>
  <c r="N110" i="46" s="1"/>
  <c r="S91" i="46"/>
  <c r="M91" i="46"/>
  <c r="R109" i="46"/>
  <c r="R110" i="46" s="1"/>
  <c r="F109" i="46"/>
  <c r="F110" i="46" s="1"/>
  <c r="L109" i="46"/>
  <c r="L110" i="46" s="1"/>
  <c r="P109" i="46"/>
  <c r="P110" i="46" s="1"/>
  <c r="D109" i="46"/>
  <c r="D110" i="46" s="1"/>
  <c r="J109" i="46"/>
  <c r="J110" i="46" s="1"/>
  <c r="AJ196" i="53"/>
  <c r="K196" i="53" s="1"/>
  <c r="AP10" i="16"/>
  <c r="BF170" i="55"/>
  <c r="M92" i="79"/>
  <c r="M76" i="82"/>
  <c r="DR9" i="16"/>
  <c r="M80" i="79"/>
  <c r="M79" i="79"/>
  <c r="AL64" i="59"/>
  <c r="M62" i="51"/>
  <c r="BY160" i="59"/>
  <c r="AK15" i="16"/>
  <c r="CS15" i="16"/>
  <c r="AG15" i="16"/>
  <c r="M75" i="79"/>
  <c r="AN244" i="59"/>
  <c r="DR13" i="16"/>
  <c r="BF140" i="52"/>
  <c r="AP11" i="16"/>
  <c r="BF110" i="53"/>
  <c r="G91" i="46"/>
  <c r="O24" i="82"/>
  <c r="O60" i="82"/>
  <c r="V289" i="58"/>
  <c r="O25" i="82"/>
  <c r="BF290" i="58"/>
  <c r="O57" i="82"/>
  <c r="O58" i="82"/>
  <c r="O39" i="82"/>
  <c r="O38" i="82"/>
  <c r="O36" i="82"/>
  <c r="O54" i="82"/>
  <c r="O55" i="82"/>
  <c r="O9" i="82"/>
  <c r="V229" i="58"/>
  <c r="BB230" i="58"/>
  <c r="O33" i="82"/>
  <c r="O6" i="82"/>
  <c r="O8" i="82"/>
  <c r="O7" i="82"/>
  <c r="O13" i="82"/>
  <c r="O11" i="82"/>
  <c r="O12" i="82"/>
  <c r="O10" i="82"/>
  <c r="V169" i="58"/>
  <c r="BB170" i="58"/>
  <c r="O42" i="82"/>
  <c r="O41" i="82"/>
  <c r="O73" i="82"/>
  <c r="O43" i="82"/>
  <c r="O23" i="79"/>
  <c r="O59" i="79"/>
  <c r="O92" i="82"/>
  <c r="O5" i="82"/>
  <c r="O3" i="82"/>
  <c r="O21" i="82"/>
  <c r="O4" i="82"/>
  <c r="O2" i="82"/>
  <c r="O17" i="82"/>
  <c r="BF80" i="58"/>
  <c r="O14" i="82"/>
  <c r="O15" i="82"/>
  <c r="BT47" i="58"/>
  <c r="O16" i="82"/>
  <c r="O20" i="82"/>
  <c r="BY280" i="58"/>
  <c r="O27" i="82"/>
  <c r="V49" i="58"/>
  <c r="BF50" i="58"/>
  <c r="O18" i="82"/>
  <c r="O26" i="82"/>
  <c r="O30" i="82"/>
  <c r="O29" i="82"/>
  <c r="O31" i="82"/>
  <c r="O28" i="82"/>
  <c r="BB20" i="58"/>
  <c r="BT280" i="58"/>
  <c r="BT41" i="58"/>
  <c r="BT69" i="58"/>
  <c r="BT138" i="58"/>
  <c r="BT197" i="58"/>
  <c r="BT187" i="58"/>
  <c r="BT40" i="58"/>
  <c r="BT157" i="58"/>
  <c r="BT43" i="58"/>
  <c r="BT258" i="58"/>
  <c r="BT135" i="58"/>
  <c r="BT163" i="58"/>
  <c r="BT8" i="58"/>
  <c r="BT7" i="58"/>
  <c r="BT130" i="58"/>
  <c r="BT219" i="58"/>
  <c r="BT159" i="58"/>
  <c r="BT75" i="58"/>
  <c r="BT104" i="58"/>
  <c r="BT253" i="58"/>
  <c r="BT127" i="58"/>
  <c r="BT257" i="58"/>
  <c r="BT98" i="58"/>
  <c r="BT192" i="58"/>
  <c r="BT68" i="58"/>
  <c r="BT223" i="58"/>
  <c r="BT188" i="58"/>
  <c r="BT128" i="58"/>
  <c r="BT254" i="58"/>
  <c r="BT38" i="58"/>
  <c r="BT190" i="58"/>
  <c r="BT97" i="58"/>
  <c r="BT168" i="58"/>
  <c r="BT160" i="58"/>
  <c r="BT250" i="58"/>
  <c r="BF20" i="58"/>
  <c r="BB290" i="57"/>
  <c r="BF230" i="57"/>
  <c r="BB230" i="57"/>
  <c r="BB200" i="57"/>
  <c r="V199" i="57"/>
  <c r="BF170" i="57"/>
  <c r="BB170" i="57"/>
  <c r="V139" i="57"/>
  <c r="BT164" i="57"/>
  <c r="O15" i="81"/>
  <c r="BT132" i="57"/>
  <c r="BT16" i="57"/>
  <c r="BT129" i="57"/>
  <c r="BT195" i="57"/>
  <c r="BT159" i="57"/>
  <c r="BT198" i="57"/>
  <c r="BT130" i="57"/>
  <c r="BT285" i="57"/>
  <c r="BT279" i="57"/>
  <c r="BT196" i="57"/>
  <c r="BT193" i="57"/>
  <c r="BT226" i="57"/>
  <c r="BT287" i="57"/>
  <c r="BF20" i="57"/>
  <c r="BT39" i="57"/>
  <c r="BT99" i="57"/>
  <c r="BT10" i="57"/>
  <c r="BT11" i="57"/>
  <c r="BT254" i="57"/>
  <c r="BT136" i="57"/>
  <c r="BT48" i="57"/>
  <c r="BT41" i="57"/>
  <c r="BT103" i="57"/>
  <c r="BT38" i="57"/>
  <c r="BT106" i="57"/>
  <c r="BB20" i="57"/>
  <c r="BT284" i="57"/>
  <c r="BT127" i="57"/>
  <c r="BT134" i="57"/>
  <c r="BT188" i="57"/>
  <c r="BT138" i="57"/>
  <c r="BY67" i="57"/>
  <c r="R296" i="57"/>
  <c r="BB290" i="55"/>
  <c r="V259" i="55"/>
  <c r="BB230" i="55"/>
  <c r="V199" i="55"/>
  <c r="BF200" i="55"/>
  <c r="V169" i="55"/>
  <c r="BB140" i="55"/>
  <c r="V139" i="55"/>
  <c r="BB110" i="55"/>
  <c r="BF80" i="55"/>
  <c r="BB80" i="55"/>
  <c r="BF50" i="55"/>
  <c r="BB50" i="55"/>
  <c r="BF20" i="55"/>
  <c r="BB20" i="55"/>
  <c r="O25" i="79"/>
  <c r="O24" i="79"/>
  <c r="BB290" i="53"/>
  <c r="V289" i="53"/>
  <c r="V259" i="53"/>
  <c r="O37" i="79"/>
  <c r="O39" i="79"/>
  <c r="O40" i="79"/>
  <c r="O56" i="79"/>
  <c r="O58" i="79"/>
  <c r="O57" i="79"/>
  <c r="O33" i="79"/>
  <c r="O6" i="79"/>
  <c r="O9" i="79"/>
  <c r="V199" i="53"/>
  <c r="O7" i="79"/>
  <c r="L117" i="58"/>
  <c r="AM269" i="59"/>
  <c r="AN259" i="59" s="1"/>
  <c r="O259" i="59" s="1"/>
  <c r="AL100" i="58"/>
  <c r="M100" i="58" s="1"/>
  <c r="N267" i="59"/>
  <c r="O10" i="79"/>
  <c r="O12" i="79"/>
  <c r="O13" i="79"/>
  <c r="O51" i="79"/>
  <c r="O50" i="79"/>
  <c r="V169" i="53"/>
  <c r="BB170" i="53"/>
  <c r="O41" i="79"/>
  <c r="O43" i="79"/>
  <c r="O5" i="79"/>
  <c r="O4" i="79"/>
  <c r="AL106" i="58"/>
  <c r="M106" i="58" s="1"/>
  <c r="AK119" i="58"/>
  <c r="AL109" i="58" s="1"/>
  <c r="M109" i="58" s="1"/>
  <c r="AD73" i="52"/>
  <c r="E73" i="52" s="1"/>
  <c r="O44" i="79"/>
  <c r="O62" i="79"/>
  <c r="M66" i="79"/>
  <c r="O42" i="79"/>
  <c r="O3" i="79"/>
  <c r="O46" i="79"/>
  <c r="O2" i="79"/>
  <c r="O15" i="79"/>
  <c r="O47" i="79"/>
  <c r="O16" i="79"/>
  <c r="V79" i="53"/>
  <c r="BB80" i="53"/>
  <c r="O19" i="79"/>
  <c r="BT253" i="53"/>
  <c r="BY97" i="53"/>
  <c r="O21" i="79"/>
  <c r="O20" i="79"/>
  <c r="BB50" i="53"/>
  <c r="BY127" i="53"/>
  <c r="BY286" i="53"/>
  <c r="O18" i="79"/>
  <c r="O31" i="79"/>
  <c r="O29" i="79"/>
  <c r="O27" i="79"/>
  <c r="BT227" i="53"/>
  <c r="O30" i="79"/>
  <c r="BT44" i="53"/>
  <c r="BT193" i="53"/>
  <c r="BT247" i="53"/>
  <c r="BT278" i="53"/>
  <c r="BT10" i="53"/>
  <c r="BT129" i="53"/>
  <c r="BT136" i="53"/>
  <c r="BT103" i="53"/>
  <c r="BT132" i="53"/>
  <c r="BT68" i="53"/>
  <c r="BT160" i="53"/>
  <c r="BT97" i="53"/>
  <c r="BT13" i="53"/>
  <c r="BT188" i="53"/>
  <c r="BT100" i="53"/>
  <c r="M2" i="84"/>
  <c r="N62" i="78"/>
  <c r="BY99" i="53"/>
  <c r="BY8" i="53"/>
  <c r="BT99" i="53"/>
  <c r="BT74" i="57"/>
  <c r="BT255" i="57"/>
  <c r="BT46" i="57"/>
  <c r="BT252" i="58"/>
  <c r="BT228" i="58"/>
  <c r="BT196" i="58"/>
  <c r="M85" i="79"/>
  <c r="AF214" i="58"/>
  <c r="CX12" i="16"/>
  <c r="M94" i="79"/>
  <c r="M77" i="79"/>
  <c r="AD64" i="58"/>
  <c r="CX7" i="16"/>
  <c r="E62" i="50"/>
  <c r="CO15" i="16"/>
  <c r="BT219" i="57"/>
  <c r="BF20" i="53"/>
  <c r="M91" i="79"/>
  <c r="BT108" i="58"/>
  <c r="BT106" i="58"/>
  <c r="BT11" i="58"/>
  <c r="BT14" i="58"/>
  <c r="BT166" i="58"/>
  <c r="BT74" i="58"/>
  <c r="BT107" i="58"/>
  <c r="BT45" i="58"/>
  <c r="BT189" i="58"/>
  <c r="BT39" i="58"/>
  <c r="BT194" i="58"/>
  <c r="BT71" i="58"/>
  <c r="BT225" i="58"/>
  <c r="BT283" i="58"/>
  <c r="BT134" i="58"/>
  <c r="BT286" i="58"/>
  <c r="BT17" i="58"/>
  <c r="BT164" i="58"/>
  <c r="BT161" i="58"/>
  <c r="BT224" i="58"/>
  <c r="BT220" i="58"/>
  <c r="BT99" i="58"/>
  <c r="BT37" i="58"/>
  <c r="BT13" i="58"/>
  <c r="BT284" i="58"/>
  <c r="BT251" i="58"/>
  <c r="BT227" i="58"/>
  <c r="BT101" i="58"/>
  <c r="BT255" i="58"/>
  <c r="BT46" i="58"/>
  <c r="BT221" i="58"/>
  <c r="BT9" i="58"/>
  <c r="BT77" i="58"/>
  <c r="BT222" i="58"/>
  <c r="BT281" i="58"/>
  <c r="BT167" i="58"/>
  <c r="BT198" i="58"/>
  <c r="BT103" i="58"/>
  <c r="BT277" i="58"/>
  <c r="BT282" i="58"/>
  <c r="BT48" i="58"/>
  <c r="BT162" i="58"/>
  <c r="BT248" i="58"/>
  <c r="BT133" i="58"/>
  <c r="BT285" i="58"/>
  <c r="BT42" i="58"/>
  <c r="BT44" i="58"/>
  <c r="BT129" i="58"/>
  <c r="BT193" i="58"/>
  <c r="BT195" i="58"/>
  <c r="BT15" i="58"/>
  <c r="BT249" i="58"/>
  <c r="BT12" i="58"/>
  <c r="BT15" i="53"/>
  <c r="M69" i="78"/>
  <c r="BY284" i="53"/>
  <c r="BY70" i="53"/>
  <c r="BT196" i="53"/>
  <c r="BT252" i="53"/>
  <c r="BT223" i="57"/>
  <c r="BT256" i="57"/>
  <c r="BT225" i="57"/>
  <c r="BT16" i="58"/>
  <c r="BT217" i="58"/>
  <c r="BT288" i="58"/>
  <c r="BT100" i="58"/>
  <c r="M69" i="79"/>
  <c r="M96" i="79"/>
  <c r="M78" i="79"/>
  <c r="M61" i="79"/>
  <c r="O61" i="79" s="1"/>
  <c r="AN34" i="53"/>
  <c r="O33" i="45"/>
  <c r="M95" i="79"/>
  <c r="BT280" i="53"/>
  <c r="BT14" i="53"/>
  <c r="BY9" i="53"/>
  <c r="AJ64" i="58"/>
  <c r="K62" i="50"/>
  <c r="CR15" i="16"/>
  <c r="BT70" i="53"/>
  <c r="BT225" i="53"/>
  <c r="BT73" i="53"/>
  <c r="BT9" i="53"/>
  <c r="BT104" i="53"/>
  <c r="BY11" i="53"/>
  <c r="BY41" i="53"/>
  <c r="BY217" i="53"/>
  <c r="N61" i="78"/>
  <c r="BY163" i="53"/>
  <c r="BY45" i="53"/>
  <c r="BT78" i="53"/>
  <c r="BT45" i="53"/>
  <c r="BT105" i="57"/>
  <c r="BT160" i="57"/>
  <c r="BT72" i="57"/>
  <c r="BT158" i="58"/>
  <c r="BT105" i="58"/>
  <c r="BT132" i="58"/>
  <c r="BT287" i="58"/>
  <c r="BT250" i="57"/>
  <c r="M64" i="79"/>
  <c r="O64" i="79" s="1"/>
  <c r="BT258" i="57"/>
  <c r="BT102" i="58"/>
  <c r="M63" i="79"/>
  <c r="M76" i="79"/>
  <c r="BT77" i="57"/>
  <c r="BF200" i="58"/>
  <c r="BT128" i="53"/>
  <c r="BT67" i="58"/>
  <c r="N70" i="78"/>
  <c r="BY43" i="53"/>
  <c r="BY249" i="53"/>
  <c r="BT197" i="53"/>
  <c r="BT72" i="53"/>
  <c r="BT218" i="57"/>
  <c r="BT8" i="57"/>
  <c r="BT251" i="57"/>
  <c r="BT278" i="58"/>
  <c r="BT247" i="58"/>
  <c r="BT137" i="58"/>
  <c r="BT108" i="57"/>
  <c r="AL4" i="53"/>
  <c r="M4" i="45"/>
  <c r="AP5" i="16"/>
  <c r="M104" i="79"/>
  <c r="M103" i="79"/>
  <c r="M100" i="79"/>
  <c r="M99" i="79"/>
  <c r="N80" i="49"/>
  <c r="N81" i="49" s="1"/>
  <c r="D80" i="49"/>
  <c r="D81" i="49" s="1"/>
  <c r="S62" i="49"/>
  <c r="B61" i="49"/>
  <c r="K62" i="49"/>
  <c r="H80" i="49"/>
  <c r="H81" i="49" s="1"/>
  <c r="P80" i="49"/>
  <c r="P81" i="49" s="1"/>
  <c r="F80" i="49"/>
  <c r="F81" i="49" s="1"/>
  <c r="R80" i="49"/>
  <c r="R81" i="49" s="1"/>
  <c r="U62" i="49"/>
  <c r="T80" i="49"/>
  <c r="T81" i="49" s="1"/>
  <c r="Q62" i="49"/>
  <c r="B89" i="49"/>
  <c r="I62" i="49"/>
  <c r="L80" i="49"/>
  <c r="L81" i="49" s="1"/>
  <c r="M62" i="49"/>
  <c r="BF260" i="59"/>
  <c r="BF80" i="57"/>
  <c r="BT191" i="53"/>
  <c r="BT134" i="53"/>
  <c r="BT8" i="53"/>
  <c r="BT108" i="53"/>
  <c r="BT98" i="53"/>
  <c r="BT284" i="53"/>
  <c r="BT67" i="53"/>
  <c r="BT219" i="53"/>
  <c r="BT16" i="53"/>
  <c r="BT192" i="53"/>
  <c r="BT198" i="53"/>
  <c r="BT17" i="53"/>
  <c r="BT224" i="53"/>
  <c r="BT282" i="53"/>
  <c r="BT256" i="53"/>
  <c r="BT195" i="53"/>
  <c r="BT157" i="53"/>
  <c r="BT39" i="53"/>
  <c r="BT159" i="53"/>
  <c r="BT7" i="53"/>
  <c r="BT47" i="53"/>
  <c r="BT249" i="53"/>
  <c r="BT285" i="53"/>
  <c r="BT165" i="53"/>
  <c r="BT189" i="53"/>
  <c r="BT288" i="53"/>
  <c r="BT163" i="53"/>
  <c r="BT277" i="53"/>
  <c r="BT48" i="53"/>
  <c r="BT102" i="53"/>
  <c r="BT190" i="53"/>
  <c r="BT286" i="53"/>
  <c r="BT187" i="53"/>
  <c r="BT158" i="53"/>
  <c r="BT194" i="53"/>
  <c r="BT226" i="53"/>
  <c r="BT130" i="53"/>
  <c r="BT127" i="53"/>
  <c r="BT279" i="53"/>
  <c r="BT75" i="53"/>
  <c r="BT223" i="53"/>
  <c r="BT76" i="53"/>
  <c r="BT77" i="53"/>
  <c r="BT74" i="53"/>
  <c r="BT137" i="53"/>
  <c r="BT220" i="53"/>
  <c r="BT258" i="53"/>
  <c r="BT133" i="53"/>
  <c r="BT164" i="53"/>
  <c r="BT69" i="53"/>
  <c r="BT42" i="53"/>
  <c r="BT218" i="53"/>
  <c r="BT221" i="53"/>
  <c r="BT283" i="53"/>
  <c r="BT228" i="53"/>
  <c r="BT135" i="53"/>
  <c r="BT40" i="53"/>
  <c r="BT248" i="53"/>
  <c r="BT138" i="53"/>
  <c r="BT11" i="53"/>
  <c r="BT161" i="53"/>
  <c r="BT37" i="53"/>
  <c r="BT71" i="53"/>
  <c r="BT255" i="53"/>
  <c r="BT222" i="53"/>
  <c r="BT46" i="53"/>
  <c r="M88" i="79"/>
  <c r="M87" i="79"/>
  <c r="M84" i="79"/>
  <c r="M83" i="79"/>
  <c r="BT17" i="57"/>
  <c r="BT71" i="57"/>
  <c r="N63" i="78"/>
  <c r="BY130" i="53"/>
  <c r="BY258" i="53"/>
  <c r="BZ258" i="53" s="1"/>
  <c r="BT14" i="57"/>
  <c r="M73" i="79"/>
  <c r="BT43" i="57"/>
  <c r="BT257" i="53"/>
  <c r="BT105" i="53"/>
  <c r="BT12" i="57"/>
  <c r="BT162" i="57"/>
  <c r="N100" i="81"/>
  <c r="O100" i="81" s="1"/>
  <c r="BT7" i="57"/>
  <c r="BT277" i="57"/>
  <c r="BT218" i="58"/>
  <c r="M72" i="79"/>
  <c r="M71" i="79"/>
  <c r="O71" i="79" s="1"/>
  <c r="M68" i="79"/>
  <c r="M67" i="79"/>
  <c r="O67" i="79" s="1"/>
  <c r="BT73" i="58"/>
  <c r="BF50" i="57"/>
  <c r="BT279" i="58"/>
  <c r="BY160" i="53"/>
  <c r="BY191" i="53"/>
  <c r="N85" i="78"/>
  <c r="BT222" i="57"/>
  <c r="BT106" i="53"/>
  <c r="BT168" i="53"/>
  <c r="BT282" i="57"/>
  <c r="BT165" i="57"/>
  <c r="BT220" i="57"/>
  <c r="BT69" i="57"/>
  <c r="AD124" i="58"/>
  <c r="CX9" i="16"/>
  <c r="AH124" i="58"/>
  <c r="CQ15" i="16"/>
  <c r="BT165" i="58"/>
  <c r="BT221" i="57"/>
  <c r="E149" i="45"/>
  <c r="T167" i="45"/>
  <c r="T168" i="45" s="1"/>
  <c r="U149" i="45"/>
  <c r="Q149" i="45"/>
  <c r="BT252" i="57"/>
  <c r="BT72" i="58"/>
  <c r="BY228" i="53"/>
  <c r="N63" i="83"/>
  <c r="O63" i="83" s="1"/>
  <c r="BT131" i="53"/>
  <c r="BT10" i="58"/>
  <c r="BT189" i="57"/>
  <c r="BT44" i="57"/>
  <c r="BT190" i="57"/>
  <c r="BT191" i="57"/>
  <c r="BT256" i="58"/>
  <c r="BT18" i="58"/>
  <c r="BT45" i="57"/>
  <c r="M90" i="79"/>
  <c r="BT131" i="58"/>
  <c r="BT47" i="57"/>
  <c r="BT101" i="57"/>
  <c r="BT247" i="57"/>
  <c r="BT70" i="57"/>
  <c r="BT227" i="57"/>
  <c r="BT137" i="57"/>
  <c r="BT40" i="57"/>
  <c r="BT133" i="57"/>
  <c r="BT163" i="57"/>
  <c r="BT192" i="57"/>
  <c r="BT168" i="57"/>
  <c r="BT135" i="57"/>
  <c r="BT9" i="57"/>
  <c r="BT257" i="57"/>
  <c r="BT42" i="57"/>
  <c r="BT194" i="57"/>
  <c r="BT278" i="57"/>
  <c r="BT253" i="57"/>
  <c r="BT158" i="57"/>
  <c r="BT228" i="57"/>
  <c r="BT281" i="57"/>
  <c r="BT288" i="57"/>
  <c r="BT78" i="57"/>
  <c r="BT187" i="57"/>
  <c r="BT283" i="57"/>
  <c r="BT161" i="57"/>
  <c r="BT100" i="57"/>
  <c r="BT217" i="57"/>
  <c r="BT131" i="57"/>
  <c r="BF140" i="57"/>
  <c r="BF110" i="57"/>
  <c r="BT15" i="57"/>
  <c r="AR94" i="58"/>
  <c r="S91" i="50"/>
  <c r="AL64" i="58"/>
  <c r="M62" i="50"/>
  <c r="AT64" i="58"/>
  <c r="U62" i="50"/>
  <c r="BT102" i="57"/>
  <c r="BT75" i="57"/>
  <c r="BT78" i="58"/>
  <c r="BT197" i="57"/>
  <c r="BT97" i="57"/>
  <c r="BT287" i="53"/>
  <c r="N72" i="78"/>
  <c r="BY72" i="53"/>
  <c r="BT281" i="53"/>
  <c r="BT166" i="57"/>
  <c r="BT68" i="57"/>
  <c r="BT76" i="57"/>
  <c r="BT280" i="57"/>
  <c r="BT37" i="57"/>
  <c r="CT15" i="16"/>
  <c r="AN94" i="58"/>
  <c r="O91" i="50"/>
  <c r="M102" i="79"/>
  <c r="M98" i="79"/>
  <c r="AP64" i="58"/>
  <c r="Q62" i="50"/>
  <c r="M33" i="45"/>
  <c r="AL34" i="53"/>
  <c r="AD94" i="58"/>
  <c r="CX8" i="16"/>
  <c r="E91" i="50"/>
  <c r="BT38" i="53"/>
  <c r="BT254" i="53"/>
  <c r="BY39" i="53"/>
  <c r="BY47" i="53"/>
  <c r="AD154" i="58"/>
  <c r="CX10" i="16"/>
  <c r="AD34" i="53"/>
  <c r="E33" i="45"/>
  <c r="V199" i="58"/>
  <c r="BB200" i="58"/>
  <c r="V259" i="57"/>
  <c r="BB260" i="57"/>
  <c r="BF140" i="53"/>
  <c r="BT70" i="58"/>
  <c r="BT167" i="53"/>
  <c r="N66" i="78"/>
  <c r="O66" i="78" s="1"/>
  <c r="N69" i="78"/>
  <c r="O69" i="78" s="1"/>
  <c r="BY161" i="53"/>
  <c r="N88" i="78"/>
  <c r="BT43" i="53"/>
  <c r="BT166" i="53"/>
  <c r="BT286" i="57"/>
  <c r="BT157" i="57"/>
  <c r="BT104" i="57"/>
  <c r="BT73" i="57"/>
  <c r="BT191" i="58"/>
  <c r="BT224" i="57"/>
  <c r="AI15" i="16"/>
  <c r="M70" i="79"/>
  <c r="AF184" i="58"/>
  <c r="CX11" i="16"/>
  <c r="BT18" i="57"/>
  <c r="BT12" i="53"/>
  <c r="BT41" i="53"/>
  <c r="BT13" i="57"/>
  <c r="N64" i="78"/>
  <c r="O64" i="78" s="1"/>
  <c r="N67" i="78"/>
  <c r="N101" i="79"/>
  <c r="BT101" i="53"/>
  <c r="BT250" i="53"/>
  <c r="BT167" i="57"/>
  <c r="BT107" i="57"/>
  <c r="BT67" i="57"/>
  <c r="BT249" i="57"/>
  <c r="BT98" i="57"/>
  <c r="BT248" i="57"/>
  <c r="BF260" i="52"/>
  <c r="O4" i="45"/>
  <c r="AN4" i="53"/>
  <c r="AL15" i="16"/>
  <c r="AF244" i="58"/>
  <c r="CX13" i="16"/>
  <c r="AF64" i="58"/>
  <c r="CP15" i="16"/>
  <c r="G62" i="50"/>
  <c r="AT94" i="58"/>
  <c r="U91" i="50"/>
  <c r="BT128" i="57"/>
  <c r="BT107" i="53"/>
  <c r="BT217" i="53"/>
  <c r="M89" i="79"/>
  <c r="BT162" i="53"/>
  <c r="BT18" i="53"/>
  <c r="BT226" i="58"/>
  <c r="BY193" i="58"/>
  <c r="M101" i="79"/>
  <c r="BF260" i="55"/>
  <c r="BT251" i="53"/>
  <c r="BT76" i="58"/>
  <c r="BT136" i="58"/>
  <c r="O22" i="78"/>
  <c r="O25" i="78"/>
  <c r="BB290" i="52"/>
  <c r="O23" i="78"/>
  <c r="O24" i="78"/>
  <c r="O40" i="78"/>
  <c r="O38" i="78"/>
  <c r="O37" i="78"/>
  <c r="O39" i="78"/>
  <c r="V259" i="52"/>
  <c r="O36" i="78"/>
  <c r="V229" i="52"/>
  <c r="O9" i="78"/>
  <c r="O7" i="78"/>
  <c r="BB200" i="52"/>
  <c r="V199" i="52"/>
  <c r="T116" i="59"/>
  <c r="O10" i="78"/>
  <c r="O12" i="78"/>
  <c r="O13" i="78"/>
  <c r="V169" i="52"/>
  <c r="BF170" i="52"/>
  <c r="L236" i="53"/>
  <c r="O41" i="78"/>
  <c r="O43" i="78"/>
  <c r="O44" i="78"/>
  <c r="O42" i="78"/>
  <c r="V139" i="52"/>
  <c r="BB140" i="52"/>
  <c r="O5" i="78"/>
  <c r="O3" i="78"/>
  <c r="O4" i="78"/>
  <c r="BB110" i="52"/>
  <c r="V109" i="52"/>
  <c r="O17" i="78"/>
  <c r="O54" i="78"/>
  <c r="M72" i="78"/>
  <c r="O56" i="78"/>
  <c r="M67" i="78"/>
  <c r="M63" i="78"/>
  <c r="M65" i="78"/>
  <c r="O65" i="78" s="1"/>
  <c r="M88" i="78"/>
  <c r="M61" i="78"/>
  <c r="O59" i="78"/>
  <c r="O52" i="78"/>
  <c r="O49" i="78"/>
  <c r="O50" i="78"/>
  <c r="O60" i="78"/>
  <c r="O53" i="78"/>
  <c r="O51" i="78"/>
  <c r="O15" i="78"/>
  <c r="O16" i="78"/>
  <c r="V79" i="52"/>
  <c r="BB80" i="52"/>
  <c r="O19" i="78"/>
  <c r="O21" i="78"/>
  <c r="BF50" i="52"/>
  <c r="BB50" i="52"/>
  <c r="O20" i="78"/>
  <c r="O18" i="78"/>
  <c r="T26" i="59"/>
  <c r="P176" i="59"/>
  <c r="AF40" i="59"/>
  <c r="G40" i="59" s="1"/>
  <c r="O26" i="78"/>
  <c r="O27" i="78"/>
  <c r="O29" i="78"/>
  <c r="BF20" i="52"/>
  <c r="BY15" i="52"/>
  <c r="BB20" i="52"/>
  <c r="O30" i="78"/>
  <c r="BT69" i="52"/>
  <c r="BT138" i="52"/>
  <c r="AD160" i="59"/>
  <c r="E160" i="59" s="1"/>
  <c r="AR280" i="59"/>
  <c r="S280" i="59" s="1"/>
  <c r="H85" i="52"/>
  <c r="F205" i="59"/>
  <c r="AF106" i="58"/>
  <c r="G106" i="58" s="1"/>
  <c r="L177" i="59"/>
  <c r="AD280" i="59"/>
  <c r="E280" i="59" s="1"/>
  <c r="N295" i="53"/>
  <c r="AF283" i="58"/>
  <c r="G283" i="58" s="1"/>
  <c r="P268" i="58"/>
  <c r="F116" i="55"/>
  <c r="F295" i="59"/>
  <c r="N117" i="59"/>
  <c r="AF46" i="59"/>
  <c r="G46" i="59" s="1"/>
  <c r="F88" i="59"/>
  <c r="N238" i="57"/>
  <c r="AF250" i="59"/>
  <c r="G250" i="59" s="1"/>
  <c r="R206" i="59"/>
  <c r="R117" i="59"/>
  <c r="F147" i="55"/>
  <c r="N235" i="53"/>
  <c r="AH286" i="59"/>
  <c r="I286" i="59" s="1"/>
  <c r="AT256" i="58"/>
  <c r="U256" i="58" s="1"/>
  <c r="R57" i="55"/>
  <c r="AT253" i="52"/>
  <c r="U253" i="52" s="1"/>
  <c r="F57" i="52"/>
  <c r="H238" i="59"/>
  <c r="AF187" i="53"/>
  <c r="G187" i="53" s="1"/>
  <c r="F148" i="55"/>
  <c r="N59" i="57"/>
  <c r="AD247" i="59"/>
  <c r="E247" i="59" s="1"/>
  <c r="AL196" i="55"/>
  <c r="M196" i="55" s="1"/>
  <c r="AF73" i="58"/>
  <c r="G73" i="58" s="1"/>
  <c r="H266" i="59"/>
  <c r="AL70" i="52"/>
  <c r="M70" i="52" s="1"/>
  <c r="AJ277" i="58"/>
  <c r="K277" i="58" s="1"/>
  <c r="AH283" i="53"/>
  <c r="I283" i="53" s="1"/>
  <c r="T298" i="53"/>
  <c r="AD190" i="53"/>
  <c r="E190" i="53" s="1"/>
  <c r="AN43" i="53"/>
  <c r="O43" i="53" s="1"/>
  <c r="L295" i="55"/>
  <c r="F145" i="59"/>
  <c r="AT223" i="55"/>
  <c r="U223" i="55" s="1"/>
  <c r="N146" i="59"/>
  <c r="AJ127" i="53"/>
  <c r="K127" i="53" s="1"/>
  <c r="AL130" i="59"/>
  <c r="M130" i="59" s="1"/>
  <c r="AF73" i="59"/>
  <c r="G73" i="59" s="1"/>
  <c r="P235" i="59"/>
  <c r="AJ220" i="59"/>
  <c r="K220" i="59" s="1"/>
  <c r="AT253" i="59"/>
  <c r="U253" i="59" s="1"/>
  <c r="AP73" i="58"/>
  <c r="Q73" i="58" s="1"/>
  <c r="AT256" i="53"/>
  <c r="U256" i="53" s="1"/>
  <c r="AF166" i="59"/>
  <c r="G166" i="59" s="1"/>
  <c r="N56" i="52"/>
  <c r="H117" i="58"/>
  <c r="F267" i="59"/>
  <c r="F55" i="59"/>
  <c r="J176" i="59"/>
  <c r="AJ109" i="57"/>
  <c r="K109" i="57" s="1"/>
  <c r="AF283" i="59"/>
  <c r="G283" i="59" s="1"/>
  <c r="F25" i="55"/>
  <c r="AL256" i="59"/>
  <c r="M256" i="59" s="1"/>
  <c r="AD139" i="55"/>
  <c r="E139" i="55" s="1"/>
  <c r="AF280" i="53"/>
  <c r="G280" i="53" s="1"/>
  <c r="AF106" i="59"/>
  <c r="G106" i="59" s="1"/>
  <c r="P57" i="57"/>
  <c r="AL223" i="58"/>
  <c r="M223" i="58" s="1"/>
  <c r="N26" i="58"/>
  <c r="AD106" i="57"/>
  <c r="E106" i="57" s="1"/>
  <c r="F175" i="59"/>
  <c r="AL136" i="55"/>
  <c r="M136" i="55" s="1"/>
  <c r="AT163" i="59"/>
  <c r="U163" i="59" s="1"/>
  <c r="AF13" i="53"/>
  <c r="G13" i="53" s="1"/>
  <c r="AP97" i="58"/>
  <c r="Q97" i="58" s="1"/>
  <c r="AO149" i="59"/>
  <c r="P149" i="59" s="1"/>
  <c r="AF163" i="59"/>
  <c r="G163" i="59" s="1"/>
  <c r="AN256" i="53"/>
  <c r="O256" i="53" s="1"/>
  <c r="AH253" i="52"/>
  <c r="I253" i="52" s="1"/>
  <c r="AL76" i="59"/>
  <c r="M76" i="59" s="1"/>
  <c r="AD217" i="59"/>
  <c r="E217" i="59" s="1"/>
  <c r="AP127" i="59"/>
  <c r="Q127" i="59" s="1"/>
  <c r="AM179" i="57"/>
  <c r="N179" i="57" s="1"/>
  <c r="AR286" i="57"/>
  <c r="S286" i="57" s="1"/>
  <c r="AF163" i="53"/>
  <c r="G163" i="53" s="1"/>
  <c r="AL196" i="59"/>
  <c r="M196" i="59" s="1"/>
  <c r="AJ157" i="53"/>
  <c r="K157" i="53" s="1"/>
  <c r="AR67" i="59"/>
  <c r="S67" i="59" s="1"/>
  <c r="D27" i="59"/>
  <c r="R148" i="59"/>
  <c r="D115" i="55"/>
  <c r="F85" i="59"/>
  <c r="AP73" i="59"/>
  <c r="Q73" i="59" s="1"/>
  <c r="AP7" i="59"/>
  <c r="Q7" i="59" s="1"/>
  <c r="AE29" i="53"/>
  <c r="AF19" i="53" s="1"/>
  <c r="G19" i="53" s="1"/>
  <c r="AF13" i="55"/>
  <c r="G13" i="55" s="1"/>
  <c r="AK89" i="59"/>
  <c r="L89" i="59" s="1"/>
  <c r="H56" i="55"/>
  <c r="AT157" i="55"/>
  <c r="U157" i="55" s="1"/>
  <c r="AR37" i="59"/>
  <c r="S37" i="59" s="1"/>
  <c r="L88" i="53"/>
  <c r="L207" i="57"/>
  <c r="F208" i="59"/>
  <c r="L88" i="55"/>
  <c r="AJ223" i="52"/>
  <c r="K223" i="52" s="1"/>
  <c r="AJ70" i="58"/>
  <c r="K70" i="58" s="1"/>
  <c r="T296" i="59"/>
  <c r="AH109" i="53"/>
  <c r="I109" i="53" s="1"/>
  <c r="AD70" i="57"/>
  <c r="E70" i="57" s="1"/>
  <c r="AH67" i="58"/>
  <c r="I67" i="58" s="1"/>
  <c r="AL67" i="53"/>
  <c r="M67" i="53" s="1"/>
  <c r="AL40" i="53"/>
  <c r="M40" i="53" s="1"/>
  <c r="AD73" i="59"/>
  <c r="E73" i="59" s="1"/>
  <c r="H55" i="52"/>
  <c r="AF100" i="59"/>
  <c r="G100" i="59" s="1"/>
  <c r="F207" i="58"/>
  <c r="AF100" i="53"/>
  <c r="G100" i="53" s="1"/>
  <c r="N25" i="53"/>
  <c r="AP136" i="59"/>
  <c r="Q136" i="59" s="1"/>
  <c r="AJ256" i="59"/>
  <c r="K256" i="59" s="1"/>
  <c r="AF217" i="58"/>
  <c r="G217" i="58" s="1"/>
  <c r="AP43" i="53"/>
  <c r="Q43" i="53" s="1"/>
  <c r="F298" i="55"/>
  <c r="AD46" i="57"/>
  <c r="E46" i="57" s="1"/>
  <c r="AH13" i="59"/>
  <c r="I13" i="59" s="1"/>
  <c r="H298" i="57"/>
  <c r="AK89" i="53"/>
  <c r="L89" i="53" s="1"/>
  <c r="N57" i="59"/>
  <c r="AJ259" i="58"/>
  <c r="K259" i="58" s="1"/>
  <c r="N206" i="53"/>
  <c r="F296" i="55"/>
  <c r="P267" i="53"/>
  <c r="AT190" i="52"/>
  <c r="U190" i="52" s="1"/>
  <c r="F148" i="59"/>
  <c r="J235" i="59"/>
  <c r="F117" i="55"/>
  <c r="T295" i="57"/>
  <c r="AD10" i="52"/>
  <c r="E10" i="52" s="1"/>
  <c r="AN190" i="58"/>
  <c r="O190" i="58" s="1"/>
  <c r="AF226" i="55"/>
  <c r="G226" i="55" s="1"/>
  <c r="AN103" i="58"/>
  <c r="O103" i="58" s="1"/>
  <c r="L86" i="59"/>
  <c r="AP166" i="59"/>
  <c r="Q166" i="59" s="1"/>
  <c r="AR187" i="52"/>
  <c r="S187" i="52" s="1"/>
  <c r="L265" i="53"/>
  <c r="F265" i="55"/>
  <c r="D28" i="59"/>
  <c r="AH133" i="52"/>
  <c r="I133" i="52" s="1"/>
  <c r="F296" i="52"/>
  <c r="AT7" i="55"/>
  <c r="U7" i="55" s="1"/>
  <c r="AG299" i="52"/>
  <c r="H299" i="52" s="1"/>
  <c r="AF13" i="57"/>
  <c r="G13" i="57" s="1"/>
  <c r="AR247" i="57"/>
  <c r="S247" i="57" s="1"/>
  <c r="AT199" i="58"/>
  <c r="U199" i="58" s="1"/>
  <c r="AL10" i="59"/>
  <c r="M10" i="59" s="1"/>
  <c r="AQ29" i="53"/>
  <c r="R29" i="53" s="1"/>
  <c r="N268" i="52"/>
  <c r="T116" i="53"/>
  <c r="F28" i="52"/>
  <c r="F116" i="57"/>
  <c r="F88" i="57"/>
  <c r="F237" i="58"/>
  <c r="AK239" i="55"/>
  <c r="L239" i="55" s="1"/>
  <c r="AN220" i="58"/>
  <c r="O220" i="58" s="1"/>
  <c r="R87" i="55"/>
  <c r="F267" i="55"/>
  <c r="F268" i="59"/>
  <c r="L238" i="55"/>
  <c r="AM209" i="55"/>
  <c r="N209" i="55" s="1"/>
  <c r="AN196" i="55"/>
  <c r="O196" i="55" s="1"/>
  <c r="N235" i="58"/>
  <c r="AJ136" i="53"/>
  <c r="K136" i="53" s="1"/>
  <c r="AF136" i="58"/>
  <c r="G136" i="58" s="1"/>
  <c r="R116" i="59"/>
  <c r="AF67" i="57"/>
  <c r="G67" i="57" s="1"/>
  <c r="AL46" i="59"/>
  <c r="M46" i="59" s="1"/>
  <c r="AL40" i="59"/>
  <c r="M40" i="59" s="1"/>
  <c r="AH46" i="52"/>
  <c r="I46" i="52" s="1"/>
  <c r="AL70" i="53"/>
  <c r="M70" i="53" s="1"/>
  <c r="AE119" i="59"/>
  <c r="AF109" i="59" s="1"/>
  <c r="G109" i="59" s="1"/>
  <c r="AN247" i="55"/>
  <c r="O247" i="55" s="1"/>
  <c r="AJ163" i="53"/>
  <c r="K163" i="53" s="1"/>
  <c r="R27" i="55"/>
  <c r="L179" i="55"/>
  <c r="D178" i="52"/>
  <c r="N206" i="52"/>
  <c r="H88" i="55"/>
  <c r="D268" i="55"/>
  <c r="AE179" i="57"/>
  <c r="AF169" i="57" s="1"/>
  <c r="G169" i="57" s="1"/>
  <c r="AG269" i="52"/>
  <c r="H269" i="52" s="1"/>
  <c r="AF37" i="58"/>
  <c r="G37" i="58" s="1"/>
  <c r="F176" i="55"/>
  <c r="F205" i="52"/>
  <c r="AT247" i="59"/>
  <c r="U247" i="59" s="1"/>
  <c r="AF157" i="55"/>
  <c r="G157" i="55" s="1"/>
  <c r="AF133" i="57"/>
  <c r="G133" i="57" s="1"/>
  <c r="D298" i="53"/>
  <c r="AS29" i="59"/>
  <c r="AT19" i="59" s="1"/>
  <c r="U19" i="59" s="1"/>
  <c r="H265" i="52"/>
  <c r="AF106" i="55"/>
  <c r="G106" i="55" s="1"/>
  <c r="AL160" i="59"/>
  <c r="M160" i="59" s="1"/>
  <c r="AD97" i="57"/>
  <c r="E97" i="57" s="1"/>
  <c r="AG89" i="59"/>
  <c r="H89" i="59" s="1"/>
  <c r="AK269" i="53"/>
  <c r="AL259" i="53" s="1"/>
  <c r="M259" i="53" s="1"/>
  <c r="AI59" i="53"/>
  <c r="AJ49" i="53" s="1"/>
  <c r="K49" i="53" s="1"/>
  <c r="AC299" i="53"/>
  <c r="AD289" i="53" s="1"/>
  <c r="E289" i="53" s="1"/>
  <c r="AP250" i="57"/>
  <c r="Q250" i="57" s="1"/>
  <c r="AH103" i="52"/>
  <c r="I103" i="52" s="1"/>
  <c r="AF40" i="55"/>
  <c r="G40" i="55" s="1"/>
  <c r="J117" i="52"/>
  <c r="AE89" i="59"/>
  <c r="F89" i="59" s="1"/>
  <c r="AR220" i="53"/>
  <c r="S220" i="53" s="1"/>
  <c r="N26" i="57"/>
  <c r="AM239" i="57"/>
  <c r="N239" i="57" s="1"/>
  <c r="J27" i="57"/>
  <c r="AD283" i="53"/>
  <c r="E283" i="53" s="1"/>
  <c r="AL193" i="53"/>
  <c r="M193" i="53" s="1"/>
  <c r="AT76" i="59"/>
  <c r="U76" i="59" s="1"/>
  <c r="H28" i="59"/>
  <c r="AE59" i="59"/>
  <c r="F59" i="59" s="1"/>
  <c r="D295" i="55"/>
  <c r="AL7" i="59"/>
  <c r="M7" i="59" s="1"/>
  <c r="AE29" i="55"/>
  <c r="F29" i="55" s="1"/>
  <c r="J149" i="52"/>
  <c r="AD286" i="59"/>
  <c r="E286" i="59" s="1"/>
  <c r="AO239" i="53"/>
  <c r="P239" i="53" s="1"/>
  <c r="AK299" i="57"/>
  <c r="AL289" i="57" s="1"/>
  <c r="H235" i="52"/>
  <c r="AL13" i="59"/>
  <c r="M13" i="59" s="1"/>
  <c r="AL46" i="52"/>
  <c r="M46" i="52" s="1"/>
  <c r="AT250" i="55"/>
  <c r="U250" i="55" s="1"/>
  <c r="AF163" i="52"/>
  <c r="G163" i="52" s="1"/>
  <c r="AJ199" i="53"/>
  <c r="K199" i="53" s="1"/>
  <c r="H88" i="59"/>
  <c r="F207" i="55"/>
  <c r="P26" i="53"/>
  <c r="N268" i="58"/>
  <c r="H177" i="53"/>
  <c r="F115" i="59"/>
  <c r="AJ73" i="58"/>
  <c r="K73" i="58" s="1"/>
  <c r="T265" i="52"/>
  <c r="AP97" i="59"/>
  <c r="Q97" i="59" s="1"/>
  <c r="AR217" i="55"/>
  <c r="S217" i="55" s="1"/>
  <c r="AF196" i="58"/>
  <c r="G196" i="58" s="1"/>
  <c r="P235" i="53"/>
  <c r="R266" i="59"/>
  <c r="P176" i="55"/>
  <c r="AE119" i="58"/>
  <c r="AF109" i="58" s="1"/>
  <c r="G109" i="58" s="1"/>
  <c r="AC29" i="59"/>
  <c r="D29" i="59" s="1"/>
  <c r="AS119" i="53"/>
  <c r="T119" i="53" s="1"/>
  <c r="AS59" i="53"/>
  <c r="AT49" i="53" s="1"/>
  <c r="U49" i="53" s="1"/>
  <c r="N26" i="55"/>
  <c r="D25" i="59"/>
  <c r="F27" i="52"/>
  <c r="D177" i="58"/>
  <c r="AF40" i="52"/>
  <c r="G40" i="52" s="1"/>
  <c r="F86" i="55"/>
  <c r="AJ166" i="58"/>
  <c r="K166" i="58" s="1"/>
  <c r="AN280" i="59"/>
  <c r="O280" i="59" s="1"/>
  <c r="AC269" i="53"/>
  <c r="D269" i="53" s="1"/>
  <c r="H146" i="55"/>
  <c r="AD250" i="53"/>
  <c r="E250" i="53" s="1"/>
  <c r="AF220" i="52"/>
  <c r="G220" i="52" s="1"/>
  <c r="AF67" i="52"/>
  <c r="G67" i="52" s="1"/>
  <c r="J235" i="52"/>
  <c r="AC269" i="59"/>
  <c r="AD259" i="59" s="1"/>
  <c r="E259" i="59" s="1"/>
  <c r="AD133" i="59"/>
  <c r="E133" i="59" s="1"/>
  <c r="N146" i="52"/>
  <c r="AF103" i="53"/>
  <c r="G103" i="53" s="1"/>
  <c r="AL13" i="55"/>
  <c r="M13" i="55" s="1"/>
  <c r="R27" i="59"/>
  <c r="AN160" i="59"/>
  <c r="O160" i="59" s="1"/>
  <c r="AQ29" i="59"/>
  <c r="R29" i="59" s="1"/>
  <c r="N207" i="53"/>
  <c r="AM119" i="59"/>
  <c r="AN109" i="59" s="1"/>
  <c r="O109" i="59" s="1"/>
  <c r="AG299" i="53"/>
  <c r="H299" i="53" s="1"/>
  <c r="F235" i="57"/>
  <c r="AN160" i="57"/>
  <c r="O160" i="57" s="1"/>
  <c r="AH97" i="59"/>
  <c r="I97" i="59" s="1"/>
  <c r="AN193" i="58"/>
  <c r="O193" i="58" s="1"/>
  <c r="AQ119" i="53"/>
  <c r="R119" i="53" s="1"/>
  <c r="D236" i="58"/>
  <c r="AH163" i="58"/>
  <c r="I163" i="58" s="1"/>
  <c r="N177" i="57"/>
  <c r="AS269" i="58"/>
  <c r="AT259" i="58" s="1"/>
  <c r="F28" i="53"/>
  <c r="F118" i="52"/>
  <c r="J205" i="59"/>
  <c r="AT160" i="53"/>
  <c r="U160" i="53" s="1"/>
  <c r="AC209" i="53"/>
  <c r="AD199" i="53" s="1"/>
  <c r="E199" i="53" s="1"/>
  <c r="AC119" i="57"/>
  <c r="AD109" i="57" s="1"/>
  <c r="E109" i="57" s="1"/>
  <c r="J208" i="59"/>
  <c r="AF277" i="57"/>
  <c r="G277" i="57" s="1"/>
  <c r="P86" i="52"/>
  <c r="AC89" i="59"/>
  <c r="D89" i="59" s="1"/>
  <c r="H118" i="55"/>
  <c r="AT166" i="58"/>
  <c r="U166" i="58" s="1"/>
  <c r="AP226" i="53"/>
  <c r="Q226" i="53" s="1"/>
  <c r="M29" i="84"/>
  <c r="F28" i="59"/>
  <c r="AP76" i="59"/>
  <c r="Q76" i="59" s="1"/>
  <c r="F85" i="53"/>
  <c r="P179" i="53"/>
  <c r="M31" i="84"/>
  <c r="M22" i="84"/>
  <c r="AJ7" i="59"/>
  <c r="K7" i="59" s="1"/>
  <c r="J238" i="59"/>
  <c r="D117" i="57"/>
  <c r="M13" i="84"/>
  <c r="AF193" i="57"/>
  <c r="G193" i="57" s="1"/>
  <c r="P238" i="58"/>
  <c r="AS179" i="53"/>
  <c r="T179" i="53" s="1"/>
  <c r="AE149" i="57"/>
  <c r="AF139" i="57" s="1"/>
  <c r="G139" i="57" s="1"/>
  <c r="R205" i="53"/>
  <c r="AR10" i="53"/>
  <c r="S10" i="53" s="1"/>
  <c r="F58" i="55"/>
  <c r="AF193" i="59"/>
  <c r="G193" i="59" s="1"/>
  <c r="T118" i="59"/>
  <c r="AH130" i="57"/>
  <c r="I130" i="57" s="1"/>
  <c r="AE179" i="59"/>
  <c r="F179" i="59" s="1"/>
  <c r="AJ286" i="58"/>
  <c r="K286" i="58" s="1"/>
  <c r="AE179" i="55"/>
  <c r="AF169" i="55" s="1"/>
  <c r="G169" i="55" s="1"/>
  <c r="D85" i="59"/>
  <c r="AF10" i="57"/>
  <c r="G10" i="57" s="1"/>
  <c r="AR16" i="59"/>
  <c r="S16" i="59" s="1"/>
  <c r="AE179" i="52"/>
  <c r="F179" i="52" s="1"/>
  <c r="AK89" i="58"/>
  <c r="AL79" i="58" s="1"/>
  <c r="M79" i="58" s="1"/>
  <c r="M26" i="84"/>
  <c r="R88" i="55"/>
  <c r="AC59" i="57"/>
  <c r="D59" i="57" s="1"/>
  <c r="AM59" i="53"/>
  <c r="N59" i="53" s="1"/>
  <c r="AE299" i="53"/>
  <c r="AF289" i="53" s="1"/>
  <c r="G289" i="53" s="1"/>
  <c r="AG89" i="58"/>
  <c r="AH79" i="58" s="1"/>
  <c r="I79" i="58" s="1"/>
  <c r="AI299" i="58"/>
  <c r="AJ289" i="58" s="1"/>
  <c r="AQ209" i="58"/>
  <c r="AR199" i="58" s="1"/>
  <c r="S199" i="58" s="1"/>
  <c r="AG119" i="58"/>
  <c r="H119" i="58" s="1"/>
  <c r="AD166" i="59"/>
  <c r="E166" i="59" s="1"/>
  <c r="AQ299" i="57"/>
  <c r="R299" i="57" s="1"/>
  <c r="M17" i="84"/>
  <c r="N177" i="59"/>
  <c r="M19" i="84"/>
  <c r="M42" i="84"/>
  <c r="M20" i="84"/>
  <c r="AE89" i="58"/>
  <c r="AF79" i="58" s="1"/>
  <c r="AT229" i="52"/>
  <c r="U229" i="52" s="1"/>
  <c r="AR97" i="53"/>
  <c r="S97" i="53" s="1"/>
  <c r="AS209" i="57"/>
  <c r="AT199" i="57" s="1"/>
  <c r="D86" i="58"/>
  <c r="R175" i="53"/>
  <c r="L115" i="55"/>
  <c r="AR67" i="57"/>
  <c r="S67" i="57" s="1"/>
  <c r="M25" i="84"/>
  <c r="M28" i="84"/>
  <c r="M32" i="84"/>
  <c r="F297" i="52"/>
  <c r="AT193" i="53"/>
  <c r="U193" i="53" s="1"/>
  <c r="R115" i="53"/>
  <c r="AC299" i="59"/>
  <c r="AG239" i="52"/>
  <c r="AH229" i="52" s="1"/>
  <c r="AK29" i="55"/>
  <c r="L29" i="55" s="1"/>
  <c r="AQ89" i="57"/>
  <c r="R89" i="57" s="1"/>
  <c r="L115" i="53"/>
  <c r="P86" i="59"/>
  <c r="M7" i="84"/>
  <c r="AG119" i="52"/>
  <c r="AH109" i="52" s="1"/>
  <c r="M8" i="84"/>
  <c r="AN277" i="59"/>
  <c r="O277" i="59" s="1"/>
  <c r="M27" i="84"/>
  <c r="M43" i="84"/>
  <c r="P148" i="57"/>
  <c r="AH256" i="57"/>
  <c r="I256" i="57" s="1"/>
  <c r="AS239" i="55"/>
  <c r="AT229" i="55" s="1"/>
  <c r="AO89" i="57"/>
  <c r="AP79" i="57" s="1"/>
  <c r="AR70" i="57"/>
  <c r="S70" i="57" s="1"/>
  <c r="D56" i="53"/>
  <c r="M33" i="84"/>
  <c r="M44" i="84"/>
  <c r="M30" i="84"/>
  <c r="F116" i="52"/>
  <c r="F88" i="58"/>
  <c r="AR7" i="53"/>
  <c r="S7" i="53" s="1"/>
  <c r="AK29" i="59"/>
  <c r="L29" i="59" s="1"/>
  <c r="AN13" i="52"/>
  <c r="O13" i="52" s="1"/>
  <c r="N207" i="55"/>
  <c r="AF136" i="57"/>
  <c r="G136" i="57" s="1"/>
  <c r="L118" i="53"/>
  <c r="AN166" i="59"/>
  <c r="O166" i="59" s="1"/>
  <c r="N56" i="53"/>
  <c r="F26" i="53"/>
  <c r="R208" i="59"/>
  <c r="M10" i="84"/>
  <c r="N208" i="53"/>
  <c r="P117" i="58"/>
  <c r="AQ179" i="53"/>
  <c r="AR169" i="53" s="1"/>
  <c r="S169" i="53" s="1"/>
  <c r="M4" i="84"/>
  <c r="AL170" i="55"/>
  <c r="M170" i="55" s="1"/>
  <c r="AK89" i="52"/>
  <c r="L89" i="52" s="1"/>
  <c r="M38" i="84"/>
  <c r="P118" i="58"/>
  <c r="AO89" i="53"/>
  <c r="P89" i="53" s="1"/>
  <c r="M14" i="84"/>
  <c r="AJ13" i="59"/>
  <c r="K13" i="59" s="1"/>
  <c r="F178" i="57"/>
  <c r="L28" i="55"/>
  <c r="R118" i="53"/>
  <c r="AJ16" i="53"/>
  <c r="K16" i="53" s="1"/>
  <c r="AL250" i="57"/>
  <c r="M250" i="57" s="1"/>
  <c r="F297" i="53"/>
  <c r="AN247" i="57"/>
  <c r="O247" i="57" s="1"/>
  <c r="AD256" i="53"/>
  <c r="E256" i="53" s="1"/>
  <c r="AR166" i="53"/>
  <c r="S166" i="53" s="1"/>
  <c r="AI149" i="53"/>
  <c r="J149" i="53" s="1"/>
  <c r="AL13" i="52"/>
  <c r="M13" i="52" s="1"/>
  <c r="H237" i="52"/>
  <c r="AL10" i="57"/>
  <c r="M10" i="57" s="1"/>
  <c r="AN100" i="59"/>
  <c r="O100" i="59" s="1"/>
  <c r="R176" i="55"/>
  <c r="D147" i="58"/>
  <c r="M39" i="84"/>
  <c r="M18" i="84"/>
  <c r="R87" i="57"/>
  <c r="M41" i="84"/>
  <c r="M37" i="84"/>
  <c r="L88" i="58"/>
  <c r="AL76" i="58"/>
  <c r="M76" i="58" s="1"/>
  <c r="R236" i="59"/>
  <c r="AN16" i="57"/>
  <c r="O16" i="57" s="1"/>
  <c r="P209" i="55"/>
  <c r="AJ217" i="53"/>
  <c r="K217" i="53" s="1"/>
  <c r="M36" i="84"/>
  <c r="M40" i="84"/>
  <c r="M9" i="84"/>
  <c r="AF43" i="59"/>
  <c r="G43" i="59" s="1"/>
  <c r="M11" i="84"/>
  <c r="AR223" i="53"/>
  <c r="S223" i="53" s="1"/>
  <c r="AR133" i="57"/>
  <c r="S133" i="57" s="1"/>
  <c r="T238" i="55"/>
  <c r="M24" i="84"/>
  <c r="M23" i="84"/>
  <c r="M12" i="84"/>
  <c r="M21" i="84"/>
  <c r="F208" i="52"/>
  <c r="AF7" i="59"/>
  <c r="G7" i="59" s="1"/>
  <c r="AF286" i="59"/>
  <c r="G286" i="59" s="1"/>
  <c r="P296" i="57"/>
  <c r="D175" i="52"/>
  <c r="J148" i="59"/>
  <c r="N235" i="52"/>
  <c r="T176" i="59"/>
  <c r="AD253" i="55"/>
  <c r="E253" i="55" s="1"/>
  <c r="AG209" i="57"/>
  <c r="H209" i="57" s="1"/>
  <c r="AF136" i="52"/>
  <c r="G136" i="52" s="1"/>
  <c r="M16" i="84"/>
  <c r="M15" i="84"/>
  <c r="M6" i="84"/>
  <c r="AR220" i="58"/>
  <c r="S220" i="58" s="1"/>
  <c r="N58" i="53"/>
  <c r="D116" i="59"/>
  <c r="M35" i="84"/>
  <c r="M34" i="84"/>
  <c r="M5" i="84"/>
  <c r="AM29" i="52"/>
  <c r="AN19" i="52" s="1"/>
  <c r="O19" i="52" s="1"/>
  <c r="AH277" i="59"/>
  <c r="I277" i="59" s="1"/>
  <c r="H116" i="59"/>
  <c r="AO119" i="59"/>
  <c r="AG149" i="55"/>
  <c r="AH139" i="55" s="1"/>
  <c r="I139" i="55" s="1"/>
  <c r="AT16" i="59"/>
  <c r="U16" i="59" s="1"/>
  <c r="T28" i="59"/>
  <c r="AD253" i="53"/>
  <c r="E253" i="53" s="1"/>
  <c r="D267" i="53"/>
  <c r="AR187" i="59"/>
  <c r="S187" i="59" s="1"/>
  <c r="H208" i="57"/>
  <c r="AN13" i="57"/>
  <c r="O13" i="57" s="1"/>
  <c r="AT16" i="55"/>
  <c r="U16" i="55" s="1"/>
  <c r="AM299" i="59"/>
  <c r="AJ136" i="55"/>
  <c r="K136" i="55" s="1"/>
  <c r="F117" i="59"/>
  <c r="AF103" i="59"/>
  <c r="G103" i="59" s="1"/>
  <c r="D145" i="59"/>
  <c r="AD127" i="59"/>
  <c r="E127" i="59" s="1"/>
  <c r="L236" i="59"/>
  <c r="AL220" i="59"/>
  <c r="M220" i="59" s="1"/>
  <c r="J206" i="59"/>
  <c r="F178" i="53"/>
  <c r="AC89" i="58"/>
  <c r="AD79" i="58" s="1"/>
  <c r="E79" i="58" s="1"/>
  <c r="T27" i="59"/>
  <c r="AT13" i="59"/>
  <c r="U13" i="59" s="1"/>
  <c r="AT97" i="59"/>
  <c r="U97" i="59" s="1"/>
  <c r="AI209" i="59"/>
  <c r="AQ239" i="55"/>
  <c r="AG119" i="55"/>
  <c r="H119" i="55" s="1"/>
  <c r="AF7" i="53"/>
  <c r="G7" i="53" s="1"/>
  <c r="F25" i="53"/>
  <c r="H296" i="59"/>
  <c r="AS179" i="52"/>
  <c r="AT169" i="52" s="1"/>
  <c r="U169" i="52" s="1"/>
  <c r="AI29" i="53"/>
  <c r="R176" i="53"/>
  <c r="T178" i="53"/>
  <c r="AL73" i="53"/>
  <c r="M73" i="53" s="1"/>
  <c r="L87" i="53"/>
  <c r="N85" i="53"/>
  <c r="AL253" i="55"/>
  <c r="M253" i="55" s="1"/>
  <c r="AM239" i="58"/>
  <c r="N239" i="58" s="1"/>
  <c r="AK179" i="59"/>
  <c r="AO29" i="59"/>
  <c r="AP19" i="59" s="1"/>
  <c r="AH277" i="53"/>
  <c r="I277" i="53" s="1"/>
  <c r="H295" i="53"/>
  <c r="T25" i="59"/>
  <c r="AT7" i="59"/>
  <c r="AD160" i="52"/>
  <c r="E160" i="52" s="1"/>
  <c r="D176" i="52"/>
  <c r="AJ133" i="53"/>
  <c r="K133" i="53" s="1"/>
  <c r="J147" i="53"/>
  <c r="N205" i="53"/>
  <c r="AN187" i="53"/>
  <c r="O187" i="53" s="1"/>
  <c r="P27" i="59"/>
  <c r="AJ7" i="53"/>
  <c r="K7" i="53" s="1"/>
  <c r="AJ130" i="53"/>
  <c r="K130" i="53" s="1"/>
  <c r="J146" i="53"/>
  <c r="AR76" i="57"/>
  <c r="S76" i="57" s="1"/>
  <c r="AL157" i="59"/>
  <c r="M157" i="59" s="1"/>
  <c r="H147" i="55"/>
  <c r="P206" i="58"/>
  <c r="AE209" i="52"/>
  <c r="F209" i="52" s="1"/>
  <c r="AN160" i="55"/>
  <c r="O160" i="55" s="1"/>
  <c r="AH286" i="53"/>
  <c r="I286" i="53" s="1"/>
  <c r="H298" i="53"/>
  <c r="AF10" i="58"/>
  <c r="G10" i="58" s="1"/>
  <c r="T235" i="59"/>
  <c r="AP103" i="59"/>
  <c r="Q103" i="59" s="1"/>
  <c r="AJ247" i="59"/>
  <c r="K247" i="59" s="1"/>
  <c r="AK119" i="53"/>
  <c r="AL109" i="53" s="1"/>
  <c r="AM89" i="53"/>
  <c r="N89" i="53" s="1"/>
  <c r="AM179" i="59"/>
  <c r="N179" i="59" s="1"/>
  <c r="AI89" i="58"/>
  <c r="AJ79" i="58" s="1"/>
  <c r="K79" i="58" s="1"/>
  <c r="AQ299" i="58"/>
  <c r="R299" i="58" s="1"/>
  <c r="AQ269" i="58"/>
  <c r="R269" i="58" s="1"/>
  <c r="P237" i="53"/>
  <c r="AP223" i="53"/>
  <c r="Q223" i="53" s="1"/>
  <c r="AE299" i="59"/>
  <c r="F299" i="59" s="1"/>
  <c r="AE29" i="59"/>
  <c r="AF19" i="59" s="1"/>
  <c r="F145" i="55"/>
  <c r="AN223" i="58"/>
  <c r="O223" i="58" s="1"/>
  <c r="H56" i="59"/>
  <c r="T175" i="52"/>
  <c r="AJ73" i="52"/>
  <c r="K73" i="52" s="1"/>
  <c r="AG239" i="59"/>
  <c r="AD247" i="53"/>
  <c r="E247" i="53" s="1"/>
  <c r="D265" i="53"/>
  <c r="N298" i="59"/>
  <c r="AE239" i="58"/>
  <c r="AQ209" i="59"/>
  <c r="R209" i="59" s="1"/>
  <c r="AN10" i="53"/>
  <c r="O10" i="53" s="1"/>
  <c r="AH220" i="59"/>
  <c r="I220" i="59" s="1"/>
  <c r="AR103" i="53"/>
  <c r="S103" i="53" s="1"/>
  <c r="R117" i="53"/>
  <c r="F296" i="57"/>
  <c r="AF10" i="59"/>
  <c r="G10" i="59" s="1"/>
  <c r="AM29" i="57"/>
  <c r="N29" i="57" s="1"/>
  <c r="AE179" i="53"/>
  <c r="AF169" i="53" s="1"/>
  <c r="AR196" i="58"/>
  <c r="S196" i="58" s="1"/>
  <c r="P207" i="59"/>
  <c r="AN139" i="53"/>
  <c r="O139" i="53" s="1"/>
  <c r="N149" i="53"/>
  <c r="L207" i="55"/>
  <c r="AL193" i="55"/>
  <c r="M193" i="55" s="1"/>
  <c r="AF280" i="59"/>
  <c r="G280" i="59" s="1"/>
  <c r="AN283" i="59"/>
  <c r="O283" i="59" s="1"/>
  <c r="AK269" i="55"/>
  <c r="AL259" i="55" s="1"/>
  <c r="M259" i="55" s="1"/>
  <c r="AJ193" i="59"/>
  <c r="K193" i="59" s="1"/>
  <c r="AE239" i="52"/>
  <c r="AF229" i="52" s="1"/>
  <c r="G229" i="52" s="1"/>
  <c r="H296" i="53"/>
  <c r="AH280" i="53"/>
  <c r="I280" i="53" s="1"/>
  <c r="AP196" i="59"/>
  <c r="Q196" i="59" s="1"/>
  <c r="AF226" i="58"/>
  <c r="G226" i="58" s="1"/>
  <c r="AM209" i="53"/>
  <c r="N209" i="53" s="1"/>
  <c r="AF97" i="53"/>
  <c r="G97" i="53" s="1"/>
  <c r="AS179" i="57"/>
  <c r="T179" i="57" s="1"/>
  <c r="L88" i="52"/>
  <c r="AL76" i="52"/>
  <c r="M76" i="52" s="1"/>
  <c r="AR253" i="59"/>
  <c r="S253" i="59" s="1"/>
  <c r="R267" i="59"/>
  <c r="AD136" i="59"/>
  <c r="E136" i="59" s="1"/>
  <c r="D148" i="59"/>
  <c r="M90" i="83"/>
  <c r="F118" i="53"/>
  <c r="AH196" i="55"/>
  <c r="I196" i="55" s="1"/>
  <c r="H208" i="55"/>
  <c r="F208" i="53"/>
  <c r="AF196" i="53"/>
  <c r="G196" i="53" s="1"/>
  <c r="N56" i="80"/>
  <c r="N67" i="80"/>
  <c r="O67" i="80" s="1"/>
  <c r="M68" i="83"/>
  <c r="AD223" i="59"/>
  <c r="E223" i="59" s="1"/>
  <c r="D237" i="59"/>
  <c r="F146" i="59"/>
  <c r="AF130" i="59"/>
  <c r="G130" i="59" s="1"/>
  <c r="AE149" i="59"/>
  <c r="AF139" i="59" s="1"/>
  <c r="N87" i="59"/>
  <c r="AN73" i="59"/>
  <c r="O73" i="59" s="1"/>
  <c r="P237" i="57"/>
  <c r="AP223" i="57"/>
  <c r="Q223" i="57" s="1"/>
  <c r="AE119" i="53"/>
  <c r="AF109" i="53" s="1"/>
  <c r="AR76" i="52"/>
  <c r="S76" i="52" s="1"/>
  <c r="R88" i="52"/>
  <c r="AT250" i="52"/>
  <c r="U250" i="52" s="1"/>
  <c r="T266" i="52"/>
  <c r="F115" i="55"/>
  <c r="AF97" i="55"/>
  <c r="G97" i="55" s="1"/>
  <c r="AE119" i="55"/>
  <c r="AF109" i="55" s="1"/>
  <c r="N58" i="55"/>
  <c r="AN46" i="55"/>
  <c r="O46" i="55" s="1"/>
  <c r="AP16" i="55"/>
  <c r="Q16" i="55" s="1"/>
  <c r="P28" i="55"/>
  <c r="T146" i="55"/>
  <c r="AS149" i="55"/>
  <c r="F297" i="55"/>
  <c r="AF283" i="55"/>
  <c r="G283" i="55" s="1"/>
  <c r="AE299" i="55"/>
  <c r="F299" i="55" s="1"/>
  <c r="AC179" i="59"/>
  <c r="AD157" i="59"/>
  <c r="E157" i="59" s="1"/>
  <c r="D175" i="59"/>
  <c r="L147" i="59"/>
  <c r="AL133" i="59"/>
  <c r="M133" i="59" s="1"/>
  <c r="R58" i="59"/>
  <c r="AR46" i="59"/>
  <c r="S46" i="59" s="1"/>
  <c r="AF106" i="57"/>
  <c r="G106" i="57" s="1"/>
  <c r="F118" i="57"/>
  <c r="AE119" i="57"/>
  <c r="F119" i="57" s="1"/>
  <c r="E127" i="55"/>
  <c r="D58" i="53"/>
  <c r="AD46" i="53"/>
  <c r="E46" i="53" s="1"/>
  <c r="AO269" i="53"/>
  <c r="P269" i="53" s="1"/>
  <c r="R296" i="52"/>
  <c r="AR280" i="52"/>
  <c r="S280" i="52" s="1"/>
  <c r="AF247" i="59"/>
  <c r="G247" i="59" s="1"/>
  <c r="AE269" i="59"/>
  <c r="AF259" i="59" s="1"/>
  <c r="G259" i="59" s="1"/>
  <c r="AJ136" i="58"/>
  <c r="K136" i="58" s="1"/>
  <c r="J148" i="58"/>
  <c r="AR169" i="59"/>
  <c r="S169" i="59" s="1"/>
  <c r="R179" i="59"/>
  <c r="M3" i="84"/>
  <c r="T237" i="57"/>
  <c r="AT223" i="57"/>
  <c r="U223" i="57" s="1"/>
  <c r="M66" i="83"/>
  <c r="O66" i="83" s="1"/>
  <c r="AS269" i="52"/>
  <c r="AT130" i="55"/>
  <c r="U130" i="55" s="1"/>
  <c r="BY193" i="53"/>
  <c r="BY168" i="53"/>
  <c r="BZ168" i="53" s="1"/>
  <c r="BY255" i="53"/>
  <c r="BY252" i="53"/>
  <c r="BY14" i="53"/>
  <c r="BZ14" i="53" s="1"/>
  <c r="BY132" i="53"/>
  <c r="BY285" i="53"/>
  <c r="BY225" i="53"/>
  <c r="BZ225" i="53" s="1"/>
  <c r="BY254" i="53"/>
  <c r="BZ254" i="53" s="1"/>
  <c r="BY165" i="53"/>
  <c r="BZ165" i="53" s="1"/>
  <c r="BY223" i="53"/>
  <c r="BY224" i="53"/>
  <c r="BY104" i="53"/>
  <c r="BY136" i="53"/>
  <c r="BY226" i="53"/>
  <c r="BZ226" i="53" s="1"/>
  <c r="BY198" i="53"/>
  <c r="BZ198" i="53" s="1"/>
  <c r="BY188" i="53"/>
  <c r="BZ188" i="53" s="1"/>
  <c r="BY281" i="53"/>
  <c r="BZ281" i="53" s="1"/>
  <c r="BY288" i="53"/>
  <c r="BZ288" i="53" s="1"/>
  <c r="BY7" i="53"/>
  <c r="BY44" i="53"/>
  <c r="BZ44" i="53" s="1"/>
  <c r="BY98" i="53"/>
  <c r="BY187" i="53"/>
  <c r="BY101" i="53"/>
  <c r="BZ101" i="53" s="1"/>
  <c r="BY102" i="53"/>
  <c r="BY137" i="53"/>
  <c r="BZ137" i="53" s="1"/>
  <c r="BY107" i="53"/>
  <c r="BY196" i="53"/>
  <c r="BY250" i="53"/>
  <c r="BY189" i="53"/>
  <c r="BZ189" i="53" s="1"/>
  <c r="BY167" i="53"/>
  <c r="BZ167" i="53" s="1"/>
  <c r="BY15" i="53"/>
  <c r="BY159" i="53"/>
  <c r="BY75" i="53"/>
  <c r="BZ75" i="53" s="1"/>
  <c r="BY129" i="53"/>
  <c r="BY128" i="53"/>
  <c r="BY190" i="53"/>
  <c r="BY40" i="53"/>
  <c r="BY42" i="53"/>
  <c r="BY194" i="53"/>
  <c r="BY287" i="53"/>
  <c r="BY277" i="53"/>
  <c r="BZ277" i="53" s="1"/>
  <c r="BY135" i="53"/>
  <c r="BY13" i="53"/>
  <c r="BY219" i="53"/>
  <c r="BZ219" i="53" s="1"/>
  <c r="BY164" i="53"/>
  <c r="BY138" i="53"/>
  <c r="BY105" i="53"/>
  <c r="BY16" i="53"/>
  <c r="BY280" i="53"/>
  <c r="BZ280" i="53" s="1"/>
  <c r="BY133" i="53"/>
  <c r="BY221" i="53"/>
  <c r="BY195" i="53"/>
  <c r="BY106" i="53"/>
  <c r="BY282" i="53"/>
  <c r="BY74" i="53"/>
  <c r="BZ74" i="53" s="1"/>
  <c r="BY10" i="53"/>
  <c r="BY253" i="53"/>
  <c r="BZ253" i="53" s="1"/>
  <c r="BY78" i="53"/>
  <c r="BY73" i="53"/>
  <c r="BY77" i="53"/>
  <c r="BY69" i="53"/>
  <c r="BY227" i="53"/>
  <c r="BZ227" i="53" s="1"/>
  <c r="BY158" i="53"/>
  <c r="BY108" i="53"/>
  <c r="BZ108" i="53" s="1"/>
  <c r="BY162" i="53"/>
  <c r="BZ162" i="53" s="1"/>
  <c r="BY222" i="53"/>
  <c r="BZ222" i="53" s="1"/>
  <c r="BY18" i="53"/>
  <c r="BY278" i="53"/>
  <c r="BY192" i="53"/>
  <c r="BZ192" i="53" s="1"/>
  <c r="BY46" i="53"/>
  <c r="BY157" i="53"/>
  <c r="BZ157" i="53" s="1"/>
  <c r="BY279" i="53"/>
  <c r="BZ279" i="53" s="1"/>
  <c r="BY131" i="53"/>
  <c r="BZ131" i="53" s="1"/>
  <c r="BY257" i="53"/>
  <c r="BY251" i="53"/>
  <c r="BY197" i="53"/>
  <c r="BY248" i="53"/>
  <c r="BY218" i="53"/>
  <c r="BZ218" i="53" s="1"/>
  <c r="BY38" i="53"/>
  <c r="BY256" i="53"/>
  <c r="BY67" i="53"/>
  <c r="BZ67" i="53" s="1"/>
  <c r="BY68" i="53"/>
  <c r="BZ68" i="53" s="1"/>
  <c r="BY283" i="53"/>
  <c r="BZ283" i="53" s="1"/>
  <c r="BY166" i="53"/>
  <c r="BY71" i="53"/>
  <c r="BY48" i="53"/>
  <c r="BY247" i="53"/>
  <c r="BZ247" i="53" s="1"/>
  <c r="BY134" i="53"/>
  <c r="BY12" i="53"/>
  <c r="BY17" i="53"/>
  <c r="M76" i="83"/>
  <c r="M45" i="83"/>
  <c r="O45" i="83" s="1"/>
  <c r="F265" i="59"/>
  <c r="AJ193" i="57"/>
  <c r="K193" i="57" s="1"/>
  <c r="BY105" i="57"/>
  <c r="BY157" i="57"/>
  <c r="BY44" i="57"/>
  <c r="BY18" i="57"/>
  <c r="BY251" i="57"/>
  <c r="BY164" i="57"/>
  <c r="BY41" i="57"/>
  <c r="BY226" i="57"/>
  <c r="BY39" i="57"/>
  <c r="BY197" i="57"/>
  <c r="BY68" i="57"/>
  <c r="BY191" i="57"/>
  <c r="BY225" i="57"/>
  <c r="BY40" i="57"/>
  <c r="BY99" i="57"/>
  <c r="BY134" i="57"/>
  <c r="BY159" i="57"/>
  <c r="BY252" i="57"/>
  <c r="BY138" i="57"/>
  <c r="BY248" i="57"/>
  <c r="BY277" i="57"/>
  <c r="BY255" i="57"/>
  <c r="BY196" i="57"/>
  <c r="BY195" i="57"/>
  <c r="BY128" i="57"/>
  <c r="BY100" i="57"/>
  <c r="BY221" i="57"/>
  <c r="BY127" i="57"/>
  <c r="BY223" i="57"/>
  <c r="BY250" i="57"/>
  <c r="BY222" i="57"/>
  <c r="BY247" i="57"/>
  <c r="BY165" i="57"/>
  <c r="BY224" i="57"/>
  <c r="BY98" i="57"/>
  <c r="BY285" i="57"/>
  <c r="BY43" i="57"/>
  <c r="BY103" i="57"/>
  <c r="BY104" i="57"/>
  <c r="BY284" i="57"/>
  <c r="BY78" i="57"/>
  <c r="BY8" i="57"/>
  <c r="BY254" i="57"/>
  <c r="BY281" i="57"/>
  <c r="BY69" i="57"/>
  <c r="BY158" i="57"/>
  <c r="BY135" i="57"/>
  <c r="BY166" i="57"/>
  <c r="BY258" i="57"/>
  <c r="BY288" i="57"/>
  <c r="BY286" i="57"/>
  <c r="BY129" i="57"/>
  <c r="BY15" i="57"/>
  <c r="BY194" i="57"/>
  <c r="BY97" i="57"/>
  <c r="BY278" i="57"/>
  <c r="BY161" i="57"/>
  <c r="BY253" i="57"/>
  <c r="BY42" i="57"/>
  <c r="BY75" i="57"/>
  <c r="BY283" i="57"/>
  <c r="BY71" i="57"/>
  <c r="BY70" i="57"/>
  <c r="BY227" i="57"/>
  <c r="BY198" i="57"/>
  <c r="BY108" i="57"/>
  <c r="BY11" i="57"/>
  <c r="BY287" i="57"/>
  <c r="BY280" i="57"/>
  <c r="BY257" i="57"/>
  <c r="BY189" i="57"/>
  <c r="BY168" i="57"/>
  <c r="BY249" i="57"/>
  <c r="BY13" i="57"/>
  <c r="BY133" i="57"/>
  <c r="BY14" i="57"/>
  <c r="BY228" i="57"/>
  <c r="BY48" i="57"/>
  <c r="BY9" i="57"/>
  <c r="BY136" i="57"/>
  <c r="BY256" i="57"/>
  <c r="BY193" i="57"/>
  <c r="BY16" i="57"/>
  <c r="BY73" i="57"/>
  <c r="BY74" i="57"/>
  <c r="BY279" i="57"/>
  <c r="BY38" i="57"/>
  <c r="BY45" i="57"/>
  <c r="BY190" i="57"/>
  <c r="BY217" i="57"/>
  <c r="BY137" i="57"/>
  <c r="BY163" i="57"/>
  <c r="BY192" i="57"/>
  <c r="BY107" i="57"/>
  <c r="BY101" i="57"/>
  <c r="BY7" i="57"/>
  <c r="BY167" i="57"/>
  <c r="BY282" i="57"/>
  <c r="BY219" i="57"/>
  <c r="BY17" i="57"/>
  <c r="BY10" i="57"/>
  <c r="BY12" i="57"/>
  <c r="BY106" i="57"/>
  <c r="BY188" i="57"/>
  <c r="BY77" i="57"/>
  <c r="BY72" i="57"/>
  <c r="BY132" i="57"/>
  <c r="BY102" i="57"/>
  <c r="BY37" i="57"/>
  <c r="BY218" i="57"/>
  <c r="BY76" i="57"/>
  <c r="BY130" i="57"/>
  <c r="BY47" i="57"/>
  <c r="BY187" i="57"/>
  <c r="BY162" i="57"/>
  <c r="BY131" i="57"/>
  <c r="N81" i="79"/>
  <c r="O81" i="79" s="1"/>
  <c r="N48" i="79"/>
  <c r="O48" i="79" s="1"/>
  <c r="BT18" i="52"/>
  <c r="N61" i="81"/>
  <c r="O61" i="81" s="1"/>
  <c r="H206" i="57"/>
  <c r="AH190" i="57"/>
  <c r="I190" i="57" s="1"/>
  <c r="N45" i="81"/>
  <c r="N94" i="79"/>
  <c r="BT227" i="59"/>
  <c r="BT252" i="59"/>
  <c r="BT127" i="59"/>
  <c r="BT159" i="59"/>
  <c r="BT223" i="59"/>
  <c r="BT277" i="59"/>
  <c r="N72" i="82"/>
  <c r="O72" i="82" s="1"/>
  <c r="BT161" i="52"/>
  <c r="BT11" i="52"/>
  <c r="BT131" i="52"/>
  <c r="BT190" i="52"/>
  <c r="BT67" i="59"/>
  <c r="AK89" i="55"/>
  <c r="AL79" i="55" s="1"/>
  <c r="M79" i="55" s="1"/>
  <c r="R237" i="55"/>
  <c r="M96" i="82"/>
  <c r="M95" i="82"/>
  <c r="M48" i="82"/>
  <c r="O48" i="82" s="1"/>
  <c r="M59" i="82"/>
  <c r="O59" i="82" s="1"/>
  <c r="M63" i="82"/>
  <c r="M46" i="82"/>
  <c r="M90" i="82"/>
  <c r="M102" i="82"/>
  <c r="M65" i="82"/>
  <c r="O65" i="82" s="1"/>
  <c r="M66" i="82"/>
  <c r="O66" i="82" s="1"/>
  <c r="M79" i="82"/>
  <c r="M80" i="82"/>
  <c r="M91" i="82"/>
  <c r="M45" i="82"/>
  <c r="O45" i="82" s="1"/>
  <c r="M64" i="82"/>
  <c r="M68" i="82"/>
  <c r="M99" i="82"/>
  <c r="M84" i="82"/>
  <c r="M101" i="82"/>
  <c r="M83" i="82"/>
  <c r="M74" i="82"/>
  <c r="M89" i="82"/>
  <c r="M82" i="82"/>
  <c r="M88" i="82"/>
  <c r="M75" i="82"/>
  <c r="M100" i="82"/>
  <c r="M81" i="82"/>
  <c r="O81" i="82" s="1"/>
  <c r="M53" i="82"/>
  <c r="M104" i="82"/>
  <c r="M85" i="82"/>
  <c r="M87" i="82"/>
  <c r="M86" i="82"/>
  <c r="M93" i="82"/>
  <c r="M94" i="82"/>
  <c r="M78" i="82"/>
  <c r="M103" i="82"/>
  <c r="M61" i="82"/>
  <c r="M98" i="82"/>
  <c r="N65" i="79"/>
  <c r="O65" i="79" s="1"/>
  <c r="BY220" i="53"/>
  <c r="BZ220" i="53" s="1"/>
  <c r="BY18" i="52"/>
  <c r="BY188" i="52"/>
  <c r="N94" i="81"/>
  <c r="O94" i="81" s="1"/>
  <c r="N196" i="45"/>
  <c r="N197" i="45" s="1"/>
  <c r="S178" i="45"/>
  <c r="P196" i="45"/>
  <c r="P197" i="45" s="1"/>
  <c r="D196" i="45"/>
  <c r="D197" i="45" s="1"/>
  <c r="H196" i="45"/>
  <c r="H197" i="45" s="1"/>
  <c r="U178" i="45"/>
  <c r="R196" i="45"/>
  <c r="R197" i="45" s="1"/>
  <c r="M178" i="45"/>
  <c r="O178" i="45"/>
  <c r="F196" i="45"/>
  <c r="F197" i="45" s="1"/>
  <c r="K178" i="45"/>
  <c r="E178" i="45"/>
  <c r="G178" i="45"/>
  <c r="T196" i="45"/>
  <c r="T197" i="45" s="1"/>
  <c r="I178" i="45"/>
  <c r="J196" i="45"/>
  <c r="J197" i="45" s="1"/>
  <c r="Q178" i="45"/>
  <c r="B205" i="45"/>
  <c r="B177" i="45"/>
  <c r="BY220" i="57"/>
  <c r="N47" i="81"/>
  <c r="O47" i="81" s="1"/>
  <c r="N52" i="79"/>
  <c r="O52" i="79" s="1"/>
  <c r="BT197" i="59"/>
  <c r="BT191" i="59"/>
  <c r="BT73" i="59"/>
  <c r="BT221" i="59"/>
  <c r="BT258" i="59"/>
  <c r="BT287" i="59"/>
  <c r="BT37" i="59"/>
  <c r="BT223" i="52"/>
  <c r="BT159" i="52"/>
  <c r="BT74" i="52"/>
  <c r="BT254" i="52"/>
  <c r="BT128" i="52"/>
  <c r="BY103" i="53"/>
  <c r="BZ103" i="53" s="1"/>
  <c r="V49" i="57"/>
  <c r="BB50" i="57"/>
  <c r="N56" i="81"/>
  <c r="BT108" i="59"/>
  <c r="BT44" i="59"/>
  <c r="BT136" i="59"/>
  <c r="BT135" i="59"/>
  <c r="BT218" i="59"/>
  <c r="BT74" i="59"/>
  <c r="BT192" i="59"/>
  <c r="BT108" i="52"/>
  <c r="BT14" i="52"/>
  <c r="BT13" i="52"/>
  <c r="BT255" i="52"/>
  <c r="BT73" i="52"/>
  <c r="BT137" i="59"/>
  <c r="AG149" i="58"/>
  <c r="H149" i="58" s="1"/>
  <c r="AQ119" i="58"/>
  <c r="AR109" i="58" s="1"/>
  <c r="S109" i="58" s="1"/>
  <c r="N84" i="79"/>
  <c r="N90" i="79"/>
  <c r="O90" i="79" s="1"/>
  <c r="N100" i="79"/>
  <c r="O100" i="79" s="1"/>
  <c r="N78" i="79"/>
  <c r="O78" i="79" s="1"/>
  <c r="N96" i="79"/>
  <c r="N74" i="79"/>
  <c r="O74" i="79" s="1"/>
  <c r="N95" i="79"/>
  <c r="N87" i="79"/>
  <c r="N53" i="79"/>
  <c r="O53" i="79" s="1"/>
  <c r="N77" i="79"/>
  <c r="O77" i="79" s="1"/>
  <c r="N55" i="79"/>
  <c r="O55" i="79" s="1"/>
  <c r="N66" i="79"/>
  <c r="N98" i="79"/>
  <c r="N89" i="79"/>
  <c r="N85" i="79"/>
  <c r="N79" i="79"/>
  <c r="O79" i="79" s="1"/>
  <c r="N103" i="79"/>
  <c r="N82" i="79"/>
  <c r="O82" i="79" s="1"/>
  <c r="N80" i="79"/>
  <c r="O80" i="79" s="1"/>
  <c r="N83" i="79"/>
  <c r="N76" i="79"/>
  <c r="N99" i="79"/>
  <c r="O99" i="79" s="1"/>
  <c r="N86" i="79"/>
  <c r="O86" i="79" s="1"/>
  <c r="N101" i="83"/>
  <c r="O101" i="83" s="1"/>
  <c r="BY100" i="53"/>
  <c r="BZ100" i="53" s="1"/>
  <c r="BY227" i="52"/>
  <c r="N70" i="81"/>
  <c r="N91" i="79"/>
  <c r="O91" i="79" s="1"/>
  <c r="BT219" i="59"/>
  <c r="BT133" i="59"/>
  <c r="BT104" i="59"/>
  <c r="BT166" i="59"/>
  <c r="BT224" i="59"/>
  <c r="BT257" i="52"/>
  <c r="BT281" i="52"/>
  <c r="BT187" i="52"/>
  <c r="BT284" i="52"/>
  <c r="BT256" i="52"/>
  <c r="BT16" i="59"/>
  <c r="BY76" i="53"/>
  <c r="BY17" i="52"/>
  <c r="BT165" i="52"/>
  <c r="AH70" i="55"/>
  <c r="I70" i="55" s="1"/>
  <c r="H86" i="55"/>
  <c r="N89" i="81"/>
  <c r="O89" i="81" s="1"/>
  <c r="N92" i="79"/>
  <c r="O92" i="79" s="1"/>
  <c r="BT8" i="59"/>
  <c r="BT190" i="59"/>
  <c r="BT14" i="59"/>
  <c r="BT194" i="59"/>
  <c r="BT281" i="59"/>
  <c r="BT250" i="59"/>
  <c r="BT188" i="52"/>
  <c r="BT247" i="52"/>
  <c r="BT249" i="52"/>
  <c r="BT192" i="52"/>
  <c r="BT188" i="59"/>
  <c r="BY46" i="57"/>
  <c r="N47" i="82"/>
  <c r="O47" i="82" s="1"/>
  <c r="N62" i="82"/>
  <c r="O62" i="82" s="1"/>
  <c r="N67" i="82"/>
  <c r="O67" i="82" s="1"/>
  <c r="N91" i="82"/>
  <c r="N98" i="82"/>
  <c r="N83" i="82"/>
  <c r="N89" i="82"/>
  <c r="N78" i="82"/>
  <c r="N94" i="82"/>
  <c r="N82" i="82"/>
  <c r="N103" i="82"/>
  <c r="N90" i="82"/>
  <c r="N93" i="82"/>
  <c r="N75" i="82"/>
  <c r="N77" i="82"/>
  <c r="N99" i="82"/>
  <c r="N85" i="82"/>
  <c r="N97" i="82"/>
  <c r="N100" i="82"/>
  <c r="N95" i="82"/>
  <c r="N104" i="82"/>
  <c r="N80" i="82"/>
  <c r="N87" i="82"/>
  <c r="N101" i="82"/>
  <c r="N84" i="82"/>
  <c r="N74" i="82"/>
  <c r="N96" i="82"/>
  <c r="N88" i="82"/>
  <c r="N102" i="82"/>
  <c r="N79" i="82"/>
  <c r="N86" i="82"/>
  <c r="M104" i="78"/>
  <c r="N60" i="81"/>
  <c r="O60" i="81" s="1"/>
  <c r="BT15" i="52"/>
  <c r="BT225" i="52"/>
  <c r="BT137" i="52"/>
  <c r="BT191" i="52"/>
  <c r="BT277" i="52"/>
  <c r="BT127" i="52"/>
  <c r="BT252" i="52"/>
  <c r="BT196" i="52"/>
  <c r="BT251" i="52"/>
  <c r="BT102" i="52"/>
  <c r="BT221" i="52"/>
  <c r="BT194" i="52"/>
  <c r="BT130" i="52"/>
  <c r="BT195" i="52"/>
  <c r="BT17" i="52"/>
  <c r="BT106" i="52"/>
  <c r="BT12" i="52"/>
  <c r="BT46" i="52"/>
  <c r="BT104" i="52"/>
  <c r="BT37" i="52"/>
  <c r="BT98" i="52"/>
  <c r="BT253" i="52"/>
  <c r="BT226" i="52"/>
  <c r="BT136" i="52"/>
  <c r="BT38" i="52"/>
  <c r="BT10" i="52"/>
  <c r="BT158" i="52"/>
  <c r="BT258" i="52"/>
  <c r="BT163" i="52"/>
  <c r="BY165" i="52"/>
  <c r="G62" i="41"/>
  <c r="E62" i="41"/>
  <c r="R80" i="41"/>
  <c r="R81" i="41" s="1"/>
  <c r="P80" i="41"/>
  <c r="P81" i="41" s="1"/>
  <c r="N80" i="41"/>
  <c r="N81" i="41" s="1"/>
  <c r="B61" i="41"/>
  <c r="L80" i="41"/>
  <c r="L81" i="41" s="1"/>
  <c r="B89" i="41"/>
  <c r="K62" i="41"/>
  <c r="O62" i="41"/>
  <c r="J80" i="41"/>
  <c r="J81" i="41" s="1"/>
  <c r="H80" i="41"/>
  <c r="H81" i="41" s="1"/>
  <c r="F80" i="41"/>
  <c r="F81" i="41" s="1"/>
  <c r="D80" i="41"/>
  <c r="D81" i="41" s="1"/>
  <c r="T80" i="41"/>
  <c r="T81" i="41" s="1"/>
  <c r="M62" i="41"/>
  <c r="S62" i="41"/>
  <c r="I62" i="41"/>
  <c r="P268" i="55"/>
  <c r="AP256" i="55"/>
  <c r="Q256" i="55" s="1"/>
  <c r="N57" i="81"/>
  <c r="O57" i="81" s="1"/>
  <c r="N102" i="79"/>
  <c r="O102" i="79" s="1"/>
  <c r="BT225" i="59"/>
  <c r="BT134" i="59"/>
  <c r="BT249" i="59"/>
  <c r="BT77" i="59"/>
  <c r="BT7" i="59"/>
  <c r="N69" i="81"/>
  <c r="BT99" i="52"/>
  <c r="BT67" i="52"/>
  <c r="BT193" i="52"/>
  <c r="BT43" i="52"/>
  <c r="BT77" i="52"/>
  <c r="BT43" i="59"/>
  <c r="BT160" i="59"/>
  <c r="BT217" i="59"/>
  <c r="BT72" i="52"/>
  <c r="BY285" i="52"/>
  <c r="BT222" i="52"/>
  <c r="T177" i="53"/>
  <c r="AT163" i="53"/>
  <c r="U163" i="53" s="1"/>
  <c r="N79" i="81"/>
  <c r="O79" i="81" s="1"/>
  <c r="N97" i="81"/>
  <c r="O97" i="81" s="1"/>
  <c r="N45" i="79"/>
  <c r="O45" i="79" s="1"/>
  <c r="BT97" i="59"/>
  <c r="BT39" i="59"/>
  <c r="BT129" i="59"/>
  <c r="BT164" i="59"/>
  <c r="BT222" i="59"/>
  <c r="BT255" i="59"/>
  <c r="BT193" i="59"/>
  <c r="BT218" i="52"/>
  <c r="BT227" i="52"/>
  <c r="BT107" i="52"/>
  <c r="BT78" i="52"/>
  <c r="BT48" i="52"/>
  <c r="BT157" i="59"/>
  <c r="N76" i="82"/>
  <c r="O76" i="82" s="1"/>
  <c r="BY72" i="52"/>
  <c r="BT164" i="52"/>
  <c r="K120" i="51"/>
  <c r="M120" i="51"/>
  <c r="O120" i="51"/>
  <c r="S120" i="51"/>
  <c r="J138" i="51"/>
  <c r="J139" i="51" s="1"/>
  <c r="G120" i="51"/>
  <c r="H138" i="51"/>
  <c r="H139" i="51" s="1"/>
  <c r="E120" i="51"/>
  <c r="R138" i="51"/>
  <c r="R139" i="51" s="1"/>
  <c r="N138" i="51"/>
  <c r="N139" i="51" s="1"/>
  <c r="I120" i="51"/>
  <c r="F138" i="51"/>
  <c r="F139" i="51" s="1"/>
  <c r="P138" i="51"/>
  <c r="P139" i="51" s="1"/>
  <c r="U120" i="51"/>
  <c r="Q120" i="51"/>
  <c r="D138" i="51"/>
  <c r="D139" i="51" s="1"/>
  <c r="B147" i="51"/>
  <c r="B119" i="51"/>
  <c r="T138" i="51"/>
  <c r="T139" i="51" s="1"/>
  <c r="L138" i="51"/>
  <c r="L139" i="51" s="1"/>
  <c r="AJ16" i="55"/>
  <c r="K16" i="55" s="1"/>
  <c r="J28" i="55"/>
  <c r="N84" i="81"/>
  <c r="O84" i="81" s="1"/>
  <c r="N62" i="81"/>
  <c r="N104" i="79"/>
  <c r="O104" i="79" s="1"/>
  <c r="BT187" i="59"/>
  <c r="BT9" i="59"/>
  <c r="BT257" i="59"/>
  <c r="BT11" i="59"/>
  <c r="BT132" i="59"/>
  <c r="BT158" i="59"/>
  <c r="BT68" i="59"/>
  <c r="BT13" i="59"/>
  <c r="BT78" i="59"/>
  <c r="BT161" i="59"/>
  <c r="BT278" i="52"/>
  <c r="BT103" i="52"/>
  <c r="BT44" i="52"/>
  <c r="BT129" i="52"/>
  <c r="BT68" i="52"/>
  <c r="BT189" i="59"/>
  <c r="R145" i="57"/>
  <c r="P176" i="58"/>
  <c r="N104" i="78"/>
  <c r="BY11" i="52"/>
  <c r="BT285" i="52"/>
  <c r="BT219" i="52"/>
  <c r="AR100" i="53"/>
  <c r="S100" i="53" s="1"/>
  <c r="R116" i="53"/>
  <c r="AP226" i="57"/>
  <c r="Q226" i="57" s="1"/>
  <c r="P238" i="57"/>
  <c r="N93" i="81"/>
  <c r="O93" i="81" s="1"/>
  <c r="N88" i="79"/>
  <c r="N63" i="79"/>
  <c r="BT12" i="59"/>
  <c r="BT70" i="59"/>
  <c r="BT18" i="59"/>
  <c r="BT253" i="59"/>
  <c r="BT10" i="59"/>
  <c r="BT48" i="59"/>
  <c r="BT247" i="59"/>
  <c r="BT248" i="59"/>
  <c r="BT9" i="52"/>
  <c r="BT189" i="52"/>
  <c r="BT39" i="52"/>
  <c r="BT217" i="52"/>
  <c r="BT167" i="52"/>
  <c r="BT286" i="59"/>
  <c r="T236" i="55"/>
  <c r="BY18" i="58"/>
  <c r="BF200" i="52"/>
  <c r="BY160" i="57"/>
  <c r="N99" i="81"/>
  <c r="O99" i="81" s="1"/>
  <c r="BF80" i="52"/>
  <c r="BY102" i="52"/>
  <c r="BY134" i="52"/>
  <c r="BY166" i="52"/>
  <c r="BY189" i="52"/>
  <c r="BY135" i="52"/>
  <c r="BY247" i="52"/>
  <c r="BY158" i="52"/>
  <c r="BY41" i="52"/>
  <c r="BY159" i="52"/>
  <c r="BY225" i="52"/>
  <c r="BY7" i="52"/>
  <c r="BY127" i="52"/>
  <c r="BY101" i="52"/>
  <c r="BY45" i="52"/>
  <c r="BY105" i="52"/>
  <c r="BY221" i="52"/>
  <c r="BY48" i="52"/>
  <c r="BY168" i="52"/>
  <c r="BY277" i="52"/>
  <c r="BY218" i="52"/>
  <c r="BY220" i="52"/>
  <c r="BY42" i="52"/>
  <c r="BY98" i="52"/>
  <c r="BY250" i="52"/>
  <c r="BY163" i="52"/>
  <c r="BY69" i="52"/>
  <c r="BY258" i="52"/>
  <c r="BY131" i="52"/>
  <c r="BY37" i="52"/>
  <c r="BY130" i="52"/>
  <c r="BY71" i="52"/>
  <c r="BY104" i="52"/>
  <c r="BY137" i="52"/>
  <c r="BY129" i="52"/>
  <c r="BY257" i="52"/>
  <c r="BY108" i="52"/>
  <c r="BY195" i="52"/>
  <c r="BY97" i="52"/>
  <c r="BY283" i="52"/>
  <c r="BY187" i="52"/>
  <c r="BY281" i="52"/>
  <c r="BY38" i="52"/>
  <c r="BY197" i="52"/>
  <c r="BY223" i="52"/>
  <c r="BY128" i="52"/>
  <c r="BY78" i="52"/>
  <c r="BY191" i="52"/>
  <c r="BY254" i="52"/>
  <c r="BY75" i="52"/>
  <c r="BY194" i="52"/>
  <c r="BY106" i="52"/>
  <c r="BY228" i="52"/>
  <c r="BY217" i="52"/>
  <c r="BY43" i="52"/>
  <c r="BY224" i="52"/>
  <c r="BY226" i="52"/>
  <c r="BY252" i="52"/>
  <c r="BY161" i="52"/>
  <c r="BY284" i="52"/>
  <c r="BY99" i="52"/>
  <c r="BY222" i="52"/>
  <c r="BY132" i="52"/>
  <c r="BY219" i="52"/>
  <c r="BY44" i="52"/>
  <c r="BY249" i="52"/>
  <c r="BY167" i="52"/>
  <c r="BY12" i="52"/>
  <c r="BY40" i="52"/>
  <c r="BY288" i="52"/>
  <c r="BY74" i="52"/>
  <c r="BY133" i="52"/>
  <c r="BY198" i="52"/>
  <c r="BY100" i="52"/>
  <c r="BY251" i="52"/>
  <c r="BY286" i="52"/>
  <c r="BY192" i="52"/>
  <c r="BY255" i="52"/>
  <c r="BY107" i="52"/>
  <c r="BY8" i="52"/>
  <c r="BY39" i="52"/>
  <c r="BY10" i="52"/>
  <c r="BY47" i="52"/>
  <c r="BY287" i="52"/>
  <c r="BY248" i="52"/>
  <c r="BY136" i="52"/>
  <c r="BY196" i="52"/>
  <c r="BY162" i="52"/>
  <c r="BY279" i="52"/>
  <c r="BY280" i="52"/>
  <c r="BY157" i="52"/>
  <c r="BY13" i="52"/>
  <c r="BY160" i="52"/>
  <c r="BY70" i="52"/>
  <c r="BY253" i="52"/>
  <c r="BY16" i="52"/>
  <c r="BY77" i="52"/>
  <c r="BY9" i="52"/>
  <c r="BY76" i="52"/>
  <c r="BY14" i="52"/>
  <c r="BY103" i="52"/>
  <c r="BY278" i="52"/>
  <c r="BY193" i="52"/>
  <c r="BY46" i="52"/>
  <c r="BY68" i="52"/>
  <c r="BY73" i="52"/>
  <c r="BY67" i="52"/>
  <c r="BF230" i="52"/>
  <c r="BY164" i="52"/>
  <c r="P118" i="52"/>
  <c r="AP106" i="52"/>
  <c r="Q106" i="52" s="1"/>
  <c r="P267" i="55"/>
  <c r="AP253" i="55"/>
  <c r="Q253" i="55" s="1"/>
  <c r="T175" i="53"/>
  <c r="AT157" i="53"/>
  <c r="U157" i="53" s="1"/>
  <c r="AP220" i="57"/>
  <c r="Q220" i="57" s="1"/>
  <c r="P236" i="57"/>
  <c r="N58" i="81"/>
  <c r="N68" i="79"/>
  <c r="N72" i="79"/>
  <c r="M77" i="82"/>
  <c r="N50" i="82"/>
  <c r="O50" i="82" s="1"/>
  <c r="BT162" i="59"/>
  <c r="BT288" i="59"/>
  <c r="BT167" i="59"/>
  <c r="BT45" i="59"/>
  <c r="BT71" i="59"/>
  <c r="BT15" i="59"/>
  <c r="BT228" i="59"/>
  <c r="BT76" i="59"/>
  <c r="BT76" i="52"/>
  <c r="BT198" i="52"/>
  <c r="BT168" i="52"/>
  <c r="BT220" i="52"/>
  <c r="BT160" i="52"/>
  <c r="BT250" i="52"/>
  <c r="AI239" i="52"/>
  <c r="J239" i="52" s="1"/>
  <c r="T55" i="55"/>
  <c r="BY37" i="53"/>
  <c r="N83" i="81"/>
  <c r="O83" i="81" s="1"/>
  <c r="BY282" i="52"/>
  <c r="P236" i="53"/>
  <c r="AP220" i="53"/>
  <c r="Q220" i="53" s="1"/>
  <c r="P235" i="57"/>
  <c r="AP217" i="57"/>
  <c r="AO239" i="57"/>
  <c r="AN166" i="55"/>
  <c r="O166" i="55" s="1"/>
  <c r="N178" i="55"/>
  <c r="N96" i="81"/>
  <c r="O96" i="81" s="1"/>
  <c r="N93" i="79"/>
  <c r="O93" i="79" s="1"/>
  <c r="N75" i="79"/>
  <c r="O75" i="79" s="1"/>
  <c r="M97" i="82"/>
  <c r="BT100" i="59"/>
  <c r="BT103" i="59"/>
  <c r="BT99" i="59"/>
  <c r="BT168" i="59"/>
  <c r="BT75" i="59"/>
  <c r="BT162" i="52"/>
  <c r="BT226" i="59"/>
  <c r="BT286" i="52"/>
  <c r="BT280" i="52"/>
  <c r="BT71" i="52"/>
  <c r="BT166" i="52"/>
  <c r="BT228" i="52"/>
  <c r="BT163" i="59"/>
  <c r="BT165" i="59"/>
  <c r="BT195" i="59"/>
  <c r="BT72" i="59"/>
  <c r="BT102" i="59"/>
  <c r="BT280" i="59"/>
  <c r="BT47" i="52"/>
  <c r="BT70" i="52"/>
  <c r="BT288" i="52"/>
  <c r="BT45" i="52"/>
  <c r="BT16" i="52"/>
  <c r="BY256" i="52"/>
  <c r="N57" i="83"/>
  <c r="N102" i="83"/>
  <c r="O102" i="83" s="1"/>
  <c r="N77" i="83"/>
  <c r="O77" i="83" s="1"/>
  <c r="N91" i="83"/>
  <c r="O91" i="83" s="1"/>
  <c r="N67" i="83"/>
  <c r="N81" i="83"/>
  <c r="O81" i="83" s="1"/>
  <c r="N83" i="83"/>
  <c r="O83" i="83" s="1"/>
  <c r="N76" i="83"/>
  <c r="O76" i="83" s="1"/>
  <c r="N86" i="83"/>
  <c r="O86" i="83" s="1"/>
  <c r="N95" i="83"/>
  <c r="O95" i="83" s="1"/>
  <c r="N74" i="83"/>
  <c r="N104" i="83"/>
  <c r="O104" i="83" s="1"/>
  <c r="N82" i="83"/>
  <c r="O82" i="83" s="1"/>
  <c r="N90" i="83"/>
  <c r="O90" i="83" s="1"/>
  <c r="N100" i="83"/>
  <c r="O100" i="83" s="1"/>
  <c r="N93" i="83"/>
  <c r="O93" i="83" s="1"/>
  <c r="N75" i="83"/>
  <c r="N87" i="83"/>
  <c r="O87" i="83" s="1"/>
  <c r="N99" i="83"/>
  <c r="O99" i="83" s="1"/>
  <c r="N84" i="83"/>
  <c r="O84" i="83" s="1"/>
  <c r="N94" i="83"/>
  <c r="O94" i="83" s="1"/>
  <c r="N97" i="83"/>
  <c r="O97" i="83" s="1"/>
  <c r="N89" i="83"/>
  <c r="O89" i="83" s="1"/>
  <c r="N80" i="83"/>
  <c r="O80" i="83" s="1"/>
  <c r="N98" i="83"/>
  <c r="O98" i="83" s="1"/>
  <c r="N103" i="83"/>
  <c r="O103" i="83" s="1"/>
  <c r="N79" i="83"/>
  <c r="O79" i="83" s="1"/>
  <c r="N96" i="83"/>
  <c r="O96" i="83" s="1"/>
  <c r="N78" i="83"/>
  <c r="O78" i="83" s="1"/>
  <c r="N92" i="83"/>
  <c r="O92" i="83" s="1"/>
  <c r="M47" i="78"/>
  <c r="O47" i="78" s="1"/>
  <c r="M71" i="78"/>
  <c r="M97" i="78"/>
  <c r="M96" i="78"/>
  <c r="M83" i="78"/>
  <c r="M100" i="78"/>
  <c r="M78" i="78"/>
  <c r="M82" i="78"/>
  <c r="M90" i="78"/>
  <c r="M57" i="78"/>
  <c r="O57" i="78" s="1"/>
  <c r="M92" i="78"/>
  <c r="M98" i="78"/>
  <c r="M101" i="78"/>
  <c r="M102" i="78"/>
  <c r="M91" i="78"/>
  <c r="M48" i="78"/>
  <c r="O48" i="78" s="1"/>
  <c r="M45" i="78"/>
  <c r="O45" i="78" s="1"/>
  <c r="M55" i="78"/>
  <c r="O55" i="78" s="1"/>
  <c r="M77" i="78"/>
  <c r="M85" i="78"/>
  <c r="O85" i="78" s="1"/>
  <c r="M87" i="78"/>
  <c r="M70" i="78"/>
  <c r="M95" i="78"/>
  <c r="M76" i="78"/>
  <c r="M86" i="78"/>
  <c r="M84" i="78"/>
  <c r="M46" i="78"/>
  <c r="O46" i="78" s="1"/>
  <c r="M58" i="78"/>
  <c r="M94" i="78"/>
  <c r="M79" i="78"/>
  <c r="M74" i="78"/>
  <c r="M73" i="78"/>
  <c r="O73" i="78" s="1"/>
  <c r="M99" i="78"/>
  <c r="M80" i="78"/>
  <c r="M62" i="78"/>
  <c r="O62" i="78" s="1"/>
  <c r="M93" i="78"/>
  <c r="M81" i="78"/>
  <c r="M89" i="78"/>
  <c r="M103" i="78"/>
  <c r="M75" i="78"/>
  <c r="AL169" i="57"/>
  <c r="M169" i="57" s="1"/>
  <c r="L179" i="57"/>
  <c r="N59" i="81"/>
  <c r="N73" i="79"/>
  <c r="O73" i="79" s="1"/>
  <c r="BT138" i="59"/>
  <c r="BT40" i="59"/>
  <c r="BT98" i="59"/>
  <c r="BT41" i="59"/>
  <c r="BT251" i="59"/>
  <c r="BT196" i="59"/>
  <c r="BT224" i="52"/>
  <c r="BT42" i="52"/>
  <c r="BT8" i="52"/>
  <c r="BT97" i="52"/>
  <c r="BT40" i="52"/>
  <c r="T27" i="57"/>
  <c r="BY190" i="52"/>
  <c r="BY254" i="59"/>
  <c r="BY128" i="59"/>
  <c r="BY249" i="59"/>
  <c r="BY252" i="59"/>
  <c r="BY18" i="59"/>
  <c r="BY164" i="59"/>
  <c r="BY7" i="59"/>
  <c r="BY288" i="59"/>
  <c r="BY248" i="59"/>
  <c r="BY77" i="59"/>
  <c r="BY73" i="59"/>
  <c r="BY277" i="59"/>
  <c r="BY283" i="59"/>
  <c r="BY9" i="59"/>
  <c r="BY37" i="59"/>
  <c r="BY193" i="59"/>
  <c r="BY250" i="59"/>
  <c r="BY221" i="59"/>
  <c r="BY189" i="59"/>
  <c r="BY278" i="59"/>
  <c r="BY253" i="59"/>
  <c r="BY198" i="59"/>
  <c r="BY43" i="59"/>
  <c r="BY74" i="59"/>
  <c r="BY219" i="59"/>
  <c r="BY45" i="59"/>
  <c r="BY67" i="59"/>
  <c r="BY72" i="59"/>
  <c r="BY99" i="59"/>
  <c r="BY15" i="59"/>
  <c r="BY192" i="59"/>
  <c r="BY285" i="59"/>
  <c r="BY197" i="59"/>
  <c r="BY136" i="59"/>
  <c r="BY42" i="59"/>
  <c r="BY8" i="59"/>
  <c r="BY195" i="59"/>
  <c r="BY98" i="59"/>
  <c r="BY190" i="59"/>
  <c r="BY78" i="59"/>
  <c r="BY256" i="59"/>
  <c r="BY286" i="59"/>
  <c r="BY157" i="59"/>
  <c r="BY71" i="59"/>
  <c r="BY10" i="59"/>
  <c r="BY47" i="59"/>
  <c r="BY13" i="59"/>
  <c r="BY224" i="59"/>
  <c r="BY257" i="59"/>
  <c r="BY101" i="59"/>
  <c r="BY251" i="59"/>
  <c r="BY108" i="59"/>
  <c r="BY127" i="59"/>
  <c r="BY167" i="59"/>
  <c r="BY38" i="59"/>
  <c r="BY103" i="59"/>
  <c r="BY280" i="59"/>
  <c r="BY159" i="59"/>
  <c r="BY104" i="59"/>
  <c r="BY284" i="59"/>
  <c r="BY137" i="59"/>
  <c r="BY132" i="59"/>
  <c r="BY68" i="59"/>
  <c r="BY105" i="59"/>
  <c r="BY218" i="59"/>
  <c r="BY188" i="59"/>
  <c r="BY16" i="59"/>
  <c r="BY131" i="59"/>
  <c r="BY227" i="59"/>
  <c r="BY217" i="59"/>
  <c r="BY158" i="59"/>
  <c r="BY222" i="59"/>
  <c r="BY130" i="59"/>
  <c r="BY102" i="59"/>
  <c r="BY191" i="59"/>
  <c r="BY138" i="59"/>
  <c r="BY44" i="59"/>
  <c r="BY220" i="59"/>
  <c r="BY100" i="59"/>
  <c r="BY165" i="59"/>
  <c r="BY129" i="59"/>
  <c r="BY97" i="59"/>
  <c r="BY17" i="59"/>
  <c r="BY107" i="59"/>
  <c r="BY70" i="59"/>
  <c r="BY106" i="59"/>
  <c r="BY187" i="59"/>
  <c r="BY41" i="59"/>
  <c r="BY134" i="59"/>
  <c r="BY168" i="59"/>
  <c r="BY135" i="59"/>
  <c r="BY282" i="59"/>
  <c r="BY162" i="59"/>
  <c r="BY14" i="59"/>
  <c r="BY12" i="59"/>
  <c r="BY133" i="59"/>
  <c r="BY196" i="59"/>
  <c r="BY163" i="59"/>
  <c r="BY228" i="59"/>
  <c r="BY225" i="59"/>
  <c r="BY48" i="59"/>
  <c r="BY166" i="59"/>
  <c r="BY39" i="59"/>
  <c r="BY161" i="59"/>
  <c r="BY76" i="59"/>
  <c r="BY287" i="59"/>
  <c r="BY226" i="59"/>
  <c r="BY258" i="59"/>
  <c r="BY279" i="59"/>
  <c r="BY281" i="59"/>
  <c r="BY223" i="59"/>
  <c r="BY194" i="59"/>
  <c r="BY69" i="59"/>
  <c r="BY247" i="59"/>
  <c r="BY11" i="59"/>
  <c r="BY40" i="59"/>
  <c r="BY75" i="59"/>
  <c r="BY46" i="59"/>
  <c r="BY255" i="59"/>
  <c r="N87" i="78"/>
  <c r="N92" i="78"/>
  <c r="N93" i="78"/>
  <c r="N94" i="78"/>
  <c r="N91" i="78"/>
  <c r="N103" i="78"/>
  <c r="N71" i="78"/>
  <c r="N68" i="78"/>
  <c r="O68" i="78" s="1"/>
  <c r="N78" i="78"/>
  <c r="N99" i="78"/>
  <c r="N102" i="78"/>
  <c r="N74" i="78"/>
  <c r="N90" i="78"/>
  <c r="N79" i="78"/>
  <c r="N89" i="78"/>
  <c r="N97" i="78"/>
  <c r="O97" i="78" s="1"/>
  <c r="N82" i="78"/>
  <c r="N96" i="78"/>
  <c r="N76" i="78"/>
  <c r="N100" i="78"/>
  <c r="N95" i="78"/>
  <c r="N81" i="78"/>
  <c r="N101" i="78"/>
  <c r="O101" i="78" s="1"/>
  <c r="N77" i="78"/>
  <c r="N84" i="78"/>
  <c r="N86" i="78"/>
  <c r="N98" i="78"/>
  <c r="N80" i="78"/>
  <c r="O80" i="78" s="1"/>
  <c r="N58" i="78"/>
  <c r="N75" i="78"/>
  <c r="N83" i="78"/>
  <c r="O83" i="78" s="1"/>
  <c r="BT282" i="52"/>
  <c r="N75" i="81"/>
  <c r="O75" i="81" s="1"/>
  <c r="N60" i="79"/>
  <c r="O60" i="79" s="1"/>
  <c r="BT285" i="59"/>
  <c r="BT42" i="59"/>
  <c r="BT130" i="59"/>
  <c r="BT198" i="59"/>
  <c r="BT282" i="59"/>
  <c r="BT106" i="59"/>
  <c r="BT284" i="59"/>
  <c r="BT132" i="52"/>
  <c r="BT105" i="52"/>
  <c r="BT197" i="52"/>
  <c r="BT287" i="52"/>
  <c r="BT133" i="52"/>
  <c r="BT134" i="52"/>
  <c r="AG59" i="52"/>
  <c r="AH49" i="52" s="1"/>
  <c r="I49" i="52" s="1"/>
  <c r="AG29" i="58"/>
  <c r="H29" i="58" s="1"/>
  <c r="AR223" i="55"/>
  <c r="S223" i="55" s="1"/>
  <c r="AM59" i="55"/>
  <c r="AN49" i="55" s="1"/>
  <c r="AS269" i="53"/>
  <c r="T269" i="53" s="1"/>
  <c r="AI179" i="53"/>
  <c r="AJ169" i="53" s="1"/>
  <c r="K169" i="53" s="1"/>
  <c r="AC149" i="53"/>
  <c r="D149" i="53" s="1"/>
  <c r="AO299" i="52"/>
  <c r="P299" i="52" s="1"/>
  <c r="AI239" i="59"/>
  <c r="AJ229" i="59" s="1"/>
  <c r="AG29" i="59"/>
  <c r="AH19" i="59" s="1"/>
  <c r="I19" i="59" s="1"/>
  <c r="AQ89" i="59"/>
  <c r="AR79" i="59" s="1"/>
  <c r="AM149" i="59"/>
  <c r="N149" i="59" s="1"/>
  <c r="AC149" i="58"/>
  <c r="D149" i="58" s="1"/>
  <c r="AO119" i="58"/>
  <c r="AP109" i="58" s="1"/>
  <c r="Q109" i="58" s="1"/>
  <c r="BY136" i="58"/>
  <c r="BY74" i="58"/>
  <c r="BY14" i="58"/>
  <c r="BY8" i="58"/>
  <c r="BY73" i="58"/>
  <c r="BY281" i="58"/>
  <c r="BY67" i="58"/>
  <c r="BY45" i="58"/>
  <c r="BY17" i="58"/>
  <c r="BY159" i="58"/>
  <c r="BY224" i="58"/>
  <c r="BY44" i="58"/>
  <c r="BY164" i="58"/>
  <c r="BY279" i="58"/>
  <c r="BY75" i="58"/>
  <c r="BY97" i="58"/>
  <c r="BY198" i="58"/>
  <c r="BY10" i="58"/>
  <c r="BY255" i="58"/>
  <c r="BY217" i="58"/>
  <c r="BY103" i="58"/>
  <c r="BY167" i="58"/>
  <c r="BY251" i="58"/>
  <c r="BY12" i="58"/>
  <c r="BY134" i="58"/>
  <c r="BY284" i="58"/>
  <c r="BY127" i="58"/>
  <c r="BY133" i="58"/>
  <c r="BY247" i="58"/>
  <c r="BY43" i="58"/>
  <c r="BY132" i="58"/>
  <c r="BY225" i="58"/>
  <c r="BY257" i="58"/>
  <c r="BY71" i="58"/>
  <c r="BY129" i="58"/>
  <c r="BY98" i="58"/>
  <c r="BY72" i="58"/>
  <c r="BY190" i="58"/>
  <c r="BY197" i="58"/>
  <c r="BY13" i="58"/>
  <c r="BY188" i="58"/>
  <c r="BY76" i="58"/>
  <c r="BY253" i="58"/>
  <c r="BY288" i="58"/>
  <c r="BY248" i="58"/>
  <c r="BY69" i="58"/>
  <c r="BY250" i="58"/>
  <c r="BY168" i="58"/>
  <c r="BY11" i="58"/>
  <c r="BY107" i="58"/>
  <c r="BY219" i="58"/>
  <c r="BY104" i="58"/>
  <c r="BY189" i="58"/>
  <c r="BY40" i="58"/>
  <c r="BY46" i="58"/>
  <c r="BY16" i="58"/>
  <c r="BY222" i="58"/>
  <c r="BY258" i="58"/>
  <c r="BY285" i="58"/>
  <c r="BY163" i="58"/>
  <c r="BY105" i="58"/>
  <c r="BY106" i="58"/>
  <c r="BY77" i="58"/>
  <c r="BY99" i="58"/>
  <c r="BY160" i="58"/>
  <c r="BY135" i="58"/>
  <c r="BY7" i="58"/>
  <c r="BY130" i="58"/>
  <c r="BY282" i="58"/>
  <c r="BY37" i="58"/>
  <c r="BY9" i="58"/>
  <c r="BY228" i="58"/>
  <c r="BY78" i="58"/>
  <c r="BY165" i="58"/>
  <c r="BY131" i="58"/>
  <c r="BY158" i="58"/>
  <c r="BY218" i="58"/>
  <c r="BY227" i="58"/>
  <c r="BY138" i="58"/>
  <c r="BY166" i="58"/>
  <c r="BY254" i="58"/>
  <c r="BY137" i="58"/>
  <c r="BY226" i="58"/>
  <c r="BY162" i="58"/>
  <c r="BY39" i="58"/>
  <c r="BY220" i="58"/>
  <c r="BY191" i="58"/>
  <c r="BY47" i="58"/>
  <c r="BY15" i="58"/>
  <c r="BY100" i="58"/>
  <c r="BY108" i="58"/>
  <c r="BY256" i="58"/>
  <c r="BY196" i="58"/>
  <c r="BY102" i="58"/>
  <c r="BY41" i="58"/>
  <c r="BY221" i="58"/>
  <c r="BY287" i="58"/>
  <c r="BY161" i="58"/>
  <c r="BY278" i="58"/>
  <c r="BY128" i="58"/>
  <c r="BY68" i="58"/>
  <c r="BY252" i="58"/>
  <c r="BY101" i="58"/>
  <c r="BY42" i="58"/>
  <c r="BY192" i="58"/>
  <c r="BY277" i="58"/>
  <c r="BY286" i="58"/>
  <c r="BY195" i="58"/>
  <c r="BY249" i="58"/>
  <c r="BY283" i="58"/>
  <c r="BY70" i="58"/>
  <c r="BY194" i="58"/>
  <c r="BY48" i="58"/>
  <c r="BY187" i="58"/>
  <c r="BY157" i="58"/>
  <c r="BY223" i="58"/>
  <c r="BY38" i="58"/>
  <c r="BT248" i="52"/>
  <c r="BY138" i="52"/>
  <c r="N71" i="81"/>
  <c r="H207" i="57"/>
  <c r="AH193" i="57"/>
  <c r="I193" i="57" s="1"/>
  <c r="N70" i="79"/>
  <c r="O70" i="79" s="1"/>
  <c r="BT256" i="59"/>
  <c r="BT279" i="59"/>
  <c r="BT283" i="59"/>
  <c r="BT278" i="59"/>
  <c r="BT101" i="59"/>
  <c r="BT41" i="52"/>
  <c r="BT279" i="52"/>
  <c r="BT157" i="52"/>
  <c r="BT7" i="52"/>
  <c r="BT105" i="59"/>
  <c r="BT17" i="59"/>
  <c r="AF250" i="55"/>
  <c r="G250" i="55" s="1"/>
  <c r="AE209" i="55"/>
  <c r="F209" i="55" s="1"/>
  <c r="AI179" i="55"/>
  <c r="AJ169" i="55" s="1"/>
  <c r="N97" i="79"/>
  <c r="O97" i="79" s="1"/>
  <c r="N88" i="81"/>
  <c r="O88" i="81" s="1"/>
  <c r="N77" i="81"/>
  <c r="O77" i="81" s="1"/>
  <c r="N101" i="81"/>
  <c r="O101" i="81" s="1"/>
  <c r="N90" i="81"/>
  <c r="O90" i="81" s="1"/>
  <c r="N87" i="81"/>
  <c r="O87" i="81" s="1"/>
  <c r="N68" i="81"/>
  <c r="O68" i="81" s="1"/>
  <c r="N78" i="81"/>
  <c r="O78" i="81" s="1"/>
  <c r="N52" i="81"/>
  <c r="O52" i="81" s="1"/>
  <c r="N98" i="81"/>
  <c r="O98" i="81" s="1"/>
  <c r="N50" i="81"/>
  <c r="N74" i="81"/>
  <c r="O74" i="81" s="1"/>
  <c r="N95" i="81"/>
  <c r="O95" i="81" s="1"/>
  <c r="N76" i="81"/>
  <c r="O76" i="81" s="1"/>
  <c r="N104" i="81"/>
  <c r="O104" i="81" s="1"/>
  <c r="N81" i="81"/>
  <c r="O81" i="81" s="1"/>
  <c r="N103" i="81"/>
  <c r="O103" i="81" s="1"/>
  <c r="N82" i="81"/>
  <c r="O82" i="81" s="1"/>
  <c r="N80" i="81"/>
  <c r="O80" i="81" s="1"/>
  <c r="N72" i="81"/>
  <c r="O72" i="81" s="1"/>
  <c r="N73" i="81"/>
  <c r="O73" i="81" s="1"/>
  <c r="N55" i="81"/>
  <c r="N91" i="81"/>
  <c r="O91" i="81" s="1"/>
  <c r="N92" i="81"/>
  <c r="O92" i="81" s="1"/>
  <c r="N86" i="81"/>
  <c r="O86" i="81" s="1"/>
  <c r="BT135" i="52"/>
  <c r="N46" i="81"/>
  <c r="O46" i="81" s="1"/>
  <c r="AT40" i="59"/>
  <c r="U40" i="59" s="1"/>
  <c r="T56" i="59"/>
  <c r="U62" i="41"/>
  <c r="AH187" i="57"/>
  <c r="I187" i="57" s="1"/>
  <c r="H205" i="57"/>
  <c r="N85" i="81"/>
  <c r="O85" i="81" s="1"/>
  <c r="N69" i="79"/>
  <c r="O69" i="79" s="1"/>
  <c r="N49" i="82"/>
  <c r="O49" i="82" s="1"/>
  <c r="BT38" i="59"/>
  <c r="BT107" i="59"/>
  <c r="BT69" i="59"/>
  <c r="BT254" i="59"/>
  <c r="BT131" i="59"/>
  <c r="BT220" i="59"/>
  <c r="BT128" i="59"/>
  <c r="BT283" i="52"/>
  <c r="BT100" i="52"/>
  <c r="BT75" i="52"/>
  <c r="BT101" i="52"/>
  <c r="BT47" i="59"/>
  <c r="N298" i="53"/>
  <c r="AN286" i="53"/>
  <c r="O286" i="53" s="1"/>
  <c r="H178" i="53"/>
  <c r="AH166" i="53"/>
  <c r="I166" i="53" s="1"/>
  <c r="AE59" i="52"/>
  <c r="F59" i="52" s="1"/>
  <c r="F146" i="58"/>
  <c r="AR130" i="59"/>
  <c r="S130" i="59" s="1"/>
  <c r="AD136" i="58"/>
  <c r="E136" i="58" s="1"/>
  <c r="AQ119" i="59"/>
  <c r="R119" i="59" s="1"/>
  <c r="AH97" i="55"/>
  <c r="I97" i="55" s="1"/>
  <c r="H115" i="55"/>
  <c r="J177" i="57"/>
  <c r="AJ163" i="57"/>
  <c r="K163" i="57" s="1"/>
  <c r="AH280" i="55"/>
  <c r="I280" i="55" s="1"/>
  <c r="H296" i="55"/>
  <c r="P28" i="53"/>
  <c r="AP16" i="53"/>
  <c r="Q16" i="53" s="1"/>
  <c r="AM299" i="53"/>
  <c r="N299" i="53" s="1"/>
  <c r="D237" i="57"/>
  <c r="AD223" i="57"/>
  <c r="E223" i="57" s="1"/>
  <c r="AP163" i="57"/>
  <c r="Q163" i="57" s="1"/>
  <c r="P177" i="57"/>
  <c r="AR286" i="53"/>
  <c r="S286" i="53" s="1"/>
  <c r="R298" i="53"/>
  <c r="T235" i="55"/>
  <c r="AT217" i="55"/>
  <c r="U217" i="55" s="1"/>
  <c r="AE149" i="52"/>
  <c r="F149" i="52" s="1"/>
  <c r="N238" i="59"/>
  <c r="AH7" i="53"/>
  <c r="I7" i="53" s="1"/>
  <c r="H25" i="53"/>
  <c r="AD286" i="55"/>
  <c r="E286" i="55" s="1"/>
  <c r="D298" i="55"/>
  <c r="AN7" i="55"/>
  <c r="O7" i="55" s="1"/>
  <c r="N25" i="55"/>
  <c r="T115" i="53"/>
  <c r="AT97" i="53"/>
  <c r="U97" i="53" s="1"/>
  <c r="AJ106" i="53"/>
  <c r="K106" i="53" s="1"/>
  <c r="J118" i="53"/>
  <c r="P147" i="53"/>
  <c r="AP133" i="53"/>
  <c r="Q133" i="53" s="1"/>
  <c r="AF190" i="58"/>
  <c r="G190" i="58" s="1"/>
  <c r="AJ106" i="52"/>
  <c r="K106" i="52" s="1"/>
  <c r="AL133" i="55"/>
  <c r="M133" i="55" s="1"/>
  <c r="L178" i="53"/>
  <c r="AI149" i="58"/>
  <c r="AJ139" i="58" s="1"/>
  <c r="K139" i="58" s="1"/>
  <c r="AK239" i="58"/>
  <c r="AL229" i="58" s="1"/>
  <c r="M229" i="58" s="1"/>
  <c r="AS59" i="58"/>
  <c r="T59" i="58" s="1"/>
  <c r="AM269" i="58"/>
  <c r="N269" i="58" s="1"/>
  <c r="AJ166" i="57"/>
  <c r="K166" i="57" s="1"/>
  <c r="J178" i="57"/>
  <c r="F175" i="53"/>
  <c r="AF157" i="53"/>
  <c r="G157" i="53" s="1"/>
  <c r="T25" i="53"/>
  <c r="AT7" i="53"/>
  <c r="U7" i="53" s="1"/>
  <c r="AJ100" i="55"/>
  <c r="K100" i="55" s="1"/>
  <c r="J116" i="55"/>
  <c r="AE209" i="58"/>
  <c r="AF199" i="58" s="1"/>
  <c r="AE299" i="52"/>
  <c r="AF289" i="52" s="1"/>
  <c r="G289" i="52" s="1"/>
  <c r="AF277" i="52"/>
  <c r="G277" i="52" s="1"/>
  <c r="AS179" i="59"/>
  <c r="AT169" i="59" s="1"/>
  <c r="U169" i="59" s="1"/>
  <c r="AR259" i="53"/>
  <c r="S259" i="53" s="1"/>
  <c r="AK239" i="53"/>
  <c r="AL229" i="53" s="1"/>
  <c r="M229" i="53" s="1"/>
  <c r="AJ46" i="53"/>
  <c r="K46" i="53" s="1"/>
  <c r="J58" i="53"/>
  <c r="L237" i="55"/>
  <c r="AL223" i="55"/>
  <c r="M223" i="55" s="1"/>
  <c r="AC239" i="59"/>
  <c r="AJ160" i="52"/>
  <c r="K160" i="52" s="1"/>
  <c r="T178" i="59"/>
  <c r="AG149" i="52"/>
  <c r="H149" i="52" s="1"/>
  <c r="AO59" i="55"/>
  <c r="AP49" i="55" s="1"/>
  <c r="Q49" i="55" s="1"/>
  <c r="AK59" i="53"/>
  <c r="AL49" i="53" s="1"/>
  <c r="M49" i="53" s="1"/>
  <c r="AO29" i="53"/>
  <c r="AP19" i="53" s="1"/>
  <c r="Q19" i="53" s="1"/>
  <c r="AK269" i="59"/>
  <c r="L269" i="59" s="1"/>
  <c r="J146" i="55"/>
  <c r="AJ130" i="55"/>
  <c r="K130" i="55" s="1"/>
  <c r="AT157" i="57"/>
  <c r="U157" i="57" s="1"/>
  <c r="T175" i="57"/>
  <c r="R147" i="53"/>
  <c r="AR133" i="53"/>
  <c r="S133" i="53" s="1"/>
  <c r="T56" i="53"/>
  <c r="AT40" i="53"/>
  <c r="U40" i="53" s="1"/>
  <c r="AF157" i="52"/>
  <c r="G157" i="52" s="1"/>
  <c r="AG59" i="55"/>
  <c r="AH49" i="55" s="1"/>
  <c r="I49" i="55" s="1"/>
  <c r="AI209" i="52"/>
  <c r="J209" i="52" s="1"/>
  <c r="AQ179" i="55"/>
  <c r="R179" i="55" s="1"/>
  <c r="AI29" i="55"/>
  <c r="J29" i="55" s="1"/>
  <c r="AQ89" i="55"/>
  <c r="R89" i="55" s="1"/>
  <c r="R147" i="59"/>
  <c r="AN217" i="55"/>
  <c r="O217" i="55" s="1"/>
  <c r="N235" i="55"/>
  <c r="AJ160" i="55"/>
  <c r="K160" i="55" s="1"/>
  <c r="J176" i="55"/>
  <c r="H147" i="57"/>
  <c r="L238" i="52"/>
  <c r="H206" i="53"/>
  <c r="AD100" i="57"/>
  <c r="E100" i="57" s="1"/>
  <c r="D116" i="57"/>
  <c r="AF190" i="53"/>
  <c r="G190" i="53" s="1"/>
  <c r="F206" i="53"/>
  <c r="AR67" i="55"/>
  <c r="S67" i="55" s="1"/>
  <c r="R85" i="55"/>
  <c r="T117" i="59"/>
  <c r="AD190" i="52"/>
  <c r="E190" i="52" s="1"/>
  <c r="AK179" i="53"/>
  <c r="L146" i="55"/>
  <c r="AL130" i="55"/>
  <c r="M130" i="55" s="1"/>
  <c r="AL160" i="53"/>
  <c r="M160" i="53" s="1"/>
  <c r="L176" i="53"/>
  <c r="D175" i="55"/>
  <c r="AD157" i="55"/>
  <c r="E157" i="55" s="1"/>
  <c r="T178" i="55"/>
  <c r="AT166" i="55"/>
  <c r="U166" i="55" s="1"/>
  <c r="P56" i="55"/>
  <c r="D148" i="58"/>
  <c r="AH37" i="55"/>
  <c r="I37" i="55" s="1"/>
  <c r="AC239" i="52"/>
  <c r="AK299" i="53"/>
  <c r="L299" i="53" s="1"/>
  <c r="L145" i="53"/>
  <c r="AL127" i="53"/>
  <c r="M127" i="53" s="1"/>
  <c r="L26" i="55"/>
  <c r="AL10" i="55"/>
  <c r="M10" i="55" s="1"/>
  <c r="H208" i="53"/>
  <c r="AH196" i="53"/>
  <c r="I196" i="53" s="1"/>
  <c r="AR73" i="59"/>
  <c r="S73" i="59" s="1"/>
  <c r="AH73" i="58"/>
  <c r="I73" i="58" s="1"/>
  <c r="H87" i="58"/>
  <c r="AL256" i="53"/>
  <c r="M256" i="53" s="1"/>
  <c r="L268" i="53"/>
  <c r="T297" i="53"/>
  <c r="AT283" i="53"/>
  <c r="U283" i="53" s="1"/>
  <c r="F146" i="52"/>
  <c r="R87" i="59"/>
  <c r="AD220" i="59"/>
  <c r="E220" i="59" s="1"/>
  <c r="AG89" i="52"/>
  <c r="AH79" i="52" s="1"/>
  <c r="AM299" i="52"/>
  <c r="AN289" i="52" s="1"/>
  <c r="O289" i="52" s="1"/>
  <c r="AC239" i="58"/>
  <c r="D239" i="58" s="1"/>
  <c r="AO239" i="58"/>
  <c r="P239" i="58" s="1"/>
  <c r="F206" i="55"/>
  <c r="AF190" i="55"/>
  <c r="G190" i="55" s="1"/>
  <c r="L175" i="53"/>
  <c r="AL157" i="53"/>
  <c r="M157" i="53" s="1"/>
  <c r="AP136" i="53"/>
  <c r="Q136" i="53" s="1"/>
  <c r="P148" i="53"/>
  <c r="H205" i="53"/>
  <c r="AH187" i="53"/>
  <c r="I187" i="53" s="1"/>
  <c r="AF37" i="52"/>
  <c r="G37" i="52" s="1"/>
  <c r="AG29" i="52"/>
  <c r="AH19" i="52" s="1"/>
  <c r="P265" i="58"/>
  <c r="L206" i="57"/>
  <c r="AL190" i="57"/>
  <c r="M190" i="57" s="1"/>
  <c r="AT253" i="55"/>
  <c r="U253" i="55" s="1"/>
  <c r="T267" i="55"/>
  <c r="L178" i="58"/>
  <c r="AL166" i="58"/>
  <c r="M166" i="58" s="1"/>
  <c r="AL220" i="55"/>
  <c r="M220" i="55" s="1"/>
  <c r="L236" i="55"/>
  <c r="H146" i="53"/>
  <c r="AH130" i="53"/>
  <c r="I130" i="53" s="1"/>
  <c r="P296" i="52"/>
  <c r="P145" i="55"/>
  <c r="AP127" i="55"/>
  <c r="Q127" i="55" s="1"/>
  <c r="AR37" i="53"/>
  <c r="S37" i="53" s="1"/>
  <c r="R55" i="53"/>
  <c r="AD97" i="53"/>
  <c r="E97" i="53" s="1"/>
  <c r="D115" i="53"/>
  <c r="R295" i="57"/>
  <c r="AR277" i="57"/>
  <c r="S277" i="57" s="1"/>
  <c r="AT43" i="53"/>
  <c r="U43" i="53" s="1"/>
  <c r="T57" i="53"/>
  <c r="AO149" i="53"/>
  <c r="AP139" i="53" s="1"/>
  <c r="Q139" i="53" s="1"/>
  <c r="AP67" i="57"/>
  <c r="Q67" i="57" s="1"/>
  <c r="P85" i="57"/>
  <c r="AL43" i="55"/>
  <c r="M43" i="55" s="1"/>
  <c r="L57" i="55"/>
  <c r="AF73" i="53"/>
  <c r="G73" i="53" s="1"/>
  <c r="F87" i="53"/>
  <c r="H235" i="53"/>
  <c r="AH217" i="53"/>
  <c r="I217" i="53" s="1"/>
  <c r="AR280" i="53"/>
  <c r="S280" i="53" s="1"/>
  <c r="R296" i="53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L133" i="53"/>
  <c r="M133" i="53" s="1"/>
  <c r="L14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AT289" i="57" s="1"/>
  <c r="AT250" i="59"/>
  <c r="U250" i="59" s="1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S149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T17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AH277" i="57"/>
  <c r="I277" i="57" s="1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J115" i="53"/>
  <c r="AJ97" i="53"/>
  <c r="AI119" i="53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AO299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E209" i="53"/>
  <c r="F209" i="53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M179" i="53"/>
  <c r="AR163" i="53"/>
  <c r="R17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AP280" i="53"/>
  <c r="Q280" i="53" s="1"/>
  <c r="P296" i="53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AF229" i="55" s="1"/>
  <c r="T296" i="57"/>
  <c r="R146" i="55"/>
  <c r="AO149" i="55"/>
  <c r="P14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L253" i="53"/>
  <c r="M253" i="53" s="1"/>
  <c r="L267" i="53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AO59" i="53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C59" i="53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T147" i="53"/>
  <c r="AT133" i="53"/>
  <c r="U133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H87" i="53"/>
  <c r="AH73" i="53"/>
  <c r="I73" i="53" s="1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F160" i="53"/>
  <c r="G160" i="53" s="1"/>
  <c r="F176" i="53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N88" i="53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AN22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AG89" i="53"/>
  <c r="H85" i="53"/>
  <c r="AD136" i="53"/>
  <c r="E136" i="53" s="1"/>
  <c r="D148" i="53"/>
  <c r="AL136" i="53"/>
  <c r="M136" i="53" s="1"/>
  <c r="L148" i="53"/>
  <c r="L146" i="53"/>
  <c r="AK149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AD37" i="53"/>
  <c r="E37" i="53" s="1"/>
  <c r="D55" i="53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AS299" i="53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G209" i="53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E149" i="53"/>
  <c r="AF139" i="53" s="1"/>
  <c r="G139" i="53" s="1"/>
  <c r="AO209" i="58"/>
  <c r="AP199" i="58" s="1"/>
  <c r="R238" i="59"/>
  <c r="AT289" i="55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AH250" i="53"/>
  <c r="I250" i="53" s="1"/>
  <c r="H266" i="53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AG269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E239" i="53"/>
  <c r="F239" i="53" s="1"/>
  <c r="AS59" i="57"/>
  <c r="T59" i="57" s="1"/>
  <c r="AG59" i="53"/>
  <c r="H59" i="53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P200" i="55"/>
  <c r="Q200" i="55" s="1"/>
  <c r="AE59" i="55"/>
  <c r="AF49" i="55" s="1"/>
  <c r="G49" i="55" s="1"/>
  <c r="F55" i="55"/>
  <c r="AK89" i="57"/>
  <c r="L89" i="57" s="1"/>
  <c r="T146" i="52"/>
  <c r="AF43" i="55"/>
  <c r="G43" i="55" s="1"/>
  <c r="AL73" i="57"/>
  <c r="M73" i="57" s="1"/>
  <c r="D25" i="53"/>
  <c r="AC29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AP187" i="53"/>
  <c r="P205" i="53"/>
  <c r="AO209" i="53"/>
  <c r="AD166" i="53"/>
  <c r="D178" i="53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D177" i="53"/>
  <c r="AD163" i="53"/>
  <c r="AL250" i="52"/>
  <c r="L266" i="52"/>
  <c r="F147" i="53"/>
  <c r="AF133" i="53"/>
  <c r="G133" i="53" s="1"/>
  <c r="AP196" i="52"/>
  <c r="Q196" i="52" s="1"/>
  <c r="P208" i="52"/>
  <c r="P117" i="53"/>
  <c r="AP103" i="53"/>
  <c r="Q103" i="53" s="1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O119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F130" i="53"/>
  <c r="F146" i="53"/>
  <c r="T236" i="53"/>
  <c r="AT220" i="53"/>
  <c r="U220" i="53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S239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AC179" i="53"/>
  <c r="J265" i="53"/>
  <c r="AJ247" i="53"/>
  <c r="AI269" i="53"/>
  <c r="D239" i="53"/>
  <c r="AD229" i="53"/>
  <c r="F56" i="53"/>
  <c r="AF40" i="53"/>
  <c r="AF223" i="53"/>
  <c r="F237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D160" i="53"/>
  <c r="D176" i="53"/>
  <c r="AT226" i="53"/>
  <c r="U226" i="53" s="1"/>
  <c r="T238" i="53"/>
  <c r="J268" i="53"/>
  <c r="AJ256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AQ89" i="53"/>
  <c r="AT223" i="53"/>
  <c r="U223" i="53" s="1"/>
  <c r="T237" i="53"/>
  <c r="F148" i="53"/>
  <c r="AF136" i="53"/>
  <c r="G136" i="53" s="1"/>
  <c r="F55" i="53"/>
  <c r="AF37" i="53"/>
  <c r="AF220" i="53"/>
  <c r="G220" i="53" s="1"/>
  <c r="F236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AL10" i="53"/>
  <c r="M10" i="53" s="1"/>
  <c r="L26" i="53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L28" i="53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AM119" i="53"/>
  <c r="N115" i="53"/>
  <c r="AR73" i="53"/>
  <c r="S73" i="53" s="1"/>
  <c r="R87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H55" i="53"/>
  <c r="AH37" i="53"/>
  <c r="I37" i="53" s="1"/>
  <c r="AK29" i="53"/>
  <c r="AL7" i="53"/>
  <c r="L25" i="53"/>
  <c r="T55" i="57"/>
  <c r="AT37" i="57"/>
  <c r="U37" i="57" s="1"/>
  <c r="D87" i="57"/>
  <c r="AD73" i="57"/>
  <c r="E73" i="57" s="1"/>
  <c r="D26" i="53"/>
  <c r="AD10" i="53"/>
  <c r="P118" i="53"/>
  <c r="AP106" i="53"/>
  <c r="Q106" i="53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P208" i="53"/>
  <c r="AP196" i="53"/>
  <c r="Q196" i="53" s="1"/>
  <c r="N118" i="53"/>
  <c r="AN106" i="53"/>
  <c r="AT130" i="57"/>
  <c r="T146" i="57"/>
  <c r="AM209" i="52"/>
  <c r="N208" i="52"/>
  <c r="AN196" i="52"/>
  <c r="R237" i="58"/>
  <c r="AR223" i="58"/>
  <c r="S223" i="58" s="1"/>
  <c r="D59" i="58"/>
  <c r="AJ43" i="55"/>
  <c r="K43" i="55" s="1"/>
  <c r="J57" i="55"/>
  <c r="AD50" i="58"/>
  <c r="E50" i="58" s="1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O133" i="53"/>
  <c r="H299" i="58"/>
  <c r="AH289" i="58"/>
  <c r="I289" i="58" s="1"/>
  <c r="L299" i="52"/>
  <c r="AL289" i="52"/>
  <c r="Q280" i="57"/>
  <c r="M220" i="53"/>
  <c r="Q133" i="58"/>
  <c r="I97" i="53"/>
  <c r="U280" i="59"/>
  <c r="O217" i="53"/>
  <c r="S247" i="55"/>
  <c r="J89" i="59"/>
  <c r="AJ79" i="59"/>
  <c r="I133" i="57"/>
  <c r="I247" i="59"/>
  <c r="I286" i="57"/>
  <c r="U217" i="59"/>
  <c r="I277" i="58"/>
  <c r="F239" i="59"/>
  <c r="AF229" i="59"/>
  <c r="AF259" i="57"/>
  <c r="F269" i="57"/>
  <c r="F269" i="52"/>
  <c r="AF259" i="52"/>
  <c r="G166" i="57"/>
  <c r="G280" i="57"/>
  <c r="AD70" i="52"/>
  <c r="AC89" i="52"/>
  <c r="D86" i="52"/>
  <c r="AP220" i="55"/>
  <c r="Q220" i="55" s="1"/>
  <c r="P236" i="55"/>
  <c r="AD100" i="55"/>
  <c r="D116" i="55"/>
  <c r="AC119" i="55"/>
  <c r="AN226" i="55"/>
  <c r="N238" i="55"/>
  <c r="N61" i="80"/>
  <c r="O61" i="80" s="1"/>
  <c r="T235" i="57"/>
  <c r="AT217" i="57"/>
  <c r="AS239" i="57"/>
  <c r="AR226" i="53"/>
  <c r="R238" i="53"/>
  <c r="AQ239" i="53"/>
  <c r="M94" i="83"/>
  <c r="M81" i="83"/>
  <c r="M16" i="83"/>
  <c r="O16" i="83" s="1"/>
  <c r="M26" i="83"/>
  <c r="O26" i="83" s="1"/>
  <c r="M17" i="83"/>
  <c r="M65" i="83"/>
  <c r="O65" i="83" s="1"/>
  <c r="AJ97" i="55"/>
  <c r="AI119" i="55"/>
  <c r="J115" i="55"/>
  <c r="AJ187" i="55"/>
  <c r="AI209" i="55"/>
  <c r="J205" i="55"/>
  <c r="AL187" i="57"/>
  <c r="L205" i="57"/>
  <c r="AK209" i="57"/>
  <c r="O103" i="59"/>
  <c r="M91" i="83"/>
  <c r="M34" i="83"/>
  <c r="M5" i="83"/>
  <c r="O5" i="83" s="1"/>
  <c r="M62" i="83"/>
  <c r="O62" i="83" s="1"/>
  <c r="M71" i="83"/>
  <c r="M99" i="83"/>
  <c r="AD250" i="55"/>
  <c r="D266" i="55"/>
  <c r="N43" i="80"/>
  <c r="D177" i="55"/>
  <c r="AD163" i="55"/>
  <c r="AC179" i="55"/>
  <c r="M15" i="83"/>
  <c r="O15" i="83" s="1"/>
  <c r="M52" i="83"/>
  <c r="M61" i="83"/>
  <c r="M54" i="80"/>
  <c r="M34" i="80"/>
  <c r="AJ190" i="55"/>
  <c r="J206" i="55"/>
  <c r="N9" i="80"/>
  <c r="P88" i="55"/>
  <c r="AO89" i="55"/>
  <c r="AP76" i="55"/>
  <c r="H266" i="55"/>
  <c r="AH250" i="55"/>
  <c r="AG269" i="55"/>
  <c r="M84" i="83"/>
  <c r="M104" i="83"/>
  <c r="M51" i="83"/>
  <c r="M21" i="83"/>
  <c r="O21" i="83" s="1"/>
  <c r="M101" i="83"/>
  <c r="M80" i="83"/>
  <c r="M75" i="83"/>
  <c r="M88" i="83"/>
  <c r="M86" i="83"/>
  <c r="M79" i="83"/>
  <c r="M72" i="83"/>
  <c r="M78" i="83"/>
  <c r="M97" i="83"/>
  <c r="M89" i="83"/>
  <c r="M95" i="83"/>
  <c r="M7" i="80"/>
  <c r="O7" i="80" s="1"/>
  <c r="AR46" i="55"/>
  <c r="R58" i="55"/>
  <c r="AD247" i="55"/>
  <c r="D265" i="55"/>
  <c r="AC269" i="55"/>
  <c r="M74" i="83"/>
  <c r="M67" i="83"/>
  <c r="M20" i="83"/>
  <c r="O20" i="83" s="1"/>
  <c r="M55" i="83"/>
  <c r="O55" i="83" s="1"/>
  <c r="M53" i="83"/>
  <c r="M92" i="83"/>
  <c r="N17" i="80"/>
  <c r="N35" i="80"/>
  <c r="O35" i="80" s="1"/>
  <c r="N51" i="80"/>
  <c r="O51" i="80" s="1"/>
  <c r="N5" i="80"/>
  <c r="N63" i="80"/>
  <c r="O63" i="80" s="1"/>
  <c r="N21" i="80"/>
  <c r="N62" i="80"/>
  <c r="N70" i="80"/>
  <c r="O70" i="80" s="1"/>
  <c r="N18" i="80"/>
  <c r="N4" i="80"/>
  <c r="N37" i="80"/>
  <c r="N53" i="80"/>
  <c r="O53" i="80" s="1"/>
  <c r="N50" i="80"/>
  <c r="N16" i="80"/>
  <c r="N20" i="80"/>
  <c r="N65" i="80"/>
  <c r="O65" i="80" s="1"/>
  <c r="N36" i="80"/>
  <c r="N69" i="80"/>
  <c r="N10" i="80"/>
  <c r="N47" i="80"/>
  <c r="N2" i="80"/>
  <c r="O2" i="80" s="1"/>
  <c r="N52" i="80"/>
  <c r="O52" i="80" s="1"/>
  <c r="N48" i="80"/>
  <c r="N39" i="80"/>
  <c r="N34" i="80"/>
  <c r="O34" i="80" s="1"/>
  <c r="N31" i="80"/>
  <c r="N38" i="80"/>
  <c r="N15" i="80"/>
  <c r="N66" i="80"/>
  <c r="O66" i="80" s="1"/>
  <c r="N68" i="80"/>
  <c r="N26" i="80"/>
  <c r="N44" i="80"/>
  <c r="N60" i="80"/>
  <c r="N32" i="80"/>
  <c r="N3" i="80"/>
  <c r="N14" i="80"/>
  <c r="N11" i="80"/>
  <c r="N19" i="80"/>
  <c r="N22" i="80"/>
  <c r="O22" i="80" s="1"/>
  <c r="N85" i="80"/>
  <c r="O85" i="80" s="1"/>
  <c r="N86" i="80"/>
  <c r="O86" i="80" s="1"/>
  <c r="N101" i="80"/>
  <c r="O101" i="80" s="1"/>
  <c r="N99" i="80"/>
  <c r="O99" i="80" s="1"/>
  <c r="N74" i="80"/>
  <c r="O74" i="80" s="1"/>
  <c r="N78" i="80"/>
  <c r="O78" i="80" s="1"/>
  <c r="N33" i="80"/>
  <c r="N97" i="80"/>
  <c r="O97" i="80" s="1"/>
  <c r="N79" i="80"/>
  <c r="O79" i="80" s="1"/>
  <c r="N83" i="80"/>
  <c r="O83" i="80" s="1"/>
  <c r="N94" i="80"/>
  <c r="O94" i="80" s="1"/>
  <c r="N89" i="80"/>
  <c r="O89" i="80" s="1"/>
  <c r="N93" i="80"/>
  <c r="O93" i="80" s="1"/>
  <c r="N84" i="80"/>
  <c r="O84" i="80" s="1"/>
  <c r="N90" i="80"/>
  <c r="O90" i="80" s="1"/>
  <c r="N27" i="80"/>
  <c r="N25" i="80"/>
  <c r="N100" i="80"/>
  <c r="O100" i="80" s="1"/>
  <c r="N98" i="80"/>
  <c r="O98" i="80" s="1"/>
  <c r="N103" i="80"/>
  <c r="O103" i="80" s="1"/>
  <c r="N42" i="80"/>
  <c r="N87" i="80"/>
  <c r="O87" i="80" s="1"/>
  <c r="N102" i="80"/>
  <c r="O102" i="80" s="1"/>
  <c r="N59" i="80"/>
  <c r="N82" i="80"/>
  <c r="O82" i="80" s="1"/>
  <c r="N73" i="80"/>
  <c r="O73" i="80" s="1"/>
  <c r="N64" i="80"/>
  <c r="O64" i="80" s="1"/>
  <c r="N45" i="80"/>
  <c r="N92" i="80"/>
  <c r="O92" i="80" s="1"/>
  <c r="N75" i="80"/>
  <c r="O75" i="80" s="1"/>
  <c r="N88" i="80"/>
  <c r="O88" i="80" s="1"/>
  <c r="N41" i="80"/>
  <c r="O41" i="80" s="1"/>
  <c r="N104" i="80"/>
  <c r="O104" i="80" s="1"/>
  <c r="N77" i="80"/>
  <c r="O77" i="80" s="1"/>
  <c r="N81" i="80"/>
  <c r="O81" i="80" s="1"/>
  <c r="N80" i="80"/>
  <c r="O80" i="80" s="1"/>
  <c r="N96" i="80"/>
  <c r="O96" i="80" s="1"/>
  <c r="N95" i="80"/>
  <c r="O95" i="80" s="1"/>
  <c r="N6" i="80"/>
  <c r="N30" i="80"/>
  <c r="N46" i="80"/>
  <c r="N12" i="80"/>
  <c r="N91" i="80"/>
  <c r="O91" i="80" s="1"/>
  <c r="N57" i="80"/>
  <c r="O57" i="80" s="1"/>
  <c r="N76" i="80"/>
  <c r="O76" i="80" s="1"/>
  <c r="AT196" i="53"/>
  <c r="T208" i="53"/>
  <c r="M58" i="83"/>
  <c r="O58" i="83" s="1"/>
  <c r="N71" i="80"/>
  <c r="O71" i="80" s="1"/>
  <c r="R56" i="55"/>
  <c r="AR40" i="55"/>
  <c r="AQ59" i="55"/>
  <c r="M98" i="83"/>
  <c r="M32" i="83"/>
  <c r="M47" i="83"/>
  <c r="M30" i="83"/>
  <c r="O30" i="83" s="1"/>
  <c r="M37" i="83"/>
  <c r="O37" i="83" s="1"/>
  <c r="M59" i="80"/>
  <c r="M66" i="80"/>
  <c r="M5" i="80"/>
  <c r="M27" i="80"/>
  <c r="M17" i="80"/>
  <c r="M39" i="80"/>
  <c r="M33" i="80"/>
  <c r="M51" i="80"/>
  <c r="M63" i="80"/>
  <c r="M21" i="80"/>
  <c r="M30" i="80"/>
  <c r="M67" i="80"/>
  <c r="M22" i="80"/>
  <c r="M46" i="80"/>
  <c r="M37" i="80"/>
  <c r="M73" i="80"/>
  <c r="M70" i="80"/>
  <c r="M4" i="80"/>
  <c r="M20" i="80"/>
  <c r="M53" i="80"/>
  <c r="M65" i="80"/>
  <c r="M23" i="80"/>
  <c r="O23" i="80" s="1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O40" i="80" s="1"/>
  <c r="M10" i="80"/>
  <c r="M9" i="80"/>
  <c r="M90" i="80"/>
  <c r="M104" i="80"/>
  <c r="M43" i="80"/>
  <c r="M13" i="80"/>
  <c r="M18" i="80"/>
  <c r="M50" i="80"/>
  <c r="M47" i="80"/>
  <c r="M58" i="80"/>
  <c r="M57" i="80"/>
  <c r="N13" i="80"/>
  <c r="AP163" i="55"/>
  <c r="P177" i="55"/>
  <c r="AO179" i="55"/>
  <c r="D57" i="55"/>
  <c r="AD43" i="55"/>
  <c r="AC59" i="55"/>
  <c r="M9" i="83"/>
  <c r="O9" i="83" s="1"/>
  <c r="O10" i="55"/>
  <c r="M77" i="83"/>
  <c r="M11" i="83"/>
  <c r="O11" i="83" s="1"/>
  <c r="M42" i="83"/>
  <c r="O42" i="83" s="1"/>
  <c r="M3" i="83"/>
  <c r="O3" i="83" s="1"/>
  <c r="M57" i="83"/>
  <c r="M73" i="81"/>
  <c r="M65" i="81"/>
  <c r="O65" i="81" s="1"/>
  <c r="M9" i="81"/>
  <c r="O9" i="81" s="1"/>
  <c r="M17" i="81"/>
  <c r="O17" i="81" s="1"/>
  <c r="M6" i="81"/>
  <c r="O6" i="81" s="1"/>
  <c r="M72" i="81"/>
  <c r="M23" i="81"/>
  <c r="M43" i="81"/>
  <c r="O43" i="81" s="1"/>
  <c r="M48" i="81"/>
  <c r="O48" i="81" s="1"/>
  <c r="M55" i="81"/>
  <c r="M42" i="81"/>
  <c r="O42" i="81" s="1"/>
  <c r="M67" i="81"/>
  <c r="O67" i="81" s="1"/>
  <c r="M13" i="81"/>
  <c r="O13" i="81" s="1"/>
  <c r="M46" i="81"/>
  <c r="M5" i="81"/>
  <c r="O5" i="81" s="1"/>
  <c r="M20" i="81"/>
  <c r="O20" i="81" s="1"/>
  <c r="M31" i="81"/>
  <c r="M29" i="81"/>
  <c r="O29" i="81" s="1"/>
  <c r="M33" i="81"/>
  <c r="O33" i="81" s="1"/>
  <c r="M37" i="81"/>
  <c r="M38" i="81"/>
  <c r="O38" i="81" s="1"/>
  <c r="M3" i="81"/>
  <c r="O3" i="81" s="1"/>
  <c r="M40" i="81"/>
  <c r="O40" i="81" s="1"/>
  <c r="M24" i="81"/>
  <c r="O24" i="81" s="1"/>
  <c r="M44" i="81"/>
  <c r="M62" i="81"/>
  <c r="M45" i="81"/>
  <c r="M58" i="81"/>
  <c r="M64" i="81"/>
  <c r="M49" i="81"/>
  <c r="M60" i="81"/>
  <c r="M8" i="81"/>
  <c r="O8" i="81" s="1"/>
  <c r="M51" i="81"/>
  <c r="M16" i="81"/>
  <c r="M52" i="81"/>
  <c r="M4" i="81"/>
  <c r="O4" i="81" s="1"/>
  <c r="M47" i="81"/>
  <c r="M19" i="81"/>
  <c r="O19" i="81" s="1"/>
  <c r="M61" i="81"/>
  <c r="M21" i="81"/>
  <c r="O21" i="81" s="1"/>
  <c r="M68" i="81"/>
  <c r="M30" i="81"/>
  <c r="O30" i="81" s="1"/>
  <c r="M50" i="81"/>
  <c r="M26" i="81"/>
  <c r="M56" i="81"/>
  <c r="M14" i="81"/>
  <c r="O14" i="81" s="1"/>
  <c r="M39" i="81"/>
  <c r="O39" i="81" s="1"/>
  <c r="M79" i="81"/>
  <c r="M76" i="81"/>
  <c r="M89" i="81"/>
  <c r="M93" i="81"/>
  <c r="M80" i="81"/>
  <c r="M103" i="81"/>
  <c r="M78" i="81"/>
  <c r="M101" i="81"/>
  <c r="M59" i="81"/>
  <c r="M102" i="81"/>
  <c r="M69" i="81"/>
  <c r="M53" i="81"/>
  <c r="M10" i="81"/>
  <c r="O10" i="81" s="1"/>
  <c r="M7" i="81"/>
  <c r="O7" i="81" s="1"/>
  <c r="M27" i="81"/>
  <c r="O27" i="81" s="1"/>
  <c r="M63" i="81"/>
  <c r="M86" i="81"/>
  <c r="M28" i="81"/>
  <c r="O28" i="81" s="1"/>
  <c r="M35" i="81"/>
  <c r="M70" i="81"/>
  <c r="M84" i="81"/>
  <c r="M77" i="81"/>
  <c r="M95" i="81"/>
  <c r="M92" i="81"/>
  <c r="M85" i="81"/>
  <c r="M94" i="81"/>
  <c r="M74" i="81"/>
  <c r="M104" i="81"/>
  <c r="M91" i="81"/>
  <c r="M83" i="81"/>
  <c r="M88" i="81"/>
  <c r="M90" i="81"/>
  <c r="M98" i="81"/>
  <c r="M99" i="81"/>
  <c r="M54" i="81"/>
  <c r="O54" i="81" s="1"/>
  <c r="M82" i="81"/>
  <c r="M87" i="81"/>
  <c r="M57" i="81"/>
  <c r="M81" i="81"/>
  <c r="M100" i="81"/>
  <c r="M97" i="81"/>
  <c r="M11" i="81"/>
  <c r="M75" i="81"/>
  <c r="M96" i="81"/>
  <c r="M2" i="81"/>
  <c r="O2" i="81" s="1"/>
  <c r="M66" i="81"/>
  <c r="O66" i="81" s="1"/>
  <c r="M22" i="81"/>
  <c r="O22" i="81" s="1"/>
  <c r="M12" i="81"/>
  <c r="O12" i="81" s="1"/>
  <c r="M36" i="81"/>
  <c r="O36" i="81" s="1"/>
  <c r="M41" i="81"/>
  <c r="O41" i="81" s="1"/>
  <c r="M71" i="81"/>
  <c r="M34" i="81"/>
  <c r="M18" i="81"/>
  <c r="O18" i="81" s="1"/>
  <c r="M25" i="81"/>
  <c r="O25" i="81" s="1"/>
  <c r="AH157" i="55"/>
  <c r="H175" i="55"/>
  <c r="AG179" i="55"/>
  <c r="M72" i="80"/>
  <c r="N24" i="80"/>
  <c r="AP217" i="55"/>
  <c r="P235" i="55"/>
  <c r="AO239" i="55"/>
  <c r="H268" i="55"/>
  <c r="AH256" i="55"/>
  <c r="M93" i="83"/>
  <c r="M63" i="83"/>
  <c r="M48" i="83"/>
  <c r="M36" i="83"/>
  <c r="O36" i="83" s="1"/>
  <c r="M7" i="83"/>
  <c r="O7" i="83" s="1"/>
  <c r="O2" i="78"/>
  <c r="N47" i="84"/>
  <c r="N40" i="84"/>
  <c r="N36" i="84"/>
  <c r="N14" i="84"/>
  <c r="O14" i="84" s="1"/>
  <c r="N25" i="84"/>
  <c r="N2" i="84"/>
  <c r="N41" i="84"/>
  <c r="N5" i="84"/>
  <c r="N22" i="84"/>
  <c r="N32" i="84"/>
  <c r="O32" i="84" s="1"/>
  <c r="N51" i="84"/>
  <c r="N8" i="84"/>
  <c r="O8" i="84" s="1"/>
  <c r="N13" i="84"/>
  <c r="N35" i="84"/>
  <c r="O35" i="84" s="1"/>
  <c r="N50" i="84"/>
  <c r="N54" i="84"/>
  <c r="N49" i="84"/>
  <c r="N46" i="84"/>
  <c r="N19" i="84"/>
  <c r="N30" i="84"/>
  <c r="N15" i="84"/>
  <c r="N9" i="84"/>
  <c r="N17" i="84"/>
  <c r="N38" i="84"/>
  <c r="N4" i="84"/>
  <c r="N6" i="84"/>
  <c r="N20" i="84"/>
  <c r="N42" i="84"/>
  <c r="N10" i="84"/>
  <c r="N43" i="84"/>
  <c r="N18" i="84"/>
  <c r="N24" i="84"/>
  <c r="N27" i="84"/>
  <c r="N31" i="84"/>
  <c r="N21" i="84"/>
  <c r="N3" i="84"/>
  <c r="N11" i="84"/>
  <c r="O11" i="84" s="1"/>
  <c r="N37" i="84"/>
  <c r="N29" i="84"/>
  <c r="N28" i="84"/>
  <c r="O28" i="84" s="1"/>
  <c r="N23" i="84"/>
  <c r="N39" i="84"/>
  <c r="N33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O55" i="80" s="1"/>
  <c r="M45" i="80"/>
  <c r="H28" i="57"/>
  <c r="AH16" i="57"/>
  <c r="AG29" i="57"/>
  <c r="M69" i="83"/>
  <c r="M73" i="83"/>
  <c r="O73" i="83" s="1"/>
  <c r="M70" i="83"/>
  <c r="M8" i="83"/>
  <c r="O8" i="83" s="1"/>
  <c r="M56" i="83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O8" i="80" s="1"/>
  <c r="M71" i="80"/>
  <c r="AN220" i="55"/>
  <c r="N236" i="55"/>
  <c r="AM239" i="55"/>
  <c r="AM29" i="55"/>
  <c r="N27" i="55"/>
  <c r="AN13" i="55"/>
  <c r="M64" i="80"/>
  <c r="M13" i="83"/>
  <c r="O13" i="83" s="1"/>
  <c r="M100" i="83"/>
  <c r="M64" i="83"/>
  <c r="M33" i="83"/>
  <c r="O33" i="83" s="1"/>
  <c r="M46" i="83"/>
  <c r="O46" i="83" s="1"/>
  <c r="M4" i="83"/>
  <c r="O4" i="83" s="1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O32" i="81" s="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M24" i="83"/>
  <c r="O24" i="83" s="1"/>
  <c r="M25" i="83"/>
  <c r="O25" i="83" s="1"/>
  <c r="M12" i="83"/>
  <c r="O12" i="83" s="1"/>
  <c r="M19" i="83"/>
  <c r="O19" i="83" s="1"/>
  <c r="AH163" i="57"/>
  <c r="H177" i="57"/>
  <c r="AG179" i="57"/>
  <c r="AC209" i="55"/>
  <c r="D207" i="55"/>
  <c r="AD193" i="55"/>
  <c r="M32" i="80"/>
  <c r="J148" i="57"/>
  <c r="AJ136" i="57"/>
  <c r="AI149" i="57"/>
  <c r="N54" i="80"/>
  <c r="M10" i="83"/>
  <c r="O10" i="83" s="1"/>
  <c r="M82" i="83"/>
  <c r="M59" i="83"/>
  <c r="O59" i="83" s="1"/>
  <c r="M40" i="83"/>
  <c r="O40" i="83" s="1"/>
  <c r="M39" i="83"/>
  <c r="O39" i="83" s="1"/>
  <c r="M23" i="83"/>
  <c r="O23" i="83" s="1"/>
  <c r="R207" i="55"/>
  <c r="AR193" i="55"/>
  <c r="AQ209" i="55"/>
  <c r="P207" i="57"/>
  <c r="AO209" i="57"/>
  <c r="AP193" i="57"/>
  <c r="N29" i="80"/>
  <c r="O29" i="80" s="1"/>
  <c r="F86" i="57"/>
  <c r="AF70" i="57"/>
  <c r="AE89" i="57"/>
  <c r="M28" i="83"/>
  <c r="O28" i="83" s="1"/>
  <c r="M87" i="83"/>
  <c r="M29" i="83"/>
  <c r="O29" i="83" s="1"/>
  <c r="M38" i="83"/>
  <c r="M60" i="83"/>
  <c r="O60" i="83" s="1"/>
  <c r="M14" i="83"/>
  <c r="O14" i="83" s="1"/>
  <c r="AH160" i="55"/>
  <c r="H176" i="55"/>
  <c r="AN16" i="55"/>
  <c r="N28" i="55"/>
  <c r="N72" i="80"/>
  <c r="O72" i="80" s="1"/>
  <c r="AT247" i="55"/>
  <c r="T265" i="55"/>
  <c r="AS269" i="55"/>
  <c r="AP10" i="55"/>
  <c r="AO29" i="55"/>
  <c r="P26" i="55"/>
  <c r="M54" i="83"/>
  <c r="O54" i="83" s="1"/>
  <c r="L206" i="53"/>
  <c r="AK209" i="53"/>
  <c r="AL190" i="53"/>
  <c r="N58" i="80"/>
  <c r="P58" i="57"/>
  <c r="AP46" i="57"/>
  <c r="AO59" i="57"/>
  <c r="O187" i="59"/>
  <c r="M85" i="83"/>
  <c r="M96" i="83"/>
  <c r="M44" i="83"/>
  <c r="M6" i="83"/>
  <c r="O6" i="83" s="1"/>
  <c r="M31" i="83"/>
  <c r="O31" i="83" s="1"/>
  <c r="M27" i="83"/>
  <c r="O27" i="83" s="1"/>
  <c r="AJ286" i="55"/>
  <c r="J298" i="55"/>
  <c r="AI299" i="55"/>
  <c r="N49" i="80"/>
  <c r="O49" i="80" s="1"/>
  <c r="T206" i="53"/>
  <c r="AT190" i="53"/>
  <c r="AS209" i="53"/>
  <c r="M103" i="83"/>
  <c r="M83" i="83"/>
  <c r="M43" i="83"/>
  <c r="O43" i="83" s="1"/>
  <c r="M49" i="83"/>
  <c r="M41" i="83"/>
  <c r="O41" i="83" s="1"/>
  <c r="M35" i="83"/>
  <c r="H179" i="52"/>
  <c r="AH169" i="52"/>
  <c r="I37" i="52"/>
  <c r="O75" i="83" l="1"/>
  <c r="O74" i="83"/>
  <c r="O57" i="83"/>
  <c r="O67" i="83"/>
  <c r="T59" i="59"/>
  <c r="H149" i="59"/>
  <c r="L138" i="46"/>
  <c r="L139" i="46" s="1"/>
  <c r="I120" i="46"/>
  <c r="P138" i="46"/>
  <c r="P139" i="46" s="1"/>
  <c r="D138" i="46"/>
  <c r="D139" i="46" s="1"/>
  <c r="Q120" i="46"/>
  <c r="M120" i="46"/>
  <c r="F138" i="46"/>
  <c r="F139" i="46" s="1"/>
  <c r="O120" i="46"/>
  <c r="J138" i="46"/>
  <c r="J139" i="46" s="1"/>
  <c r="G120" i="46"/>
  <c r="E120" i="46"/>
  <c r="N138" i="46"/>
  <c r="N139" i="46" s="1"/>
  <c r="B147" i="46"/>
  <c r="R138" i="46"/>
  <c r="R139" i="46" s="1"/>
  <c r="B119" i="46"/>
  <c r="T138" i="46"/>
  <c r="T139" i="46" s="1"/>
  <c r="U120" i="46"/>
  <c r="K120" i="46"/>
  <c r="H138" i="46"/>
  <c r="H139" i="46" s="1"/>
  <c r="S120" i="46"/>
  <c r="O80" i="82"/>
  <c r="O87" i="82"/>
  <c r="O84" i="82"/>
  <c r="O94" i="82"/>
  <c r="O79" i="82"/>
  <c r="O96" i="82"/>
  <c r="O100" i="82"/>
  <c r="O102" i="82"/>
  <c r="O89" i="82"/>
  <c r="O83" i="82"/>
  <c r="O98" i="82"/>
  <c r="O95" i="82"/>
  <c r="O75" i="82"/>
  <c r="O103" i="82"/>
  <c r="O101" i="82"/>
  <c r="O78" i="82"/>
  <c r="O104" i="82"/>
  <c r="O91" i="82"/>
  <c r="O97" i="82"/>
  <c r="O85" i="82"/>
  <c r="O99" i="82"/>
  <c r="O86" i="82"/>
  <c r="O77" i="82"/>
  <c r="O93" i="82"/>
  <c r="O88" i="82"/>
  <c r="O90" i="82"/>
  <c r="O74" i="82"/>
  <c r="O82" i="82"/>
  <c r="BV196" i="58"/>
  <c r="BV285" i="58"/>
  <c r="BV18" i="58"/>
  <c r="BV279" i="58"/>
  <c r="BV164" i="58"/>
  <c r="BV44" i="58"/>
  <c r="BV221" i="58"/>
  <c r="BV39" i="58"/>
  <c r="BV190" i="58"/>
  <c r="BV130" i="58"/>
  <c r="BV256" i="58"/>
  <c r="BV224" i="58"/>
  <c r="BV7" i="58"/>
  <c r="BV227" i="58"/>
  <c r="BV103" i="58"/>
  <c r="BV70" i="58"/>
  <c r="BV74" i="58"/>
  <c r="BV38" i="58"/>
  <c r="BV47" i="58"/>
  <c r="BV131" i="58"/>
  <c r="BV69" i="58"/>
  <c r="BV281" i="58"/>
  <c r="BV288" i="58"/>
  <c r="BV222" i="58"/>
  <c r="BV78" i="58"/>
  <c r="BV167" i="58"/>
  <c r="BV277" i="58"/>
  <c r="BV252" i="58"/>
  <c r="BV99" i="58"/>
  <c r="BV48" i="58"/>
  <c r="BV280" i="58"/>
  <c r="BV68" i="58"/>
  <c r="BV45" i="58"/>
  <c r="BV158" i="58"/>
  <c r="BV283" i="58"/>
  <c r="BV166" i="58"/>
  <c r="BV217" i="58"/>
  <c r="BV286" i="58"/>
  <c r="BV195" i="58"/>
  <c r="BV225" i="58"/>
  <c r="BV220" i="58"/>
  <c r="BV187" i="58"/>
  <c r="BV257" i="58"/>
  <c r="BV101" i="58"/>
  <c r="BV226" i="58"/>
  <c r="BV73" i="58"/>
  <c r="BV76" i="58"/>
  <c r="BV102" i="58"/>
  <c r="BV160" i="58"/>
  <c r="BV287" i="58"/>
  <c r="BV11" i="58"/>
  <c r="BV193" i="58"/>
  <c r="BV75" i="58"/>
  <c r="BV218" i="58"/>
  <c r="BV16" i="58"/>
  <c r="BV165" i="58"/>
  <c r="BV135" i="58"/>
  <c r="BV13" i="58"/>
  <c r="BV15" i="58"/>
  <c r="BV192" i="58"/>
  <c r="BV97" i="58"/>
  <c r="BV157" i="58"/>
  <c r="BV9" i="58"/>
  <c r="BV77" i="58"/>
  <c r="BV133" i="58"/>
  <c r="BV189" i="58"/>
  <c r="BV100" i="58"/>
  <c r="BV249" i="58"/>
  <c r="BV105" i="58"/>
  <c r="BV43" i="58"/>
  <c r="BV106" i="58"/>
  <c r="BV17" i="58"/>
  <c r="BV191" i="58"/>
  <c r="BV46" i="58"/>
  <c r="BV138" i="58"/>
  <c r="BV137" i="58"/>
  <c r="BV255" i="58"/>
  <c r="BV282" i="58"/>
  <c r="BV188" i="58"/>
  <c r="BV197" i="58"/>
  <c r="BV42" i="58"/>
  <c r="BV71" i="58"/>
  <c r="BV278" i="58"/>
  <c r="BV253" i="58"/>
  <c r="BV107" i="58"/>
  <c r="BV254" i="58"/>
  <c r="BV250" i="58"/>
  <c r="BV128" i="58"/>
  <c r="BV168" i="58"/>
  <c r="BV194" i="58"/>
  <c r="BV108" i="58"/>
  <c r="BV14" i="58"/>
  <c r="BV136" i="58"/>
  <c r="BV37" i="58"/>
  <c r="BV132" i="58"/>
  <c r="BV161" i="58"/>
  <c r="BV248" i="58"/>
  <c r="BV134" i="58"/>
  <c r="BV98" i="58"/>
  <c r="BV72" i="58"/>
  <c r="BV258" i="58"/>
  <c r="BV104" i="58"/>
  <c r="BV40" i="58"/>
  <c r="BV67" i="58"/>
  <c r="BV228" i="58"/>
  <c r="BV129" i="58"/>
  <c r="BV198" i="58"/>
  <c r="BV162" i="58"/>
  <c r="BV8" i="58"/>
  <c r="N22" i="68" s="1"/>
  <c r="C22" i="68" s="1"/>
  <c r="H22" i="68" s="1"/>
  <c r="BV219" i="58"/>
  <c r="BV12" i="58"/>
  <c r="BV247" i="58"/>
  <c r="BV223" i="58"/>
  <c r="BV284" i="58"/>
  <c r="BV159" i="58"/>
  <c r="BV127" i="58"/>
  <c r="BV163" i="58"/>
  <c r="BV251" i="58"/>
  <c r="BV10" i="58"/>
  <c r="BV41" i="58"/>
  <c r="O69" i="81"/>
  <c r="O59" i="81"/>
  <c r="O58" i="81"/>
  <c r="O56" i="81"/>
  <c r="O55" i="81"/>
  <c r="O50" i="81"/>
  <c r="O71" i="81"/>
  <c r="O62" i="81"/>
  <c r="O70" i="81"/>
  <c r="O45" i="81"/>
  <c r="BV167" i="57"/>
  <c r="BV258" i="57"/>
  <c r="BV44" i="57"/>
  <c r="BV157" i="57"/>
  <c r="BV69" i="57"/>
  <c r="BV228" i="57"/>
  <c r="BV135" i="57"/>
  <c r="BV253" i="57"/>
  <c r="BV195" i="57"/>
  <c r="BV284" i="57"/>
  <c r="BV130" i="57"/>
  <c r="BV251" i="57"/>
  <c r="BV128" i="57"/>
  <c r="BV40" i="57"/>
  <c r="BV102" i="57"/>
  <c r="BV248" i="57"/>
  <c r="BV15" i="57"/>
  <c r="BV249" i="57"/>
  <c r="BV192" i="57"/>
  <c r="BV198" i="57"/>
  <c r="BV190" i="57"/>
  <c r="BV285" i="57"/>
  <c r="BV67" i="57"/>
  <c r="BV38" i="57"/>
  <c r="BV48" i="57"/>
  <c r="BV39" i="57"/>
  <c r="BV188" i="57"/>
  <c r="BV134" i="57"/>
  <c r="BV129" i="57"/>
  <c r="BV106" i="57"/>
  <c r="BV165" i="57"/>
  <c r="BV287" i="57"/>
  <c r="BV107" i="57"/>
  <c r="BV99" i="57"/>
  <c r="BV136" i="57"/>
  <c r="BV98" i="57"/>
  <c r="O60" i="80"/>
  <c r="O25" i="80"/>
  <c r="O24" i="80"/>
  <c r="O59" i="80"/>
  <c r="O69" i="80"/>
  <c r="L119" i="58"/>
  <c r="O37" i="80"/>
  <c r="O38" i="80"/>
  <c r="O58" i="80"/>
  <c r="O39" i="80"/>
  <c r="O54" i="80"/>
  <c r="O56" i="80"/>
  <c r="O36" i="80"/>
  <c r="O33" i="80"/>
  <c r="O9" i="80"/>
  <c r="O6" i="80"/>
  <c r="O10" i="80"/>
  <c r="O12" i="80"/>
  <c r="O11" i="80"/>
  <c r="O13" i="80"/>
  <c r="O50" i="80"/>
  <c r="O43" i="80"/>
  <c r="O62" i="80"/>
  <c r="O44" i="80"/>
  <c r="O42" i="80"/>
  <c r="O48" i="80"/>
  <c r="O5" i="80"/>
  <c r="O68" i="80"/>
  <c r="O3" i="80"/>
  <c r="O4" i="80"/>
  <c r="O15" i="80"/>
  <c r="O17" i="80"/>
  <c r="O14" i="80"/>
  <c r="O47" i="80"/>
  <c r="O16" i="80"/>
  <c r="O46" i="80"/>
  <c r="O19" i="80"/>
  <c r="O45" i="80"/>
  <c r="O21" i="80"/>
  <c r="O20" i="80"/>
  <c r="O18" i="80"/>
  <c r="O26" i="80"/>
  <c r="O27" i="80"/>
  <c r="O31" i="80"/>
  <c r="O30" i="80"/>
  <c r="O32" i="80"/>
  <c r="BZ256" i="53"/>
  <c r="AN260" i="59"/>
  <c r="O260" i="59" s="1"/>
  <c r="N269" i="59"/>
  <c r="O66" i="79"/>
  <c r="O33" i="84"/>
  <c r="O6" i="84"/>
  <c r="N68" i="84"/>
  <c r="O70" i="78"/>
  <c r="AL110" i="58"/>
  <c r="M110" i="58" s="1"/>
  <c r="O94" i="79"/>
  <c r="O83" i="79"/>
  <c r="O63" i="79"/>
  <c r="O87" i="79"/>
  <c r="O95" i="79"/>
  <c r="O76" i="79"/>
  <c r="O96" i="79"/>
  <c r="O101" i="79"/>
  <c r="O103" i="79"/>
  <c r="O88" i="79"/>
  <c r="O85" i="79"/>
  <c r="O84" i="79"/>
  <c r="O89" i="79"/>
  <c r="O72" i="79"/>
  <c r="O98" i="79"/>
  <c r="O68" i="79"/>
  <c r="O31" i="84"/>
  <c r="BZ76" i="53"/>
  <c r="O61" i="78"/>
  <c r="O88" i="78"/>
  <c r="O63" i="78"/>
  <c r="O67" i="78"/>
  <c r="O72" i="78"/>
  <c r="BZ16" i="53"/>
  <c r="BZ69" i="53"/>
  <c r="BV12" i="53"/>
  <c r="BV39" i="53"/>
  <c r="BV218" i="53"/>
  <c r="BV280" i="53"/>
  <c r="BV97" i="53"/>
  <c r="BV159" i="53"/>
  <c r="BV222" i="53"/>
  <c r="BV48" i="53"/>
  <c r="BV77" i="53"/>
  <c r="BV72" i="53"/>
  <c r="BV191" i="53"/>
  <c r="BV75" i="53"/>
  <c r="BV162" i="53"/>
  <c r="BV44" i="53"/>
  <c r="BV14" i="53"/>
  <c r="BV76" i="53"/>
  <c r="BV189" i="53"/>
  <c r="BV193" i="53"/>
  <c r="BV42" i="53"/>
  <c r="BV17" i="53"/>
  <c r="BV107" i="53"/>
  <c r="BV102" i="53"/>
  <c r="BV168" i="53"/>
  <c r="BV164" i="53"/>
  <c r="BV69" i="53"/>
  <c r="BV167" i="53"/>
  <c r="BV225" i="53"/>
  <c r="BV16" i="53"/>
  <c r="BV8" i="53"/>
  <c r="BV40" i="53"/>
  <c r="BV283" i="53"/>
  <c r="BV45" i="53"/>
  <c r="BV278" i="53"/>
  <c r="BV250" i="53"/>
  <c r="BV247" i="53"/>
  <c r="BV165" i="53"/>
  <c r="BV70" i="53"/>
  <c r="BV131" i="53"/>
  <c r="BV41" i="53"/>
  <c r="BV7" i="53"/>
  <c r="BV128" i="53"/>
  <c r="BV158" i="53"/>
  <c r="BZ287" i="53"/>
  <c r="BV190" i="53"/>
  <c r="BV101" i="53"/>
  <c r="BV279" i="53"/>
  <c r="BV285" i="53"/>
  <c r="BV127" i="53"/>
  <c r="BZ252" i="53"/>
  <c r="BZ10" i="53"/>
  <c r="BZ194" i="53"/>
  <c r="BZ104" i="53"/>
  <c r="BZ134" i="53"/>
  <c r="BZ187" i="53"/>
  <c r="BZ106" i="53"/>
  <c r="BZ133" i="53"/>
  <c r="BV105" i="53"/>
  <c r="BV194" i="53"/>
  <c r="BV221" i="53"/>
  <c r="BV37" i="53"/>
  <c r="BV217" i="53"/>
  <c r="BZ193" i="53"/>
  <c r="BZ47" i="53"/>
  <c r="BZ48" i="53"/>
  <c r="BZ42" i="53"/>
  <c r="BZ40" i="53"/>
  <c r="BZ15" i="53"/>
  <c r="BV257" i="53"/>
  <c r="BV192" i="53"/>
  <c r="BV103" i="53"/>
  <c r="BV46" i="53"/>
  <c r="BV160" i="53"/>
  <c r="BZ223" i="53"/>
  <c r="BZ138" i="53"/>
  <c r="BZ195" i="53"/>
  <c r="BZ286" i="53"/>
  <c r="BZ190" i="53"/>
  <c r="BZ37" i="53"/>
  <c r="BZ128" i="53"/>
  <c r="BZ249" i="53"/>
  <c r="BZ13" i="53"/>
  <c r="BZ78" i="53"/>
  <c r="BZ136" i="53"/>
  <c r="BZ132" i="53"/>
  <c r="BV287" i="53"/>
  <c r="BV68" i="53"/>
  <c r="BZ17" i="53"/>
  <c r="BZ251" i="53"/>
  <c r="BZ191" i="53"/>
  <c r="BZ38" i="53"/>
  <c r="BZ105" i="53"/>
  <c r="BZ102" i="53"/>
  <c r="BZ248" i="53"/>
  <c r="BZ217" i="53"/>
  <c r="BZ161" i="53"/>
  <c r="BZ107" i="53"/>
  <c r="BZ257" i="53"/>
  <c r="BZ255" i="53"/>
  <c r="BZ72" i="53"/>
  <c r="BV74" i="53"/>
  <c r="BV138" i="53"/>
  <c r="BV38" i="53"/>
  <c r="BZ11" i="53"/>
  <c r="BZ129" i="53"/>
  <c r="BZ196" i="53"/>
  <c r="BZ73" i="53"/>
  <c r="BZ99" i="53"/>
  <c r="BZ228" i="53"/>
  <c r="BV187" i="53"/>
  <c r="BV137" i="53"/>
  <c r="BV288" i="53"/>
  <c r="BV220" i="53"/>
  <c r="BZ130" i="53"/>
  <c r="BZ39" i="53"/>
  <c r="BZ98" i="53"/>
  <c r="BZ12" i="53"/>
  <c r="BZ71" i="53"/>
  <c r="BZ18" i="53"/>
  <c r="BZ282" i="53"/>
  <c r="BZ285" i="53"/>
  <c r="BZ166" i="53"/>
  <c r="BZ160" i="53"/>
  <c r="BZ46" i="53"/>
  <c r="BZ8" i="53"/>
  <c r="BZ221" i="53"/>
  <c r="BZ9" i="53"/>
  <c r="BZ163" i="53"/>
  <c r="BV253" i="53"/>
  <c r="BV108" i="53"/>
  <c r="BV282" i="53"/>
  <c r="BV10" i="53"/>
  <c r="BZ77" i="53"/>
  <c r="BZ158" i="53"/>
  <c r="BZ224" i="53"/>
  <c r="BZ127" i="53"/>
  <c r="BV195" i="53"/>
  <c r="BV15" i="53"/>
  <c r="BV252" i="53"/>
  <c r="BZ45" i="53"/>
  <c r="BZ278" i="53"/>
  <c r="BZ70" i="53"/>
  <c r="BZ164" i="53"/>
  <c r="BZ135" i="53"/>
  <c r="BV223" i="53"/>
  <c r="BV99" i="53"/>
  <c r="BV11" i="53"/>
  <c r="BZ41" i="53"/>
  <c r="BZ97" i="53"/>
  <c r="BZ284" i="53"/>
  <c r="BZ250" i="53"/>
  <c r="BZ7" i="53"/>
  <c r="BZ197" i="53"/>
  <c r="BV157" i="53"/>
  <c r="BV255" i="57"/>
  <c r="BV224" i="57"/>
  <c r="BV41" i="57"/>
  <c r="BV280" i="57"/>
  <c r="BV247" i="57"/>
  <c r="BV14" i="57"/>
  <c r="BV254" i="53"/>
  <c r="BV76" i="57"/>
  <c r="BV252" i="57"/>
  <c r="BV106" i="53"/>
  <c r="BV162" i="57"/>
  <c r="BV134" i="53"/>
  <c r="BV250" i="57"/>
  <c r="BV104" i="53"/>
  <c r="BV278" i="57"/>
  <c r="BV47" i="57"/>
  <c r="BV12" i="57"/>
  <c r="BV9" i="53"/>
  <c r="BV288" i="57"/>
  <c r="BV18" i="57"/>
  <c r="BV166" i="57"/>
  <c r="BV194" i="57"/>
  <c r="BV255" i="53"/>
  <c r="BV133" i="53"/>
  <c r="BV286" i="53"/>
  <c r="BV73" i="53"/>
  <c r="BV279" i="57"/>
  <c r="BV73" i="57"/>
  <c r="BV105" i="57"/>
  <c r="BV71" i="57"/>
  <c r="BZ43" i="53"/>
  <c r="BV221" i="57"/>
  <c r="BV18" i="53"/>
  <c r="BV281" i="53"/>
  <c r="BV71" i="53"/>
  <c r="BV258" i="53"/>
  <c r="BV256" i="53"/>
  <c r="BV197" i="53"/>
  <c r="BV43" i="57"/>
  <c r="BV131" i="57"/>
  <c r="BV161" i="53"/>
  <c r="BV224" i="53"/>
  <c r="BV72" i="57"/>
  <c r="BV74" i="57"/>
  <c r="BV45" i="57"/>
  <c r="BV219" i="57"/>
  <c r="BV77" i="57"/>
  <c r="BV277" i="53"/>
  <c r="BV257" i="57"/>
  <c r="BV217" i="57"/>
  <c r="BV277" i="57"/>
  <c r="BV283" i="57"/>
  <c r="BV97" i="57"/>
  <c r="BV168" i="57"/>
  <c r="BV191" i="57"/>
  <c r="BV163" i="53"/>
  <c r="BV198" i="53"/>
  <c r="B118" i="49"/>
  <c r="E91" i="49"/>
  <c r="U91" i="49"/>
  <c r="D109" i="49"/>
  <c r="D110" i="49" s="1"/>
  <c r="N109" i="49"/>
  <c r="N110" i="49" s="1"/>
  <c r="J109" i="49"/>
  <c r="J110" i="49" s="1"/>
  <c r="B90" i="49"/>
  <c r="M91" i="49"/>
  <c r="G91" i="49"/>
  <c r="S91" i="49"/>
  <c r="O91" i="49"/>
  <c r="Q91" i="49"/>
  <c r="I91" i="49"/>
  <c r="L109" i="49"/>
  <c r="L110" i="49" s="1"/>
  <c r="F109" i="49"/>
  <c r="F110" i="49" s="1"/>
  <c r="H109" i="49"/>
  <c r="H110" i="49" s="1"/>
  <c r="K91" i="49"/>
  <c r="R109" i="49"/>
  <c r="R110" i="49" s="1"/>
  <c r="T109" i="49"/>
  <c r="T110" i="49" s="1"/>
  <c r="P109" i="49"/>
  <c r="P110" i="49" s="1"/>
  <c r="BV256" i="57"/>
  <c r="BV187" i="57"/>
  <c r="BV42" i="57"/>
  <c r="BV225" i="57"/>
  <c r="BV103" i="57"/>
  <c r="BV161" i="57"/>
  <c r="BV248" i="53"/>
  <c r="BV223" i="57"/>
  <c r="BV227" i="57"/>
  <c r="BV9" i="57"/>
  <c r="BV137" i="57"/>
  <c r="BV8" i="57"/>
  <c r="BV163" i="57"/>
  <c r="BV78" i="53"/>
  <c r="BV13" i="57"/>
  <c r="BV197" i="57"/>
  <c r="BV159" i="57"/>
  <c r="BV70" i="57"/>
  <c r="BV75" i="57"/>
  <c r="BV133" i="57"/>
  <c r="BV189" i="57"/>
  <c r="BV135" i="53"/>
  <c r="BV219" i="53"/>
  <c r="BV196" i="53"/>
  <c r="BV100" i="53"/>
  <c r="BZ192" i="58"/>
  <c r="BZ69" i="59"/>
  <c r="BZ46" i="57"/>
  <c r="BV100" i="57"/>
  <c r="BV7" i="57"/>
  <c r="BZ159" i="53"/>
  <c r="BV68" i="57"/>
  <c r="BV286" i="57"/>
  <c r="BV78" i="57"/>
  <c r="BV17" i="57"/>
  <c r="BV228" i="53"/>
  <c r="BV67" i="53"/>
  <c r="BV108" i="57"/>
  <c r="BV132" i="53"/>
  <c r="BV254" i="59"/>
  <c r="BV158" i="57"/>
  <c r="BV104" i="57"/>
  <c r="BV220" i="57"/>
  <c r="BV249" i="53"/>
  <c r="BV284" i="53"/>
  <c r="BV193" i="57"/>
  <c r="BV281" i="57"/>
  <c r="BV222" i="57"/>
  <c r="BV160" i="57"/>
  <c r="BV166" i="53"/>
  <c r="BV130" i="53"/>
  <c r="BV47" i="53"/>
  <c r="BV98" i="53"/>
  <c r="BV218" i="57"/>
  <c r="BV101" i="57"/>
  <c r="BV46" i="57"/>
  <c r="BV127" i="57"/>
  <c r="BV254" i="57"/>
  <c r="BV251" i="53"/>
  <c r="BV43" i="53"/>
  <c r="BV37" i="57"/>
  <c r="BV282" i="57"/>
  <c r="BV10" i="57"/>
  <c r="BV226" i="57"/>
  <c r="BV16" i="57"/>
  <c r="BV138" i="57"/>
  <c r="BV164" i="57"/>
  <c r="BV11" i="57"/>
  <c r="BV196" i="57"/>
  <c r="BV226" i="53"/>
  <c r="BV13" i="53"/>
  <c r="BV188" i="53"/>
  <c r="BV227" i="53"/>
  <c r="BV129" i="53"/>
  <c r="BV136" i="53"/>
  <c r="BV132" i="57"/>
  <c r="O22" i="84"/>
  <c r="O38" i="84"/>
  <c r="O25" i="84"/>
  <c r="O23" i="84"/>
  <c r="O40" i="84"/>
  <c r="O24" i="84"/>
  <c r="N81" i="84"/>
  <c r="N52" i="84"/>
  <c r="N52" i="85" s="1"/>
  <c r="O37" i="84"/>
  <c r="O39" i="84"/>
  <c r="N95" i="84"/>
  <c r="N79" i="84"/>
  <c r="N85" i="84"/>
  <c r="O36" i="84"/>
  <c r="N75" i="84"/>
  <c r="N103" i="84"/>
  <c r="N69" i="84"/>
  <c r="N58" i="84"/>
  <c r="O9" i="84"/>
  <c r="O10" i="84"/>
  <c r="O41" i="84"/>
  <c r="O7" i="84"/>
  <c r="O44" i="84"/>
  <c r="N61" i="84"/>
  <c r="N84" i="84"/>
  <c r="N72" i="84"/>
  <c r="N77" i="84"/>
  <c r="N94" i="84"/>
  <c r="N91" i="84"/>
  <c r="N90" i="84"/>
  <c r="N63" i="84"/>
  <c r="N70" i="84"/>
  <c r="N71" i="84"/>
  <c r="N53" i="84"/>
  <c r="N60" i="84"/>
  <c r="N74" i="84"/>
  <c r="N55" i="84"/>
  <c r="N83" i="84"/>
  <c r="N104" i="84"/>
  <c r="N96" i="84"/>
  <c r="N97" i="84"/>
  <c r="N56" i="84"/>
  <c r="N57" i="84"/>
  <c r="N99" i="84"/>
  <c r="N65" i="84"/>
  <c r="N66" i="84"/>
  <c r="N102" i="84"/>
  <c r="N100" i="84"/>
  <c r="N78" i="84"/>
  <c r="N86" i="84"/>
  <c r="N87" i="84"/>
  <c r="N67" i="84"/>
  <c r="N59" i="84"/>
  <c r="N93" i="84"/>
  <c r="N92" i="84"/>
  <c r="N80" i="84"/>
  <c r="N98" i="84"/>
  <c r="N101" i="84"/>
  <c r="N76" i="84"/>
  <c r="N73" i="84"/>
  <c r="N62" i="84"/>
  <c r="N89" i="84"/>
  <c r="N82" i="84"/>
  <c r="N88" i="84"/>
  <c r="N64" i="84"/>
  <c r="O12" i="84"/>
  <c r="O13" i="84"/>
  <c r="O43" i="84"/>
  <c r="O42" i="84"/>
  <c r="N48" i="84"/>
  <c r="N48" i="85" s="1"/>
  <c r="O5" i="84"/>
  <c r="O20" i="84"/>
  <c r="O3" i="84"/>
  <c r="O4" i="84"/>
  <c r="P89" i="57"/>
  <c r="P59" i="55"/>
  <c r="O16" i="84"/>
  <c r="N45" i="84"/>
  <c r="N45" i="85" s="1"/>
  <c r="O77" i="78"/>
  <c r="O86" i="78"/>
  <c r="O95" i="78"/>
  <c r="O17" i="84"/>
  <c r="O90" i="78"/>
  <c r="O103" i="78"/>
  <c r="O102" i="78"/>
  <c r="O94" i="78"/>
  <c r="O98" i="78"/>
  <c r="O78" i="78"/>
  <c r="O89" i="78"/>
  <c r="O58" i="78"/>
  <c r="O74" i="78"/>
  <c r="O71" i="78"/>
  <c r="O91" i="78"/>
  <c r="O100" i="78"/>
  <c r="O93" i="78"/>
  <c r="O81" i="78"/>
  <c r="O96" i="78"/>
  <c r="O87" i="78"/>
  <c r="O99" i="78"/>
  <c r="O84" i="78"/>
  <c r="O104" i="78"/>
  <c r="O76" i="78"/>
  <c r="O82" i="78"/>
  <c r="O92" i="78"/>
  <c r="O75" i="78"/>
  <c r="O79" i="78"/>
  <c r="O15" i="84"/>
  <c r="O19" i="84"/>
  <c r="O21" i="84"/>
  <c r="O18" i="84"/>
  <c r="O26" i="84"/>
  <c r="AR259" i="58"/>
  <c r="AR260" i="58" s="1"/>
  <c r="S260" i="58" s="1"/>
  <c r="O29" i="84"/>
  <c r="O27" i="84"/>
  <c r="O30" i="84"/>
  <c r="BV135" i="52"/>
  <c r="BZ190" i="52"/>
  <c r="T209" i="57"/>
  <c r="AH110" i="53"/>
  <c r="I110" i="53" s="1"/>
  <c r="L269" i="55"/>
  <c r="AJ200" i="53"/>
  <c r="K200" i="53" s="1"/>
  <c r="AN199" i="55"/>
  <c r="O199" i="55" s="1"/>
  <c r="AR109" i="53"/>
  <c r="S109" i="53" s="1"/>
  <c r="N29" i="53"/>
  <c r="AL19" i="55"/>
  <c r="M19" i="55" s="1"/>
  <c r="F119" i="58"/>
  <c r="L119" i="53"/>
  <c r="AF49" i="52"/>
  <c r="G49" i="52" s="1"/>
  <c r="AL79" i="59"/>
  <c r="M79" i="59" s="1"/>
  <c r="J179" i="53"/>
  <c r="AP259" i="53"/>
  <c r="Q259" i="53" s="1"/>
  <c r="F29" i="59"/>
  <c r="AP289" i="52"/>
  <c r="Q289" i="52" s="1"/>
  <c r="F89" i="58"/>
  <c r="AN169" i="57"/>
  <c r="O169" i="57" s="1"/>
  <c r="AF199" i="53"/>
  <c r="G199" i="53" s="1"/>
  <c r="D89" i="58"/>
  <c r="AF79" i="53"/>
  <c r="G79" i="53" s="1"/>
  <c r="AJ260" i="58"/>
  <c r="K260" i="58" s="1"/>
  <c r="AR19" i="53"/>
  <c r="S19" i="53" s="1"/>
  <c r="AN140" i="53"/>
  <c r="O140" i="53" s="1"/>
  <c r="AJ139" i="53"/>
  <c r="K139" i="53" s="1"/>
  <c r="AL289" i="53"/>
  <c r="M289" i="53" s="1"/>
  <c r="F299" i="53"/>
  <c r="P149" i="53"/>
  <c r="AF199" i="55"/>
  <c r="G199" i="55" s="1"/>
  <c r="AN49" i="53"/>
  <c r="O49" i="53" s="1"/>
  <c r="AD140" i="55"/>
  <c r="E140" i="55" s="1"/>
  <c r="AL79" i="52"/>
  <c r="M79" i="52" s="1"/>
  <c r="AH259" i="52"/>
  <c r="I259" i="52" s="1"/>
  <c r="F29" i="53"/>
  <c r="F119" i="55"/>
  <c r="F239" i="52"/>
  <c r="AH109" i="59"/>
  <c r="I109" i="59" s="1"/>
  <c r="F119" i="59"/>
  <c r="R149" i="53"/>
  <c r="T299" i="57"/>
  <c r="N269" i="57"/>
  <c r="H239" i="52"/>
  <c r="AF289" i="55"/>
  <c r="AF290" i="55" s="1"/>
  <c r="G290" i="55" s="1"/>
  <c r="H89" i="52"/>
  <c r="AF79" i="59"/>
  <c r="G79" i="59" s="1"/>
  <c r="AL229" i="55"/>
  <c r="M229" i="55" s="1"/>
  <c r="AT200" i="58"/>
  <c r="U200" i="58" s="1"/>
  <c r="AD19" i="59"/>
  <c r="E19" i="59" s="1"/>
  <c r="AJ110" i="57"/>
  <c r="K110" i="57" s="1"/>
  <c r="L269" i="53"/>
  <c r="F59" i="58"/>
  <c r="AR260" i="53"/>
  <c r="S260" i="53" s="1"/>
  <c r="AP139" i="59"/>
  <c r="AP140" i="59" s="1"/>
  <c r="Q140" i="59" s="1"/>
  <c r="P29" i="59"/>
  <c r="AH79" i="59"/>
  <c r="I79" i="59" s="1"/>
  <c r="AL259" i="59"/>
  <c r="M259" i="59" s="1"/>
  <c r="AD139" i="58"/>
  <c r="E139" i="58" s="1"/>
  <c r="H119" i="52"/>
  <c r="F209" i="58"/>
  <c r="F299" i="52"/>
  <c r="F269" i="59"/>
  <c r="H29" i="59"/>
  <c r="T269" i="58"/>
  <c r="AT109" i="53"/>
  <c r="U109" i="53" s="1"/>
  <c r="AF19" i="55"/>
  <c r="G19" i="55" s="1"/>
  <c r="J89" i="58"/>
  <c r="T239" i="55"/>
  <c r="N59" i="55"/>
  <c r="L89" i="55"/>
  <c r="AH289" i="52"/>
  <c r="I289" i="52" s="1"/>
  <c r="AN229" i="53"/>
  <c r="O229" i="53" s="1"/>
  <c r="H29" i="52"/>
  <c r="AF19" i="57"/>
  <c r="G19" i="57" s="1"/>
  <c r="AH139" i="58"/>
  <c r="I139" i="58" s="1"/>
  <c r="AD79" i="57"/>
  <c r="E79" i="57" s="1"/>
  <c r="AF169" i="59"/>
  <c r="G169" i="59" s="1"/>
  <c r="F59" i="55"/>
  <c r="T29" i="59"/>
  <c r="L299" i="57"/>
  <c r="AR19" i="59"/>
  <c r="S19" i="59" s="1"/>
  <c r="H59" i="55"/>
  <c r="AN229" i="57"/>
  <c r="O229" i="57" s="1"/>
  <c r="R119" i="58"/>
  <c r="AN19" i="57"/>
  <c r="O19" i="57" s="1"/>
  <c r="F149" i="59"/>
  <c r="AL79" i="53"/>
  <c r="M79" i="53" s="1"/>
  <c r="H59" i="52"/>
  <c r="N29" i="52"/>
  <c r="N119" i="59"/>
  <c r="AJ229" i="52"/>
  <c r="K229" i="52" s="1"/>
  <c r="AL19" i="59"/>
  <c r="M19" i="59" s="1"/>
  <c r="AD259" i="53"/>
  <c r="E259" i="53" s="1"/>
  <c r="AF289" i="59"/>
  <c r="AF290" i="59" s="1"/>
  <c r="G290" i="59" s="1"/>
  <c r="D209" i="53"/>
  <c r="AF199" i="59"/>
  <c r="G199" i="59" s="1"/>
  <c r="F179" i="55"/>
  <c r="AJ19" i="52"/>
  <c r="AJ20" i="52" s="1"/>
  <c r="K20" i="52" s="1"/>
  <c r="AN49" i="58"/>
  <c r="AN50" i="58" s="1"/>
  <c r="O50" i="58" s="1"/>
  <c r="D269" i="59"/>
  <c r="AF260" i="59"/>
  <c r="G260" i="59" s="1"/>
  <c r="AT230" i="52"/>
  <c r="U230" i="52" s="1"/>
  <c r="AR79" i="57"/>
  <c r="S79" i="57" s="1"/>
  <c r="AH19" i="58"/>
  <c r="I19" i="58" s="1"/>
  <c r="AF169" i="52"/>
  <c r="G169" i="52" s="1"/>
  <c r="L239" i="53"/>
  <c r="AH199" i="57"/>
  <c r="AH200" i="57" s="1"/>
  <c r="I200" i="57" s="1"/>
  <c r="AH289" i="57"/>
  <c r="I289" i="57" s="1"/>
  <c r="AR289" i="57"/>
  <c r="S289" i="57" s="1"/>
  <c r="T59" i="53"/>
  <c r="R89" i="59"/>
  <c r="F179" i="53"/>
  <c r="H149" i="55"/>
  <c r="AT169" i="53"/>
  <c r="U169" i="53" s="1"/>
  <c r="D299" i="53"/>
  <c r="AD79" i="59"/>
  <c r="E79" i="59" s="1"/>
  <c r="AF49" i="59"/>
  <c r="AF50" i="59" s="1"/>
  <c r="G50" i="59" s="1"/>
  <c r="J59" i="53"/>
  <c r="AR139" i="57"/>
  <c r="AR140" i="57" s="1"/>
  <c r="S140" i="57" s="1"/>
  <c r="AF109" i="57"/>
  <c r="G109" i="57" s="1"/>
  <c r="F299" i="58"/>
  <c r="F179" i="57"/>
  <c r="T179" i="52"/>
  <c r="L239" i="58"/>
  <c r="AT169" i="57"/>
  <c r="U169" i="57" s="1"/>
  <c r="AL79" i="57"/>
  <c r="M79" i="57" s="1"/>
  <c r="F149" i="57"/>
  <c r="AN199" i="53"/>
  <c r="O199" i="53" s="1"/>
  <c r="AL170" i="57"/>
  <c r="M170" i="57" s="1"/>
  <c r="L59" i="59"/>
  <c r="AP229" i="53"/>
  <c r="AF139" i="55"/>
  <c r="G139" i="55" s="1"/>
  <c r="AL169" i="52"/>
  <c r="M169" i="52" s="1"/>
  <c r="AR109" i="59"/>
  <c r="S109" i="59" s="1"/>
  <c r="AH109" i="55"/>
  <c r="I109" i="55" s="1"/>
  <c r="AT169" i="55"/>
  <c r="U169" i="55" s="1"/>
  <c r="AN139" i="59"/>
  <c r="O139" i="59" s="1"/>
  <c r="AR170" i="59"/>
  <c r="S170" i="59" s="1"/>
  <c r="AD49" i="57"/>
  <c r="E49" i="57" s="1"/>
  <c r="R179" i="53"/>
  <c r="J179" i="55"/>
  <c r="AR199" i="59"/>
  <c r="S199" i="59" s="1"/>
  <c r="AV283" i="59"/>
  <c r="W283" i="59" s="1"/>
  <c r="J149" i="58"/>
  <c r="F149" i="53"/>
  <c r="AH109" i="58"/>
  <c r="I109" i="58" s="1"/>
  <c r="D119" i="57"/>
  <c r="H89" i="58"/>
  <c r="AH289" i="53"/>
  <c r="AV76" i="59"/>
  <c r="W76" i="59" s="1"/>
  <c r="AR289" i="58"/>
  <c r="S289" i="58" s="1"/>
  <c r="K229" i="59"/>
  <c r="AJ230" i="59"/>
  <c r="K230" i="59" s="1"/>
  <c r="F29" i="58"/>
  <c r="AJ80" i="58"/>
  <c r="K80" i="58" s="1"/>
  <c r="P119" i="58"/>
  <c r="N239" i="52"/>
  <c r="AH20" i="52"/>
  <c r="I20" i="52" s="1"/>
  <c r="P29" i="53"/>
  <c r="F239" i="55"/>
  <c r="AN169" i="59"/>
  <c r="O169" i="59" s="1"/>
  <c r="AN229" i="58"/>
  <c r="O229" i="58" s="1"/>
  <c r="J239" i="59"/>
  <c r="F239" i="57"/>
  <c r="AN79" i="53"/>
  <c r="O79" i="53" s="1"/>
  <c r="AH49" i="53"/>
  <c r="I49" i="53" s="1"/>
  <c r="J299" i="58"/>
  <c r="L239" i="59"/>
  <c r="R149" i="55"/>
  <c r="AF20" i="53"/>
  <c r="G20" i="53" s="1"/>
  <c r="AF79" i="52"/>
  <c r="G79" i="52" s="1"/>
  <c r="AD110" i="57"/>
  <c r="E110" i="57" s="1"/>
  <c r="R209" i="58"/>
  <c r="AF199" i="52"/>
  <c r="AF200" i="52" s="1"/>
  <c r="G200" i="52" s="1"/>
  <c r="AF170" i="55"/>
  <c r="G170" i="55" s="1"/>
  <c r="L59" i="55"/>
  <c r="F119" i="53"/>
  <c r="AF139" i="52"/>
  <c r="G139" i="52" s="1"/>
  <c r="L89" i="58"/>
  <c r="AV133" i="59"/>
  <c r="W133" i="59" s="1"/>
  <c r="R59" i="53"/>
  <c r="AF139" i="58"/>
  <c r="G139" i="58" s="1"/>
  <c r="S79" i="59"/>
  <c r="AR80" i="59"/>
  <c r="S80" i="59" s="1"/>
  <c r="AH80" i="58"/>
  <c r="I80" i="58" s="1"/>
  <c r="AH139" i="52"/>
  <c r="I139" i="52" s="1"/>
  <c r="AF289" i="57"/>
  <c r="AF290" i="57" s="1"/>
  <c r="G290" i="57" s="1"/>
  <c r="AP79" i="53"/>
  <c r="Q79" i="53" s="1"/>
  <c r="AV163" i="59"/>
  <c r="W163" i="59" s="1"/>
  <c r="AF49" i="53"/>
  <c r="G49" i="53" s="1"/>
  <c r="AJ170" i="53"/>
  <c r="K170" i="53" s="1"/>
  <c r="AD289" i="59"/>
  <c r="D299" i="59"/>
  <c r="AV7" i="58"/>
  <c r="W7" i="58" s="1"/>
  <c r="AN230" i="52"/>
  <c r="O230" i="52" s="1"/>
  <c r="O229" i="52"/>
  <c r="AJ199" i="52"/>
  <c r="K199" i="52" s="1"/>
  <c r="AV136" i="58"/>
  <c r="W136" i="58" s="1"/>
  <c r="AP139" i="55"/>
  <c r="Q139" i="55" s="1"/>
  <c r="AH229" i="59"/>
  <c r="H239" i="59"/>
  <c r="AF229" i="53"/>
  <c r="AF230" i="53" s="1"/>
  <c r="G230" i="53" s="1"/>
  <c r="AP109" i="59"/>
  <c r="Q109" i="59" s="1"/>
  <c r="P119" i="59"/>
  <c r="AV163" i="58"/>
  <c r="W163" i="58" s="1"/>
  <c r="J29" i="53"/>
  <c r="AJ19" i="53"/>
  <c r="AV253" i="59"/>
  <c r="W253" i="59" s="1"/>
  <c r="I139" i="59"/>
  <c r="AH140" i="59"/>
  <c r="I140" i="59" s="1"/>
  <c r="U7" i="59"/>
  <c r="AT20" i="59"/>
  <c r="U20" i="59" s="1"/>
  <c r="T179" i="59"/>
  <c r="AT259" i="53"/>
  <c r="U259" i="53" s="1"/>
  <c r="AN289" i="59"/>
  <c r="N299" i="59"/>
  <c r="R239" i="55"/>
  <c r="AR229" i="55"/>
  <c r="AR169" i="55"/>
  <c r="S169" i="55" s="1"/>
  <c r="AF229" i="58"/>
  <c r="G229" i="58" s="1"/>
  <c r="F239" i="58"/>
  <c r="J209" i="59"/>
  <c r="AJ199" i="59"/>
  <c r="AL169" i="59"/>
  <c r="L179" i="59"/>
  <c r="AF140" i="57"/>
  <c r="G140" i="57" s="1"/>
  <c r="AP110" i="58"/>
  <c r="Q110" i="58" s="1"/>
  <c r="AV226" i="59"/>
  <c r="W226" i="59" s="1"/>
  <c r="BV17" i="59"/>
  <c r="BZ286" i="58"/>
  <c r="BZ108" i="58"/>
  <c r="BZ131" i="58"/>
  <c r="BZ285" i="58"/>
  <c r="BZ253" i="58"/>
  <c r="BZ127" i="58"/>
  <c r="BZ224" i="58"/>
  <c r="BV284" i="59"/>
  <c r="BZ11" i="59"/>
  <c r="BZ228" i="59"/>
  <c r="BZ17" i="59"/>
  <c r="BZ16" i="59"/>
  <c r="BZ251" i="59"/>
  <c r="BZ42" i="59"/>
  <c r="BZ189" i="59"/>
  <c r="BZ249" i="59"/>
  <c r="BV138" i="59"/>
  <c r="BZ256" i="52"/>
  <c r="BV71" i="52"/>
  <c r="BV198" i="52"/>
  <c r="BZ103" i="52"/>
  <c r="BZ248" i="52"/>
  <c r="BZ40" i="52"/>
  <c r="BZ228" i="52"/>
  <c r="BZ108" i="52"/>
  <c r="BZ218" i="52"/>
  <c r="BZ189" i="52"/>
  <c r="BV13" i="59"/>
  <c r="BV129" i="59"/>
  <c r="BV193" i="52"/>
  <c r="BV12" i="52"/>
  <c r="BV15" i="52"/>
  <c r="BV281" i="52"/>
  <c r="BV135" i="59"/>
  <c r="BV127" i="59"/>
  <c r="BZ187" i="57"/>
  <c r="BZ282" i="57"/>
  <c r="BZ193" i="57"/>
  <c r="BZ108" i="57"/>
  <c r="BZ288" i="57"/>
  <c r="BZ224" i="57"/>
  <c r="BZ252" i="57"/>
  <c r="BZ157" i="57"/>
  <c r="AV217" i="53"/>
  <c r="W217" i="53" s="1"/>
  <c r="AD260" i="59"/>
  <c r="E260" i="59" s="1"/>
  <c r="BV220" i="59"/>
  <c r="BV105" i="59"/>
  <c r="BZ277" i="58"/>
  <c r="BZ100" i="58"/>
  <c r="BZ165" i="58"/>
  <c r="BZ258" i="58"/>
  <c r="BZ76" i="58"/>
  <c r="BZ284" i="58"/>
  <c r="BZ159" i="58"/>
  <c r="BZ247" i="59"/>
  <c r="BZ163" i="59"/>
  <c r="BZ97" i="59"/>
  <c r="BZ188" i="59"/>
  <c r="BZ101" i="59"/>
  <c r="BZ136" i="59"/>
  <c r="BZ221" i="59"/>
  <c r="BZ128" i="59"/>
  <c r="M59" i="84"/>
  <c r="M47" i="84"/>
  <c r="O47" i="84" s="1"/>
  <c r="M74" i="84"/>
  <c r="M94" i="84"/>
  <c r="M101" i="84"/>
  <c r="M100" i="84"/>
  <c r="M104" i="84"/>
  <c r="M73" i="84"/>
  <c r="M67" i="84"/>
  <c r="M98" i="84"/>
  <c r="M63" i="84"/>
  <c r="M86" i="84"/>
  <c r="M89" i="84"/>
  <c r="M96" i="84"/>
  <c r="M80" i="84"/>
  <c r="M65" i="84"/>
  <c r="M69" i="84"/>
  <c r="M52" i="84"/>
  <c r="M54" i="84"/>
  <c r="O54" i="84" s="1"/>
  <c r="M68" i="84"/>
  <c r="M51" i="84"/>
  <c r="O51" i="84" s="1"/>
  <c r="M83" i="84"/>
  <c r="M77" i="84"/>
  <c r="M50" i="84"/>
  <c r="O50" i="84" s="1"/>
  <c r="M75" i="84"/>
  <c r="M91" i="84"/>
  <c r="M49" i="84"/>
  <c r="O49" i="84" s="1"/>
  <c r="M70" i="84"/>
  <c r="M84" i="84"/>
  <c r="M55" i="84"/>
  <c r="M71" i="84"/>
  <c r="M76" i="84"/>
  <c r="M103" i="84"/>
  <c r="M57" i="84"/>
  <c r="M56" i="84"/>
  <c r="M72" i="84"/>
  <c r="M95" i="84"/>
  <c r="M93" i="84"/>
  <c r="M46" i="84"/>
  <c r="O46" i="84" s="1"/>
  <c r="M90" i="84"/>
  <c r="M87" i="84"/>
  <c r="M88" i="84"/>
  <c r="M62" i="84"/>
  <c r="M82" i="84"/>
  <c r="M92" i="84"/>
  <c r="M99" i="84"/>
  <c r="M78" i="84"/>
  <c r="M66" i="84"/>
  <c r="M85" i="84"/>
  <c r="M97" i="84"/>
  <c r="M79" i="84"/>
  <c r="M60" i="84"/>
  <c r="M81" i="84"/>
  <c r="M53" i="84"/>
  <c r="M102" i="84"/>
  <c r="M64" i="84"/>
  <c r="M58" i="84"/>
  <c r="M61" i="84"/>
  <c r="M45" i="84"/>
  <c r="M48" i="84"/>
  <c r="BV16" i="52"/>
  <c r="BV280" i="52"/>
  <c r="BV76" i="52"/>
  <c r="BZ14" i="52"/>
  <c r="BZ287" i="52"/>
  <c r="BZ12" i="52"/>
  <c r="BZ106" i="52"/>
  <c r="BZ257" i="52"/>
  <c r="BZ277" i="52"/>
  <c r="BZ166" i="52"/>
  <c r="BV248" i="59"/>
  <c r="BV68" i="59"/>
  <c r="BV39" i="59"/>
  <c r="BV67" i="52"/>
  <c r="BV106" i="52"/>
  <c r="BV257" i="52"/>
  <c r="BV136" i="59"/>
  <c r="BV128" i="52"/>
  <c r="BV252" i="59"/>
  <c r="BZ47" i="57"/>
  <c r="BZ167" i="57"/>
  <c r="BZ256" i="57"/>
  <c r="BZ198" i="57"/>
  <c r="BZ258" i="57"/>
  <c r="BZ165" i="57"/>
  <c r="BZ159" i="57"/>
  <c r="BZ105" i="57"/>
  <c r="AT139" i="55"/>
  <c r="U139" i="55" s="1"/>
  <c r="T149" i="55"/>
  <c r="BV131" i="59"/>
  <c r="BV7" i="52"/>
  <c r="BV69" i="52"/>
  <c r="BV138" i="52"/>
  <c r="BZ15" i="58"/>
  <c r="BZ78" i="58"/>
  <c r="BZ222" i="58"/>
  <c r="BZ188" i="58"/>
  <c r="BZ134" i="58"/>
  <c r="BZ167" i="58"/>
  <c r="BZ17" i="58"/>
  <c r="BV106" i="59"/>
  <c r="BZ196" i="59"/>
  <c r="BZ129" i="59"/>
  <c r="BZ218" i="59"/>
  <c r="BZ257" i="59"/>
  <c r="BZ197" i="59"/>
  <c r="BZ250" i="59"/>
  <c r="BZ254" i="59"/>
  <c r="BV45" i="52"/>
  <c r="BV286" i="52"/>
  <c r="AP229" i="57"/>
  <c r="Q229" i="57" s="1"/>
  <c r="P239" i="57"/>
  <c r="BV76" i="59"/>
  <c r="BZ76" i="52"/>
  <c r="BZ47" i="52"/>
  <c r="BZ167" i="52"/>
  <c r="BZ194" i="52"/>
  <c r="BZ129" i="52"/>
  <c r="BZ168" i="52"/>
  <c r="BZ134" i="52"/>
  <c r="BV247" i="59"/>
  <c r="BV219" i="52"/>
  <c r="BV158" i="59"/>
  <c r="T167" i="51"/>
  <c r="T168" i="51" s="1"/>
  <c r="U149" i="51"/>
  <c r="I149" i="51"/>
  <c r="M149" i="51"/>
  <c r="N167" i="51"/>
  <c r="N168" i="51" s="1"/>
  <c r="G149" i="51"/>
  <c r="D167" i="51"/>
  <c r="D168" i="51" s="1"/>
  <c r="J167" i="51"/>
  <c r="J168" i="51" s="1"/>
  <c r="B148" i="51"/>
  <c r="B176" i="51"/>
  <c r="O149" i="51"/>
  <c r="F167" i="51"/>
  <c r="F168" i="51" s="1"/>
  <c r="R167" i="51"/>
  <c r="R168" i="51" s="1"/>
  <c r="Q149" i="51"/>
  <c r="K149" i="51"/>
  <c r="E149" i="51"/>
  <c r="H167" i="51"/>
  <c r="H168" i="51" s="1"/>
  <c r="L167" i="51"/>
  <c r="L168" i="51" s="1"/>
  <c r="S149" i="51"/>
  <c r="P167" i="51"/>
  <c r="P168" i="51" s="1"/>
  <c r="BV97" i="59"/>
  <c r="BV99" i="52"/>
  <c r="BV17" i="52"/>
  <c r="BV224" i="59"/>
  <c r="BV44" i="59"/>
  <c r="BV254" i="52"/>
  <c r="BV227" i="59"/>
  <c r="BZ130" i="57"/>
  <c r="BZ67" i="57"/>
  <c r="BZ7" i="57"/>
  <c r="BZ136" i="57"/>
  <c r="BZ227" i="57"/>
  <c r="BZ166" i="57"/>
  <c r="BZ247" i="57"/>
  <c r="BZ134" i="57"/>
  <c r="BV157" i="52"/>
  <c r="BZ42" i="58"/>
  <c r="BZ47" i="58"/>
  <c r="BZ228" i="58"/>
  <c r="BZ16" i="58"/>
  <c r="BZ13" i="58"/>
  <c r="BZ12" i="58"/>
  <c r="BZ45" i="58"/>
  <c r="BV282" i="59"/>
  <c r="BZ194" i="59"/>
  <c r="BZ133" i="59"/>
  <c r="BZ165" i="59"/>
  <c r="BZ105" i="59"/>
  <c r="BZ224" i="59"/>
  <c r="BZ285" i="59"/>
  <c r="BZ193" i="59"/>
  <c r="BV288" i="52"/>
  <c r="BV226" i="59"/>
  <c r="Q217" i="57"/>
  <c r="BV228" i="59"/>
  <c r="BZ9" i="52"/>
  <c r="BZ10" i="52"/>
  <c r="BZ249" i="52"/>
  <c r="BZ75" i="52"/>
  <c r="BZ137" i="52"/>
  <c r="BZ48" i="52"/>
  <c r="BZ102" i="52"/>
  <c r="BV48" i="59"/>
  <c r="BV285" i="52"/>
  <c r="BV132" i="59"/>
  <c r="BV164" i="52"/>
  <c r="BZ165" i="52"/>
  <c r="BV195" i="52"/>
  <c r="BV188" i="59"/>
  <c r="BV166" i="59"/>
  <c r="BV108" i="59"/>
  <c r="BV74" i="52"/>
  <c r="BZ76" i="57"/>
  <c r="BZ101" i="57"/>
  <c r="BZ9" i="57"/>
  <c r="BZ70" i="57"/>
  <c r="BZ135" i="57"/>
  <c r="BZ222" i="57"/>
  <c r="BZ99" i="57"/>
  <c r="AF50" i="55"/>
  <c r="G50" i="55" s="1"/>
  <c r="AJ140" i="58"/>
  <c r="K140" i="58" s="1"/>
  <c r="AT50" i="53"/>
  <c r="U50" i="53" s="1"/>
  <c r="AR50" i="52"/>
  <c r="S50" i="52" s="1"/>
  <c r="BV69" i="59"/>
  <c r="BV279" i="52"/>
  <c r="BZ138" i="52"/>
  <c r="BZ101" i="58"/>
  <c r="BZ191" i="58"/>
  <c r="BZ9" i="58"/>
  <c r="BZ46" i="58"/>
  <c r="BZ197" i="58"/>
  <c r="BZ251" i="58"/>
  <c r="BZ67" i="58"/>
  <c r="BV198" i="59"/>
  <c r="BZ223" i="59"/>
  <c r="BZ12" i="59"/>
  <c r="BZ100" i="59"/>
  <c r="BZ68" i="59"/>
  <c r="BZ13" i="59"/>
  <c r="BZ192" i="59"/>
  <c r="BZ37" i="59"/>
  <c r="BV70" i="52"/>
  <c r="BV162" i="52"/>
  <c r="BV15" i="59"/>
  <c r="BZ77" i="52"/>
  <c r="BZ39" i="52"/>
  <c r="BZ44" i="52"/>
  <c r="BZ254" i="52"/>
  <c r="BZ104" i="52"/>
  <c r="BZ221" i="52"/>
  <c r="BV10" i="59"/>
  <c r="BZ11" i="52"/>
  <c r="BV11" i="59"/>
  <c r="BZ72" i="52"/>
  <c r="BV7" i="59"/>
  <c r="BV163" i="52"/>
  <c r="BV130" i="52"/>
  <c r="BV192" i="52"/>
  <c r="BV104" i="59"/>
  <c r="BV159" i="52"/>
  <c r="BZ218" i="57"/>
  <c r="BZ107" i="57"/>
  <c r="BZ48" i="57"/>
  <c r="BZ71" i="57"/>
  <c r="BZ158" i="57"/>
  <c r="BZ250" i="57"/>
  <c r="BZ40" i="57"/>
  <c r="AF199" i="57"/>
  <c r="G199" i="57" s="1"/>
  <c r="AR79" i="55"/>
  <c r="S79" i="55" s="1"/>
  <c r="AD139" i="53"/>
  <c r="E139" i="53" s="1"/>
  <c r="BV107" i="59"/>
  <c r="BV41" i="52"/>
  <c r="BV248" i="52"/>
  <c r="BZ252" i="58"/>
  <c r="BZ220" i="58"/>
  <c r="BZ37" i="58"/>
  <c r="BZ40" i="58"/>
  <c r="BZ190" i="58"/>
  <c r="BZ281" i="58"/>
  <c r="BV130" i="59"/>
  <c r="BZ281" i="59"/>
  <c r="BZ14" i="59"/>
  <c r="BZ220" i="59"/>
  <c r="BZ132" i="59"/>
  <c r="BZ47" i="59"/>
  <c r="BZ15" i="59"/>
  <c r="BZ253" i="59"/>
  <c r="BZ9" i="59"/>
  <c r="BV40" i="52"/>
  <c r="BV47" i="52"/>
  <c r="BV75" i="59"/>
  <c r="BV71" i="59"/>
  <c r="BZ16" i="52"/>
  <c r="BZ8" i="52"/>
  <c r="BZ219" i="52"/>
  <c r="BZ191" i="52"/>
  <c r="BZ71" i="52"/>
  <c r="BZ105" i="52"/>
  <c r="BV253" i="59"/>
  <c r="BV257" i="59"/>
  <c r="BV164" i="59"/>
  <c r="BV77" i="59"/>
  <c r="BV258" i="52"/>
  <c r="BV194" i="52"/>
  <c r="BV249" i="52"/>
  <c r="BV133" i="59"/>
  <c r="BV223" i="52"/>
  <c r="BZ220" i="57"/>
  <c r="BZ37" i="57"/>
  <c r="BZ192" i="57"/>
  <c r="BZ228" i="57"/>
  <c r="BZ283" i="57"/>
  <c r="BZ69" i="57"/>
  <c r="BZ223" i="57"/>
  <c r="BZ225" i="57"/>
  <c r="BV38" i="59"/>
  <c r="BV101" i="59"/>
  <c r="BZ38" i="58"/>
  <c r="BZ68" i="58"/>
  <c r="BZ39" i="58"/>
  <c r="BZ282" i="58"/>
  <c r="BZ189" i="58"/>
  <c r="BZ72" i="58"/>
  <c r="BZ103" i="58"/>
  <c r="BZ73" i="58"/>
  <c r="BV42" i="59"/>
  <c r="BZ279" i="59"/>
  <c r="BZ162" i="59"/>
  <c r="BZ44" i="59"/>
  <c r="BZ137" i="59"/>
  <c r="BZ10" i="59"/>
  <c r="BZ99" i="59"/>
  <c r="BZ283" i="59"/>
  <c r="BV97" i="52"/>
  <c r="BV280" i="59"/>
  <c r="BV168" i="59"/>
  <c r="BV45" i="59"/>
  <c r="BZ253" i="52"/>
  <c r="BZ107" i="52"/>
  <c r="BZ132" i="52"/>
  <c r="BZ78" i="52"/>
  <c r="BZ130" i="52"/>
  <c r="BZ45" i="52"/>
  <c r="BZ160" i="57"/>
  <c r="BV18" i="59"/>
  <c r="BV9" i="59"/>
  <c r="BV157" i="59"/>
  <c r="BV249" i="59"/>
  <c r="BV158" i="52"/>
  <c r="BV221" i="52"/>
  <c r="BV247" i="52"/>
  <c r="BV219" i="59"/>
  <c r="BV37" i="59"/>
  <c r="BV67" i="59"/>
  <c r="BZ102" i="57"/>
  <c r="BZ163" i="57"/>
  <c r="BZ14" i="57"/>
  <c r="BZ75" i="57"/>
  <c r="BZ281" i="57"/>
  <c r="BZ127" i="57"/>
  <c r="BZ191" i="57"/>
  <c r="AT259" i="52"/>
  <c r="U259" i="52" s="1"/>
  <c r="T269" i="52"/>
  <c r="BV46" i="59"/>
  <c r="AV136" i="59"/>
  <c r="W136" i="59" s="1"/>
  <c r="AF290" i="58"/>
  <c r="G290" i="58" s="1"/>
  <c r="AJ19" i="55"/>
  <c r="K19" i="55" s="1"/>
  <c r="AT50" i="59"/>
  <c r="U50" i="59" s="1"/>
  <c r="AN289" i="53"/>
  <c r="O289" i="53" s="1"/>
  <c r="BZ223" i="58"/>
  <c r="BZ128" i="58"/>
  <c r="BZ162" i="58"/>
  <c r="BZ130" i="58"/>
  <c r="BZ104" i="58"/>
  <c r="BZ98" i="58"/>
  <c r="BZ217" i="58"/>
  <c r="BZ8" i="58"/>
  <c r="BZ258" i="59"/>
  <c r="BZ282" i="59"/>
  <c r="BZ138" i="59"/>
  <c r="BZ284" i="59"/>
  <c r="BZ71" i="59"/>
  <c r="BZ72" i="59"/>
  <c r="BZ277" i="59"/>
  <c r="BV8" i="52"/>
  <c r="BV99" i="59"/>
  <c r="BZ282" i="52"/>
  <c r="BV167" i="59"/>
  <c r="BZ70" i="52"/>
  <c r="BZ255" i="52"/>
  <c r="BZ222" i="52"/>
  <c r="BZ128" i="52"/>
  <c r="BZ37" i="52"/>
  <c r="BZ101" i="52"/>
  <c r="BV70" i="59"/>
  <c r="BV187" i="59"/>
  <c r="BV48" i="52"/>
  <c r="BV134" i="59"/>
  <c r="BV10" i="52"/>
  <c r="BV102" i="52"/>
  <c r="BV188" i="52"/>
  <c r="BV137" i="59"/>
  <c r="BV287" i="59"/>
  <c r="G207" i="45"/>
  <c r="D225" i="45"/>
  <c r="D226" i="45" s="1"/>
  <c r="J225" i="45"/>
  <c r="J226" i="45" s="1"/>
  <c r="N225" i="45"/>
  <c r="N226" i="45" s="1"/>
  <c r="K207" i="45"/>
  <c r="T225" i="45"/>
  <c r="T226" i="45" s="1"/>
  <c r="U207" i="45"/>
  <c r="B234" i="45"/>
  <c r="H225" i="45"/>
  <c r="H226" i="45" s="1"/>
  <c r="F225" i="45"/>
  <c r="F226" i="45" s="1"/>
  <c r="Q207" i="45"/>
  <c r="L225" i="45"/>
  <c r="L226" i="45" s="1"/>
  <c r="M207" i="45"/>
  <c r="B206" i="45"/>
  <c r="O207" i="45"/>
  <c r="P225" i="45"/>
  <c r="P226" i="45" s="1"/>
  <c r="I207" i="45"/>
  <c r="S207" i="45"/>
  <c r="R225" i="45"/>
  <c r="R226" i="45" s="1"/>
  <c r="E207" i="45"/>
  <c r="BV190" i="52"/>
  <c r="BZ132" i="57"/>
  <c r="BZ137" i="57"/>
  <c r="BZ133" i="57"/>
  <c r="BZ42" i="57"/>
  <c r="BZ254" i="57"/>
  <c r="BZ221" i="57"/>
  <c r="BZ68" i="57"/>
  <c r="AV97" i="59"/>
  <c r="W97" i="59" s="1"/>
  <c r="AN289" i="57"/>
  <c r="O289" i="57" s="1"/>
  <c r="BV278" i="59"/>
  <c r="BZ157" i="58"/>
  <c r="BZ278" i="58"/>
  <c r="BZ226" i="58"/>
  <c r="BZ7" i="58"/>
  <c r="BZ193" i="58"/>
  <c r="BZ219" i="58"/>
  <c r="BZ129" i="58"/>
  <c r="BZ255" i="58"/>
  <c r="BZ14" i="58"/>
  <c r="BV285" i="59"/>
  <c r="BZ226" i="59"/>
  <c r="BZ135" i="59"/>
  <c r="BZ191" i="59"/>
  <c r="BZ104" i="59"/>
  <c r="BZ157" i="59"/>
  <c r="BZ67" i="59"/>
  <c r="BZ73" i="59"/>
  <c r="BV42" i="52"/>
  <c r="BV102" i="59"/>
  <c r="BV103" i="59"/>
  <c r="BV288" i="59"/>
  <c r="BZ164" i="52"/>
  <c r="BZ160" i="52"/>
  <c r="BZ192" i="52"/>
  <c r="BZ99" i="52"/>
  <c r="BZ223" i="52"/>
  <c r="BZ131" i="52"/>
  <c r="BZ127" i="52"/>
  <c r="BZ18" i="58"/>
  <c r="BV12" i="59"/>
  <c r="BV189" i="59"/>
  <c r="BV78" i="52"/>
  <c r="BV222" i="52"/>
  <c r="BV225" i="59"/>
  <c r="BV38" i="52"/>
  <c r="BV251" i="52"/>
  <c r="BV250" i="59"/>
  <c r="BV73" i="52"/>
  <c r="BV258" i="59"/>
  <c r="BV131" i="52"/>
  <c r="BZ72" i="57"/>
  <c r="BZ217" i="57"/>
  <c r="BZ13" i="57"/>
  <c r="BZ253" i="57"/>
  <c r="BZ8" i="57"/>
  <c r="BZ100" i="57"/>
  <c r="BZ197" i="57"/>
  <c r="BV47" i="59"/>
  <c r="BV283" i="59"/>
  <c r="BZ187" i="58"/>
  <c r="BZ161" i="58"/>
  <c r="BZ137" i="58"/>
  <c r="BZ135" i="58"/>
  <c r="BZ107" i="58"/>
  <c r="BZ71" i="58"/>
  <c r="BZ10" i="58"/>
  <c r="BZ74" i="58"/>
  <c r="BZ287" i="59"/>
  <c r="BZ168" i="59"/>
  <c r="BZ102" i="59"/>
  <c r="BZ159" i="59"/>
  <c r="BZ286" i="59"/>
  <c r="BZ45" i="59"/>
  <c r="BZ77" i="59"/>
  <c r="BV224" i="52"/>
  <c r="BV72" i="59"/>
  <c r="BV100" i="59"/>
  <c r="BV162" i="59"/>
  <c r="BZ13" i="52"/>
  <c r="BZ286" i="52"/>
  <c r="BZ284" i="52"/>
  <c r="BZ197" i="52"/>
  <c r="BZ258" i="52"/>
  <c r="BZ7" i="52"/>
  <c r="BZ15" i="52"/>
  <c r="BV68" i="52"/>
  <c r="BV107" i="52"/>
  <c r="BZ285" i="52"/>
  <c r="BV136" i="52"/>
  <c r="BV196" i="52"/>
  <c r="BV281" i="59"/>
  <c r="BV165" i="52"/>
  <c r="BV255" i="52"/>
  <c r="BV221" i="59"/>
  <c r="BV11" i="52"/>
  <c r="BZ77" i="57"/>
  <c r="BZ190" i="57"/>
  <c r="BZ249" i="57"/>
  <c r="BZ161" i="57"/>
  <c r="BZ78" i="57"/>
  <c r="BZ128" i="57"/>
  <c r="BZ39" i="57"/>
  <c r="BV101" i="52"/>
  <c r="BV279" i="59"/>
  <c r="BZ48" i="58"/>
  <c r="BZ287" i="58"/>
  <c r="BZ254" i="58"/>
  <c r="BZ160" i="58"/>
  <c r="BZ11" i="58"/>
  <c r="BZ257" i="58"/>
  <c r="BZ198" i="58"/>
  <c r="BZ136" i="58"/>
  <c r="BV134" i="52"/>
  <c r="BZ76" i="59"/>
  <c r="BZ134" i="59"/>
  <c r="BZ130" i="59"/>
  <c r="BZ280" i="59"/>
  <c r="BZ256" i="59"/>
  <c r="BZ219" i="59"/>
  <c r="BZ248" i="59"/>
  <c r="BV196" i="59"/>
  <c r="BV195" i="59"/>
  <c r="BZ67" i="52"/>
  <c r="BZ157" i="52"/>
  <c r="BZ251" i="52"/>
  <c r="BZ161" i="52"/>
  <c r="BZ38" i="52"/>
  <c r="BZ69" i="52"/>
  <c r="BZ225" i="52"/>
  <c r="BV286" i="59"/>
  <c r="BV129" i="52"/>
  <c r="BV227" i="52"/>
  <c r="BV72" i="52"/>
  <c r="BV226" i="52"/>
  <c r="BV252" i="52"/>
  <c r="BV194" i="59"/>
  <c r="BZ17" i="52"/>
  <c r="BV13" i="52"/>
  <c r="BV73" i="59"/>
  <c r="BZ188" i="52"/>
  <c r="BV161" i="52"/>
  <c r="BZ188" i="57"/>
  <c r="BZ45" i="57"/>
  <c r="BZ168" i="57"/>
  <c r="BZ278" i="57"/>
  <c r="BZ284" i="57"/>
  <c r="BZ195" i="57"/>
  <c r="BZ226" i="57"/>
  <c r="AF259" i="53"/>
  <c r="AF260" i="53" s="1"/>
  <c r="G260" i="53" s="1"/>
  <c r="AR200" i="58"/>
  <c r="S200" i="58" s="1"/>
  <c r="AT49" i="58"/>
  <c r="U49" i="58" s="1"/>
  <c r="BV75" i="52"/>
  <c r="BV256" i="59"/>
  <c r="BZ194" i="58"/>
  <c r="BZ221" i="58"/>
  <c r="BZ166" i="58"/>
  <c r="BZ99" i="58"/>
  <c r="BZ168" i="58"/>
  <c r="BZ225" i="58"/>
  <c r="BZ97" i="58"/>
  <c r="BV133" i="52"/>
  <c r="BZ161" i="59"/>
  <c r="BZ41" i="59"/>
  <c r="BZ222" i="59"/>
  <c r="BZ103" i="59"/>
  <c r="BZ78" i="59"/>
  <c r="BZ74" i="59"/>
  <c r="BZ288" i="59"/>
  <c r="BV165" i="59"/>
  <c r="BZ73" i="52"/>
  <c r="BZ280" i="52"/>
  <c r="BZ100" i="52"/>
  <c r="BZ252" i="52"/>
  <c r="BZ281" i="52"/>
  <c r="BZ163" i="52"/>
  <c r="BZ159" i="52"/>
  <c r="BV167" i="52"/>
  <c r="BV44" i="52"/>
  <c r="BV218" i="52"/>
  <c r="BV217" i="59"/>
  <c r="K91" i="41"/>
  <c r="R109" i="41"/>
  <c r="R110" i="41" s="1"/>
  <c r="L109" i="41"/>
  <c r="L110" i="41" s="1"/>
  <c r="I91" i="41"/>
  <c r="N109" i="41"/>
  <c r="N110" i="41" s="1"/>
  <c r="P109" i="41"/>
  <c r="P110" i="41" s="1"/>
  <c r="J109" i="41"/>
  <c r="J110" i="41" s="1"/>
  <c r="S91" i="41"/>
  <c r="Q91" i="41"/>
  <c r="T109" i="41"/>
  <c r="T110" i="41" s="1"/>
  <c r="D109" i="41"/>
  <c r="D110" i="41" s="1"/>
  <c r="E91" i="41"/>
  <c r="G91" i="41"/>
  <c r="B118" i="41"/>
  <c r="B90" i="41"/>
  <c r="O91" i="41"/>
  <c r="M91" i="41"/>
  <c r="H109" i="41"/>
  <c r="H110" i="41" s="1"/>
  <c r="U91" i="41"/>
  <c r="F109" i="41"/>
  <c r="F110" i="41" s="1"/>
  <c r="BV253" i="52"/>
  <c r="BV127" i="52"/>
  <c r="BV14" i="59"/>
  <c r="BZ227" i="52"/>
  <c r="BV14" i="52"/>
  <c r="BV191" i="59"/>
  <c r="BZ18" i="52"/>
  <c r="BV18" i="52"/>
  <c r="BZ106" i="57"/>
  <c r="BZ38" i="57"/>
  <c r="BZ189" i="57"/>
  <c r="BZ97" i="57"/>
  <c r="BZ104" i="57"/>
  <c r="BZ196" i="57"/>
  <c r="BZ41" i="57"/>
  <c r="BV100" i="52"/>
  <c r="BZ70" i="58"/>
  <c r="BZ41" i="58"/>
  <c r="BZ138" i="58"/>
  <c r="BZ77" i="58"/>
  <c r="BZ250" i="58"/>
  <c r="BZ132" i="58"/>
  <c r="BZ75" i="58"/>
  <c r="BV287" i="52"/>
  <c r="BV282" i="52"/>
  <c r="BZ255" i="59"/>
  <c r="BZ39" i="59"/>
  <c r="BZ187" i="59"/>
  <c r="BZ158" i="59"/>
  <c r="BZ38" i="59"/>
  <c r="BZ190" i="59"/>
  <c r="BZ43" i="59"/>
  <c r="BZ160" i="59"/>
  <c r="BZ7" i="59"/>
  <c r="BV251" i="59"/>
  <c r="BV163" i="59"/>
  <c r="BV250" i="52"/>
  <c r="BZ68" i="52"/>
  <c r="BZ279" i="52"/>
  <c r="BZ198" i="52"/>
  <c r="BZ226" i="52"/>
  <c r="BZ187" i="52"/>
  <c r="BZ250" i="52"/>
  <c r="BZ41" i="52"/>
  <c r="BV217" i="52"/>
  <c r="BV103" i="52"/>
  <c r="BV193" i="59"/>
  <c r="BV160" i="59"/>
  <c r="BV98" i="52"/>
  <c r="BV277" i="52"/>
  <c r="BV190" i="59"/>
  <c r="BV16" i="59"/>
  <c r="BV108" i="52"/>
  <c r="BV197" i="59"/>
  <c r="BZ12" i="57"/>
  <c r="BZ279" i="57"/>
  <c r="BZ257" i="57"/>
  <c r="BZ194" i="57"/>
  <c r="BZ103" i="57"/>
  <c r="BZ255" i="57"/>
  <c r="BZ164" i="57"/>
  <c r="AV97" i="58"/>
  <c r="W97" i="58" s="1"/>
  <c r="L59" i="53"/>
  <c r="BV283" i="52"/>
  <c r="BZ283" i="58"/>
  <c r="BZ102" i="58"/>
  <c r="BZ227" i="58"/>
  <c r="BZ106" i="58"/>
  <c r="BZ69" i="58"/>
  <c r="BZ43" i="58"/>
  <c r="BZ279" i="58"/>
  <c r="BV197" i="52"/>
  <c r="BZ46" i="59"/>
  <c r="BZ166" i="59"/>
  <c r="BZ106" i="59"/>
  <c r="BZ217" i="59"/>
  <c r="BZ167" i="59"/>
  <c r="BZ98" i="59"/>
  <c r="BZ198" i="59"/>
  <c r="BZ164" i="59"/>
  <c r="BV41" i="59"/>
  <c r="BV160" i="52"/>
  <c r="BZ46" i="52"/>
  <c r="BZ162" i="52"/>
  <c r="BZ133" i="52"/>
  <c r="BZ224" i="52"/>
  <c r="BZ283" i="52"/>
  <c r="BZ98" i="52"/>
  <c r="BZ158" i="52"/>
  <c r="BV39" i="52"/>
  <c r="BV278" i="52"/>
  <c r="BV255" i="59"/>
  <c r="BV43" i="59"/>
  <c r="BV37" i="52"/>
  <c r="BV191" i="52"/>
  <c r="BV8" i="59"/>
  <c r="BV256" i="52"/>
  <c r="BV192" i="59"/>
  <c r="BV277" i="59"/>
  <c r="BZ10" i="57"/>
  <c r="BZ74" i="57"/>
  <c r="BZ280" i="57"/>
  <c r="BZ15" i="57"/>
  <c r="BZ43" i="57"/>
  <c r="BZ277" i="57"/>
  <c r="BZ251" i="57"/>
  <c r="AD169" i="59"/>
  <c r="E169" i="59" s="1"/>
  <c r="D179" i="59"/>
  <c r="AF230" i="52"/>
  <c r="G230" i="52" s="1"/>
  <c r="AV280" i="59"/>
  <c r="W280" i="59" s="1"/>
  <c r="AV7" i="55"/>
  <c r="W7" i="55" s="1"/>
  <c r="AV130" i="59"/>
  <c r="W130" i="59" s="1"/>
  <c r="BZ249" i="58"/>
  <c r="BZ196" i="58"/>
  <c r="BZ218" i="58"/>
  <c r="BZ105" i="58"/>
  <c r="BZ248" i="58"/>
  <c r="BZ247" i="58"/>
  <c r="BZ164" i="58"/>
  <c r="BV105" i="52"/>
  <c r="BZ75" i="59"/>
  <c r="BZ48" i="59"/>
  <c r="BZ70" i="59"/>
  <c r="BZ227" i="59"/>
  <c r="BZ127" i="59"/>
  <c r="BZ195" i="59"/>
  <c r="BZ18" i="59"/>
  <c r="BV98" i="59"/>
  <c r="BV228" i="52"/>
  <c r="BV220" i="52"/>
  <c r="BZ193" i="52"/>
  <c r="BZ196" i="52"/>
  <c r="BZ74" i="52"/>
  <c r="BZ43" i="52"/>
  <c r="BZ97" i="52"/>
  <c r="BZ42" i="52"/>
  <c r="BZ247" i="52"/>
  <c r="BV189" i="52"/>
  <c r="BV161" i="59"/>
  <c r="BV222" i="59"/>
  <c r="BV77" i="52"/>
  <c r="BV104" i="52"/>
  <c r="BV137" i="52"/>
  <c r="BV284" i="52"/>
  <c r="BV74" i="59"/>
  <c r="BV223" i="59"/>
  <c r="BZ131" i="57"/>
  <c r="BZ17" i="57"/>
  <c r="BZ73" i="57"/>
  <c r="BZ287" i="57"/>
  <c r="BZ129" i="57"/>
  <c r="BZ285" i="57"/>
  <c r="BZ248" i="57"/>
  <c r="BZ18" i="57"/>
  <c r="BZ98" i="55"/>
  <c r="BV42" i="55"/>
  <c r="AF110" i="58"/>
  <c r="G110" i="58" s="1"/>
  <c r="AL260" i="55"/>
  <c r="M260" i="55" s="1"/>
  <c r="N269" i="52"/>
  <c r="BV128" i="59"/>
  <c r="BZ195" i="58"/>
  <c r="BZ256" i="58"/>
  <c r="BZ158" i="58"/>
  <c r="BZ163" i="58"/>
  <c r="BZ288" i="58"/>
  <c r="BZ133" i="58"/>
  <c r="BZ44" i="58"/>
  <c r="BV132" i="52"/>
  <c r="BZ40" i="59"/>
  <c r="BZ225" i="59"/>
  <c r="BZ107" i="59"/>
  <c r="BZ131" i="59"/>
  <c r="BZ108" i="59"/>
  <c r="BZ8" i="59"/>
  <c r="BZ278" i="59"/>
  <c r="BZ252" i="59"/>
  <c r="BV40" i="59"/>
  <c r="BV166" i="52"/>
  <c r="BV168" i="52"/>
  <c r="BZ278" i="52"/>
  <c r="BZ136" i="52"/>
  <c r="BZ288" i="52"/>
  <c r="BZ217" i="52"/>
  <c r="BZ195" i="52"/>
  <c r="BZ220" i="52"/>
  <c r="BZ135" i="52"/>
  <c r="BV9" i="52"/>
  <c r="BV78" i="59"/>
  <c r="BV43" i="52"/>
  <c r="BV46" i="52"/>
  <c r="BV225" i="52"/>
  <c r="BV187" i="52"/>
  <c r="BV218" i="59"/>
  <c r="BV159" i="59"/>
  <c r="BZ162" i="57"/>
  <c r="BZ219" i="57"/>
  <c r="BZ16" i="57"/>
  <c r="BZ11" i="57"/>
  <c r="BZ286" i="57"/>
  <c r="BZ98" i="57"/>
  <c r="BZ138" i="57"/>
  <c r="BZ44" i="57"/>
  <c r="BZ280" i="58"/>
  <c r="AV73" i="58"/>
  <c r="W73" i="58" s="1"/>
  <c r="AP229" i="58"/>
  <c r="Q229" i="58" s="1"/>
  <c r="AV286" i="59"/>
  <c r="W286" i="59" s="1"/>
  <c r="AT79" i="55"/>
  <c r="AT80" i="55" s="1"/>
  <c r="U80" i="55" s="1"/>
  <c r="AF19" i="52"/>
  <c r="G19" i="52" s="1"/>
  <c r="L179" i="53"/>
  <c r="AL169" i="53"/>
  <c r="M169" i="53" s="1"/>
  <c r="D239" i="52"/>
  <c r="AD229" i="52"/>
  <c r="AV10" i="59"/>
  <c r="W10" i="59" s="1"/>
  <c r="AV37" i="52"/>
  <c r="W37" i="52" s="1"/>
  <c r="AV106" i="58"/>
  <c r="W106" i="58" s="1"/>
  <c r="AV127" i="55"/>
  <c r="W127" i="55" s="1"/>
  <c r="N299" i="52"/>
  <c r="AN259" i="58"/>
  <c r="AV187" i="59"/>
  <c r="W187" i="59" s="1"/>
  <c r="AV223" i="52"/>
  <c r="W223" i="52" s="1"/>
  <c r="AV193" i="53"/>
  <c r="W193" i="53" s="1"/>
  <c r="P89" i="59"/>
  <c r="AH20" i="59"/>
  <c r="I20" i="59" s="1"/>
  <c r="AL230" i="59"/>
  <c r="M230" i="59" s="1"/>
  <c r="AP20" i="53"/>
  <c r="Q20" i="53" s="1"/>
  <c r="AV250" i="59"/>
  <c r="W250" i="59" s="1"/>
  <c r="AF290" i="53"/>
  <c r="G290" i="53" s="1"/>
  <c r="AV103" i="59"/>
  <c r="W103" i="59" s="1"/>
  <c r="AN260" i="57"/>
  <c r="O260" i="57" s="1"/>
  <c r="AV67" i="52"/>
  <c r="W67" i="52" s="1"/>
  <c r="AD229" i="58"/>
  <c r="E229" i="58" s="1"/>
  <c r="AF20" i="58"/>
  <c r="G20" i="58" s="1"/>
  <c r="AV217" i="59"/>
  <c r="W217" i="59" s="1"/>
  <c r="M253" i="59"/>
  <c r="D239" i="59"/>
  <c r="AD229" i="59"/>
  <c r="AP140" i="53"/>
  <c r="Q140" i="53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H199" i="53"/>
  <c r="I199" i="53" s="1"/>
  <c r="H209" i="53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P289" i="53"/>
  <c r="Q289" i="53" s="1"/>
  <c r="P299" i="53"/>
  <c r="AL289" i="59"/>
  <c r="M289" i="59" s="1"/>
  <c r="L299" i="59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T149" i="53"/>
  <c r="AT139" i="53"/>
  <c r="U139" i="53" s="1"/>
  <c r="S97" i="58"/>
  <c r="AR110" i="58"/>
  <c r="S110" i="58" s="1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S163" i="53"/>
  <c r="AR170" i="53"/>
  <c r="S170" i="53" s="1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V187" i="53"/>
  <c r="W187" i="53" s="1"/>
  <c r="AF79" i="55"/>
  <c r="G79" i="55" s="1"/>
  <c r="AV67" i="59"/>
  <c r="W67" i="59" s="1"/>
  <c r="AL260" i="53"/>
  <c r="M260" i="53" s="1"/>
  <c r="AV106" i="59"/>
  <c r="W106" i="59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AT289" i="53"/>
  <c r="U289" i="53" s="1"/>
  <c r="T299" i="53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AH140" i="55"/>
  <c r="I14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U289" i="55"/>
  <c r="AT290" i="55"/>
  <c r="U290" i="55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220" i="53"/>
  <c r="W220" i="53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AN290" i="52"/>
  <c r="O290" i="52" s="1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AN19" i="59"/>
  <c r="AV160" i="57"/>
  <c r="W160" i="57" s="1"/>
  <c r="Q199" i="58"/>
  <c r="AP200" i="58"/>
  <c r="Q200" i="58" s="1"/>
  <c r="O49" i="55"/>
  <c r="AN50" i="55"/>
  <c r="O50" i="55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G169" i="53"/>
  <c r="AF170" i="53"/>
  <c r="G170" i="53" s="1"/>
  <c r="G223" i="53"/>
  <c r="AV223" i="53"/>
  <c r="W223" i="53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AV160" i="53"/>
  <c r="W160" i="53" s="1"/>
  <c r="G40" i="53"/>
  <c r="AV40" i="53"/>
  <c r="W40" i="53" s="1"/>
  <c r="Q187" i="52"/>
  <c r="AV187" i="52"/>
  <c r="W187" i="52" s="1"/>
  <c r="G226" i="57"/>
  <c r="AV226" i="57"/>
  <c r="W226" i="57" s="1"/>
  <c r="E10" i="53"/>
  <c r="AV10" i="53"/>
  <c r="W10" i="53" s="1"/>
  <c r="G97" i="52"/>
  <c r="AV97" i="52"/>
  <c r="W97" i="52" s="1"/>
  <c r="M217" i="57"/>
  <c r="AR79" i="53"/>
  <c r="S79" i="53" s="1"/>
  <c r="R89" i="53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AV43" i="53"/>
  <c r="W43" i="53" s="1"/>
  <c r="U7" i="52"/>
  <c r="AV7" i="52"/>
  <c r="W7" i="52" s="1"/>
  <c r="E229" i="53"/>
  <c r="AD230" i="53"/>
  <c r="E230" i="53" s="1"/>
  <c r="AT229" i="53"/>
  <c r="U229" i="53" s="1"/>
  <c r="T239" i="53"/>
  <c r="J299" i="53"/>
  <c r="AJ289" i="53"/>
  <c r="K289" i="53" s="1"/>
  <c r="AN199" i="59"/>
  <c r="N209" i="59"/>
  <c r="E163" i="53"/>
  <c r="AV163" i="53"/>
  <c r="W163" i="53" s="1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AV136" i="53"/>
  <c r="W136" i="53" s="1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133" i="53"/>
  <c r="W133" i="53" s="1"/>
  <c r="AF140" i="53"/>
  <c r="G140" i="53" s="1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Q187" i="53"/>
  <c r="O106" i="53"/>
  <c r="AV106" i="53"/>
  <c r="W106" i="53" s="1"/>
  <c r="L29" i="53"/>
  <c r="AL19" i="53"/>
  <c r="M19" i="53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AV97" i="53"/>
  <c r="W97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P290" i="57"/>
  <c r="Q290" i="57" s="1"/>
  <c r="M49" i="55"/>
  <c r="AL50" i="55"/>
  <c r="M50" i="55" s="1"/>
  <c r="AL230" i="53"/>
  <c r="M230" i="53" s="1"/>
  <c r="U289" i="57"/>
  <c r="AT290" i="57"/>
  <c r="U290" i="57" s="1"/>
  <c r="M109" i="53"/>
  <c r="AL110" i="53"/>
  <c r="M110" i="53" s="1"/>
  <c r="AH229" i="55"/>
  <c r="I229" i="55" s="1"/>
  <c r="H239" i="55"/>
  <c r="I223" i="55"/>
  <c r="AV223" i="55"/>
  <c r="W223" i="55" s="1"/>
  <c r="U199" i="57"/>
  <c r="AT200" i="57"/>
  <c r="U200" i="57" s="1"/>
  <c r="AN110" i="59"/>
  <c r="O110" i="59" s="1"/>
  <c r="AL290" i="52"/>
  <c r="M290" i="52" s="1"/>
  <c r="M289" i="52"/>
  <c r="O19" i="53"/>
  <c r="AN20" i="53"/>
  <c r="O20" i="53" s="1"/>
  <c r="AJ80" i="59"/>
  <c r="K80" i="59" s="1"/>
  <c r="K79" i="59"/>
  <c r="Q79" i="57"/>
  <c r="AP80" i="57"/>
  <c r="Q80" i="57" s="1"/>
  <c r="G259" i="57"/>
  <c r="AF260" i="57"/>
  <c r="G260" i="57" s="1"/>
  <c r="G229" i="59"/>
  <c r="AF230" i="59"/>
  <c r="G230" i="59" s="1"/>
  <c r="G109" i="55"/>
  <c r="AF110" i="55"/>
  <c r="G110" i="55" s="1"/>
  <c r="G259" i="52"/>
  <c r="AF260" i="52"/>
  <c r="G260" i="52" s="1"/>
  <c r="G79" i="58"/>
  <c r="AF80" i="58"/>
  <c r="G80" i="58" s="1"/>
  <c r="G19" i="59"/>
  <c r="AF20" i="59"/>
  <c r="G20" i="59" s="1"/>
  <c r="AF110" i="59"/>
  <c r="G11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G229" i="55"/>
  <c r="AF230" i="55"/>
  <c r="G230" i="55" s="1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19" i="85"/>
  <c r="N20" i="85"/>
  <c r="N18" i="85"/>
  <c r="N29" i="85"/>
  <c r="N3" i="85"/>
  <c r="N23" i="85"/>
  <c r="N34" i="85"/>
  <c r="O34" i="85" s="1"/>
  <c r="N7" i="85"/>
  <c r="N24" i="85"/>
  <c r="N43" i="85"/>
  <c r="N16" i="85"/>
  <c r="N11" i="85"/>
  <c r="N41" i="85"/>
  <c r="N44" i="85"/>
  <c r="N15" i="85"/>
  <c r="N5" i="85"/>
  <c r="O2" i="84"/>
  <c r="N9" i="85"/>
  <c r="N27" i="85"/>
  <c r="N39" i="85"/>
  <c r="N26" i="85"/>
  <c r="N40" i="85"/>
  <c r="N37" i="85"/>
  <c r="N33" i="85"/>
  <c r="N2" i="85"/>
  <c r="N14" i="85"/>
  <c r="N47" i="85"/>
  <c r="N32" i="85"/>
  <c r="N30" i="85"/>
  <c r="N51" i="85"/>
  <c r="N50" i="85"/>
  <c r="N31" i="85"/>
  <c r="N13" i="85"/>
  <c r="N17" i="85"/>
  <c r="N38" i="85"/>
  <c r="N22" i="85"/>
  <c r="N10" i="85"/>
  <c r="N12" i="85"/>
  <c r="N36" i="85"/>
  <c r="N25" i="85"/>
  <c r="N35" i="85"/>
  <c r="O35" i="85" s="1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8" i="85"/>
  <c r="M17" i="85"/>
  <c r="M21" i="85"/>
  <c r="M25" i="85"/>
  <c r="M14" i="85"/>
  <c r="M26" i="85"/>
  <c r="M5" i="85"/>
  <c r="M30" i="85"/>
  <c r="M2" i="85"/>
  <c r="M41" i="85"/>
  <c r="M4" i="85"/>
  <c r="M40" i="85"/>
  <c r="M36" i="85"/>
  <c r="M15" i="85"/>
  <c r="M10" i="85"/>
  <c r="M27" i="85"/>
  <c r="M24" i="85"/>
  <c r="M11" i="85"/>
  <c r="M39" i="85"/>
  <c r="M18" i="85"/>
  <c r="M44" i="85"/>
  <c r="M7" i="85"/>
  <c r="M28" i="85"/>
  <c r="M6" i="85"/>
  <c r="M34" i="85"/>
  <c r="M42" i="85"/>
  <c r="M22" i="85"/>
  <c r="M19" i="85"/>
  <c r="M43" i="85"/>
  <c r="M13" i="85"/>
  <c r="M3" i="85"/>
  <c r="M33" i="85"/>
  <c r="M12" i="85"/>
  <c r="M29" i="85"/>
  <c r="M23" i="85"/>
  <c r="M9" i="85"/>
  <c r="M32" i="85"/>
  <c r="M31" i="85"/>
  <c r="M35" i="85"/>
  <c r="M16" i="85"/>
  <c r="M38" i="85"/>
  <c r="M37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169" i="52"/>
  <c r="AH170" i="52"/>
  <c r="I170" i="52" s="1"/>
  <c r="I79" i="52"/>
  <c r="AH80" i="52"/>
  <c r="I80" i="52" s="1"/>
  <c r="I19" i="52"/>
  <c r="I109" i="52"/>
  <c r="AH110" i="52"/>
  <c r="I110" i="52" s="1"/>
  <c r="I229" i="52"/>
  <c r="AH230" i="52"/>
  <c r="I230" i="52" s="1"/>
  <c r="P48" i="83" l="1"/>
  <c r="P55" i="83"/>
  <c r="P3" i="83"/>
  <c r="P59" i="83"/>
  <c r="P27" i="83"/>
  <c r="P66" i="83"/>
  <c r="P10" i="83"/>
  <c r="P37" i="83"/>
  <c r="P53" i="83"/>
  <c r="P31" i="83"/>
  <c r="P44" i="83"/>
  <c r="P16" i="83"/>
  <c r="P24" i="83"/>
  <c r="P83" i="83"/>
  <c r="P28" i="83"/>
  <c r="P5" i="83"/>
  <c r="P42" i="83"/>
  <c r="P50" i="83"/>
  <c r="P81" i="83"/>
  <c r="P56" i="83"/>
  <c r="P60" i="83"/>
  <c r="P34" i="83"/>
  <c r="P103" i="83"/>
  <c r="P30" i="83"/>
  <c r="P102" i="83"/>
  <c r="P74" i="83"/>
  <c r="P69" i="83"/>
  <c r="P86" i="83"/>
  <c r="P7" i="83"/>
  <c r="P12" i="83"/>
  <c r="P85" i="83"/>
  <c r="P89" i="83"/>
  <c r="P75" i="83"/>
  <c r="P17" i="83"/>
  <c r="P64" i="83"/>
  <c r="P73" i="83"/>
  <c r="P98" i="83"/>
  <c r="P91" i="83"/>
  <c r="P61" i="83"/>
  <c r="P88" i="83"/>
  <c r="P20" i="83"/>
  <c r="P84" i="83"/>
  <c r="P14" i="83"/>
  <c r="P57" i="83"/>
  <c r="P68" i="83"/>
  <c r="P41" i="83"/>
  <c r="P58" i="83"/>
  <c r="P76" i="83"/>
  <c r="P25" i="83"/>
  <c r="P82" i="83"/>
  <c r="P95" i="83"/>
  <c r="P29" i="83"/>
  <c r="P19" i="83"/>
  <c r="P100" i="83"/>
  <c r="P26" i="83"/>
  <c r="P72" i="83"/>
  <c r="P52" i="83"/>
  <c r="P93" i="83"/>
  <c r="P71" i="83"/>
  <c r="P9" i="83"/>
  <c r="P11" i="83"/>
  <c r="P87" i="83"/>
  <c r="P2" i="83"/>
  <c r="P49" i="83"/>
  <c r="P4" i="83"/>
  <c r="P51" i="83"/>
  <c r="P36" i="83"/>
  <c r="P99" i="83"/>
  <c r="P32" i="83"/>
  <c r="P70" i="83"/>
  <c r="P78" i="83"/>
  <c r="P104" i="83"/>
  <c r="P23" i="83"/>
  <c r="P45" i="83"/>
  <c r="P15" i="83"/>
  <c r="P67" i="83"/>
  <c r="P22" i="83"/>
  <c r="P47" i="83"/>
  <c r="P54" i="83"/>
  <c r="P94" i="83"/>
  <c r="P77" i="83"/>
  <c r="P62" i="83"/>
  <c r="P96" i="83"/>
  <c r="P33" i="83"/>
  <c r="P80" i="83"/>
  <c r="P97" i="83"/>
  <c r="P63" i="83"/>
  <c r="P8" i="83"/>
  <c r="P90" i="83"/>
  <c r="P38" i="83"/>
  <c r="P39" i="83"/>
  <c r="P101" i="83"/>
  <c r="P65" i="83"/>
  <c r="P92" i="83"/>
  <c r="P43" i="83"/>
  <c r="P79" i="83"/>
  <c r="P40" i="83"/>
  <c r="P46" i="83"/>
  <c r="P21" i="83"/>
  <c r="P6" i="83"/>
  <c r="P13" i="83"/>
  <c r="P35" i="83"/>
  <c r="P18" i="83"/>
  <c r="B148" i="46"/>
  <c r="K149" i="46"/>
  <c r="U149" i="46"/>
  <c r="P167" i="46"/>
  <c r="P168" i="46" s="1"/>
  <c r="I149" i="46"/>
  <c r="H167" i="46"/>
  <c r="H168" i="46" s="1"/>
  <c r="M149" i="46"/>
  <c r="T167" i="46"/>
  <c r="T168" i="46" s="1"/>
  <c r="F167" i="46"/>
  <c r="F168" i="46" s="1"/>
  <c r="E149" i="46"/>
  <c r="O149" i="46"/>
  <c r="S149" i="46"/>
  <c r="G149" i="46"/>
  <c r="R167" i="46"/>
  <c r="R168" i="46" s="1"/>
  <c r="L167" i="46"/>
  <c r="L168" i="46" s="1"/>
  <c r="Q149" i="46"/>
  <c r="D167" i="46"/>
  <c r="D168" i="46" s="1"/>
  <c r="J167" i="46"/>
  <c r="J168" i="46" s="1"/>
  <c r="N167" i="46"/>
  <c r="N168" i="46" s="1"/>
  <c r="B176" i="46"/>
  <c r="P63" i="82"/>
  <c r="P29" i="82"/>
  <c r="P102" i="82"/>
  <c r="P100" i="82"/>
  <c r="P86" i="82"/>
  <c r="P77" i="82"/>
  <c r="P59" i="82"/>
  <c r="P88" i="82"/>
  <c r="P3" i="82"/>
  <c r="P83" i="82"/>
  <c r="P75" i="82"/>
  <c r="P4" i="82"/>
  <c r="P16" i="82"/>
  <c r="P33" i="82"/>
  <c r="P101" i="82"/>
  <c r="P2" i="82"/>
  <c r="P31" i="82"/>
  <c r="P49" i="82"/>
  <c r="P56" i="82"/>
  <c r="P98" i="82"/>
  <c r="P10" i="82"/>
  <c r="P81" i="82"/>
  <c r="P24" i="82"/>
  <c r="P41" i="82"/>
  <c r="P71" i="82"/>
  <c r="P72" i="82"/>
  <c r="P12" i="82"/>
  <c r="P90" i="82"/>
  <c r="P7" i="82"/>
  <c r="P44" i="82"/>
  <c r="P80" i="82"/>
  <c r="P25" i="82"/>
  <c r="P96" i="82"/>
  <c r="P30" i="82"/>
  <c r="P95" i="82"/>
  <c r="P70" i="82"/>
  <c r="P87" i="82"/>
  <c r="P57" i="82"/>
  <c r="P91" i="82"/>
  <c r="P8" i="82"/>
  <c r="P23" i="82"/>
  <c r="P48" i="82"/>
  <c r="P104" i="82"/>
  <c r="P97" i="82"/>
  <c r="P45" i="82"/>
  <c r="P18" i="82"/>
  <c r="P43" i="82"/>
  <c r="P36" i="82"/>
  <c r="P51" i="82"/>
  <c r="P42" i="82"/>
  <c r="P85" i="82"/>
  <c r="P67" i="82"/>
  <c r="P11" i="82"/>
  <c r="P22" i="82"/>
  <c r="P55" i="82"/>
  <c r="P21" i="82"/>
  <c r="P37" i="82"/>
  <c r="P94" i="82"/>
  <c r="P61" i="82"/>
  <c r="P17" i="82"/>
  <c r="P35" i="82"/>
  <c r="P28" i="82"/>
  <c r="P66" i="82"/>
  <c r="P38" i="82"/>
  <c r="P99" i="82"/>
  <c r="P54" i="82"/>
  <c r="P65" i="82"/>
  <c r="P19" i="82"/>
  <c r="P84" i="82"/>
  <c r="P15" i="82"/>
  <c r="P53" i="82"/>
  <c r="P92" i="82"/>
  <c r="P6" i="82"/>
  <c r="P9" i="82"/>
  <c r="P14" i="82"/>
  <c r="P103" i="82"/>
  <c r="P13" i="82"/>
  <c r="P27" i="82"/>
  <c r="P68" i="82"/>
  <c r="P39" i="82"/>
  <c r="P5" i="82"/>
  <c r="P58" i="82"/>
  <c r="P89" i="82"/>
  <c r="P50" i="82"/>
  <c r="P64" i="82"/>
  <c r="P74" i="82"/>
  <c r="P52" i="82"/>
  <c r="P40" i="82"/>
  <c r="P46" i="82"/>
  <c r="P79" i="82"/>
  <c r="P76" i="82"/>
  <c r="P60" i="82"/>
  <c r="P69" i="82"/>
  <c r="P26" i="82"/>
  <c r="P20" i="82"/>
  <c r="P47" i="82"/>
  <c r="P62" i="82"/>
  <c r="P73" i="82"/>
  <c r="P32" i="82"/>
  <c r="P93" i="82"/>
  <c r="P82" i="82"/>
  <c r="P78" i="82"/>
  <c r="P34" i="82"/>
  <c r="C21" i="68"/>
  <c r="H21" i="68" s="1"/>
  <c r="N21" i="68"/>
  <c r="N23" i="68"/>
  <c r="C23" i="68" s="1"/>
  <c r="H23" i="68" s="1"/>
  <c r="P30" i="81"/>
  <c r="P57" i="81"/>
  <c r="P59" i="81"/>
  <c r="P45" i="81"/>
  <c r="P87" i="81"/>
  <c r="P58" i="81"/>
  <c r="P49" i="81"/>
  <c r="P44" i="81"/>
  <c r="P39" i="81"/>
  <c r="P20" i="81"/>
  <c r="P34" i="81"/>
  <c r="P104" i="81"/>
  <c r="P56" i="81"/>
  <c r="P10" i="81"/>
  <c r="P50" i="81"/>
  <c r="P29" i="81"/>
  <c r="P12" i="81"/>
  <c r="P88" i="81"/>
  <c r="P64" i="81"/>
  <c r="P54" i="81"/>
  <c r="P67" i="81"/>
  <c r="P65" i="81"/>
  <c r="P69" i="81"/>
  <c r="P90" i="81"/>
  <c r="P60" i="81"/>
  <c r="P24" i="81"/>
  <c r="P71" i="81"/>
  <c r="P25" i="81"/>
  <c r="P18" i="81"/>
  <c r="P89" i="81"/>
  <c r="P7" i="81"/>
  <c r="P68" i="81"/>
  <c r="P85" i="81"/>
  <c r="P4" i="81"/>
  <c r="P52" i="81"/>
  <c r="P19" i="81"/>
  <c r="P97" i="81"/>
  <c r="P14" i="81"/>
  <c r="P93" i="81"/>
  <c r="P28" i="81"/>
  <c r="P23" i="81"/>
  <c r="P62" i="81"/>
  <c r="P2" i="81"/>
  <c r="P74" i="81"/>
  <c r="P8" i="81"/>
  <c r="P102" i="81"/>
  <c r="P72" i="81"/>
  <c r="P73" i="81"/>
  <c r="P95" i="81"/>
  <c r="P32" i="81"/>
  <c r="P78" i="81"/>
  <c r="P76" i="81"/>
  <c r="P99" i="81"/>
  <c r="P91" i="81"/>
  <c r="P82" i="81"/>
  <c r="P94" i="81"/>
  <c r="P92" i="81"/>
  <c r="P27" i="81"/>
  <c r="P53" i="81"/>
  <c r="P15" i="81"/>
  <c r="P101" i="81"/>
  <c r="P47" i="81"/>
  <c r="P84" i="81"/>
  <c r="P96" i="81"/>
  <c r="P61" i="81"/>
  <c r="P103" i="81"/>
  <c r="P31" i="81"/>
  <c r="P79" i="81"/>
  <c r="P6" i="81"/>
  <c r="P55" i="81"/>
  <c r="P13" i="81"/>
  <c r="P83" i="81"/>
  <c r="P70" i="81"/>
  <c r="P26" i="81"/>
  <c r="P46" i="81"/>
  <c r="P100" i="81"/>
  <c r="P9" i="81"/>
  <c r="P43" i="81"/>
  <c r="P41" i="81"/>
  <c r="P86" i="81"/>
  <c r="P40" i="81"/>
  <c r="P42" i="81"/>
  <c r="P35" i="81"/>
  <c r="P36" i="81"/>
  <c r="P98" i="81"/>
  <c r="P11" i="81"/>
  <c r="P22" i="81"/>
  <c r="P38" i="81"/>
  <c r="P17" i="81"/>
  <c r="P16" i="81"/>
  <c r="P51" i="81"/>
  <c r="P75" i="81"/>
  <c r="P48" i="81"/>
  <c r="P66" i="81"/>
  <c r="P80" i="81"/>
  <c r="P77" i="81"/>
  <c r="P63" i="81"/>
  <c r="P3" i="81"/>
  <c r="P81" i="81"/>
  <c r="P21" i="81"/>
  <c r="P37" i="81"/>
  <c r="P33" i="81"/>
  <c r="P5" i="81"/>
  <c r="O8" i="85"/>
  <c r="O11" i="85"/>
  <c r="O14" i="85"/>
  <c r="P71" i="80"/>
  <c r="P93" i="80"/>
  <c r="P15" i="80"/>
  <c r="P102" i="80"/>
  <c r="P32" i="80"/>
  <c r="P11" i="80"/>
  <c r="P57" i="80"/>
  <c r="P60" i="80"/>
  <c r="P45" i="80"/>
  <c r="P3" i="80"/>
  <c r="P40" i="80"/>
  <c r="P66" i="80"/>
  <c r="P77" i="80"/>
  <c r="P33" i="80"/>
  <c r="P39" i="80"/>
  <c r="P104" i="80"/>
  <c r="P61" i="80"/>
  <c r="P52" i="80"/>
  <c r="P80" i="80"/>
  <c r="P17" i="80"/>
  <c r="P36" i="80"/>
  <c r="P88" i="80"/>
  <c r="P21" i="80"/>
  <c r="P18" i="80"/>
  <c r="P98" i="80"/>
  <c r="P22" i="80"/>
  <c r="P90" i="80"/>
  <c r="P96" i="80"/>
  <c r="P9" i="80"/>
  <c r="P50" i="80"/>
  <c r="P85" i="80"/>
  <c r="P30" i="80"/>
  <c r="P27" i="80"/>
  <c r="P6" i="80"/>
  <c r="P59" i="80"/>
  <c r="P49" i="80"/>
  <c r="P28" i="80"/>
  <c r="P62" i="80"/>
  <c r="P42" i="80"/>
  <c r="P63" i="80"/>
  <c r="P100" i="80"/>
  <c r="P76" i="80"/>
  <c r="P38" i="80"/>
  <c r="P86" i="80"/>
  <c r="P87" i="80"/>
  <c r="P10" i="80"/>
  <c r="P68" i="80"/>
  <c r="P37" i="80"/>
  <c r="P5" i="80"/>
  <c r="P29" i="80"/>
  <c r="P64" i="80"/>
  <c r="P24" i="80"/>
  <c r="P84" i="80"/>
  <c r="P81" i="80"/>
  <c r="P43" i="80"/>
  <c r="P54" i="80"/>
  <c r="P41" i="80"/>
  <c r="P74" i="80"/>
  <c r="P12" i="80"/>
  <c r="P51" i="80"/>
  <c r="P75" i="80"/>
  <c r="P8" i="80"/>
  <c r="P73" i="80"/>
  <c r="P14" i="80"/>
  <c r="P56" i="80"/>
  <c r="P46" i="80"/>
  <c r="P65" i="80"/>
  <c r="P78" i="80"/>
  <c r="P103" i="80"/>
  <c r="P55" i="80"/>
  <c r="P19" i="80"/>
  <c r="P94" i="80"/>
  <c r="P44" i="80"/>
  <c r="P101" i="80"/>
  <c r="P23" i="80"/>
  <c r="P70" i="80"/>
  <c r="P4" i="80"/>
  <c r="P47" i="80"/>
  <c r="P89" i="80"/>
  <c r="P67" i="80"/>
  <c r="P7" i="80"/>
  <c r="P95" i="80"/>
  <c r="P25" i="80"/>
  <c r="P35" i="80"/>
  <c r="P31" i="80"/>
  <c r="P13" i="80"/>
  <c r="P53" i="80"/>
  <c r="P79" i="80"/>
  <c r="P2" i="80"/>
  <c r="P99" i="80"/>
  <c r="P91" i="80"/>
  <c r="P97" i="80"/>
  <c r="P72" i="80"/>
  <c r="P48" i="80"/>
  <c r="P82" i="80"/>
  <c r="P34" i="80"/>
  <c r="P83" i="80"/>
  <c r="P58" i="80"/>
  <c r="P20" i="80"/>
  <c r="P69" i="80"/>
  <c r="P26" i="80"/>
  <c r="P16" i="80"/>
  <c r="P92" i="80"/>
  <c r="O32" i="85"/>
  <c r="O68" i="84"/>
  <c r="O33" i="85"/>
  <c r="O6" i="85"/>
  <c r="AH80" i="59"/>
  <c r="I80" i="59" s="1"/>
  <c r="P87" i="79"/>
  <c r="P73" i="79"/>
  <c r="P74" i="79"/>
  <c r="P26" i="79"/>
  <c r="P56" i="79"/>
  <c r="P67" i="79"/>
  <c r="P88" i="79"/>
  <c r="P72" i="79"/>
  <c r="P15" i="79"/>
  <c r="P89" i="79"/>
  <c r="P84" i="79"/>
  <c r="P38" i="79"/>
  <c r="P85" i="79"/>
  <c r="P53" i="79"/>
  <c r="P40" i="79"/>
  <c r="P34" i="79"/>
  <c r="P45" i="79"/>
  <c r="P52" i="79"/>
  <c r="P78" i="79"/>
  <c r="P41" i="79"/>
  <c r="P90" i="79"/>
  <c r="P50" i="79"/>
  <c r="P16" i="79"/>
  <c r="P57" i="79"/>
  <c r="P62" i="79"/>
  <c r="P6" i="79"/>
  <c r="P54" i="79"/>
  <c r="P47" i="79"/>
  <c r="P9" i="79"/>
  <c r="P36" i="79"/>
  <c r="P71" i="79"/>
  <c r="P63" i="79"/>
  <c r="P12" i="79"/>
  <c r="P59" i="79"/>
  <c r="P86" i="79"/>
  <c r="P8" i="79"/>
  <c r="P30" i="79"/>
  <c r="P2" i="79"/>
  <c r="P92" i="79"/>
  <c r="P32" i="79"/>
  <c r="P98" i="79"/>
  <c r="P13" i="79"/>
  <c r="P102" i="79"/>
  <c r="P44" i="79"/>
  <c r="P69" i="79"/>
  <c r="P5" i="79"/>
  <c r="P55" i="79"/>
  <c r="P94" i="79"/>
  <c r="P95" i="79"/>
  <c r="P80" i="79"/>
  <c r="P58" i="79"/>
  <c r="P61" i="79"/>
  <c r="P103" i="79"/>
  <c r="P4" i="79"/>
  <c r="P18" i="79"/>
  <c r="P64" i="79"/>
  <c r="P27" i="79"/>
  <c r="P65" i="79"/>
  <c r="P51" i="79"/>
  <c r="P82" i="79"/>
  <c r="P66" i="79"/>
  <c r="P93" i="79"/>
  <c r="P37" i="79"/>
  <c r="P19" i="79"/>
  <c r="P104" i="79"/>
  <c r="P83" i="79"/>
  <c r="P31" i="79"/>
  <c r="P101" i="79"/>
  <c r="P43" i="79"/>
  <c r="P21" i="79"/>
  <c r="P46" i="79"/>
  <c r="P76" i="79"/>
  <c r="P42" i="79"/>
  <c r="P11" i="79"/>
  <c r="P33" i="79"/>
  <c r="P23" i="79"/>
  <c r="P79" i="79"/>
  <c r="P24" i="79"/>
  <c r="P29" i="79"/>
  <c r="P75" i="79"/>
  <c r="P39" i="79"/>
  <c r="P91" i="79"/>
  <c r="P97" i="79"/>
  <c r="P35" i="79"/>
  <c r="P70" i="79"/>
  <c r="P7" i="79"/>
  <c r="P10" i="79"/>
  <c r="P3" i="79"/>
  <c r="P77" i="79"/>
  <c r="P60" i="79"/>
  <c r="P25" i="79"/>
  <c r="P99" i="79"/>
  <c r="P28" i="79"/>
  <c r="P100" i="79"/>
  <c r="P81" i="79"/>
  <c r="P20" i="79"/>
  <c r="P22" i="79"/>
  <c r="P49" i="79"/>
  <c r="P14" i="79"/>
  <c r="P48" i="79"/>
  <c r="P17" i="79"/>
  <c r="P96" i="79"/>
  <c r="P68" i="79"/>
  <c r="O31" i="85"/>
  <c r="C24" i="66"/>
  <c r="H24" i="66" s="1"/>
  <c r="N22" i="66"/>
  <c r="C22" i="66" s="1"/>
  <c r="H22" i="66" s="1"/>
  <c r="N26" i="66"/>
  <c r="C26" i="66" s="1"/>
  <c r="H26" i="66" s="1"/>
  <c r="N24" i="66"/>
  <c r="N25" i="66"/>
  <c r="C25" i="66" s="1"/>
  <c r="H25" i="66" s="1"/>
  <c r="N21" i="70"/>
  <c r="N22" i="70"/>
  <c r="C22" i="70" s="1"/>
  <c r="H22" i="70" s="1"/>
  <c r="N23" i="70"/>
  <c r="C23" i="70" s="1"/>
  <c r="H23" i="70" s="1"/>
  <c r="C21" i="70"/>
  <c r="H21" i="70" s="1"/>
  <c r="N138" i="49"/>
  <c r="N139" i="49" s="1"/>
  <c r="D138" i="49"/>
  <c r="D139" i="49" s="1"/>
  <c r="B147" i="49"/>
  <c r="P138" i="49"/>
  <c r="P139" i="49" s="1"/>
  <c r="L138" i="49"/>
  <c r="L139" i="49" s="1"/>
  <c r="Q120" i="49"/>
  <c r="H138" i="49"/>
  <c r="H139" i="49" s="1"/>
  <c r="I120" i="49"/>
  <c r="E120" i="49"/>
  <c r="U120" i="49"/>
  <c r="R138" i="49"/>
  <c r="R139" i="49" s="1"/>
  <c r="M120" i="49"/>
  <c r="B119" i="49"/>
  <c r="S120" i="49"/>
  <c r="O120" i="49"/>
  <c r="F138" i="49"/>
  <c r="F139" i="49" s="1"/>
  <c r="G120" i="49"/>
  <c r="K120" i="49"/>
  <c r="T138" i="49"/>
  <c r="T139" i="49" s="1"/>
  <c r="J138" i="49"/>
  <c r="J139" i="49" s="1"/>
  <c r="N23" i="66"/>
  <c r="C23" i="66" s="1"/>
  <c r="H23" i="66" s="1"/>
  <c r="N21" i="66"/>
  <c r="C21" i="66"/>
  <c r="H21" i="66" s="1"/>
  <c r="O22" i="85"/>
  <c r="O94" i="84"/>
  <c r="O52" i="84"/>
  <c r="O81" i="84"/>
  <c r="O25" i="85"/>
  <c r="O23" i="85"/>
  <c r="O24" i="85"/>
  <c r="AL80" i="59"/>
  <c r="M80" i="59" s="1"/>
  <c r="O95" i="84"/>
  <c r="O38" i="85"/>
  <c r="O37" i="85"/>
  <c r="O85" i="84"/>
  <c r="O40" i="85"/>
  <c r="O79" i="84"/>
  <c r="O39" i="85"/>
  <c r="O69" i="84"/>
  <c r="AN200" i="55"/>
  <c r="O200" i="55" s="1"/>
  <c r="AH110" i="59"/>
  <c r="I110" i="59" s="1"/>
  <c r="AF80" i="53"/>
  <c r="G80" i="53" s="1"/>
  <c r="Q139" i="59"/>
  <c r="O36" i="85"/>
  <c r="O103" i="84"/>
  <c r="O58" i="84"/>
  <c r="O75" i="84"/>
  <c r="AH50" i="53"/>
  <c r="I50" i="53" s="1"/>
  <c r="AR20" i="53"/>
  <c r="S20" i="53" s="1"/>
  <c r="S259" i="58"/>
  <c r="N71" i="85"/>
  <c r="O102" i="84"/>
  <c r="O9" i="85"/>
  <c r="O72" i="84"/>
  <c r="O7" i="85"/>
  <c r="O56" i="84"/>
  <c r="O80" i="84"/>
  <c r="O101" i="84"/>
  <c r="O96" i="84"/>
  <c r="O61" i="84"/>
  <c r="O84" i="84"/>
  <c r="O98" i="84"/>
  <c r="O97" i="84"/>
  <c r="O99" i="84"/>
  <c r="O77" i="84"/>
  <c r="O73" i="84"/>
  <c r="O91" i="84"/>
  <c r="O57" i="84"/>
  <c r="O78" i="84"/>
  <c r="O71" i="84"/>
  <c r="O89" i="84"/>
  <c r="O90" i="84"/>
  <c r="O66" i="84"/>
  <c r="O92" i="84"/>
  <c r="N88" i="85"/>
  <c r="O64" i="84"/>
  <c r="O55" i="84"/>
  <c r="N69" i="85"/>
  <c r="O82" i="84"/>
  <c r="O70" i="84"/>
  <c r="O62" i="84"/>
  <c r="O63" i="84"/>
  <c r="O88" i="84"/>
  <c r="O100" i="84"/>
  <c r="O76" i="84"/>
  <c r="O65" i="84"/>
  <c r="O104" i="84"/>
  <c r="N75" i="85"/>
  <c r="N60" i="85"/>
  <c r="N93" i="85"/>
  <c r="O87" i="84"/>
  <c r="O67" i="84"/>
  <c r="N95" i="85"/>
  <c r="O60" i="84"/>
  <c r="O74" i="84"/>
  <c r="N53" i="85"/>
  <c r="N53" i="86" s="1"/>
  <c r="N94" i="85"/>
  <c r="O59" i="84"/>
  <c r="N70" i="85"/>
  <c r="N84" i="85"/>
  <c r="N98" i="85"/>
  <c r="N102" i="85"/>
  <c r="N65" i="85"/>
  <c r="N59" i="85"/>
  <c r="N90" i="85"/>
  <c r="N72" i="85"/>
  <c r="N91" i="85"/>
  <c r="N86" i="85"/>
  <c r="N74" i="85"/>
  <c r="N80" i="85"/>
  <c r="O86" i="84"/>
  <c r="N67" i="85"/>
  <c r="N64" i="85"/>
  <c r="N103" i="85"/>
  <c r="N79" i="85"/>
  <c r="N104" i="85"/>
  <c r="N56" i="85"/>
  <c r="N54" i="85"/>
  <c r="N83" i="85"/>
  <c r="N57" i="85"/>
  <c r="N100" i="85"/>
  <c r="O53" i="84"/>
  <c r="O93" i="84"/>
  <c r="O83" i="84"/>
  <c r="N66" i="85"/>
  <c r="N89" i="85"/>
  <c r="N58" i="85"/>
  <c r="N63" i="85"/>
  <c r="N99" i="85"/>
  <c r="N87" i="85"/>
  <c r="N73" i="85"/>
  <c r="N68" i="85"/>
  <c r="N82" i="85"/>
  <c r="N85" i="85"/>
  <c r="N78" i="85"/>
  <c r="N101" i="85"/>
  <c r="N76" i="85"/>
  <c r="N97" i="85"/>
  <c r="N62" i="85"/>
  <c r="N96" i="85"/>
  <c r="N81" i="85"/>
  <c r="N61" i="85"/>
  <c r="N77" i="85"/>
  <c r="N55" i="85"/>
  <c r="N92" i="85"/>
  <c r="O10" i="85"/>
  <c r="O12" i="85"/>
  <c r="O13" i="85"/>
  <c r="O48" i="84"/>
  <c r="AL20" i="55"/>
  <c r="M20" i="55" s="1"/>
  <c r="O41" i="85"/>
  <c r="O43" i="85"/>
  <c r="O44" i="85"/>
  <c r="O42" i="85"/>
  <c r="AL290" i="53"/>
  <c r="M290" i="53" s="1"/>
  <c r="O5" i="85"/>
  <c r="O3" i="85"/>
  <c r="O4" i="85"/>
  <c r="O45" i="84"/>
  <c r="O17" i="85"/>
  <c r="P29" i="78"/>
  <c r="P61" i="78"/>
  <c r="P65" i="78"/>
  <c r="P79" i="78"/>
  <c r="P76" i="78"/>
  <c r="P84" i="78"/>
  <c r="P71" i="78"/>
  <c r="P3" i="78"/>
  <c r="P57" i="78"/>
  <c r="P36" i="78"/>
  <c r="P2" i="78"/>
  <c r="P7" i="78"/>
  <c r="P96" i="78"/>
  <c r="P40" i="78"/>
  <c r="P63" i="78"/>
  <c r="P62" i="78"/>
  <c r="P47" i="78"/>
  <c r="P22" i="78"/>
  <c r="P56" i="78"/>
  <c r="P24" i="78"/>
  <c r="P78" i="78"/>
  <c r="P86" i="78"/>
  <c r="P70" i="78"/>
  <c r="P66" i="78"/>
  <c r="P48" i="78"/>
  <c r="P16" i="78"/>
  <c r="P81" i="78"/>
  <c r="P74" i="78"/>
  <c r="P26" i="78"/>
  <c r="P5" i="78"/>
  <c r="P21" i="78"/>
  <c r="P27" i="78"/>
  <c r="P44" i="78"/>
  <c r="P82" i="78"/>
  <c r="P8" i="78"/>
  <c r="P98" i="78"/>
  <c r="P53" i="78"/>
  <c r="P49" i="78"/>
  <c r="P95" i="78"/>
  <c r="P55" i="78"/>
  <c r="P28" i="78"/>
  <c r="P102" i="78"/>
  <c r="P38" i="78"/>
  <c r="P6" i="78"/>
  <c r="P97" i="78"/>
  <c r="P101" i="78"/>
  <c r="P33" i="78"/>
  <c r="P64" i="78"/>
  <c r="P87" i="78"/>
  <c r="P32" i="78"/>
  <c r="P100" i="78"/>
  <c r="P15" i="78"/>
  <c r="P11" i="78"/>
  <c r="P42" i="78"/>
  <c r="P9" i="78"/>
  <c r="P99" i="78"/>
  <c r="P77" i="78"/>
  <c r="P54" i="78"/>
  <c r="P25" i="78"/>
  <c r="P68" i="78"/>
  <c r="P89" i="78"/>
  <c r="P85" i="78"/>
  <c r="P43" i="78"/>
  <c r="P91" i="78"/>
  <c r="P10" i="78"/>
  <c r="P75" i="78"/>
  <c r="P52" i="78"/>
  <c r="P83" i="78"/>
  <c r="P19" i="78"/>
  <c r="P72" i="78"/>
  <c r="P51" i="78"/>
  <c r="P46" i="78"/>
  <c r="P93" i="78"/>
  <c r="P45" i="78"/>
  <c r="P60" i="78"/>
  <c r="P104" i="78"/>
  <c r="P13" i="78"/>
  <c r="P94" i="78"/>
  <c r="P92" i="78"/>
  <c r="P23" i="78"/>
  <c r="P73" i="78"/>
  <c r="P41" i="78"/>
  <c r="P12" i="78"/>
  <c r="P17" i="78"/>
  <c r="P30" i="78"/>
  <c r="P80" i="78"/>
  <c r="P14" i="78"/>
  <c r="P4" i="78"/>
  <c r="P67" i="78"/>
  <c r="P35" i="78"/>
  <c r="P37" i="78"/>
  <c r="P69" i="78"/>
  <c r="P20" i="78"/>
  <c r="P18" i="78"/>
  <c r="P59" i="78"/>
  <c r="P88" i="78"/>
  <c r="P103" i="78"/>
  <c r="P31" i="78"/>
  <c r="P90" i="78"/>
  <c r="P58" i="78"/>
  <c r="P50" i="78"/>
  <c r="P39" i="78"/>
  <c r="P34" i="78"/>
  <c r="O15" i="85"/>
  <c r="O16" i="85"/>
  <c r="AL260" i="59"/>
  <c r="M260" i="59" s="1"/>
  <c r="M77" i="85"/>
  <c r="O19" i="85"/>
  <c r="O21" i="85"/>
  <c r="O20" i="85"/>
  <c r="O18" i="85"/>
  <c r="AJ140" i="53"/>
  <c r="K140" i="53" s="1"/>
  <c r="M68" i="85"/>
  <c r="O26" i="85"/>
  <c r="O27" i="85"/>
  <c r="O29" i="85"/>
  <c r="M69" i="85"/>
  <c r="M71" i="85"/>
  <c r="M59" i="85"/>
  <c r="AH290" i="52"/>
  <c r="I290" i="52" s="1"/>
  <c r="M48" i="85"/>
  <c r="O48" i="85" s="1"/>
  <c r="M51" i="85"/>
  <c r="O51" i="85" s="1"/>
  <c r="M61" i="85"/>
  <c r="M50" i="85"/>
  <c r="O50" i="85" s="1"/>
  <c r="M96" i="85"/>
  <c r="M92" i="85"/>
  <c r="M95" i="85"/>
  <c r="M101" i="85"/>
  <c r="M100" i="85"/>
  <c r="M53" i="85"/>
  <c r="M94" i="85"/>
  <c r="M45" i="85"/>
  <c r="O45" i="85" s="1"/>
  <c r="M93" i="85"/>
  <c r="M102" i="85"/>
  <c r="M83" i="85"/>
  <c r="M74" i="85"/>
  <c r="M55" i="85"/>
  <c r="M64" i="85"/>
  <c r="M66" i="85"/>
  <c r="M104" i="85"/>
  <c r="M58" i="85"/>
  <c r="M49" i="85"/>
  <c r="O49" i="85" s="1"/>
  <c r="M75" i="85"/>
  <c r="M99" i="85"/>
  <c r="M88" i="85"/>
  <c r="M57" i="85"/>
  <c r="M47" i="85"/>
  <c r="O47" i="85" s="1"/>
  <c r="M56" i="85"/>
  <c r="M46" i="85"/>
  <c r="O46" i="85" s="1"/>
  <c r="M72" i="85"/>
  <c r="M81" i="85"/>
  <c r="M54" i="85"/>
  <c r="M65" i="85"/>
  <c r="M73" i="85"/>
  <c r="M70" i="85"/>
  <c r="M62" i="85"/>
  <c r="M79" i="85"/>
  <c r="M67" i="85"/>
  <c r="M90" i="85"/>
  <c r="M60" i="85"/>
  <c r="M97" i="85"/>
  <c r="M52" i="85"/>
  <c r="O52" i="85" s="1"/>
  <c r="M63" i="85"/>
  <c r="M91" i="85"/>
  <c r="M76" i="85"/>
  <c r="M98" i="85"/>
  <c r="M84" i="85"/>
  <c r="M78" i="85"/>
  <c r="M80" i="85"/>
  <c r="M89" i="85"/>
  <c r="M87" i="85"/>
  <c r="M103" i="85"/>
  <c r="M82" i="85"/>
  <c r="M85" i="85"/>
  <c r="M86" i="85"/>
  <c r="O30" i="85"/>
  <c r="AF170" i="52"/>
  <c r="G170" i="52" s="1"/>
  <c r="AF80" i="59"/>
  <c r="G80" i="59" s="1"/>
  <c r="AF200" i="55"/>
  <c r="G200" i="55" s="1"/>
  <c r="AF50" i="52"/>
  <c r="G50" i="52" s="1"/>
  <c r="AH260" i="52"/>
  <c r="I260" i="52" s="1"/>
  <c r="AF20" i="55"/>
  <c r="G20" i="55" s="1"/>
  <c r="AR110" i="53"/>
  <c r="S110" i="53" s="1"/>
  <c r="K19" i="52"/>
  <c r="AL80" i="53"/>
  <c r="M80" i="53" s="1"/>
  <c r="AD80" i="57"/>
  <c r="E80" i="57" s="1"/>
  <c r="AP290" i="52"/>
  <c r="Q290" i="52" s="1"/>
  <c r="AL230" i="55"/>
  <c r="M230" i="55" s="1"/>
  <c r="AP260" i="53"/>
  <c r="Q260" i="53" s="1"/>
  <c r="AF200" i="53"/>
  <c r="G200" i="53" s="1"/>
  <c r="AN200" i="53"/>
  <c r="O200" i="53" s="1"/>
  <c r="AN170" i="57"/>
  <c r="O170" i="57" s="1"/>
  <c r="AT170" i="55"/>
  <c r="U170" i="55" s="1"/>
  <c r="AD20" i="59"/>
  <c r="E20" i="59" s="1"/>
  <c r="AH110" i="58"/>
  <c r="I110" i="58" s="1"/>
  <c r="AH290" i="57"/>
  <c r="I290" i="57" s="1"/>
  <c r="AF140" i="52"/>
  <c r="G140" i="52" s="1"/>
  <c r="S139" i="57"/>
  <c r="AN50" i="53"/>
  <c r="O50" i="53" s="1"/>
  <c r="AL80" i="52"/>
  <c r="M80" i="52" s="1"/>
  <c r="AN140" i="59"/>
  <c r="O140" i="59" s="1"/>
  <c r="AD80" i="59"/>
  <c r="E80" i="59" s="1"/>
  <c r="I199" i="57"/>
  <c r="G289" i="55"/>
  <c r="G289" i="59"/>
  <c r="AT170" i="57"/>
  <c r="U170" i="57" s="1"/>
  <c r="AF200" i="59"/>
  <c r="G200" i="59" s="1"/>
  <c r="G49" i="59"/>
  <c r="AN230" i="53"/>
  <c r="O230" i="53" s="1"/>
  <c r="G199" i="52"/>
  <c r="AT110" i="53"/>
  <c r="U110" i="53" s="1"/>
  <c r="AR290" i="57"/>
  <c r="S290" i="57" s="1"/>
  <c r="AF80" i="52"/>
  <c r="G80" i="52" s="1"/>
  <c r="AH110" i="55"/>
  <c r="I110" i="55" s="1"/>
  <c r="AR20" i="59"/>
  <c r="S20" i="59" s="1"/>
  <c r="AN230" i="57"/>
  <c r="O230" i="57" s="1"/>
  <c r="U79" i="55"/>
  <c r="AL20" i="59"/>
  <c r="M20" i="59" s="1"/>
  <c r="G259" i="53"/>
  <c r="AD140" i="58"/>
  <c r="E140" i="58" s="1"/>
  <c r="AF20" i="57"/>
  <c r="G20" i="57" s="1"/>
  <c r="AP140" i="55"/>
  <c r="Q140" i="55" s="1"/>
  <c r="AH140" i="58"/>
  <c r="I140" i="58" s="1"/>
  <c r="AN80" i="53"/>
  <c r="O80" i="53" s="1"/>
  <c r="AN20" i="57"/>
  <c r="O20" i="57" s="1"/>
  <c r="O49" i="58"/>
  <c r="AH140" i="52"/>
  <c r="I140" i="52" s="1"/>
  <c r="AF140" i="58"/>
  <c r="G140" i="58" s="1"/>
  <c r="AH20" i="58"/>
  <c r="I20" i="58" s="1"/>
  <c r="AN170" i="59"/>
  <c r="O170" i="59" s="1"/>
  <c r="AP80" i="53"/>
  <c r="Q80" i="53" s="1"/>
  <c r="AT260" i="53"/>
  <c r="U260" i="53" s="1"/>
  <c r="AF170" i="59"/>
  <c r="G170" i="59" s="1"/>
  <c r="AJ20" i="55"/>
  <c r="K20" i="55" s="1"/>
  <c r="AR170" i="55"/>
  <c r="S170" i="55" s="1"/>
  <c r="AV19" i="59"/>
  <c r="W19" i="59" s="1"/>
  <c r="AR110" i="59"/>
  <c r="S110" i="59" s="1"/>
  <c r="AF50" i="53"/>
  <c r="G50" i="53" s="1"/>
  <c r="AN290" i="58"/>
  <c r="O290" i="58" s="1"/>
  <c r="AR80" i="57"/>
  <c r="S80" i="57" s="1"/>
  <c r="AJ230" i="52"/>
  <c r="K230" i="52" s="1"/>
  <c r="AD230" i="58"/>
  <c r="E230" i="58" s="1"/>
  <c r="AF230" i="58"/>
  <c r="G230" i="58" s="1"/>
  <c r="AD260" i="53"/>
  <c r="E260" i="53" s="1"/>
  <c r="AV49" i="53"/>
  <c r="AV50" i="53" s="1"/>
  <c r="BA50" i="53" s="1"/>
  <c r="BQ50" i="53" s="1"/>
  <c r="G289" i="57"/>
  <c r="AD170" i="59"/>
  <c r="E170" i="59" s="1"/>
  <c r="AT170" i="53"/>
  <c r="U170" i="53" s="1"/>
  <c r="AF200" i="57"/>
  <c r="G200" i="57" s="1"/>
  <c r="AL80" i="57"/>
  <c r="M80" i="57" s="1"/>
  <c r="AL170" i="52"/>
  <c r="M170" i="52" s="1"/>
  <c r="AL260" i="52"/>
  <c r="M260" i="52" s="1"/>
  <c r="AF110" i="57"/>
  <c r="G110" i="57" s="1"/>
  <c r="AF140" i="55"/>
  <c r="G140" i="55" s="1"/>
  <c r="AF20" i="52"/>
  <c r="G20" i="52" s="1"/>
  <c r="AD50" i="57"/>
  <c r="E50" i="57" s="1"/>
  <c r="G229" i="53"/>
  <c r="Q229" i="53"/>
  <c r="AP230" i="53"/>
  <c r="Q230" i="53" s="1"/>
  <c r="AN290" i="57"/>
  <c r="O290" i="57" s="1"/>
  <c r="AP110" i="59"/>
  <c r="Q110" i="59" s="1"/>
  <c r="AR290" i="58"/>
  <c r="S290" i="58" s="1"/>
  <c r="I289" i="53"/>
  <c r="AH290" i="53"/>
  <c r="I290" i="53" s="1"/>
  <c r="AR200" i="59"/>
  <c r="S200" i="59" s="1"/>
  <c r="AH260" i="57"/>
  <c r="I260" i="57" s="1"/>
  <c r="AH80" i="55"/>
  <c r="I80" i="55" s="1"/>
  <c r="AD140" i="53"/>
  <c r="E140" i="53" s="1"/>
  <c r="AT140" i="55"/>
  <c r="U140" i="55" s="1"/>
  <c r="AN230" i="58"/>
  <c r="O230" i="58" s="1"/>
  <c r="AH290" i="55"/>
  <c r="I290" i="55" s="1"/>
  <c r="AP230" i="57"/>
  <c r="Q230" i="57" s="1"/>
  <c r="AL290" i="59"/>
  <c r="M290" i="59" s="1"/>
  <c r="AT50" i="58"/>
  <c r="U50" i="58" s="1"/>
  <c r="AV79" i="59"/>
  <c r="AV80" i="59" s="1"/>
  <c r="AN20" i="58"/>
  <c r="O20" i="58" s="1"/>
  <c r="AV79" i="58"/>
  <c r="W79" i="58" s="1"/>
  <c r="AH200" i="53"/>
  <c r="I200" i="53" s="1"/>
  <c r="E289" i="59"/>
  <c r="AD290" i="59"/>
  <c r="E290" i="59" s="1"/>
  <c r="AJ200" i="52"/>
  <c r="K200" i="52" s="1"/>
  <c r="AN290" i="53"/>
  <c r="O290" i="53" s="1"/>
  <c r="AV229" i="52"/>
  <c r="W229" i="52" s="1"/>
  <c r="AR290" i="55"/>
  <c r="S290" i="55" s="1"/>
  <c r="AR80" i="58"/>
  <c r="S80" i="58" s="1"/>
  <c r="AJ290" i="52"/>
  <c r="K290" i="52" s="1"/>
  <c r="AJ230" i="58"/>
  <c r="K230" i="58" s="1"/>
  <c r="S229" i="55"/>
  <c r="AR230" i="55"/>
  <c r="S230" i="55" s="1"/>
  <c r="O289" i="59"/>
  <c r="AN290" i="59"/>
  <c r="O290" i="59" s="1"/>
  <c r="AV289" i="59"/>
  <c r="W289" i="59" s="1"/>
  <c r="AV139" i="55"/>
  <c r="W139" i="55" s="1"/>
  <c r="M169" i="59"/>
  <c r="AL170" i="59"/>
  <c r="M170" i="59" s="1"/>
  <c r="I229" i="59"/>
  <c r="AH230" i="59"/>
  <c r="I230" i="59" s="1"/>
  <c r="AJ200" i="59"/>
  <c r="K200" i="59" s="1"/>
  <c r="K199" i="59"/>
  <c r="AT110" i="55"/>
  <c r="U110" i="55" s="1"/>
  <c r="K19" i="53"/>
  <c r="AJ20" i="53"/>
  <c r="K20" i="53" s="1"/>
  <c r="AR80" i="55"/>
  <c r="S80" i="55" s="1"/>
  <c r="AP230" i="58"/>
  <c r="Q230" i="58" s="1"/>
  <c r="N22" i="60"/>
  <c r="C22" i="60" s="1"/>
  <c r="H22" i="60" s="1"/>
  <c r="C21" i="60"/>
  <c r="H21" i="60" s="1"/>
  <c r="N21" i="60"/>
  <c r="N23" i="60"/>
  <c r="C23" i="60" s="1"/>
  <c r="H23" i="60" s="1"/>
  <c r="J254" i="45"/>
  <c r="J255" i="45" s="1"/>
  <c r="I236" i="45"/>
  <c r="K236" i="45"/>
  <c r="R254" i="45"/>
  <c r="R255" i="45" s="1"/>
  <c r="B235" i="45"/>
  <c r="Q236" i="45"/>
  <c r="E236" i="45"/>
  <c r="S236" i="45"/>
  <c r="N254" i="45"/>
  <c r="N255" i="45" s="1"/>
  <c r="O236" i="45"/>
  <c r="M236" i="45"/>
  <c r="P254" i="45"/>
  <c r="P255" i="45" s="1"/>
  <c r="T254" i="45"/>
  <c r="T255" i="45" s="1"/>
  <c r="B263" i="45"/>
  <c r="D254" i="45"/>
  <c r="D255" i="45" s="1"/>
  <c r="U236" i="45"/>
  <c r="G236" i="45"/>
  <c r="F254" i="45"/>
  <c r="F255" i="45" s="1"/>
  <c r="H254" i="45"/>
  <c r="H255" i="45" s="1"/>
  <c r="L254" i="45"/>
  <c r="L255" i="45" s="1"/>
  <c r="S259" i="57"/>
  <c r="AJ230" i="57"/>
  <c r="K230" i="57" s="1"/>
  <c r="AP230" i="52"/>
  <c r="Q230" i="52" s="1"/>
  <c r="AJ200" i="57"/>
  <c r="K200" i="57" s="1"/>
  <c r="AP110" i="55"/>
  <c r="Q110" i="55" s="1"/>
  <c r="AR290" i="59"/>
  <c r="S290" i="59" s="1"/>
  <c r="C24" i="69"/>
  <c r="H24" i="69" s="1"/>
  <c r="N26" i="69"/>
  <c r="C26" i="69" s="1"/>
  <c r="H26" i="69" s="1"/>
  <c r="N25" i="69"/>
  <c r="C25" i="69" s="1"/>
  <c r="H25" i="69" s="1"/>
  <c r="N24" i="69"/>
  <c r="N25" i="68"/>
  <c r="C25" i="68" s="1"/>
  <c r="H25" i="68" s="1"/>
  <c r="N24" i="68"/>
  <c r="N26" i="68"/>
  <c r="C26" i="68" s="1"/>
  <c r="H26" i="68" s="1"/>
  <c r="C24" i="68"/>
  <c r="H24" i="68" s="1"/>
  <c r="C24" i="70"/>
  <c r="H24" i="70" s="1"/>
  <c r="N26" i="70"/>
  <c r="C26" i="70" s="1"/>
  <c r="H26" i="70" s="1"/>
  <c r="N25" i="70"/>
  <c r="C25" i="70" s="1"/>
  <c r="H25" i="70" s="1"/>
  <c r="N24" i="70"/>
  <c r="AT260" i="52"/>
  <c r="U260" i="52" s="1"/>
  <c r="AP50" i="52"/>
  <c r="Q50" i="52" s="1"/>
  <c r="N22" i="69"/>
  <c r="C22" i="69" s="1"/>
  <c r="H22" i="69" s="1"/>
  <c r="N23" i="69"/>
  <c r="C23" i="69" s="1"/>
  <c r="H23" i="69" s="1"/>
  <c r="N21" i="69"/>
  <c r="C21" i="69"/>
  <c r="H21" i="69" s="1"/>
  <c r="AT80" i="58"/>
  <c r="U80" i="58" s="1"/>
  <c r="AD50" i="52"/>
  <c r="E50" i="52" s="1"/>
  <c r="AD290" i="55"/>
  <c r="E290" i="55" s="1"/>
  <c r="AL200" i="55"/>
  <c r="M200" i="55" s="1"/>
  <c r="AN140" i="55"/>
  <c r="O140" i="55" s="1"/>
  <c r="AL200" i="52"/>
  <c r="M200" i="52" s="1"/>
  <c r="AD80" i="53"/>
  <c r="E80" i="53" s="1"/>
  <c r="AP260" i="55"/>
  <c r="Q260" i="55" s="1"/>
  <c r="AN200" i="57"/>
  <c r="O200" i="57" s="1"/>
  <c r="T196" i="51"/>
  <c r="T197" i="51" s="1"/>
  <c r="I178" i="51"/>
  <c r="R196" i="51"/>
  <c r="R197" i="51" s="1"/>
  <c r="N196" i="51"/>
  <c r="N197" i="51" s="1"/>
  <c r="D196" i="51"/>
  <c r="D197" i="51" s="1"/>
  <c r="O178" i="51"/>
  <c r="P196" i="51"/>
  <c r="P197" i="51" s="1"/>
  <c r="B177" i="51"/>
  <c r="K178" i="51"/>
  <c r="B205" i="51"/>
  <c r="F196" i="51"/>
  <c r="F197" i="51" s="1"/>
  <c r="H196" i="51"/>
  <c r="H197" i="51" s="1"/>
  <c r="Q178" i="51"/>
  <c r="J196" i="51"/>
  <c r="J197" i="51" s="1"/>
  <c r="G178" i="51"/>
  <c r="U178" i="51"/>
  <c r="S178" i="51"/>
  <c r="L196" i="51"/>
  <c r="L197" i="51" s="1"/>
  <c r="E178" i="51"/>
  <c r="M178" i="51"/>
  <c r="AD230" i="55"/>
  <c r="E230" i="55" s="1"/>
  <c r="AH230" i="58"/>
  <c r="I230" i="58" s="1"/>
  <c r="AJ50" i="59"/>
  <c r="K50" i="59" s="1"/>
  <c r="J138" i="41"/>
  <c r="J139" i="41" s="1"/>
  <c r="L138" i="41"/>
  <c r="L139" i="41" s="1"/>
  <c r="O120" i="41"/>
  <c r="D138" i="41"/>
  <c r="D139" i="41" s="1"/>
  <c r="B119" i="41"/>
  <c r="H138" i="41"/>
  <c r="H139" i="41" s="1"/>
  <c r="M120" i="41"/>
  <c r="R138" i="41"/>
  <c r="R139" i="41" s="1"/>
  <c r="G120" i="41"/>
  <c r="P138" i="41"/>
  <c r="P139" i="41" s="1"/>
  <c r="S120" i="41"/>
  <c r="B147" i="41"/>
  <c r="F138" i="41"/>
  <c r="F139" i="41" s="1"/>
  <c r="T138" i="41"/>
  <c r="T139" i="41" s="1"/>
  <c r="N138" i="41"/>
  <c r="N139" i="41" s="1"/>
  <c r="U120" i="41"/>
  <c r="E120" i="41"/>
  <c r="I120" i="41"/>
  <c r="K120" i="41"/>
  <c r="Q120" i="41"/>
  <c r="N26" i="60"/>
  <c r="C26" i="60" s="1"/>
  <c r="H26" i="60" s="1"/>
  <c r="C24" i="60"/>
  <c r="H24" i="60" s="1"/>
  <c r="N24" i="60"/>
  <c r="N25" i="60"/>
  <c r="C25" i="60" s="1"/>
  <c r="H25" i="60" s="1"/>
  <c r="AJ110" i="59"/>
  <c r="K110" i="59" s="1"/>
  <c r="AH80" i="57"/>
  <c r="I80" i="57" s="1"/>
  <c r="AJ110" i="53"/>
  <c r="K110" i="53" s="1"/>
  <c r="AT20" i="53"/>
  <c r="U20" i="53" s="1"/>
  <c r="O259" i="58"/>
  <c r="AN260" i="58"/>
  <c r="O260" i="58" s="1"/>
  <c r="AD20" i="55"/>
  <c r="E20" i="55" s="1"/>
  <c r="AD230" i="52"/>
  <c r="E230" i="52" s="1"/>
  <c r="E229" i="52"/>
  <c r="AD110" i="59"/>
  <c r="E110" i="59" s="1"/>
  <c r="AP260" i="57"/>
  <c r="Q260" i="57" s="1"/>
  <c r="AL170" i="53"/>
  <c r="M170" i="53" s="1"/>
  <c r="AV259" i="52"/>
  <c r="W259" i="52" s="1"/>
  <c r="AJ80" i="55"/>
  <c r="K80" i="55" s="1"/>
  <c r="AD110" i="53"/>
  <c r="E110" i="53" s="1"/>
  <c r="AN140" i="57"/>
  <c r="O140" i="57" s="1"/>
  <c r="AD140" i="59"/>
  <c r="E140" i="59" s="1"/>
  <c r="AV109" i="59"/>
  <c r="AV110" i="59" s="1"/>
  <c r="AV139" i="59"/>
  <c r="W139" i="59" s="1"/>
  <c r="AF80" i="55"/>
  <c r="G80" i="55" s="1"/>
  <c r="AD80" i="55"/>
  <c r="E80" i="55" s="1"/>
  <c r="AR20" i="57"/>
  <c r="S20" i="57" s="1"/>
  <c r="E229" i="59"/>
  <c r="AD230" i="59"/>
  <c r="E230" i="59" s="1"/>
  <c r="AP170" i="52"/>
  <c r="Q170" i="52" s="1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AV260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W169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24" i="86"/>
  <c r="M18" i="86"/>
  <c r="M43" i="86"/>
  <c r="M14" i="86"/>
  <c r="M12" i="86"/>
  <c r="M15" i="86"/>
  <c r="M2" i="86"/>
  <c r="M10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34" i="86"/>
  <c r="M29" i="86"/>
  <c r="M31" i="86"/>
  <c r="M39" i="86"/>
  <c r="M27" i="86"/>
  <c r="M42" i="86"/>
  <c r="M22" i="86"/>
  <c r="M30" i="86"/>
  <c r="M4" i="86"/>
  <c r="M38" i="86"/>
  <c r="M25" i="86"/>
  <c r="M20" i="86"/>
  <c r="M28" i="86"/>
  <c r="M41" i="86"/>
  <c r="M35" i="86"/>
  <c r="M7" i="86"/>
  <c r="M16" i="86"/>
  <c r="M32" i="86"/>
  <c r="M11" i="86"/>
  <c r="M17" i="86"/>
  <c r="M44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AT260" i="55"/>
  <c r="U260" i="55" s="1"/>
  <c r="W187" i="57"/>
  <c r="W136" i="57"/>
  <c r="W157" i="55"/>
  <c r="U229" i="57"/>
  <c r="AV229" i="57"/>
  <c r="W229" i="57" s="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33" i="86"/>
  <c r="N2" i="86"/>
  <c r="N28" i="86"/>
  <c r="N12" i="86"/>
  <c r="N36" i="86"/>
  <c r="N39" i="86"/>
  <c r="N6" i="86"/>
  <c r="N24" i="86"/>
  <c r="N43" i="86"/>
  <c r="N35" i="86"/>
  <c r="O35" i="86" s="1"/>
  <c r="N15" i="86"/>
  <c r="N44" i="86"/>
  <c r="N34" i="86"/>
  <c r="O34" i="86" s="1"/>
  <c r="O2" i="85"/>
  <c r="N41" i="86"/>
  <c r="N52" i="86"/>
  <c r="N27" i="86"/>
  <c r="N30" i="86"/>
  <c r="N23" i="86"/>
  <c r="N9" i="86"/>
  <c r="N14" i="86"/>
  <c r="N42" i="86"/>
  <c r="N25" i="86"/>
  <c r="N7" i="86"/>
  <c r="N4" i="86"/>
  <c r="N17" i="86"/>
  <c r="N21" i="86"/>
  <c r="N3" i="86"/>
  <c r="N10" i="86"/>
  <c r="N16" i="86"/>
  <c r="N51" i="86"/>
  <c r="N31" i="86"/>
  <c r="N50" i="86"/>
  <c r="N26" i="86"/>
  <c r="N45" i="86"/>
  <c r="N29" i="86"/>
  <c r="N18" i="86"/>
  <c r="N22" i="86"/>
  <c r="N13" i="86"/>
  <c r="N47" i="86"/>
  <c r="N46" i="86"/>
  <c r="N38" i="86"/>
  <c r="N48" i="86"/>
  <c r="N49" i="86"/>
  <c r="N8" i="86"/>
  <c r="N37" i="86"/>
  <c r="N40" i="86"/>
  <c r="N19" i="86"/>
  <c r="N11" i="86"/>
  <c r="N20" i="86"/>
  <c r="N5" i="86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B5" i="83" l="1"/>
  <c r="D5" i="83" s="1"/>
  <c r="F5" i="83"/>
  <c r="G5" i="83"/>
  <c r="E5" i="83"/>
  <c r="A6" i="83"/>
  <c r="A7" i="83" s="1"/>
  <c r="B7" i="83" s="1"/>
  <c r="D7" i="83" s="1"/>
  <c r="S178" i="46"/>
  <c r="F196" i="46"/>
  <c r="F197" i="46" s="1"/>
  <c r="I178" i="46"/>
  <c r="U178" i="46"/>
  <c r="P196" i="46"/>
  <c r="P197" i="46" s="1"/>
  <c r="R196" i="46"/>
  <c r="R197" i="46" s="1"/>
  <c r="Q178" i="46"/>
  <c r="O178" i="46"/>
  <c r="T196" i="46"/>
  <c r="T197" i="46" s="1"/>
  <c r="E178" i="46"/>
  <c r="L196" i="46"/>
  <c r="L197" i="46" s="1"/>
  <c r="K178" i="46"/>
  <c r="J196" i="46"/>
  <c r="J197" i="46" s="1"/>
  <c r="N196" i="46"/>
  <c r="N197" i="46" s="1"/>
  <c r="D196" i="46"/>
  <c r="D197" i="46" s="1"/>
  <c r="M178" i="46"/>
  <c r="H196" i="46"/>
  <c r="H197" i="46" s="1"/>
  <c r="G178" i="46"/>
  <c r="B205" i="46"/>
  <c r="B177" i="46"/>
  <c r="G5" i="82"/>
  <c r="B5" i="82"/>
  <c r="C5" i="82" s="1"/>
  <c r="F5" i="82"/>
  <c r="E5" i="82"/>
  <c r="A6" i="82"/>
  <c r="E6" i="82" s="1"/>
  <c r="G5" i="81"/>
  <c r="A6" i="81"/>
  <c r="F6" i="81" s="1"/>
  <c r="B5" i="81"/>
  <c r="C5" i="81" s="1"/>
  <c r="E5" i="81"/>
  <c r="F5" i="81"/>
  <c r="O28" i="86"/>
  <c r="O8" i="86"/>
  <c r="O11" i="86"/>
  <c r="O14" i="86"/>
  <c r="F5" i="80"/>
  <c r="E5" i="80"/>
  <c r="B5" i="80"/>
  <c r="D5" i="80" s="1"/>
  <c r="O32" i="86"/>
  <c r="G5" i="80"/>
  <c r="A6" i="80"/>
  <c r="A7" i="80" s="1"/>
  <c r="F7" i="80" s="1"/>
  <c r="O33" i="86"/>
  <c r="O6" i="86"/>
  <c r="G5" i="79"/>
  <c r="F5" i="79"/>
  <c r="A6" i="79"/>
  <c r="B6" i="79" s="1"/>
  <c r="C6" i="79" s="1"/>
  <c r="E5" i="79"/>
  <c r="B5" i="79"/>
  <c r="D5" i="79" s="1"/>
  <c r="O31" i="86"/>
  <c r="F167" i="49"/>
  <c r="F168" i="49" s="1"/>
  <c r="Q149" i="49"/>
  <c r="R167" i="49"/>
  <c r="R168" i="49" s="1"/>
  <c r="M149" i="49"/>
  <c r="P167" i="49"/>
  <c r="P168" i="49" s="1"/>
  <c r="U149" i="49"/>
  <c r="K149" i="49"/>
  <c r="L167" i="49"/>
  <c r="L168" i="49" s="1"/>
  <c r="T167" i="49"/>
  <c r="T168" i="49" s="1"/>
  <c r="H167" i="49"/>
  <c r="H168" i="49" s="1"/>
  <c r="E149" i="49"/>
  <c r="J167" i="49"/>
  <c r="J168" i="49" s="1"/>
  <c r="G149" i="49"/>
  <c r="N167" i="49"/>
  <c r="N168" i="49" s="1"/>
  <c r="D167" i="49"/>
  <c r="D168" i="49" s="1"/>
  <c r="I149" i="49"/>
  <c r="S149" i="49"/>
  <c r="B148" i="49"/>
  <c r="O149" i="49"/>
  <c r="B176" i="49"/>
  <c r="O22" i="86"/>
  <c r="O25" i="86"/>
  <c r="O23" i="86"/>
  <c r="O24" i="86"/>
  <c r="O38" i="86"/>
  <c r="O37" i="86"/>
  <c r="O40" i="86"/>
  <c r="O39" i="86"/>
  <c r="O36" i="86"/>
  <c r="O102" i="85"/>
  <c r="O83" i="85"/>
  <c r="O71" i="85"/>
  <c r="N56" i="86"/>
  <c r="O9" i="86"/>
  <c r="O7" i="86"/>
  <c r="O98" i="85"/>
  <c r="O68" i="85"/>
  <c r="O101" i="85"/>
  <c r="O69" i="85"/>
  <c r="O75" i="85"/>
  <c r="O88" i="85"/>
  <c r="N54" i="86"/>
  <c r="N96" i="86"/>
  <c r="N70" i="86"/>
  <c r="N100" i="86"/>
  <c r="O58" i="85"/>
  <c r="N91" i="86"/>
  <c r="N99" i="86"/>
  <c r="N78" i="86"/>
  <c r="O89" i="85"/>
  <c r="O80" i="85"/>
  <c r="N67" i="86"/>
  <c r="N86" i="86"/>
  <c r="N102" i="86"/>
  <c r="N69" i="86"/>
  <c r="N77" i="86"/>
  <c r="N97" i="86"/>
  <c r="N82" i="86"/>
  <c r="N80" i="86"/>
  <c r="N64" i="86"/>
  <c r="N89" i="86"/>
  <c r="N94" i="86"/>
  <c r="N87" i="86"/>
  <c r="N59" i="86"/>
  <c r="N74" i="86"/>
  <c r="N75" i="86"/>
  <c r="N71" i="86"/>
  <c r="N61" i="86"/>
  <c r="N101" i="86"/>
  <c r="N90" i="86"/>
  <c r="N66" i="86"/>
  <c r="N55" i="86"/>
  <c r="N57" i="86"/>
  <c r="N72" i="86"/>
  <c r="N79" i="86"/>
  <c r="N88" i="86"/>
  <c r="N60" i="86"/>
  <c r="N63" i="86"/>
  <c r="N81" i="86"/>
  <c r="N85" i="86"/>
  <c r="N68" i="86"/>
  <c r="N58" i="86"/>
  <c r="N83" i="86"/>
  <c r="N84" i="86"/>
  <c r="N98" i="86"/>
  <c r="N62" i="86"/>
  <c r="N104" i="86"/>
  <c r="N103" i="86"/>
  <c r="N65" i="86"/>
  <c r="N92" i="86"/>
  <c r="N95" i="86"/>
  <c r="N76" i="86"/>
  <c r="N73" i="86"/>
  <c r="N93" i="86"/>
  <c r="O84" i="85"/>
  <c r="O94" i="85"/>
  <c r="O78" i="85"/>
  <c r="O93" i="85"/>
  <c r="O60" i="85"/>
  <c r="O86" i="85"/>
  <c r="O96" i="85"/>
  <c r="O95" i="85"/>
  <c r="O79" i="85"/>
  <c r="O54" i="85"/>
  <c r="O59" i="85"/>
  <c r="O76" i="85"/>
  <c r="O56" i="85"/>
  <c r="O57" i="85"/>
  <c r="O53" i="85"/>
  <c r="O97" i="85"/>
  <c r="O100" i="85"/>
  <c r="O90" i="85"/>
  <c r="O85" i="85"/>
  <c r="O82" i="85"/>
  <c r="O62" i="85"/>
  <c r="O72" i="85"/>
  <c r="O91" i="85"/>
  <c r="O99" i="85"/>
  <c r="O67" i="85"/>
  <c r="O92" i="85"/>
  <c r="O103" i="85"/>
  <c r="O104" i="85"/>
  <c r="O87" i="85"/>
  <c r="O70" i="85"/>
  <c r="O66" i="85"/>
  <c r="O61" i="85"/>
  <c r="O77" i="85"/>
  <c r="O73" i="85"/>
  <c r="O64" i="85"/>
  <c r="O65" i="85"/>
  <c r="O55" i="85"/>
  <c r="O74" i="85"/>
  <c r="O81" i="85"/>
  <c r="O63" i="85"/>
  <c r="O10" i="86"/>
  <c r="P2" i="84"/>
  <c r="O12" i="86"/>
  <c r="O13" i="86"/>
  <c r="O41" i="86"/>
  <c r="O43" i="86"/>
  <c r="P18" i="84"/>
  <c r="P60" i="84"/>
  <c r="P71" i="84"/>
  <c r="P31" i="84"/>
  <c r="P33" i="84"/>
  <c r="P87" i="84"/>
  <c r="P48" i="84"/>
  <c r="O44" i="86"/>
  <c r="P45" i="84"/>
  <c r="P96" i="84"/>
  <c r="P56" i="84"/>
  <c r="P75" i="84"/>
  <c r="P6" i="84"/>
  <c r="P35" i="84"/>
  <c r="P85" i="84"/>
  <c r="P49" i="84"/>
  <c r="P17" i="84"/>
  <c r="P21" i="84"/>
  <c r="P24" i="84"/>
  <c r="P25" i="84"/>
  <c r="P47" i="84"/>
  <c r="P19" i="84"/>
  <c r="P38" i="84"/>
  <c r="P73" i="84"/>
  <c r="P93" i="84"/>
  <c r="P82" i="84"/>
  <c r="P50" i="84"/>
  <c r="P65" i="84"/>
  <c r="P68" i="84"/>
  <c r="P34" i="84"/>
  <c r="P52" i="84"/>
  <c r="P8" i="84"/>
  <c r="P76" i="84"/>
  <c r="P14" i="84"/>
  <c r="P91" i="84"/>
  <c r="P94" i="84"/>
  <c r="P83" i="84"/>
  <c r="P100" i="84"/>
  <c r="P16" i="84"/>
  <c r="P26" i="84"/>
  <c r="P54" i="84"/>
  <c r="P29" i="84"/>
  <c r="P90" i="84"/>
  <c r="P53" i="84"/>
  <c r="P70" i="84"/>
  <c r="P23" i="84"/>
  <c r="O42" i="86"/>
  <c r="P63" i="84"/>
  <c r="P62" i="84"/>
  <c r="P13" i="84"/>
  <c r="P32" i="84"/>
  <c r="P79" i="84"/>
  <c r="P67" i="84"/>
  <c r="P84" i="84"/>
  <c r="P55" i="84"/>
  <c r="P41" i="84"/>
  <c r="P66" i="84"/>
  <c r="P20" i="84"/>
  <c r="P98" i="84"/>
  <c r="P5" i="84"/>
  <c r="P104" i="84"/>
  <c r="P97" i="84"/>
  <c r="P101" i="84"/>
  <c r="P95" i="84"/>
  <c r="P51" i="84"/>
  <c r="P77" i="84"/>
  <c r="P36" i="84"/>
  <c r="P88" i="84"/>
  <c r="P42" i="84"/>
  <c r="O5" i="86"/>
  <c r="O3" i="86"/>
  <c r="P74" i="84"/>
  <c r="P27" i="84"/>
  <c r="P40" i="84"/>
  <c r="P37" i="84"/>
  <c r="P102" i="84"/>
  <c r="P11" i="84"/>
  <c r="P64" i="84"/>
  <c r="P59" i="84"/>
  <c r="P46" i="84"/>
  <c r="P57" i="84"/>
  <c r="P10" i="84"/>
  <c r="P9" i="84"/>
  <c r="P28" i="84"/>
  <c r="P39" i="84"/>
  <c r="P22" i="84"/>
  <c r="P80" i="84"/>
  <c r="P89" i="84"/>
  <c r="P15" i="84"/>
  <c r="P81" i="84"/>
  <c r="P12" i="84"/>
  <c r="P61" i="84"/>
  <c r="P4" i="84"/>
  <c r="P99" i="84"/>
  <c r="P78" i="84"/>
  <c r="P86" i="84"/>
  <c r="P103" i="84"/>
  <c r="P44" i="84"/>
  <c r="P3" i="84"/>
  <c r="P43" i="84"/>
  <c r="P72" i="84"/>
  <c r="P7" i="84"/>
  <c r="P58" i="84"/>
  <c r="P69" i="84"/>
  <c r="P30" i="84"/>
  <c r="P92" i="84"/>
  <c r="O4" i="86"/>
  <c r="O17" i="86"/>
  <c r="A6" i="78"/>
  <c r="E6" i="78" s="1"/>
  <c r="B5" i="78"/>
  <c r="C5" i="78" s="1"/>
  <c r="F5" i="78"/>
  <c r="G5" i="78"/>
  <c r="E5" i="78"/>
  <c r="O15" i="86"/>
  <c r="O16" i="86"/>
  <c r="O19" i="86"/>
  <c r="M95" i="86"/>
  <c r="M79" i="86"/>
  <c r="O21" i="86"/>
  <c r="O20" i="86"/>
  <c r="M52" i="86"/>
  <c r="O52" i="86" s="1"/>
  <c r="M64" i="86"/>
  <c r="O18" i="86"/>
  <c r="M58" i="86"/>
  <c r="O26" i="86"/>
  <c r="M53" i="86"/>
  <c r="O53" i="86" s="1"/>
  <c r="O27" i="86"/>
  <c r="O29" i="86"/>
  <c r="M84" i="86"/>
  <c r="M45" i="86"/>
  <c r="O45" i="86" s="1"/>
  <c r="M78" i="86"/>
  <c r="M89" i="86"/>
  <c r="M65" i="86"/>
  <c r="M71" i="86"/>
  <c r="M72" i="86"/>
  <c r="M73" i="86"/>
  <c r="M63" i="86"/>
  <c r="M96" i="86"/>
  <c r="M88" i="86"/>
  <c r="M91" i="86"/>
  <c r="M81" i="86"/>
  <c r="M48" i="86"/>
  <c r="O48" i="86" s="1"/>
  <c r="M55" i="86"/>
  <c r="M101" i="86"/>
  <c r="M83" i="86"/>
  <c r="M103" i="86"/>
  <c r="M54" i="86"/>
  <c r="M90" i="86"/>
  <c r="M82" i="86"/>
  <c r="M86" i="86"/>
  <c r="M61" i="86"/>
  <c r="M66" i="86"/>
  <c r="M87" i="86"/>
  <c r="M56" i="86"/>
  <c r="M51" i="86"/>
  <c r="O51" i="86" s="1"/>
  <c r="M47" i="86"/>
  <c r="M98" i="86"/>
  <c r="M62" i="86"/>
  <c r="M68" i="86"/>
  <c r="M93" i="86"/>
  <c r="M75" i="86"/>
  <c r="M67" i="86"/>
  <c r="M49" i="86"/>
  <c r="O49" i="86" s="1"/>
  <c r="M50" i="86"/>
  <c r="O50" i="86" s="1"/>
  <c r="M69" i="86"/>
  <c r="M46" i="86"/>
  <c r="O46" i="86" s="1"/>
  <c r="M99" i="86"/>
  <c r="M74" i="86"/>
  <c r="M104" i="86"/>
  <c r="M59" i="86"/>
  <c r="M70" i="86"/>
  <c r="M80" i="86"/>
  <c r="M100" i="86"/>
  <c r="M57" i="86"/>
  <c r="M85" i="86"/>
  <c r="M76" i="86"/>
  <c r="M94" i="86"/>
  <c r="M77" i="86"/>
  <c r="M92" i="86"/>
  <c r="M102" i="86"/>
  <c r="M97" i="86"/>
  <c r="M60" i="86"/>
  <c r="O30" i="86"/>
  <c r="W49" i="53"/>
  <c r="AV230" i="52"/>
  <c r="BA230" i="52" s="1"/>
  <c r="BQ230" i="52" s="1"/>
  <c r="W79" i="52"/>
  <c r="AV110" i="52"/>
  <c r="BA110" i="52" s="1"/>
  <c r="BQ110" i="52" s="1"/>
  <c r="AV20" i="59"/>
  <c r="BA20" i="59" s="1"/>
  <c r="BQ20" i="59" s="1"/>
  <c r="AV140" i="59"/>
  <c r="W140" i="59" s="1"/>
  <c r="AV140" i="55"/>
  <c r="W140" i="55" s="1"/>
  <c r="AV290" i="59"/>
  <c r="W290" i="59" s="1"/>
  <c r="AV80" i="58"/>
  <c r="BA80" i="58" s="1"/>
  <c r="BQ80" i="58" s="1"/>
  <c r="AV260" i="52"/>
  <c r="W260" i="52" s="1"/>
  <c r="AV20" i="52"/>
  <c r="BA20" i="52" s="1"/>
  <c r="BQ20" i="52" s="1"/>
  <c r="W79" i="59"/>
  <c r="W109" i="59"/>
  <c r="AV170" i="52"/>
  <c r="BA170" i="52" s="1"/>
  <c r="BQ170" i="52" s="1"/>
  <c r="AV140" i="58"/>
  <c r="W140" i="58" s="1"/>
  <c r="AV260" i="53"/>
  <c r="W260" i="53" s="1"/>
  <c r="AV200" i="59"/>
  <c r="BA200" i="59" s="1"/>
  <c r="BQ200" i="59" s="1"/>
  <c r="AV50" i="52"/>
  <c r="BA50" i="52" s="1"/>
  <c r="BQ50" i="52" s="1"/>
  <c r="AV50" i="59"/>
  <c r="BA50" i="59" s="1"/>
  <c r="BQ50" i="59" s="1"/>
  <c r="D167" i="41"/>
  <c r="D168" i="41" s="1"/>
  <c r="K149" i="41"/>
  <c r="B176" i="41"/>
  <c r="J167" i="41"/>
  <c r="J168" i="41" s="1"/>
  <c r="Q149" i="41"/>
  <c r="F167" i="41"/>
  <c r="F168" i="41" s="1"/>
  <c r="M149" i="41"/>
  <c r="P167" i="41"/>
  <c r="P168" i="41" s="1"/>
  <c r="N167" i="41"/>
  <c r="N168" i="41" s="1"/>
  <c r="T167" i="41"/>
  <c r="T168" i="41" s="1"/>
  <c r="B148" i="41"/>
  <c r="H167" i="41"/>
  <c r="H168" i="41" s="1"/>
  <c r="R167" i="41"/>
  <c r="R168" i="41" s="1"/>
  <c r="S149" i="41"/>
  <c r="O149" i="41"/>
  <c r="E149" i="41"/>
  <c r="I149" i="41"/>
  <c r="G149" i="41"/>
  <c r="U149" i="41"/>
  <c r="L167" i="41"/>
  <c r="L168" i="41" s="1"/>
  <c r="R283" i="45"/>
  <c r="R284" i="45" s="1"/>
  <c r="P283" i="45"/>
  <c r="P284" i="45" s="1"/>
  <c r="U265" i="45"/>
  <c r="B264" i="45"/>
  <c r="M265" i="45"/>
  <c r="G265" i="45"/>
  <c r="T283" i="45"/>
  <c r="T284" i="45" s="1"/>
  <c r="O265" i="45"/>
  <c r="N283" i="45"/>
  <c r="N284" i="45" s="1"/>
  <c r="E265" i="45"/>
  <c r="Q265" i="45"/>
  <c r="K265" i="45"/>
  <c r="I265" i="45"/>
  <c r="J283" i="45"/>
  <c r="J284" i="45" s="1"/>
  <c r="F283" i="45"/>
  <c r="F284" i="45" s="1"/>
  <c r="L283" i="45"/>
  <c r="L284" i="45" s="1"/>
  <c r="D283" i="45"/>
  <c r="D284" i="45" s="1"/>
  <c r="S265" i="45"/>
  <c r="H283" i="45"/>
  <c r="H284" i="45" s="1"/>
  <c r="W259" i="58"/>
  <c r="W199" i="58"/>
  <c r="L225" i="51"/>
  <c r="L226" i="51" s="1"/>
  <c r="Q207" i="51"/>
  <c r="J225" i="51"/>
  <c r="J226" i="51" s="1"/>
  <c r="E207" i="51"/>
  <c r="B234" i="51"/>
  <c r="O207" i="51"/>
  <c r="N225" i="51"/>
  <c r="N226" i="51" s="1"/>
  <c r="P225" i="51"/>
  <c r="P226" i="51" s="1"/>
  <c r="T225" i="51"/>
  <c r="T226" i="51" s="1"/>
  <c r="D225" i="51"/>
  <c r="D226" i="51" s="1"/>
  <c r="R225" i="51"/>
  <c r="R226" i="51" s="1"/>
  <c r="S207" i="51"/>
  <c r="I207" i="51"/>
  <c r="F225" i="51"/>
  <c r="F226" i="51" s="1"/>
  <c r="U207" i="51"/>
  <c r="B206" i="51"/>
  <c r="M207" i="51"/>
  <c r="H225" i="51"/>
  <c r="H226" i="51" s="1"/>
  <c r="G207" i="51"/>
  <c r="K207" i="51"/>
  <c r="AV20" i="58"/>
  <c r="W20" i="58" s="1"/>
  <c r="AV20" i="53"/>
  <c r="W20" i="53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BA260" i="58"/>
  <c r="BQ260" i="58" s="1"/>
  <c r="W260" i="58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BA80" i="59"/>
  <c r="BQ80" i="59" s="1"/>
  <c r="W80" i="59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N47" i="87"/>
  <c r="N41" i="87"/>
  <c r="N21" i="87"/>
  <c r="N37" i="87"/>
  <c r="N51" i="87"/>
  <c r="N39" i="87"/>
  <c r="N19" i="87"/>
  <c r="N44" i="87"/>
  <c r="N18" i="87"/>
  <c r="N34" i="87"/>
  <c r="O34" i="87" s="1"/>
  <c r="N33" i="87"/>
  <c r="N30" i="87"/>
  <c r="N29" i="87"/>
  <c r="N27" i="87"/>
  <c r="N25" i="87"/>
  <c r="N5" i="87"/>
  <c r="N13" i="87"/>
  <c r="N36" i="87"/>
  <c r="N49" i="87"/>
  <c r="N31" i="87"/>
  <c r="N38" i="87"/>
  <c r="N45" i="87"/>
  <c r="N11" i="87"/>
  <c r="N28" i="87"/>
  <c r="N52" i="87"/>
  <c r="N20" i="87"/>
  <c r="N15" i="87"/>
  <c r="N35" i="87"/>
  <c r="O35" i="87" s="1"/>
  <c r="N53" i="87"/>
  <c r="N10" i="87"/>
  <c r="N9" i="87"/>
  <c r="N50" i="87"/>
  <c r="N43" i="87"/>
  <c r="N2" i="87"/>
  <c r="N16" i="87"/>
  <c r="N8" i="87"/>
  <c r="N48" i="87"/>
  <c r="N46" i="87"/>
  <c r="N24" i="87"/>
  <c r="N32" i="87"/>
  <c r="N4" i="87"/>
  <c r="N7" i="87"/>
  <c r="N17" i="87"/>
  <c r="N3" i="87"/>
  <c r="N26" i="87"/>
  <c r="N40" i="87"/>
  <c r="N22" i="87"/>
  <c r="N23" i="87"/>
  <c r="N42" i="87"/>
  <c r="O2" i="86"/>
  <c r="N12" i="87"/>
  <c r="AV80" i="57"/>
  <c r="AV170" i="55"/>
  <c r="M10" i="87"/>
  <c r="M14" i="87"/>
  <c r="M21" i="87"/>
  <c r="M41" i="87"/>
  <c r="M11" i="87"/>
  <c r="M32" i="87"/>
  <c r="M8" i="87"/>
  <c r="M18" i="87"/>
  <c r="M12" i="87"/>
  <c r="M35" i="87"/>
  <c r="M17" i="87"/>
  <c r="M34" i="87"/>
  <c r="M33" i="87"/>
  <c r="M6" i="87"/>
  <c r="M26" i="87"/>
  <c r="M5" i="87"/>
  <c r="M7" i="87"/>
  <c r="M31" i="87"/>
  <c r="M25" i="87"/>
  <c r="M29" i="87"/>
  <c r="M19" i="87"/>
  <c r="M9" i="87"/>
  <c r="M37" i="87"/>
  <c r="M43" i="87"/>
  <c r="M16" i="87"/>
  <c r="M3" i="87"/>
  <c r="M38" i="87"/>
  <c r="M42" i="87"/>
  <c r="M28" i="87"/>
  <c r="M30" i="87"/>
  <c r="M44" i="87"/>
  <c r="M23" i="87"/>
  <c r="M13" i="87"/>
  <c r="M24" i="87"/>
  <c r="M39" i="87"/>
  <c r="M4" i="87"/>
  <c r="M22" i="87"/>
  <c r="M20" i="87"/>
  <c r="M36" i="87"/>
  <c r="M15" i="87"/>
  <c r="M27" i="87"/>
  <c r="M2" i="87"/>
  <c r="M40" i="87"/>
  <c r="W80" i="52"/>
  <c r="BA80" i="52"/>
  <c r="BQ80" i="52" s="1"/>
  <c r="C5" i="83" l="1"/>
  <c r="B6" i="83"/>
  <c r="D6" i="83" s="1"/>
  <c r="A8" i="83"/>
  <c r="A9" i="83" s="1"/>
  <c r="B9" i="83" s="1"/>
  <c r="G6" i="83"/>
  <c r="E7" i="83"/>
  <c r="E6" i="83"/>
  <c r="F7" i="83"/>
  <c r="C7" i="83"/>
  <c r="F6" i="83"/>
  <c r="G7" i="83"/>
  <c r="F225" i="46"/>
  <c r="F226" i="46" s="1"/>
  <c r="B234" i="46"/>
  <c r="T225" i="46"/>
  <c r="T226" i="46" s="1"/>
  <c r="N225" i="46"/>
  <c r="N226" i="46" s="1"/>
  <c r="K207" i="46"/>
  <c r="I207" i="46"/>
  <c r="S207" i="46"/>
  <c r="L225" i="46"/>
  <c r="L226" i="46" s="1"/>
  <c r="U207" i="46"/>
  <c r="R225" i="46"/>
  <c r="R226" i="46" s="1"/>
  <c r="J225" i="46"/>
  <c r="J226" i="46" s="1"/>
  <c r="Q207" i="46"/>
  <c r="P225" i="46"/>
  <c r="P226" i="46" s="1"/>
  <c r="O207" i="46"/>
  <c r="D225" i="46"/>
  <c r="D226" i="46" s="1"/>
  <c r="E207" i="46"/>
  <c r="G207" i="46"/>
  <c r="H225" i="46"/>
  <c r="H226" i="46" s="1"/>
  <c r="B206" i="46"/>
  <c r="M207" i="46"/>
  <c r="D5" i="82"/>
  <c r="F6" i="82"/>
  <c r="B6" i="82"/>
  <c r="C6" i="82" s="1"/>
  <c r="A7" i="82"/>
  <c r="E7" i="82" s="1"/>
  <c r="G6" i="82"/>
  <c r="D5" i="81"/>
  <c r="G6" i="81"/>
  <c r="E6" i="81"/>
  <c r="A7" i="81"/>
  <c r="A8" i="81" s="1"/>
  <c r="B8" i="81" s="1"/>
  <c r="B6" i="81"/>
  <c r="C6" i="81" s="1"/>
  <c r="O28" i="87"/>
  <c r="C5" i="80"/>
  <c r="O8" i="87"/>
  <c r="O11" i="87"/>
  <c r="B6" i="80"/>
  <c r="D6" i="80" s="1"/>
  <c r="E6" i="80"/>
  <c r="O14" i="87"/>
  <c r="O76" i="86"/>
  <c r="A8" i="80"/>
  <c r="E8" i="80" s="1"/>
  <c r="B7" i="80"/>
  <c r="D7" i="80" s="1"/>
  <c r="G6" i="80"/>
  <c r="G7" i="80"/>
  <c r="E7" i="80"/>
  <c r="F6" i="80"/>
  <c r="O61" i="86"/>
  <c r="O32" i="87"/>
  <c r="O33" i="87"/>
  <c r="D6" i="79"/>
  <c r="O6" i="87"/>
  <c r="E6" i="79"/>
  <c r="A7" i="79"/>
  <c r="A8" i="79" s="1"/>
  <c r="G8" i="79" s="1"/>
  <c r="G6" i="79"/>
  <c r="F6" i="79"/>
  <c r="C5" i="79"/>
  <c r="O31" i="87"/>
  <c r="S178" i="49"/>
  <c r="H196" i="49"/>
  <c r="H197" i="49" s="1"/>
  <c r="F196" i="49"/>
  <c r="F197" i="49" s="1"/>
  <c r="G178" i="49"/>
  <c r="Q178" i="49"/>
  <c r="R196" i="49"/>
  <c r="R197" i="49" s="1"/>
  <c r="J196" i="49"/>
  <c r="J197" i="49" s="1"/>
  <c r="N196" i="49"/>
  <c r="N197" i="49" s="1"/>
  <c r="B177" i="49"/>
  <c r="U178" i="49"/>
  <c r="P196" i="49"/>
  <c r="P197" i="49" s="1"/>
  <c r="I178" i="49"/>
  <c r="K178" i="49"/>
  <c r="M178" i="49"/>
  <c r="E178" i="49"/>
  <c r="T196" i="49"/>
  <c r="T197" i="49" s="1"/>
  <c r="O178" i="49"/>
  <c r="B205" i="49"/>
  <c r="D196" i="49"/>
  <c r="D197" i="49" s="1"/>
  <c r="L196" i="49"/>
  <c r="L197" i="49" s="1"/>
  <c r="O22" i="87"/>
  <c r="O23" i="87"/>
  <c r="O25" i="87"/>
  <c r="O24" i="87"/>
  <c r="O71" i="86"/>
  <c r="O38" i="87"/>
  <c r="O37" i="87"/>
  <c r="O40" i="87"/>
  <c r="O39" i="87"/>
  <c r="O36" i="87"/>
  <c r="N88" i="87"/>
  <c r="O56" i="86"/>
  <c r="N78" i="87"/>
  <c r="O94" i="86"/>
  <c r="N86" i="87"/>
  <c r="O54" i="86"/>
  <c r="O9" i="87"/>
  <c r="N62" i="87"/>
  <c r="O95" i="86"/>
  <c r="O89" i="86"/>
  <c r="N89" i="87"/>
  <c r="N98" i="87"/>
  <c r="N104" i="87"/>
  <c r="N66" i="87"/>
  <c r="N96" i="87"/>
  <c r="N67" i="87"/>
  <c r="N102" i="87"/>
  <c r="N84" i="87"/>
  <c r="N71" i="87"/>
  <c r="O79" i="86"/>
  <c r="O92" i="86"/>
  <c r="O7" i="87"/>
  <c r="N97" i="87"/>
  <c r="N77" i="87"/>
  <c r="N74" i="87"/>
  <c r="N73" i="87"/>
  <c r="N103" i="87"/>
  <c r="N54" i="87"/>
  <c r="N79" i="87"/>
  <c r="N90" i="87"/>
  <c r="N75" i="87"/>
  <c r="N63" i="87"/>
  <c r="N92" i="87"/>
  <c r="N100" i="87"/>
  <c r="N59" i="87"/>
  <c r="N85" i="87"/>
  <c r="N60" i="87"/>
  <c r="N58" i="87"/>
  <c r="N56" i="87"/>
  <c r="N68" i="87"/>
  <c r="N83" i="87"/>
  <c r="N55" i="87"/>
  <c r="N80" i="87"/>
  <c r="N61" i="87"/>
  <c r="N65" i="87"/>
  <c r="N101" i="87"/>
  <c r="N93" i="87"/>
  <c r="O70" i="86"/>
  <c r="N57" i="87"/>
  <c r="O82" i="86"/>
  <c r="O65" i="86"/>
  <c r="N87" i="87"/>
  <c r="N91" i="87"/>
  <c r="N69" i="87"/>
  <c r="N99" i="87"/>
  <c r="N64" i="87"/>
  <c r="N70" i="87"/>
  <c r="N95" i="87"/>
  <c r="N72" i="87"/>
  <c r="N94" i="87"/>
  <c r="O88" i="86"/>
  <c r="N81" i="87"/>
  <c r="N82" i="87"/>
  <c r="N76" i="87"/>
  <c r="O96" i="86"/>
  <c r="O64" i="86"/>
  <c r="O72" i="86"/>
  <c r="O60" i="86"/>
  <c r="O87" i="86"/>
  <c r="O63" i="86"/>
  <c r="O80" i="86"/>
  <c r="O99" i="86"/>
  <c r="O93" i="86"/>
  <c r="O81" i="86"/>
  <c r="O91" i="86"/>
  <c r="O58" i="86"/>
  <c r="O104" i="86"/>
  <c r="O73" i="86"/>
  <c r="O69" i="86"/>
  <c r="O100" i="86"/>
  <c r="O59" i="86"/>
  <c r="O86" i="86"/>
  <c r="O97" i="86"/>
  <c r="O77" i="86"/>
  <c r="O67" i="86"/>
  <c r="O103" i="86"/>
  <c r="O84" i="86"/>
  <c r="O78" i="86"/>
  <c r="O101" i="86"/>
  <c r="O85" i="86"/>
  <c r="O55" i="86"/>
  <c r="O57" i="86"/>
  <c r="O102" i="86"/>
  <c r="O74" i="86"/>
  <c r="O66" i="86"/>
  <c r="O90" i="86"/>
  <c r="O75" i="86"/>
  <c r="O83" i="86"/>
  <c r="O68" i="86"/>
  <c r="O62" i="86"/>
  <c r="O98" i="86"/>
  <c r="P64" i="85"/>
  <c r="P3" i="85"/>
  <c r="P97" i="85"/>
  <c r="P65" i="85"/>
  <c r="P73" i="85"/>
  <c r="P96" i="85"/>
  <c r="P88" i="85"/>
  <c r="P101" i="85"/>
  <c r="P59" i="85"/>
  <c r="P10" i="85"/>
  <c r="P35" i="85"/>
  <c r="P58" i="85"/>
  <c r="P16" i="85"/>
  <c r="P90" i="85"/>
  <c r="P82" i="85"/>
  <c r="P50" i="85"/>
  <c r="P80" i="85"/>
  <c r="P30" i="85"/>
  <c r="P56" i="85"/>
  <c r="P76" i="85"/>
  <c r="P86" i="85"/>
  <c r="P44" i="85"/>
  <c r="P52" i="85"/>
  <c r="P32" i="85"/>
  <c r="P72" i="85"/>
  <c r="P49" i="85"/>
  <c r="P99" i="85"/>
  <c r="P33" i="85"/>
  <c r="P71" i="85"/>
  <c r="P28" i="85"/>
  <c r="P15" i="85"/>
  <c r="P2" i="85"/>
  <c r="P23" i="85"/>
  <c r="P51" i="85"/>
  <c r="P36" i="85"/>
  <c r="P60" i="85"/>
  <c r="P4" i="85"/>
  <c r="P19" i="85"/>
  <c r="P84" i="85"/>
  <c r="P95" i="85"/>
  <c r="P81" i="85"/>
  <c r="P54" i="85"/>
  <c r="P26" i="85"/>
  <c r="P48" i="85"/>
  <c r="P12" i="85"/>
  <c r="P13" i="85"/>
  <c r="P11" i="85"/>
  <c r="P47" i="85"/>
  <c r="P7" i="85"/>
  <c r="P103" i="85"/>
  <c r="P55" i="85"/>
  <c r="P69" i="85"/>
  <c r="P85" i="85"/>
  <c r="P94" i="85"/>
  <c r="P37" i="85"/>
  <c r="P22" i="85"/>
  <c r="P43" i="85"/>
  <c r="P8" i="85"/>
  <c r="P62" i="85"/>
  <c r="P67" i="85"/>
  <c r="P63" i="85"/>
  <c r="P20" i="85"/>
  <c r="P102" i="85"/>
  <c r="P74" i="85"/>
  <c r="P100" i="85"/>
  <c r="P38" i="85"/>
  <c r="P98" i="85"/>
  <c r="P92" i="85"/>
  <c r="P83" i="85"/>
  <c r="P79" i="85"/>
  <c r="P21" i="85"/>
  <c r="P27" i="85"/>
  <c r="P41" i="85"/>
  <c r="P46" i="85"/>
  <c r="P39" i="85"/>
  <c r="P14" i="85"/>
  <c r="P89" i="85"/>
  <c r="P87" i="85"/>
  <c r="P68" i="85"/>
  <c r="P5" i="85"/>
  <c r="P6" i="85"/>
  <c r="P18" i="85"/>
  <c r="P25" i="85"/>
  <c r="P93" i="85"/>
  <c r="P31" i="85"/>
  <c r="P57" i="85"/>
  <c r="P45" i="85"/>
  <c r="P9" i="85"/>
  <c r="P40" i="85"/>
  <c r="P34" i="85"/>
  <c r="P42" i="85"/>
  <c r="P29" i="85"/>
  <c r="P91" i="85"/>
  <c r="P17" i="85"/>
  <c r="P70" i="85"/>
  <c r="P61" i="85"/>
  <c r="P104" i="85"/>
  <c r="P24" i="85"/>
  <c r="P53" i="85"/>
  <c r="P77" i="85"/>
  <c r="P78" i="85"/>
  <c r="P75" i="85"/>
  <c r="P66" i="85"/>
  <c r="O10" i="87"/>
  <c r="O12" i="87"/>
  <c r="O13" i="87"/>
  <c r="O41" i="87"/>
  <c r="O43" i="87"/>
  <c r="O44" i="87"/>
  <c r="O42" i="87"/>
  <c r="O5" i="87"/>
  <c r="B6" i="78"/>
  <c r="D6" i="78" s="1"/>
  <c r="O3" i="87"/>
  <c r="F5" i="84"/>
  <c r="B5" i="84"/>
  <c r="C5" i="84" s="1"/>
  <c r="G5" i="84"/>
  <c r="A6" i="84"/>
  <c r="G6" i="84" s="1"/>
  <c r="G6" i="78"/>
  <c r="E5" i="84"/>
  <c r="O4" i="87"/>
  <c r="M71" i="87"/>
  <c r="D5" i="78"/>
  <c r="O17" i="87"/>
  <c r="A7" i="78"/>
  <c r="B7" i="78" s="1"/>
  <c r="F6" i="78"/>
  <c r="O47" i="86"/>
  <c r="O15" i="87"/>
  <c r="O16" i="87"/>
  <c r="M51" i="87"/>
  <c r="O51" i="87" s="1"/>
  <c r="O19" i="87"/>
  <c r="O21" i="87"/>
  <c r="M53" i="87"/>
  <c r="O53" i="87" s="1"/>
  <c r="O20" i="87"/>
  <c r="M91" i="87"/>
  <c r="M92" i="87"/>
  <c r="O18" i="87"/>
  <c r="M57" i="87"/>
  <c r="M80" i="87"/>
  <c r="M69" i="87"/>
  <c r="M58" i="87"/>
  <c r="M96" i="87"/>
  <c r="M70" i="87"/>
  <c r="M55" i="87"/>
  <c r="M104" i="87"/>
  <c r="M100" i="87"/>
  <c r="M76" i="87"/>
  <c r="M79" i="87"/>
  <c r="M90" i="87"/>
  <c r="M45" i="87"/>
  <c r="O45" i="87" s="1"/>
  <c r="M56" i="87"/>
  <c r="M67" i="87"/>
  <c r="M66" i="87"/>
  <c r="M59" i="87"/>
  <c r="M47" i="87"/>
  <c r="O47" i="87" s="1"/>
  <c r="M60" i="87"/>
  <c r="M50" i="87"/>
  <c r="O50" i="87" s="1"/>
  <c r="M74" i="87"/>
  <c r="M81" i="87"/>
  <c r="M62" i="87"/>
  <c r="M98" i="87"/>
  <c r="M48" i="87"/>
  <c r="O48" i="87" s="1"/>
  <c r="M85" i="87"/>
  <c r="M77" i="87"/>
  <c r="M84" i="87"/>
  <c r="O26" i="87"/>
  <c r="M46" i="87"/>
  <c r="O46" i="87" s="1"/>
  <c r="M78" i="87"/>
  <c r="M89" i="87"/>
  <c r="M68" i="87"/>
  <c r="M87" i="87"/>
  <c r="M63" i="87"/>
  <c r="M93" i="87"/>
  <c r="M86" i="87"/>
  <c r="M73" i="87"/>
  <c r="M52" i="87"/>
  <c r="O52" i="87" s="1"/>
  <c r="M101" i="87"/>
  <c r="M83" i="87"/>
  <c r="M64" i="87"/>
  <c r="M72" i="87"/>
  <c r="M65" i="87"/>
  <c r="M102" i="87"/>
  <c r="M97" i="87"/>
  <c r="M103" i="87"/>
  <c r="M49" i="87"/>
  <c r="O49" i="87" s="1"/>
  <c r="M99" i="87"/>
  <c r="M61" i="87"/>
  <c r="M82" i="87"/>
  <c r="M94" i="87"/>
  <c r="M75" i="87"/>
  <c r="M54" i="87"/>
  <c r="M95" i="87"/>
  <c r="M88" i="87"/>
  <c r="O27" i="87"/>
  <c r="O29" i="87"/>
  <c r="O30" i="87"/>
  <c r="W230" i="52"/>
  <c r="W20" i="52"/>
  <c r="W110" i="52"/>
  <c r="W20" i="59"/>
  <c r="W170" i="52"/>
  <c r="BA260" i="52"/>
  <c r="BQ260" i="52" s="1"/>
  <c r="W80" i="58"/>
  <c r="BA290" i="59"/>
  <c r="BQ290" i="59" s="1"/>
  <c r="BA140" i="59"/>
  <c r="BQ140" i="59" s="1"/>
  <c r="BA140" i="55"/>
  <c r="BQ140" i="55" s="1"/>
  <c r="BA140" i="58"/>
  <c r="BQ140" i="58" s="1"/>
  <c r="W50" i="52"/>
  <c r="W200" i="59"/>
  <c r="BA260" i="53"/>
  <c r="BQ260" i="53" s="1"/>
  <c r="BA290" i="58"/>
  <c r="BQ290" i="58" s="1"/>
  <c r="W50" i="59"/>
  <c r="BA20" i="53"/>
  <c r="BQ20" i="53" s="1"/>
  <c r="W50" i="55"/>
  <c r="M178" i="41"/>
  <c r="P196" i="41"/>
  <c r="P197" i="41" s="1"/>
  <c r="L196" i="41"/>
  <c r="L197" i="41" s="1"/>
  <c r="J196" i="41"/>
  <c r="J197" i="41" s="1"/>
  <c r="U178" i="41"/>
  <c r="F196" i="41"/>
  <c r="F197" i="41" s="1"/>
  <c r="I178" i="41"/>
  <c r="B177" i="41"/>
  <c r="T196" i="41"/>
  <c r="T197" i="41" s="1"/>
  <c r="G178" i="41"/>
  <c r="N196" i="41"/>
  <c r="N197" i="41" s="1"/>
  <c r="S178" i="41"/>
  <c r="K178" i="41"/>
  <c r="B205" i="41"/>
  <c r="Q178" i="41"/>
  <c r="H196" i="41"/>
  <c r="H197" i="41" s="1"/>
  <c r="D196" i="41"/>
  <c r="D197" i="41" s="1"/>
  <c r="E178" i="41"/>
  <c r="R196" i="41"/>
  <c r="R197" i="41" s="1"/>
  <c r="O178" i="41"/>
  <c r="W110" i="57"/>
  <c r="B235" i="51"/>
  <c r="F254" i="51"/>
  <c r="F255" i="51" s="1"/>
  <c r="T254" i="51"/>
  <c r="T255" i="51" s="1"/>
  <c r="U236" i="51"/>
  <c r="G236" i="51"/>
  <c r="N254" i="51"/>
  <c r="N255" i="51" s="1"/>
  <c r="J254" i="51"/>
  <c r="J255" i="51" s="1"/>
  <c r="H254" i="51"/>
  <c r="H255" i="51" s="1"/>
  <c r="E236" i="51"/>
  <c r="M236" i="51"/>
  <c r="B263" i="51"/>
  <c r="P254" i="51"/>
  <c r="P255" i="51" s="1"/>
  <c r="S236" i="51"/>
  <c r="K236" i="51"/>
  <c r="O236" i="51"/>
  <c r="I236" i="51"/>
  <c r="L254" i="51"/>
  <c r="L255" i="51" s="1"/>
  <c r="Q236" i="51"/>
  <c r="R254" i="51"/>
  <c r="R255" i="51" s="1"/>
  <c r="D254" i="51"/>
  <c r="D255" i="51" s="1"/>
  <c r="BA20" i="58"/>
  <c r="BQ20" i="58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M14" i="88"/>
  <c r="M28" i="88"/>
  <c r="M40" i="88"/>
  <c r="M33" i="88"/>
  <c r="M16" i="88"/>
  <c r="M44" i="88"/>
  <c r="M4" i="88"/>
  <c r="M41" i="88"/>
  <c r="M5" i="88"/>
  <c r="M24" i="88"/>
  <c r="M42" i="88"/>
  <c r="M30" i="88"/>
  <c r="M13" i="88"/>
  <c r="M21" i="88"/>
  <c r="M12" i="88"/>
  <c r="M18" i="88"/>
  <c r="M6" i="88"/>
  <c r="M38" i="88"/>
  <c r="M31" i="88"/>
  <c r="M29" i="88"/>
  <c r="M7" i="88"/>
  <c r="M35" i="88"/>
  <c r="M39" i="88"/>
  <c r="M8" i="88"/>
  <c r="M34" i="88"/>
  <c r="M19" i="88"/>
  <c r="M20" i="88"/>
  <c r="M36" i="88"/>
  <c r="M43" i="88"/>
  <c r="M10" i="88"/>
  <c r="M9" i="88"/>
  <c r="M26" i="88"/>
  <c r="M23" i="88"/>
  <c r="M3" i="88"/>
  <c r="M25" i="88"/>
  <c r="M17" i="88"/>
  <c r="M2" i="88"/>
  <c r="M37" i="88"/>
  <c r="M27" i="88"/>
  <c r="M15" i="88"/>
  <c r="M32" i="88"/>
  <c r="M22" i="88"/>
  <c r="M11" i="88"/>
  <c r="BA230" i="53"/>
  <c r="BQ230" i="53" s="1"/>
  <c r="W230" i="53"/>
  <c r="N8" i="88"/>
  <c r="N20" i="88"/>
  <c r="N36" i="88"/>
  <c r="N29" i="88"/>
  <c r="N31" i="88"/>
  <c r="N50" i="88"/>
  <c r="N25" i="88"/>
  <c r="N3" i="88"/>
  <c r="N10" i="88"/>
  <c r="N45" i="88"/>
  <c r="N27" i="88"/>
  <c r="N37" i="88"/>
  <c r="N51" i="88"/>
  <c r="N6" i="88"/>
  <c r="N28" i="88"/>
  <c r="N19" i="88"/>
  <c r="N41" i="88"/>
  <c r="N13" i="88"/>
  <c r="N17" i="88"/>
  <c r="N7" i="88"/>
  <c r="N18" i="88"/>
  <c r="N32" i="88"/>
  <c r="N5" i="88"/>
  <c r="N21" i="88"/>
  <c r="N14" i="88"/>
  <c r="N53" i="88"/>
  <c r="N2" i="88"/>
  <c r="N11" i="88"/>
  <c r="N15" i="88"/>
  <c r="N46" i="88"/>
  <c r="N44" i="88"/>
  <c r="N26" i="88"/>
  <c r="N52" i="88"/>
  <c r="N35" i="88"/>
  <c r="O35" i="88" s="1"/>
  <c r="N43" i="88"/>
  <c r="N16" i="88"/>
  <c r="N48" i="88"/>
  <c r="N22" i="88"/>
  <c r="N49" i="88"/>
  <c r="N38" i="88"/>
  <c r="N47" i="88"/>
  <c r="N30" i="88"/>
  <c r="N12" i="88"/>
  <c r="N23" i="88"/>
  <c r="N4" i="88"/>
  <c r="N33" i="88"/>
  <c r="O2" i="87"/>
  <c r="N24" i="88"/>
  <c r="N34" i="88"/>
  <c r="O34" i="88" s="1"/>
  <c r="N40" i="88"/>
  <c r="N39" i="88"/>
  <c r="N42" i="88"/>
  <c r="N9" i="88"/>
  <c r="BA170" i="55"/>
  <c r="BQ170" i="55" s="1"/>
  <c r="W170" i="55"/>
  <c r="BA80" i="57"/>
  <c r="BQ80" i="57" s="1"/>
  <c r="W80" i="57"/>
  <c r="W230" i="57"/>
  <c r="BA230" i="57"/>
  <c r="BQ230" i="57" s="1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B8" i="83" l="1"/>
  <c r="C8" i="83" s="1"/>
  <c r="E9" i="83"/>
  <c r="G9" i="83"/>
  <c r="F9" i="83"/>
  <c r="A10" i="83"/>
  <c r="B10" i="83" s="1"/>
  <c r="C6" i="83"/>
  <c r="G8" i="83"/>
  <c r="E8" i="83"/>
  <c r="F8" i="83"/>
  <c r="B263" i="46"/>
  <c r="H254" i="46"/>
  <c r="H255" i="46" s="1"/>
  <c r="T254" i="46"/>
  <c r="T255" i="46" s="1"/>
  <c r="R254" i="46"/>
  <c r="R255" i="46" s="1"/>
  <c r="M236" i="46"/>
  <c r="N254" i="46"/>
  <c r="N255" i="46" s="1"/>
  <c r="J254" i="46"/>
  <c r="J255" i="46" s="1"/>
  <c r="L254" i="46"/>
  <c r="L255" i="46" s="1"/>
  <c r="O236" i="46"/>
  <c r="F254" i="46"/>
  <c r="F255" i="46" s="1"/>
  <c r="P254" i="46"/>
  <c r="P255" i="46" s="1"/>
  <c r="B235" i="46"/>
  <c r="U236" i="46"/>
  <c r="S236" i="46"/>
  <c r="E236" i="46"/>
  <c r="Q236" i="46"/>
  <c r="G236" i="46"/>
  <c r="K236" i="46"/>
  <c r="I236" i="46"/>
  <c r="D254" i="46"/>
  <c r="D255" i="46" s="1"/>
  <c r="F7" i="82"/>
  <c r="A8" i="82"/>
  <c r="G8" i="82" s="1"/>
  <c r="B7" i="82"/>
  <c r="D7" i="82" s="1"/>
  <c r="G7" i="82"/>
  <c r="D6" i="82"/>
  <c r="B8" i="79"/>
  <c r="C8" i="79" s="1"/>
  <c r="F7" i="81"/>
  <c r="D6" i="81"/>
  <c r="G8" i="81"/>
  <c r="B7" i="81"/>
  <c r="D7" i="81" s="1"/>
  <c r="A9" i="81"/>
  <c r="G9" i="81" s="1"/>
  <c r="F8" i="81"/>
  <c r="E7" i="81"/>
  <c r="G7" i="81"/>
  <c r="E8" i="81"/>
  <c r="O28" i="88"/>
  <c r="F8" i="79"/>
  <c r="O8" i="88"/>
  <c r="F8" i="80"/>
  <c r="G8" i="80"/>
  <c r="C7" i="80"/>
  <c r="O11" i="88"/>
  <c r="C6" i="80"/>
  <c r="E8" i="79"/>
  <c r="A9" i="79"/>
  <c r="A10" i="79" s="1"/>
  <c r="O14" i="88"/>
  <c r="A9" i="80"/>
  <c r="B9" i="80" s="1"/>
  <c r="B8" i="80"/>
  <c r="C8" i="80" s="1"/>
  <c r="O66" i="87"/>
  <c r="O32" i="88"/>
  <c r="B7" i="79"/>
  <c r="C7" i="79" s="1"/>
  <c r="G7" i="79"/>
  <c r="O33" i="88"/>
  <c r="E7" i="79"/>
  <c r="O6" i="88"/>
  <c r="F7" i="79"/>
  <c r="O71" i="87"/>
  <c r="O31" i="88"/>
  <c r="O23" i="88"/>
  <c r="B206" i="49"/>
  <c r="F225" i="49"/>
  <c r="F226" i="49" s="1"/>
  <c r="I207" i="49"/>
  <c r="S207" i="49"/>
  <c r="R225" i="49"/>
  <c r="R226" i="49" s="1"/>
  <c r="M207" i="49"/>
  <c r="N225" i="49"/>
  <c r="N226" i="49" s="1"/>
  <c r="Q207" i="49"/>
  <c r="U207" i="49"/>
  <c r="G207" i="49"/>
  <c r="L225" i="49"/>
  <c r="L226" i="49" s="1"/>
  <c r="H225" i="49"/>
  <c r="H226" i="49" s="1"/>
  <c r="K207" i="49"/>
  <c r="E207" i="49"/>
  <c r="O207" i="49"/>
  <c r="B234" i="49"/>
  <c r="T225" i="49"/>
  <c r="T226" i="49" s="1"/>
  <c r="J225" i="49"/>
  <c r="J226" i="49" s="1"/>
  <c r="P225" i="49"/>
  <c r="P226" i="49" s="1"/>
  <c r="D225" i="49"/>
  <c r="D226" i="49" s="1"/>
  <c r="O22" i="88"/>
  <c r="O25" i="88"/>
  <c r="O38" i="88"/>
  <c r="O24" i="88"/>
  <c r="O37" i="88"/>
  <c r="O39" i="88"/>
  <c r="O40" i="88"/>
  <c r="O36" i="88"/>
  <c r="O88" i="87"/>
  <c r="O86" i="87"/>
  <c r="O78" i="87"/>
  <c r="N76" i="88"/>
  <c r="N91" i="88"/>
  <c r="N72" i="88"/>
  <c r="O62" i="87"/>
  <c r="N78" i="88"/>
  <c r="O98" i="87"/>
  <c r="O104" i="87"/>
  <c r="N103" i="88"/>
  <c r="O9" i="88"/>
  <c r="N62" i="88"/>
  <c r="N59" i="88"/>
  <c r="N70" i="88"/>
  <c r="N55" i="88"/>
  <c r="N85" i="88"/>
  <c r="N74" i="88"/>
  <c r="O96" i="87"/>
  <c r="N80" i="88"/>
  <c r="N54" i="88"/>
  <c r="N83" i="88"/>
  <c r="O89" i="87"/>
  <c r="N94" i="88"/>
  <c r="O60" i="87"/>
  <c r="O67" i="87"/>
  <c r="O102" i="87"/>
  <c r="O84" i="87"/>
  <c r="O74" i="87"/>
  <c r="O97" i="87"/>
  <c r="O56" i="87"/>
  <c r="N57" i="88"/>
  <c r="N61" i="88"/>
  <c r="N81" i="88"/>
  <c r="N56" i="88"/>
  <c r="N96" i="88"/>
  <c r="N100" i="88"/>
  <c r="N93" i="88"/>
  <c r="N66" i="88"/>
  <c r="N77" i="88"/>
  <c r="N64" i="88"/>
  <c r="N63" i="88"/>
  <c r="N69" i="88"/>
  <c r="N95" i="88"/>
  <c r="N82" i="88"/>
  <c r="N68" i="88"/>
  <c r="N92" i="88"/>
  <c r="N84" i="88"/>
  <c r="O77" i="87"/>
  <c r="N73" i="88"/>
  <c r="N89" i="88"/>
  <c r="N97" i="88"/>
  <c r="N104" i="88"/>
  <c r="N101" i="88"/>
  <c r="N79" i="88"/>
  <c r="N65" i="88"/>
  <c r="N90" i="88"/>
  <c r="N75" i="88"/>
  <c r="N102" i="88"/>
  <c r="N71" i="88"/>
  <c r="N58" i="88"/>
  <c r="N86" i="88"/>
  <c r="N98" i="88"/>
  <c r="N60" i="88"/>
  <c r="N88" i="88"/>
  <c r="N99" i="88"/>
  <c r="N67" i="88"/>
  <c r="N87" i="88"/>
  <c r="O54" i="87"/>
  <c r="O73" i="87"/>
  <c r="O99" i="87"/>
  <c r="O68" i="87"/>
  <c r="O103" i="87"/>
  <c r="O7" i="88"/>
  <c r="O75" i="87"/>
  <c r="O59" i="87"/>
  <c r="O57" i="87"/>
  <c r="O92" i="87"/>
  <c r="O90" i="87"/>
  <c r="O79" i="87"/>
  <c r="O85" i="87"/>
  <c r="O100" i="87"/>
  <c r="O91" i="87"/>
  <c r="O83" i="87"/>
  <c r="O65" i="87"/>
  <c r="O101" i="87"/>
  <c r="O95" i="87"/>
  <c r="O55" i="87"/>
  <c r="O70" i="87"/>
  <c r="O93" i="87"/>
  <c r="O58" i="87"/>
  <c r="O63" i="87"/>
  <c r="O61" i="87"/>
  <c r="O80" i="87"/>
  <c r="O72" i="87"/>
  <c r="O64" i="87"/>
  <c r="O76" i="87"/>
  <c r="O81" i="87"/>
  <c r="O94" i="87"/>
  <c r="O82" i="87"/>
  <c r="O69" i="87"/>
  <c r="O87" i="87"/>
  <c r="P25" i="86"/>
  <c r="E5" i="85"/>
  <c r="G5" i="85"/>
  <c r="B5" i="85"/>
  <c r="D5" i="85" s="1"/>
  <c r="F5" i="85"/>
  <c r="A6" i="85"/>
  <c r="A7" i="85" s="1"/>
  <c r="O10" i="88"/>
  <c r="O12" i="88"/>
  <c r="O13" i="88"/>
  <c r="O44" i="88"/>
  <c r="O41" i="88"/>
  <c r="O43" i="88"/>
  <c r="C6" i="78"/>
  <c r="O42" i="88"/>
  <c r="O2" i="88"/>
  <c r="O3" i="88"/>
  <c r="E6" i="84"/>
  <c r="O5" i="88"/>
  <c r="F6" i="84"/>
  <c r="D5" i="84"/>
  <c r="G7" i="78"/>
  <c r="A7" i="84"/>
  <c r="G7" i="84" s="1"/>
  <c r="B6" i="84"/>
  <c r="D6" i="84" s="1"/>
  <c r="F7" i="78"/>
  <c r="A8" i="78"/>
  <c r="B8" i="78" s="1"/>
  <c r="E7" i="78"/>
  <c r="O4" i="88"/>
  <c r="P64" i="86"/>
  <c r="P14" i="86"/>
  <c r="P96" i="86"/>
  <c r="P44" i="86"/>
  <c r="P41" i="86"/>
  <c r="P21" i="86"/>
  <c r="P3" i="86"/>
  <c r="P56" i="86"/>
  <c r="P19" i="86"/>
  <c r="P31" i="86"/>
  <c r="P46" i="86"/>
  <c r="P43" i="86"/>
  <c r="P38" i="86"/>
  <c r="P45" i="86"/>
  <c r="P102" i="86"/>
  <c r="P22" i="86"/>
  <c r="P34" i="86"/>
  <c r="P6" i="86"/>
  <c r="P63" i="86"/>
  <c r="P92" i="86"/>
  <c r="P33" i="86"/>
  <c r="P79" i="86"/>
  <c r="P51" i="86"/>
  <c r="P90" i="86"/>
  <c r="P48" i="86"/>
  <c r="P52" i="86"/>
  <c r="P60" i="86"/>
  <c r="P77" i="86"/>
  <c r="P27" i="86"/>
  <c r="P58" i="86"/>
  <c r="P11" i="86"/>
  <c r="P103" i="86"/>
  <c r="P81" i="86"/>
  <c r="P2" i="86"/>
  <c r="P37" i="86"/>
  <c r="P55" i="86"/>
  <c r="P13" i="86"/>
  <c r="P50" i="86"/>
  <c r="P17" i="86"/>
  <c r="P65" i="86"/>
  <c r="P42" i="86"/>
  <c r="P23" i="86"/>
  <c r="P26" i="86"/>
  <c r="P68" i="86"/>
  <c r="P76" i="86"/>
  <c r="P87" i="86"/>
  <c r="P88" i="86"/>
  <c r="P78" i="86"/>
  <c r="P28" i="86"/>
  <c r="P47" i="86"/>
  <c r="P40" i="86"/>
  <c r="P66" i="86"/>
  <c r="P67" i="86"/>
  <c r="P4" i="86"/>
  <c r="P9" i="86"/>
  <c r="P7" i="86"/>
  <c r="P85" i="86"/>
  <c r="P29" i="86"/>
  <c r="P97" i="86"/>
  <c r="P101" i="86"/>
  <c r="P75" i="86"/>
  <c r="P39" i="86"/>
  <c r="P83" i="86"/>
  <c r="P93" i="86"/>
  <c r="P91" i="86"/>
  <c r="P49" i="86"/>
  <c r="P18" i="86"/>
  <c r="P104" i="86"/>
  <c r="P95" i="86"/>
  <c r="P74" i="86"/>
  <c r="P89" i="86"/>
  <c r="P15" i="86"/>
  <c r="P59" i="86"/>
  <c r="P72" i="86"/>
  <c r="P36" i="86"/>
  <c r="P80" i="86"/>
  <c r="P10" i="86"/>
  <c r="P86" i="86"/>
  <c r="P62" i="86"/>
  <c r="O17" i="88"/>
  <c r="P30" i="86"/>
  <c r="P35" i="86"/>
  <c r="P8" i="86"/>
  <c r="P53" i="86"/>
  <c r="P24" i="86"/>
  <c r="P69" i="86"/>
  <c r="P82" i="86"/>
  <c r="P54" i="86"/>
  <c r="P57" i="86"/>
  <c r="P61" i="86"/>
  <c r="P84" i="86"/>
  <c r="P5" i="86"/>
  <c r="P16" i="86"/>
  <c r="P12" i="86"/>
  <c r="P98" i="86"/>
  <c r="P100" i="86"/>
  <c r="P71" i="86"/>
  <c r="P32" i="86"/>
  <c r="P94" i="86"/>
  <c r="P73" i="86"/>
  <c r="P70" i="86"/>
  <c r="P20" i="86"/>
  <c r="P99" i="86"/>
  <c r="O15" i="88"/>
  <c r="O16" i="88"/>
  <c r="O19" i="88"/>
  <c r="O20" i="88"/>
  <c r="O21" i="88"/>
  <c r="O18" i="88"/>
  <c r="M65" i="88"/>
  <c r="M94" i="88"/>
  <c r="M73" i="88"/>
  <c r="M66" i="88"/>
  <c r="M47" i="88"/>
  <c r="O47" i="88" s="1"/>
  <c r="M69" i="88"/>
  <c r="M57" i="88"/>
  <c r="M46" i="88"/>
  <c r="O46" i="88" s="1"/>
  <c r="M90" i="88"/>
  <c r="M53" i="88"/>
  <c r="O53" i="88" s="1"/>
  <c r="M50" i="88"/>
  <c r="O50" i="88" s="1"/>
  <c r="M51" i="88"/>
  <c r="O51" i="88" s="1"/>
  <c r="M74" i="88"/>
  <c r="M98" i="88"/>
  <c r="M54" i="88"/>
  <c r="M56" i="88"/>
  <c r="M67" i="88"/>
  <c r="M70" i="88"/>
  <c r="M61" i="88"/>
  <c r="M95" i="88"/>
  <c r="M104" i="88"/>
  <c r="M81" i="88"/>
  <c r="M76" i="88"/>
  <c r="M97" i="88"/>
  <c r="M85" i="88"/>
  <c r="M63" i="88"/>
  <c r="M91" i="88"/>
  <c r="M87" i="88"/>
  <c r="M78" i="88"/>
  <c r="M89" i="88"/>
  <c r="M58" i="88"/>
  <c r="M71" i="88"/>
  <c r="M103" i="88"/>
  <c r="M59" i="88"/>
  <c r="M82" i="88"/>
  <c r="M68" i="88"/>
  <c r="M48" i="88"/>
  <c r="O48" i="88" s="1"/>
  <c r="M55" i="88"/>
  <c r="M100" i="88"/>
  <c r="M62" i="88"/>
  <c r="M79" i="88"/>
  <c r="M80" i="88"/>
  <c r="M102" i="88"/>
  <c r="M99" i="88"/>
  <c r="M75" i="88"/>
  <c r="M72" i="88"/>
  <c r="M77" i="88"/>
  <c r="M96" i="88"/>
  <c r="M93" i="88"/>
  <c r="M92" i="88"/>
  <c r="M86" i="88"/>
  <c r="M101" i="88"/>
  <c r="M88" i="88"/>
  <c r="M84" i="88"/>
  <c r="M52" i="88"/>
  <c r="O52" i="88" s="1"/>
  <c r="M49" i="88"/>
  <c r="O49" i="88" s="1"/>
  <c r="M60" i="88"/>
  <c r="M83" i="88"/>
  <c r="M64" i="88"/>
  <c r="M45" i="88"/>
  <c r="O45" i="88" s="1"/>
  <c r="O26" i="88"/>
  <c r="O27" i="88"/>
  <c r="O29" i="88"/>
  <c r="O30" i="88"/>
  <c r="BR110" i="52"/>
  <c r="O265" i="51"/>
  <c r="R283" i="51"/>
  <c r="R284" i="51" s="1"/>
  <c r="J283" i="51"/>
  <c r="J284" i="51" s="1"/>
  <c r="T283" i="51"/>
  <c r="T284" i="51" s="1"/>
  <c r="N283" i="51"/>
  <c r="N284" i="51" s="1"/>
  <c r="S265" i="51"/>
  <c r="I265" i="51"/>
  <c r="G265" i="51"/>
  <c r="L283" i="51"/>
  <c r="L284" i="51" s="1"/>
  <c r="D283" i="51"/>
  <c r="D284" i="51" s="1"/>
  <c r="E265" i="51"/>
  <c r="F283" i="51"/>
  <c r="F284" i="51" s="1"/>
  <c r="Q265" i="51"/>
  <c r="M265" i="51"/>
  <c r="U265" i="51"/>
  <c r="K265" i="51"/>
  <c r="H283" i="51"/>
  <c r="H284" i="51" s="1"/>
  <c r="P283" i="51"/>
  <c r="P284" i="51" s="1"/>
  <c r="B264" i="51"/>
  <c r="BR140" i="52"/>
  <c r="G207" i="41"/>
  <c r="N225" i="41"/>
  <c r="N226" i="41" s="1"/>
  <c r="M207" i="41"/>
  <c r="J225" i="41"/>
  <c r="J226" i="41" s="1"/>
  <c r="D225" i="41"/>
  <c r="D226" i="41" s="1"/>
  <c r="O207" i="41"/>
  <c r="P225" i="41"/>
  <c r="P226" i="41" s="1"/>
  <c r="E207" i="41"/>
  <c r="F225" i="41"/>
  <c r="F226" i="41" s="1"/>
  <c r="R225" i="41"/>
  <c r="R226" i="41" s="1"/>
  <c r="L225" i="41"/>
  <c r="L226" i="41" s="1"/>
  <c r="H225" i="41"/>
  <c r="H226" i="41" s="1"/>
  <c r="I207" i="41"/>
  <c r="T225" i="41"/>
  <c r="T226" i="41" s="1"/>
  <c r="Q207" i="41"/>
  <c r="B234" i="41"/>
  <c r="B206" i="41"/>
  <c r="U207" i="41"/>
  <c r="S207" i="41"/>
  <c r="K207" i="41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BR170" i="52"/>
  <c r="BR170" i="58"/>
  <c r="BR80" i="58"/>
  <c r="BR290" i="52"/>
  <c r="BR140" i="58"/>
  <c r="BR110" i="59"/>
  <c r="BR80" i="59"/>
  <c r="BR20" i="59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C8" i="81"/>
  <c r="D8" i="81"/>
  <c r="BR50" i="55"/>
  <c r="BR50" i="57"/>
  <c r="BR140" i="55"/>
  <c r="BR110" i="55"/>
  <c r="BR20" i="55"/>
  <c r="BR200" i="53"/>
  <c r="C7" i="78"/>
  <c r="D7" i="78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BR290" i="57"/>
  <c r="BR20" i="57"/>
  <c r="E9" i="79"/>
  <c r="F9" i="79"/>
  <c r="B9" i="79"/>
  <c r="G9" i="79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D9" i="83"/>
  <c r="C9" i="83"/>
  <c r="D8" i="83" l="1"/>
  <c r="A11" i="83"/>
  <c r="A12" i="83" s="1"/>
  <c r="E10" i="83"/>
  <c r="F10" i="83"/>
  <c r="G10" i="83"/>
  <c r="I7" i="69"/>
  <c r="B264" i="46"/>
  <c r="E265" i="46"/>
  <c r="K265" i="46"/>
  <c r="L283" i="46"/>
  <c r="L284" i="46" s="1"/>
  <c r="O265" i="46"/>
  <c r="S265" i="46"/>
  <c r="U265" i="46"/>
  <c r="I265" i="46"/>
  <c r="R283" i="46"/>
  <c r="R284" i="46" s="1"/>
  <c r="J283" i="46"/>
  <c r="J284" i="46" s="1"/>
  <c r="H283" i="46"/>
  <c r="H284" i="46" s="1"/>
  <c r="Q265" i="46"/>
  <c r="P283" i="46"/>
  <c r="P284" i="46" s="1"/>
  <c r="F283" i="46"/>
  <c r="F284" i="46" s="1"/>
  <c r="D283" i="46"/>
  <c r="D284" i="46" s="1"/>
  <c r="M265" i="46"/>
  <c r="N283" i="46"/>
  <c r="N284" i="46" s="1"/>
  <c r="T283" i="46"/>
  <c r="T284" i="46" s="1"/>
  <c r="G265" i="46"/>
  <c r="P7" i="68"/>
  <c r="C7" i="82"/>
  <c r="A9" i="82"/>
  <c r="B9" i="82" s="1"/>
  <c r="D9" i="82" s="1"/>
  <c r="E8" i="82"/>
  <c r="D8" i="79"/>
  <c r="F8" i="82"/>
  <c r="B8" i="82"/>
  <c r="C8" i="82" s="1"/>
  <c r="O79" i="88"/>
  <c r="C7" i="81"/>
  <c r="E9" i="81"/>
  <c r="F9" i="81"/>
  <c r="A10" i="81"/>
  <c r="F10" i="81" s="1"/>
  <c r="B9" i="81"/>
  <c r="C9" i="81" s="1"/>
  <c r="D7" i="79"/>
  <c r="F9" i="80"/>
  <c r="O58" i="88"/>
  <c r="E9" i="80"/>
  <c r="G9" i="80"/>
  <c r="A10" i="80"/>
  <c r="G10" i="80" s="1"/>
  <c r="D8" i="80"/>
  <c r="O100" i="88"/>
  <c r="M236" i="49"/>
  <c r="Q236" i="49"/>
  <c r="L254" i="49"/>
  <c r="L255" i="49" s="1"/>
  <c r="T254" i="49"/>
  <c r="T255" i="49" s="1"/>
  <c r="J254" i="49"/>
  <c r="J255" i="49" s="1"/>
  <c r="R254" i="49"/>
  <c r="R255" i="49" s="1"/>
  <c r="N254" i="49"/>
  <c r="N255" i="49" s="1"/>
  <c r="D254" i="49"/>
  <c r="D255" i="49" s="1"/>
  <c r="B263" i="49"/>
  <c r="U236" i="49"/>
  <c r="O236" i="49"/>
  <c r="I236" i="49"/>
  <c r="P254" i="49"/>
  <c r="P255" i="49" s="1"/>
  <c r="K236" i="49"/>
  <c r="B235" i="49"/>
  <c r="F254" i="49"/>
  <c r="F255" i="49" s="1"/>
  <c r="G236" i="49"/>
  <c r="E236" i="49"/>
  <c r="S236" i="49"/>
  <c r="H254" i="49"/>
  <c r="H255" i="49" s="1"/>
  <c r="O64" i="88"/>
  <c r="O61" i="88"/>
  <c r="O72" i="88"/>
  <c r="O78" i="88"/>
  <c r="O76" i="88"/>
  <c r="O55" i="88"/>
  <c r="O91" i="88"/>
  <c r="O59" i="88"/>
  <c r="O62" i="88"/>
  <c r="O103" i="88"/>
  <c r="O70" i="88"/>
  <c r="O85" i="88"/>
  <c r="O74" i="88"/>
  <c r="O83" i="88"/>
  <c r="O80" i="88"/>
  <c r="O54" i="88"/>
  <c r="O94" i="88"/>
  <c r="O88" i="88"/>
  <c r="O60" i="88"/>
  <c r="O57" i="88"/>
  <c r="O84" i="88"/>
  <c r="O69" i="88"/>
  <c r="O81" i="88"/>
  <c r="O93" i="88"/>
  <c r="O101" i="88"/>
  <c r="O89" i="88"/>
  <c r="O99" i="88"/>
  <c r="O87" i="88"/>
  <c r="O102" i="88"/>
  <c r="O97" i="88"/>
  <c r="O63" i="88"/>
  <c r="O66" i="88"/>
  <c r="O73" i="88"/>
  <c r="O67" i="88"/>
  <c r="O96" i="88"/>
  <c r="O56" i="88"/>
  <c r="O75" i="88"/>
  <c r="O90" i="88"/>
  <c r="O65" i="88"/>
  <c r="O71" i="88"/>
  <c r="O77" i="88"/>
  <c r="O98" i="88"/>
  <c r="O104" i="88"/>
  <c r="O68" i="88"/>
  <c r="O95" i="88"/>
  <c r="O86" i="88"/>
  <c r="O82" i="88"/>
  <c r="O92" i="88"/>
  <c r="B6" i="85"/>
  <c r="C6" i="85" s="1"/>
  <c r="P93" i="87"/>
  <c r="P32" i="87"/>
  <c r="P99" i="87"/>
  <c r="P38" i="87"/>
  <c r="P29" i="87"/>
  <c r="P100" i="87"/>
  <c r="P28" i="87"/>
  <c r="P22" i="87"/>
  <c r="P63" i="87"/>
  <c r="P42" i="87"/>
  <c r="P96" i="87"/>
  <c r="P26" i="87"/>
  <c r="P24" i="87"/>
  <c r="P72" i="87"/>
  <c r="P66" i="87"/>
  <c r="P35" i="87"/>
  <c r="P7" i="87"/>
  <c r="P6" i="87"/>
  <c r="P83" i="87"/>
  <c r="P82" i="87"/>
  <c r="P61" i="87"/>
  <c r="P5" i="87"/>
  <c r="P31" i="87"/>
  <c r="P47" i="87"/>
  <c r="P54" i="87"/>
  <c r="P65" i="87"/>
  <c r="P45" i="87"/>
  <c r="P58" i="87"/>
  <c r="P59" i="87"/>
  <c r="P68" i="87"/>
  <c r="P102" i="87"/>
  <c r="P16" i="87"/>
  <c r="P23" i="87"/>
  <c r="G6" i="85"/>
  <c r="P15" i="87"/>
  <c r="P74" i="87"/>
  <c r="P69" i="87"/>
  <c r="P50" i="87"/>
  <c r="P80" i="87"/>
  <c r="P94" i="87"/>
  <c r="P52" i="87"/>
  <c r="P57" i="87"/>
  <c r="P97" i="87"/>
  <c r="P60" i="87"/>
  <c r="P34" i="87"/>
  <c r="P84" i="87"/>
  <c r="P17" i="87"/>
  <c r="P98" i="87"/>
  <c r="P88" i="87"/>
  <c r="P14" i="87"/>
  <c r="P89" i="87"/>
  <c r="P12" i="87"/>
  <c r="P3" i="87"/>
  <c r="P9" i="87"/>
  <c r="P36" i="87"/>
  <c r="P101" i="87"/>
  <c r="P40" i="87"/>
  <c r="P25" i="87"/>
  <c r="P81" i="87"/>
  <c r="P43" i="87"/>
  <c r="P78" i="87"/>
  <c r="P56" i="87"/>
  <c r="P86" i="87"/>
  <c r="P73" i="87"/>
  <c r="P41" i="87"/>
  <c r="P67" i="87"/>
  <c r="P64" i="87"/>
  <c r="P27" i="87"/>
  <c r="P92" i="87"/>
  <c r="P95" i="87"/>
  <c r="P39" i="87"/>
  <c r="P79" i="87"/>
  <c r="P103" i="87"/>
  <c r="P48" i="87"/>
  <c r="P71" i="87"/>
  <c r="P46" i="87"/>
  <c r="P51" i="87"/>
  <c r="P90" i="87"/>
  <c r="P19" i="87"/>
  <c r="P4" i="87"/>
  <c r="P2" i="87"/>
  <c r="P55" i="87"/>
  <c r="P10" i="87"/>
  <c r="P76" i="87"/>
  <c r="P75" i="87"/>
  <c r="P11" i="87"/>
  <c r="P20" i="87"/>
  <c r="P85" i="87"/>
  <c r="P87" i="87"/>
  <c r="P91" i="87"/>
  <c r="P33" i="87"/>
  <c r="P62" i="87"/>
  <c r="P104" i="87"/>
  <c r="P70" i="87"/>
  <c r="P37" i="87"/>
  <c r="P18" i="87"/>
  <c r="P49" i="87"/>
  <c r="P44" i="87"/>
  <c r="P30" i="87"/>
  <c r="P13" i="87"/>
  <c r="P53" i="87"/>
  <c r="P8" i="87"/>
  <c r="P77" i="87"/>
  <c r="P21" i="87"/>
  <c r="C5" i="85"/>
  <c r="E6" i="85"/>
  <c r="F6" i="85"/>
  <c r="A8" i="84"/>
  <c r="E8" i="84" s="1"/>
  <c r="F8" i="78"/>
  <c r="B7" i="84"/>
  <c r="D7" i="84" s="1"/>
  <c r="A9" i="78"/>
  <c r="B9" i="78" s="1"/>
  <c r="C6" i="84"/>
  <c r="G8" i="78"/>
  <c r="E8" i="78"/>
  <c r="E7" i="84"/>
  <c r="F7" i="84"/>
  <c r="M7" i="60"/>
  <c r="A6" i="86"/>
  <c r="B6" i="86" s="1"/>
  <c r="C6" i="86" s="1"/>
  <c r="B5" i="86"/>
  <c r="C5" i="86" s="1"/>
  <c r="F5" i="86"/>
  <c r="E5" i="86"/>
  <c r="G5" i="86"/>
  <c r="G7" i="60"/>
  <c r="K7" i="60"/>
  <c r="F7" i="60"/>
  <c r="S7" i="60"/>
  <c r="D7" i="60"/>
  <c r="H7" i="60"/>
  <c r="J7" i="60"/>
  <c r="B7" i="60"/>
  <c r="AE7" i="60" s="1"/>
  <c r="T7" i="60"/>
  <c r="P7" i="60"/>
  <c r="E7" i="60"/>
  <c r="R7" i="60"/>
  <c r="L7" i="60"/>
  <c r="P7" i="69"/>
  <c r="Q236" i="41"/>
  <c r="L254" i="41"/>
  <c r="L255" i="41" s="1"/>
  <c r="B235" i="41"/>
  <c r="F254" i="41"/>
  <c r="F255" i="41" s="1"/>
  <c r="J254" i="41"/>
  <c r="J255" i="41" s="1"/>
  <c r="U236" i="41"/>
  <c r="G236" i="41"/>
  <c r="P254" i="41"/>
  <c r="P255" i="41" s="1"/>
  <c r="M236" i="41"/>
  <c r="B263" i="41"/>
  <c r="I236" i="41"/>
  <c r="D254" i="41"/>
  <c r="D255" i="41" s="1"/>
  <c r="K236" i="41"/>
  <c r="H254" i="41"/>
  <c r="H255" i="41" s="1"/>
  <c r="E236" i="41"/>
  <c r="R254" i="41"/>
  <c r="R255" i="41" s="1"/>
  <c r="S236" i="41"/>
  <c r="T254" i="41"/>
  <c r="T255" i="41" s="1"/>
  <c r="N254" i="41"/>
  <c r="N255" i="41" s="1"/>
  <c r="O236" i="41"/>
  <c r="I7" i="60"/>
  <c r="O7" i="60"/>
  <c r="B16" i="69"/>
  <c r="Q7" i="60"/>
  <c r="C7" i="60"/>
  <c r="N10" i="69"/>
  <c r="N7" i="60"/>
  <c r="Q7" i="68"/>
  <c r="B14" i="69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B8" i="69"/>
  <c r="K12" i="68"/>
  <c r="E9" i="69"/>
  <c r="S8" i="69"/>
  <c r="R14" i="68"/>
  <c r="J15" i="68"/>
  <c r="B11" i="68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P15" i="69"/>
  <c r="E14" i="68"/>
  <c r="T8" i="68"/>
  <c r="H11" i="68"/>
  <c r="S15" i="68"/>
  <c r="K7" i="69"/>
  <c r="I8" i="69"/>
  <c r="Q16" i="69"/>
  <c r="Q15" i="68"/>
  <c r="B16" i="68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E14" i="69"/>
  <c r="P8" i="69"/>
  <c r="B10" i="69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R7" i="69"/>
  <c r="K15" i="68"/>
  <c r="O8" i="69"/>
  <c r="R16" i="69"/>
  <c r="S11" i="69"/>
  <c r="E8" i="68"/>
  <c r="J12" i="69"/>
  <c r="N11" i="68"/>
  <c r="B10" i="68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R9" i="69"/>
  <c r="T12" i="68"/>
  <c r="P8" i="68"/>
  <c r="J14" i="69"/>
  <c r="C15" i="68"/>
  <c r="T9" i="68"/>
  <c r="R15" i="69"/>
  <c r="J13" i="69"/>
  <c r="B15" i="68"/>
  <c r="I15" i="68"/>
  <c r="M13" i="68"/>
  <c r="B13" i="68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B7" i="85"/>
  <c r="F7" i="85"/>
  <c r="A8" i="85"/>
  <c r="G7" i="85"/>
  <c r="E7" i="85"/>
  <c r="D9" i="79"/>
  <c r="C9" i="79"/>
  <c r="B10" i="79"/>
  <c r="A11" i="79"/>
  <c r="F10" i="79"/>
  <c r="E10" i="79"/>
  <c r="G10" i="79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D8" i="78"/>
  <c r="C8" i="78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B11" i="83"/>
  <c r="C10" i="83"/>
  <c r="D10" i="83"/>
  <c r="D9" i="80"/>
  <c r="C9" i="80"/>
  <c r="G11" i="83" l="1"/>
  <c r="E11" i="83"/>
  <c r="F11" i="83"/>
  <c r="C9" i="82"/>
  <c r="F9" i="82"/>
  <c r="G9" i="82"/>
  <c r="A10" i="82"/>
  <c r="G10" i="82" s="1"/>
  <c r="E9" i="82"/>
  <c r="D8" i="82"/>
  <c r="B10" i="81"/>
  <c r="D10" i="81" s="1"/>
  <c r="D9" i="81"/>
  <c r="G10" i="81"/>
  <c r="A11" i="81"/>
  <c r="B11" i="81" s="1"/>
  <c r="E10" i="81"/>
  <c r="E10" i="80"/>
  <c r="F10" i="80"/>
  <c r="A11" i="80"/>
  <c r="E11" i="80" s="1"/>
  <c r="B10" i="80"/>
  <c r="D10" i="80" s="1"/>
  <c r="U265" i="49"/>
  <c r="L283" i="49"/>
  <c r="L284" i="49" s="1"/>
  <c r="T283" i="49"/>
  <c r="T284" i="49" s="1"/>
  <c r="P283" i="49"/>
  <c r="P284" i="49" s="1"/>
  <c r="J283" i="49"/>
  <c r="J284" i="49" s="1"/>
  <c r="H283" i="49"/>
  <c r="H284" i="49" s="1"/>
  <c r="R283" i="49"/>
  <c r="R284" i="49" s="1"/>
  <c r="B264" i="49"/>
  <c r="N283" i="49"/>
  <c r="N284" i="49" s="1"/>
  <c r="Q265" i="49"/>
  <c r="S265" i="49"/>
  <c r="F283" i="49"/>
  <c r="F284" i="49" s="1"/>
  <c r="K265" i="49"/>
  <c r="O265" i="49"/>
  <c r="M265" i="49"/>
  <c r="I265" i="49"/>
  <c r="G265" i="49"/>
  <c r="E265" i="49"/>
  <c r="D283" i="49"/>
  <c r="D284" i="49" s="1"/>
  <c r="P9" i="88"/>
  <c r="P95" i="88"/>
  <c r="D6" i="85"/>
  <c r="P15" i="88"/>
  <c r="P89" i="88"/>
  <c r="P23" i="88"/>
  <c r="P26" i="88"/>
  <c r="P83" i="88"/>
  <c r="P76" i="88"/>
  <c r="P102" i="88"/>
  <c r="P38" i="88"/>
  <c r="P55" i="88"/>
  <c r="P99" i="88"/>
  <c r="P74" i="88"/>
  <c r="P86" i="88"/>
  <c r="P78" i="88"/>
  <c r="P67" i="88"/>
  <c r="P16" i="88"/>
  <c r="P18" i="88"/>
  <c r="P90" i="88"/>
  <c r="P35" i="88"/>
  <c r="P41" i="88"/>
  <c r="P97" i="88"/>
  <c r="P60" i="88"/>
  <c r="P6" i="88"/>
  <c r="P48" i="88"/>
  <c r="P5" i="88"/>
  <c r="P24" i="88"/>
  <c r="P46" i="88"/>
  <c r="P10" i="88"/>
  <c r="P51" i="88"/>
  <c r="P84" i="88"/>
  <c r="P39" i="88"/>
  <c r="P52" i="88"/>
  <c r="P68" i="88"/>
  <c r="P20" i="88"/>
  <c r="P71" i="88"/>
  <c r="P62" i="88"/>
  <c r="P85" i="88"/>
  <c r="P44" i="88"/>
  <c r="P50" i="88"/>
  <c r="P57" i="88"/>
  <c r="P104" i="88"/>
  <c r="P70" i="88"/>
  <c r="P93" i="88"/>
  <c r="P21" i="88"/>
  <c r="P63" i="88"/>
  <c r="P33" i="88"/>
  <c r="P27" i="88"/>
  <c r="P45" i="88"/>
  <c r="P69" i="88"/>
  <c r="P17" i="88"/>
  <c r="P49" i="88"/>
  <c r="P11" i="88"/>
  <c r="P59" i="88"/>
  <c r="P8" i="88"/>
  <c r="P25" i="88"/>
  <c r="P96" i="88"/>
  <c r="P79" i="88"/>
  <c r="P98" i="88"/>
  <c r="P94" i="88"/>
  <c r="P32" i="88"/>
  <c r="P92" i="88"/>
  <c r="P53" i="88"/>
  <c r="P42" i="88"/>
  <c r="P2" i="88"/>
  <c r="P75" i="88"/>
  <c r="P14" i="88"/>
  <c r="P34" i="88"/>
  <c r="P72" i="88"/>
  <c r="P101" i="88"/>
  <c r="P73" i="88"/>
  <c r="P80" i="88"/>
  <c r="P77" i="88"/>
  <c r="P12" i="88"/>
  <c r="P4" i="88"/>
  <c r="P31" i="88"/>
  <c r="P56" i="88"/>
  <c r="P3" i="88"/>
  <c r="P91" i="88"/>
  <c r="P61" i="88"/>
  <c r="P81" i="88"/>
  <c r="P47" i="88"/>
  <c r="P7" i="88"/>
  <c r="P103" i="88"/>
  <c r="P37" i="88"/>
  <c r="P87" i="88"/>
  <c r="P100" i="88"/>
  <c r="P43" i="88"/>
  <c r="P66" i="88"/>
  <c r="P64" i="88"/>
  <c r="P36" i="88"/>
  <c r="P54" i="88"/>
  <c r="P22" i="88"/>
  <c r="P65" i="88"/>
  <c r="P82" i="88"/>
  <c r="P29" i="88"/>
  <c r="P88" i="88"/>
  <c r="P58" i="88"/>
  <c r="P13" i="88"/>
  <c r="P28" i="88"/>
  <c r="P40" i="88"/>
  <c r="P19" i="88"/>
  <c r="P30" i="88"/>
  <c r="E5" i="87"/>
  <c r="E9" i="78"/>
  <c r="F5" i="87"/>
  <c r="A6" i="87"/>
  <c r="E6" i="87" s="1"/>
  <c r="G5" i="87"/>
  <c r="B5" i="87"/>
  <c r="C5" i="87" s="1"/>
  <c r="G9" i="78"/>
  <c r="A10" i="78"/>
  <c r="G10" i="78" s="1"/>
  <c r="F9" i="78"/>
  <c r="F8" i="84"/>
  <c r="A9" i="84"/>
  <c r="F9" i="84" s="1"/>
  <c r="C7" i="84"/>
  <c r="G8" i="84"/>
  <c r="B8" i="84"/>
  <c r="C8" i="84" s="1"/>
  <c r="D6" i="86"/>
  <c r="G6" i="86"/>
  <c r="F6" i="86"/>
  <c r="D5" i="86"/>
  <c r="E6" i="86"/>
  <c r="A7" i="86"/>
  <c r="B7" i="86" s="1"/>
  <c r="D7" i="86" s="1"/>
  <c r="V7" i="60"/>
  <c r="U7" i="60"/>
  <c r="W7" i="60" s="1"/>
  <c r="V14" i="60"/>
  <c r="U9" i="60"/>
  <c r="W9" i="60" s="1"/>
  <c r="U8" i="60"/>
  <c r="W8" i="60" s="1"/>
  <c r="T283" i="41"/>
  <c r="T284" i="41" s="1"/>
  <c r="U265" i="41"/>
  <c r="P283" i="41"/>
  <c r="P284" i="41" s="1"/>
  <c r="O265" i="41"/>
  <c r="G265" i="41"/>
  <c r="N283" i="41"/>
  <c r="N284" i="41" s="1"/>
  <c r="D283" i="41"/>
  <c r="D284" i="41" s="1"/>
  <c r="M265" i="41"/>
  <c r="F283" i="41"/>
  <c r="F284" i="41" s="1"/>
  <c r="K265" i="41"/>
  <c r="E265" i="41"/>
  <c r="J283" i="41"/>
  <c r="J284" i="41" s="1"/>
  <c r="R283" i="41"/>
  <c r="R284" i="41" s="1"/>
  <c r="H283" i="41"/>
  <c r="H284" i="41" s="1"/>
  <c r="L283" i="41"/>
  <c r="L284" i="41" s="1"/>
  <c r="Q265" i="41"/>
  <c r="S265" i="41"/>
  <c r="B264" i="41"/>
  <c r="I265" i="41"/>
  <c r="V11" i="68"/>
  <c r="V12" i="60"/>
  <c r="U15" i="68"/>
  <c r="W15" i="68" s="1"/>
  <c r="V9" i="60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U10" i="68"/>
  <c r="W10" i="68" s="1"/>
  <c r="V9" i="69"/>
  <c r="V16" i="69"/>
  <c r="U8" i="68"/>
  <c r="W8" i="68" s="1"/>
  <c r="U11" i="68"/>
  <c r="W11" i="68" s="1"/>
  <c r="U7" i="68"/>
  <c r="W7" i="68" s="1"/>
  <c r="U16" i="69"/>
  <c r="W16" i="69" s="1"/>
  <c r="U9" i="69"/>
  <c r="W9" i="69" s="1"/>
  <c r="V8" i="68"/>
  <c r="V9" i="68"/>
  <c r="U15" i="69"/>
  <c r="W15" i="69" s="1"/>
  <c r="V12" i="69"/>
  <c r="V10" i="69"/>
  <c r="V12" i="68"/>
  <c r="U9" i="68"/>
  <c r="W9" i="68" s="1"/>
  <c r="U12" i="69"/>
  <c r="W12" i="69" s="1"/>
  <c r="U11" i="69"/>
  <c r="U7" i="69"/>
  <c r="W7" i="69" s="1"/>
  <c r="V15" i="69"/>
  <c r="V16" i="68"/>
  <c r="U13" i="69"/>
  <c r="W13" i="69" s="1"/>
  <c r="V14" i="68"/>
  <c r="U16" i="68"/>
  <c r="W16" i="68" s="1"/>
  <c r="V10" i="68"/>
  <c r="U13" i="68"/>
  <c r="W13" i="68" s="1"/>
  <c r="V11" i="69"/>
  <c r="V14" i="69"/>
  <c r="U8" i="69"/>
  <c r="W8" i="69" s="1"/>
  <c r="V13" i="69"/>
  <c r="U10" i="69"/>
  <c r="W10" i="69" s="1"/>
  <c r="U14" i="68"/>
  <c r="V8" i="69"/>
  <c r="V15" i="68"/>
  <c r="AE7" i="66"/>
  <c r="AE12" i="63" s="1"/>
  <c r="U14" i="70"/>
  <c r="W14" i="70" s="1"/>
  <c r="V7" i="63"/>
  <c r="V8" i="70"/>
  <c r="V11" i="70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V15" i="63"/>
  <c r="AE13" i="66"/>
  <c r="AE10" i="66"/>
  <c r="V12" i="66"/>
  <c r="V16" i="63"/>
  <c r="U15" i="70"/>
  <c r="W15" i="70" s="1"/>
  <c r="U12" i="70"/>
  <c r="W12" i="70" s="1"/>
  <c r="U15" i="63"/>
  <c r="W15" i="63" s="1"/>
  <c r="V15" i="66"/>
  <c r="AE14" i="66"/>
  <c r="AE9" i="66"/>
  <c r="AE13" i="63" s="1"/>
  <c r="AE15" i="70" s="1"/>
  <c r="AE16" i="68" s="1"/>
  <c r="C9" i="78"/>
  <c r="D9" i="78"/>
  <c r="V9" i="63"/>
  <c r="U8" i="70"/>
  <c r="W8" i="70" s="1"/>
  <c r="U7" i="66"/>
  <c r="U10" i="66"/>
  <c r="W10" i="66" s="1"/>
  <c r="V14" i="66"/>
  <c r="V10" i="70"/>
  <c r="V9" i="70"/>
  <c r="V10" i="66"/>
  <c r="AE11" i="66"/>
  <c r="U13" i="66"/>
  <c r="W13" i="66" s="1"/>
  <c r="V16" i="70"/>
  <c r="U12" i="63"/>
  <c r="W12" i="63" s="1"/>
  <c r="V11" i="63"/>
  <c r="V14" i="63"/>
  <c r="V7" i="70"/>
  <c r="V13" i="70"/>
  <c r="V7" i="66"/>
  <c r="AE8" i="66"/>
  <c r="U15" i="66"/>
  <c r="W15" i="66" s="1"/>
  <c r="AE16" i="66"/>
  <c r="V12" i="63"/>
  <c r="U7" i="70"/>
  <c r="W7" i="70" s="1"/>
  <c r="V14" i="70"/>
  <c r="V9" i="66"/>
  <c r="V16" i="66"/>
  <c r="U11" i="63"/>
  <c r="W11" i="63" s="1"/>
  <c r="U8" i="63"/>
  <c r="W8" i="63" s="1"/>
  <c r="U13" i="63"/>
  <c r="W13" i="63" s="1"/>
  <c r="U13" i="70"/>
  <c r="W13" i="70" s="1"/>
  <c r="U16" i="70"/>
  <c r="W16" i="70" s="1"/>
  <c r="B8" i="85"/>
  <c r="F8" i="85"/>
  <c r="A9" i="85"/>
  <c r="E8" i="85"/>
  <c r="G8" i="85"/>
  <c r="AE12" i="66"/>
  <c r="AE15" i="66"/>
  <c r="U16" i="66"/>
  <c r="W16" i="66" s="1"/>
  <c r="V8" i="66"/>
  <c r="V10" i="63"/>
  <c r="A12" i="79"/>
  <c r="G11" i="79"/>
  <c r="B11" i="79"/>
  <c r="F11" i="79"/>
  <c r="E11" i="79"/>
  <c r="C7" i="85"/>
  <c r="D7" i="85"/>
  <c r="U16" i="63"/>
  <c r="W16" i="63" s="1"/>
  <c r="V8" i="63"/>
  <c r="U14" i="63"/>
  <c r="W14" i="63" s="1"/>
  <c r="U7" i="63"/>
  <c r="W7" i="63" s="1"/>
  <c r="V12" i="70"/>
  <c r="C10" i="79"/>
  <c r="D10" i="79"/>
  <c r="U9" i="66"/>
  <c r="W9" i="66" s="1"/>
  <c r="U10" i="63"/>
  <c r="W10" i="63" s="1"/>
  <c r="U11" i="70"/>
  <c r="W11" i="70" s="1"/>
  <c r="V15" i="70"/>
  <c r="U14" i="66"/>
  <c r="W14" i="66" s="1"/>
  <c r="V13" i="66"/>
  <c r="U9" i="63"/>
  <c r="W9" i="63" s="1"/>
  <c r="V13" i="63"/>
  <c r="C11" i="83"/>
  <c r="D11" i="83"/>
  <c r="B12" i="83"/>
  <c r="F12" i="83"/>
  <c r="A13" i="83"/>
  <c r="E12" i="83"/>
  <c r="G12" i="83"/>
  <c r="A11" i="82" l="1"/>
  <c r="G11" i="82" s="1"/>
  <c r="E10" i="82"/>
  <c r="F10" i="82"/>
  <c r="B10" i="82"/>
  <c r="D10" i="82" s="1"/>
  <c r="AE15" i="63"/>
  <c r="C10" i="81"/>
  <c r="AB12" i="66"/>
  <c r="AE14" i="63"/>
  <c r="AE14" i="70" s="1"/>
  <c r="AE14" i="68" s="1"/>
  <c r="AE16" i="63"/>
  <c r="AB16" i="66"/>
  <c r="E11" i="81"/>
  <c r="F11" i="81"/>
  <c r="G11" i="81"/>
  <c r="A12" i="81"/>
  <c r="A13" i="81" s="1"/>
  <c r="AE9" i="63"/>
  <c r="AE8" i="63"/>
  <c r="AE16" i="70" s="1"/>
  <c r="AE15" i="68" s="1"/>
  <c r="AE8" i="69" s="1"/>
  <c r="AE11" i="63"/>
  <c r="AB13" i="66"/>
  <c r="AE10" i="63"/>
  <c r="AE12" i="70" s="1"/>
  <c r="AB15" i="66"/>
  <c r="C10" i="80"/>
  <c r="A12" i="80"/>
  <c r="A13" i="80" s="1"/>
  <c r="B11" i="80"/>
  <c r="D11" i="80" s="1"/>
  <c r="G11" i="80"/>
  <c r="F11" i="80"/>
  <c r="AB9" i="66"/>
  <c r="AB14" i="66"/>
  <c r="AB10" i="66"/>
  <c r="AB11" i="66"/>
  <c r="AE7" i="63"/>
  <c r="AB8" i="66"/>
  <c r="D5" i="87"/>
  <c r="B5" i="88"/>
  <c r="C5" i="88" s="1"/>
  <c r="A6" i="88"/>
  <c r="E6" i="88" s="1"/>
  <c r="B6" i="87"/>
  <c r="C6" i="87" s="1"/>
  <c r="F5" i="88"/>
  <c r="E5" i="88"/>
  <c r="G5" i="88"/>
  <c r="A7" i="87"/>
  <c r="G7" i="87" s="1"/>
  <c r="G6" i="87"/>
  <c r="F6" i="87"/>
  <c r="F10" i="78"/>
  <c r="E10" i="78"/>
  <c r="A11" i="78"/>
  <c r="B11" i="78" s="1"/>
  <c r="B10" i="78"/>
  <c r="C10" i="78" s="1"/>
  <c r="B9" i="84"/>
  <c r="C9" i="84" s="1"/>
  <c r="G9" i="84"/>
  <c r="A10" i="84"/>
  <c r="G10" i="84" s="1"/>
  <c r="E9" i="84"/>
  <c r="D8" i="84"/>
  <c r="F7" i="86"/>
  <c r="E7" i="86"/>
  <c r="G7" i="86"/>
  <c r="A8" i="86"/>
  <c r="A9" i="86" s="1"/>
  <c r="F9" i="86" s="1"/>
  <c r="C7" i="86"/>
  <c r="AB7" i="66"/>
  <c r="W14" i="68"/>
  <c r="W11" i="69"/>
  <c r="AA12" i="66"/>
  <c r="AA16" i="66"/>
  <c r="AA8" i="66"/>
  <c r="AA10" i="66"/>
  <c r="AA11" i="66"/>
  <c r="AA13" i="66"/>
  <c r="AA14" i="66"/>
  <c r="AA15" i="66"/>
  <c r="W7" i="66"/>
  <c r="AA7" i="66"/>
  <c r="A10" i="85"/>
  <c r="F9" i="85"/>
  <c r="E9" i="85"/>
  <c r="B9" i="85"/>
  <c r="G9" i="85"/>
  <c r="C8" i="85"/>
  <c r="D8" i="85"/>
  <c r="C11" i="79"/>
  <c r="D11" i="79"/>
  <c r="G12" i="79"/>
  <c r="B12" i="79"/>
  <c r="A13" i="79"/>
  <c r="E12" i="79"/>
  <c r="F12" i="79"/>
  <c r="AA9" i="66"/>
  <c r="D11" i="81"/>
  <c r="C11" i="81"/>
  <c r="C12" i="83"/>
  <c r="D12" i="83"/>
  <c r="G13" i="83"/>
  <c r="A14" i="83"/>
  <c r="E13" i="83"/>
  <c r="F13" i="83"/>
  <c r="B13" i="83"/>
  <c r="AE12" i="68" l="1"/>
  <c r="AE15" i="69" s="1"/>
  <c r="A12" i="82"/>
  <c r="G12" i="82" s="1"/>
  <c r="E11" i="82"/>
  <c r="F11" i="82"/>
  <c r="B11" i="82"/>
  <c r="D11" i="82" s="1"/>
  <c r="C10" i="82"/>
  <c r="AC12" i="66"/>
  <c r="AE11" i="70"/>
  <c r="AE13" i="70"/>
  <c r="AE7" i="70"/>
  <c r="AC16" i="66"/>
  <c r="AE8" i="70"/>
  <c r="AE10" i="70"/>
  <c r="AE13" i="68" s="1"/>
  <c r="AE9" i="70"/>
  <c r="AE9" i="68" s="1"/>
  <c r="AE11" i="69" s="1"/>
  <c r="E12" i="81"/>
  <c r="F12" i="81"/>
  <c r="G12" i="81"/>
  <c r="B12" i="81"/>
  <c r="C12" i="81" s="1"/>
  <c r="AC15" i="66"/>
  <c r="AC13" i="66"/>
  <c r="E12" i="80"/>
  <c r="F12" i="80"/>
  <c r="C11" i="80"/>
  <c r="B12" i="80"/>
  <c r="D12" i="80" s="1"/>
  <c r="G12" i="80"/>
  <c r="AC9" i="66"/>
  <c r="AC14" i="66"/>
  <c r="AC10" i="66"/>
  <c r="AC11" i="66"/>
  <c r="AC8" i="66"/>
  <c r="D6" i="87"/>
  <c r="D5" i="88"/>
  <c r="F6" i="88"/>
  <c r="A7" i="88"/>
  <c r="B7" i="88" s="1"/>
  <c r="D7" i="88" s="1"/>
  <c r="G6" i="88"/>
  <c r="B6" i="88"/>
  <c r="C6" i="88" s="1"/>
  <c r="A8" i="87"/>
  <c r="G8" i="87" s="1"/>
  <c r="E7" i="87"/>
  <c r="B7" i="87"/>
  <c r="C7" i="87" s="1"/>
  <c r="F7" i="87"/>
  <c r="D10" i="78"/>
  <c r="A12" i="78"/>
  <c r="B12" i="78" s="1"/>
  <c r="G11" i="78"/>
  <c r="F11" i="78"/>
  <c r="E11" i="78"/>
  <c r="A11" i="84"/>
  <c r="G11" i="84" s="1"/>
  <c r="E10" i="84"/>
  <c r="D9" i="84"/>
  <c r="B10" i="84"/>
  <c r="C10" i="84" s="1"/>
  <c r="F10" i="84"/>
  <c r="B8" i="86"/>
  <c r="C8" i="86" s="1"/>
  <c r="F8" i="86"/>
  <c r="G9" i="86"/>
  <c r="E8" i="86"/>
  <c r="B9" i="86"/>
  <c r="C9" i="86" s="1"/>
  <c r="A10" i="86"/>
  <c r="G10" i="86" s="1"/>
  <c r="E9" i="86"/>
  <c r="G8" i="86"/>
  <c r="AC7" i="66"/>
  <c r="E13" i="79"/>
  <c r="A14" i="79"/>
  <c r="F13" i="79"/>
  <c r="G13" i="79"/>
  <c r="B13" i="79"/>
  <c r="C12" i="79"/>
  <c r="D12" i="79"/>
  <c r="B13" i="81"/>
  <c r="E13" i="81"/>
  <c r="G13" i="81"/>
  <c r="A14" i="81"/>
  <c r="F13" i="81"/>
  <c r="D9" i="85"/>
  <c r="C9" i="85"/>
  <c r="G10" i="85"/>
  <c r="F10" i="85"/>
  <c r="A11" i="85"/>
  <c r="B10" i="85"/>
  <c r="E10" i="85"/>
  <c r="D11" i="78"/>
  <c r="C11" i="78"/>
  <c r="D13" i="83"/>
  <c r="C13" i="83"/>
  <c r="E14" i="83"/>
  <c r="G14" i="83"/>
  <c r="A15" i="83"/>
  <c r="B14" i="83"/>
  <c r="F14" i="83"/>
  <c r="B13" i="80"/>
  <c r="E13" i="80"/>
  <c r="A14" i="80"/>
  <c r="G13" i="80"/>
  <c r="F13" i="80"/>
  <c r="AE11" i="68" l="1"/>
  <c r="AE14" i="69" s="1"/>
  <c r="AE8" i="68"/>
  <c r="AE10" i="69" s="1"/>
  <c r="AE10" i="68"/>
  <c r="C11" i="82"/>
  <c r="A13" i="82"/>
  <c r="A14" i="82" s="1"/>
  <c r="B14" i="82" s="1"/>
  <c r="F12" i="82"/>
  <c r="E12" i="82"/>
  <c r="B12" i="82"/>
  <c r="D12" i="82" s="1"/>
  <c r="AE7" i="68"/>
  <c r="D12" i="81"/>
  <c r="C12" i="80"/>
  <c r="AD16" i="66"/>
  <c r="AD15" i="66"/>
  <c r="AD14" i="66"/>
  <c r="AD13" i="66"/>
  <c r="AD12" i="66"/>
  <c r="AD11" i="66"/>
  <c r="AD7" i="66"/>
  <c r="AD10" i="66"/>
  <c r="AD9" i="66"/>
  <c r="AD8" i="66"/>
  <c r="D6" i="88"/>
  <c r="C7" i="88"/>
  <c r="E7" i="88"/>
  <c r="G7" i="88"/>
  <c r="B8" i="87"/>
  <c r="D8" i="87" s="1"/>
  <c r="E8" i="87"/>
  <c r="F7" i="88"/>
  <c r="A8" i="88"/>
  <c r="G8" i="88" s="1"/>
  <c r="D7" i="87"/>
  <c r="A9" i="87"/>
  <c r="E9" i="87" s="1"/>
  <c r="F8" i="87"/>
  <c r="F12" i="78"/>
  <c r="E12" i="78"/>
  <c r="A13" i="78"/>
  <c r="E13" i="78" s="1"/>
  <c r="G12" i="78"/>
  <c r="E11" i="84"/>
  <c r="B11" i="84"/>
  <c r="C11" i="84" s="1"/>
  <c r="F11" i="84"/>
  <c r="A12" i="84"/>
  <c r="A13" i="84" s="1"/>
  <c r="G13" i="84" s="1"/>
  <c r="D10" i="84"/>
  <c r="F10" i="86"/>
  <c r="E10" i="86"/>
  <c r="D8" i="86"/>
  <c r="B10" i="86"/>
  <c r="C10" i="86" s="1"/>
  <c r="A11" i="86"/>
  <c r="F11" i="86" s="1"/>
  <c r="D9" i="86"/>
  <c r="C13" i="79"/>
  <c r="D13" i="79"/>
  <c r="D12" i="78"/>
  <c r="C12" i="78"/>
  <c r="B14" i="79"/>
  <c r="G14" i="79"/>
  <c r="E14" i="79"/>
  <c r="F14" i="79"/>
  <c r="A15" i="79"/>
  <c r="G14" i="81"/>
  <c r="A15" i="81"/>
  <c r="F14" i="81"/>
  <c r="B14" i="81"/>
  <c r="E14" i="81"/>
  <c r="C10" i="85"/>
  <c r="D10" i="85"/>
  <c r="C13" i="81"/>
  <c r="D13" i="81"/>
  <c r="A12" i="85"/>
  <c r="G11" i="85"/>
  <c r="F11" i="85"/>
  <c r="E11" i="85"/>
  <c r="B11" i="85"/>
  <c r="C14" i="83"/>
  <c r="D14" i="83"/>
  <c r="F15" i="83"/>
  <c r="E15" i="83"/>
  <c r="G15" i="83"/>
  <c r="B15" i="83"/>
  <c r="A16" i="83"/>
  <c r="C13" i="80"/>
  <c r="D13" i="80"/>
  <c r="E14" i="80"/>
  <c r="F14" i="80"/>
  <c r="G14" i="80"/>
  <c r="A15" i="80"/>
  <c r="B14" i="80"/>
  <c r="AE9" i="69" l="1"/>
  <c r="AE13" i="69"/>
  <c r="AE12" i="69"/>
  <c r="AE7" i="69"/>
  <c r="AE16" i="69"/>
  <c r="C12" i="82"/>
  <c r="A15" i="82"/>
  <c r="F15" i="82" s="1"/>
  <c r="G14" i="82"/>
  <c r="F13" i="82"/>
  <c r="E14" i="82"/>
  <c r="B13" i="82"/>
  <c r="C13" i="82" s="1"/>
  <c r="F14" i="82"/>
  <c r="E13" i="82"/>
  <c r="G13" i="82"/>
  <c r="B7" i="72"/>
  <c r="B10" i="72"/>
  <c r="F10" i="72" s="1"/>
  <c r="B8" i="72"/>
  <c r="F8" i="72" s="1"/>
  <c r="B11" i="72"/>
  <c r="E11" i="72" s="1"/>
  <c r="B15" i="72"/>
  <c r="F15" i="72" s="1"/>
  <c r="B9" i="72"/>
  <c r="F9" i="72" s="1"/>
  <c r="B16" i="72"/>
  <c r="E16" i="72" s="1"/>
  <c r="B14" i="72"/>
  <c r="C14" i="72" s="1"/>
  <c r="B13" i="72"/>
  <c r="D13" i="72" s="1"/>
  <c r="B12" i="72"/>
  <c r="D12" i="72" s="1"/>
  <c r="G9" i="87"/>
  <c r="F9" i="87"/>
  <c r="B9" i="87"/>
  <c r="C9" i="87" s="1"/>
  <c r="A10" i="87"/>
  <c r="F10" i="87" s="1"/>
  <c r="C8" i="87"/>
  <c r="F8" i="88"/>
  <c r="E8" i="88"/>
  <c r="B8" i="88"/>
  <c r="D8" i="88" s="1"/>
  <c r="A9" i="88"/>
  <c r="B9" i="88" s="1"/>
  <c r="D9" i="88" s="1"/>
  <c r="A14" i="78"/>
  <c r="G14" i="78" s="1"/>
  <c r="G13" i="78"/>
  <c r="F13" i="78"/>
  <c r="B13" i="78"/>
  <c r="D13" i="78" s="1"/>
  <c r="B12" i="84"/>
  <c r="D12" i="84" s="1"/>
  <c r="F12" i="84"/>
  <c r="D11" i="84"/>
  <c r="E12" i="84"/>
  <c r="G12" i="84"/>
  <c r="A14" i="84"/>
  <c r="F14" i="84" s="1"/>
  <c r="E13" i="84"/>
  <c r="B13" i="84"/>
  <c r="D13" i="84" s="1"/>
  <c r="F13" i="84"/>
  <c r="D10" i="86"/>
  <c r="G11" i="86"/>
  <c r="A12" i="86"/>
  <c r="B12" i="86" s="1"/>
  <c r="B11" i="86"/>
  <c r="C11" i="86" s="1"/>
  <c r="E11" i="86"/>
  <c r="D11" i="85"/>
  <c r="C11" i="85"/>
  <c r="A16" i="79"/>
  <c r="F15" i="79"/>
  <c r="B15" i="79"/>
  <c r="E15" i="79"/>
  <c r="G15" i="79"/>
  <c r="D14" i="81"/>
  <c r="C14" i="81"/>
  <c r="G15" i="81"/>
  <c r="B15" i="81"/>
  <c r="A16" i="81"/>
  <c r="E15" i="81"/>
  <c r="F15" i="81"/>
  <c r="C14" i="82"/>
  <c r="D14" i="82"/>
  <c r="G12" i="85"/>
  <c r="F12" i="85"/>
  <c r="E12" i="85"/>
  <c r="A13" i="85"/>
  <c r="B12" i="85"/>
  <c r="D14" i="79"/>
  <c r="C14" i="79"/>
  <c r="D15" i="83"/>
  <c r="C15" i="83"/>
  <c r="B16" i="83"/>
  <c r="E16" i="83"/>
  <c r="F16" i="83"/>
  <c r="A17" i="83"/>
  <c r="G16" i="83"/>
  <c r="C14" i="80"/>
  <c r="D14" i="80"/>
  <c r="B15" i="80"/>
  <c r="A16" i="80"/>
  <c r="F15" i="80"/>
  <c r="G15" i="80"/>
  <c r="E15" i="80"/>
  <c r="D13" i="82" l="1"/>
  <c r="B15" i="82"/>
  <c r="C15" i="82" s="1"/>
  <c r="G15" i="82"/>
  <c r="A16" i="82"/>
  <c r="A17" i="82" s="1"/>
  <c r="E15" i="82"/>
  <c r="D7" i="72"/>
  <c r="E7" i="72"/>
  <c r="F7" i="72"/>
  <c r="C7" i="72"/>
  <c r="C10" i="72"/>
  <c r="D10" i="72"/>
  <c r="H10" i="72" s="1"/>
  <c r="E10" i="72"/>
  <c r="C15" i="72"/>
  <c r="C11" i="72"/>
  <c r="G11" i="72" s="1"/>
  <c r="I11" i="72" s="1"/>
  <c r="D15" i="72"/>
  <c r="H15" i="72" s="1"/>
  <c r="E15" i="72"/>
  <c r="E8" i="72"/>
  <c r="E9" i="72"/>
  <c r="C8" i="72"/>
  <c r="D8" i="72"/>
  <c r="H8" i="72" s="1"/>
  <c r="F11" i="72"/>
  <c r="D11" i="72"/>
  <c r="D9" i="72"/>
  <c r="H9" i="72" s="1"/>
  <c r="F16" i="72"/>
  <c r="C9" i="72"/>
  <c r="F14" i="72"/>
  <c r="C16" i="72"/>
  <c r="G16" i="72" s="1"/>
  <c r="I16" i="72" s="1"/>
  <c r="D16" i="72"/>
  <c r="C13" i="72"/>
  <c r="D14" i="72"/>
  <c r="E14" i="72"/>
  <c r="G14" i="72" s="1"/>
  <c r="I14" i="72" s="1"/>
  <c r="E13" i="72"/>
  <c r="F12" i="72"/>
  <c r="H12" i="72" s="1"/>
  <c r="E12" i="72"/>
  <c r="C12" i="72"/>
  <c r="F13" i="72"/>
  <c r="H13" i="72" s="1"/>
  <c r="B10" i="87"/>
  <c r="D10" i="87" s="1"/>
  <c r="E10" i="87"/>
  <c r="A11" i="87"/>
  <c r="A12" i="87" s="1"/>
  <c r="D9" i="87"/>
  <c r="G10" i="87"/>
  <c r="A10" i="88"/>
  <c r="F10" i="88" s="1"/>
  <c r="F9" i="88"/>
  <c r="E9" i="88"/>
  <c r="C9" i="88"/>
  <c r="C8" i="88"/>
  <c r="G9" i="88"/>
  <c r="F14" i="78"/>
  <c r="A15" i="78"/>
  <c r="A16" i="78" s="1"/>
  <c r="E14" i="78"/>
  <c r="B14" i="78"/>
  <c r="D14" i="78" s="1"/>
  <c r="C13" i="78"/>
  <c r="C13" i="84"/>
  <c r="C12" i="84"/>
  <c r="G14" i="84"/>
  <c r="E14" i="84"/>
  <c r="B14" i="84"/>
  <c r="C14" i="84" s="1"/>
  <c r="A15" i="84"/>
  <c r="E15" i="84" s="1"/>
  <c r="E12" i="86"/>
  <c r="D11" i="86"/>
  <c r="G12" i="86"/>
  <c r="A13" i="86"/>
  <c r="G13" i="86" s="1"/>
  <c r="F12" i="86"/>
  <c r="F13" i="85"/>
  <c r="G13" i="85"/>
  <c r="A14" i="85"/>
  <c r="B13" i="85"/>
  <c r="E13" i="85"/>
  <c r="D15" i="79"/>
  <c r="C15" i="79"/>
  <c r="G16" i="81"/>
  <c r="A17" i="81"/>
  <c r="F16" i="81"/>
  <c r="E16" i="81"/>
  <c r="B16" i="81"/>
  <c r="G16" i="79"/>
  <c r="E16" i="79"/>
  <c r="F16" i="79"/>
  <c r="A17" i="79"/>
  <c r="B16" i="79"/>
  <c r="D15" i="81"/>
  <c r="C15" i="81"/>
  <c r="C12" i="86"/>
  <c r="D12" i="86"/>
  <c r="D12" i="85"/>
  <c r="C12" i="85"/>
  <c r="E17" i="83"/>
  <c r="F17" i="83"/>
  <c r="A18" i="83"/>
  <c r="G17" i="83"/>
  <c r="B17" i="83"/>
  <c r="D16" i="83"/>
  <c r="C16" i="83"/>
  <c r="G16" i="80"/>
  <c r="A17" i="80"/>
  <c r="B16" i="80"/>
  <c r="E16" i="80"/>
  <c r="F16" i="80"/>
  <c r="C15" i="80"/>
  <c r="D15" i="80"/>
  <c r="B16" i="82" l="1"/>
  <c r="C16" i="82" s="1"/>
  <c r="E16" i="82"/>
  <c r="F16" i="82"/>
  <c r="G16" i="82"/>
  <c r="D15" i="82"/>
  <c r="AB15" i="63"/>
  <c r="AA13" i="63"/>
  <c r="AB9" i="63"/>
  <c r="AB11" i="63"/>
  <c r="H7" i="72"/>
  <c r="AB7" i="63"/>
  <c r="G7" i="72"/>
  <c r="AA12" i="63" s="1"/>
  <c r="G10" i="72"/>
  <c r="I10" i="72" s="1"/>
  <c r="G15" i="72"/>
  <c r="AA16" i="63" s="1"/>
  <c r="H16" i="72"/>
  <c r="AB8" i="63" s="1"/>
  <c r="G12" i="72"/>
  <c r="G9" i="72"/>
  <c r="AA8" i="63" s="1"/>
  <c r="H11" i="72"/>
  <c r="AB13" i="63" s="1"/>
  <c r="G8" i="72"/>
  <c r="G13" i="72"/>
  <c r="I13" i="72" s="1"/>
  <c r="H14" i="72"/>
  <c r="AB16" i="63" s="1"/>
  <c r="C10" i="87"/>
  <c r="F11" i="87"/>
  <c r="E11" i="87"/>
  <c r="B11" i="87"/>
  <c r="C11" i="87" s="1"/>
  <c r="G11" i="87"/>
  <c r="G10" i="88"/>
  <c r="A11" i="88"/>
  <c r="G11" i="88" s="1"/>
  <c r="E10" i="88"/>
  <c r="B10" i="88"/>
  <c r="C10" i="88" s="1"/>
  <c r="C14" i="78"/>
  <c r="E15" i="78"/>
  <c r="F15" i="78"/>
  <c r="B15" i="78"/>
  <c r="D15" i="78" s="1"/>
  <c r="G15" i="78"/>
  <c r="G15" i="84"/>
  <c r="A16" i="84"/>
  <c r="G16" i="84" s="1"/>
  <c r="D14" i="84"/>
  <c r="B15" i="84"/>
  <c r="C15" i="84" s="1"/>
  <c r="F15" i="84"/>
  <c r="B13" i="86"/>
  <c r="D13" i="86" s="1"/>
  <c r="F13" i="86"/>
  <c r="E13" i="86"/>
  <c r="A14" i="86"/>
  <c r="E14" i="86" s="1"/>
  <c r="B17" i="81"/>
  <c r="E17" i="81"/>
  <c r="F17" i="81"/>
  <c r="G17" i="81"/>
  <c r="A18" i="81"/>
  <c r="F12" i="87"/>
  <c r="E12" i="87"/>
  <c r="G12" i="87"/>
  <c r="B12" i="87"/>
  <c r="A13" i="87"/>
  <c r="E17" i="82"/>
  <c r="G17" i="82"/>
  <c r="A18" i="82"/>
  <c r="B17" i="82"/>
  <c r="F17" i="82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G18" i="83"/>
  <c r="F18" i="83"/>
  <c r="B18" i="83"/>
  <c r="E18" i="83"/>
  <c r="A19" i="83"/>
  <c r="D17" i="83"/>
  <c r="C17" i="83"/>
  <c r="E17" i="80"/>
  <c r="A18" i="80"/>
  <c r="F17" i="80"/>
  <c r="B17" i="80"/>
  <c r="G17" i="80"/>
  <c r="C16" i="80"/>
  <c r="D16" i="80"/>
  <c r="D16" i="82" l="1"/>
  <c r="AA11" i="63"/>
  <c r="AC11" i="63" s="1"/>
  <c r="AB14" i="63"/>
  <c r="AC13" i="63"/>
  <c r="AC8" i="63"/>
  <c r="I12" i="72"/>
  <c r="AA14" i="63"/>
  <c r="I15" i="72"/>
  <c r="AA15" i="63"/>
  <c r="AC15" i="63" s="1"/>
  <c r="AB10" i="63"/>
  <c r="AB12" i="63"/>
  <c r="AC12" i="63" s="1"/>
  <c r="AC16" i="63"/>
  <c r="I8" i="72"/>
  <c r="AA9" i="63"/>
  <c r="AC9" i="63" s="1"/>
  <c r="I7" i="72"/>
  <c r="AA10" i="63"/>
  <c r="I9" i="72"/>
  <c r="AA7" i="63"/>
  <c r="AC7" i="63" s="1"/>
  <c r="D11" i="87"/>
  <c r="E11" i="88"/>
  <c r="B11" i="88"/>
  <c r="D11" i="88" s="1"/>
  <c r="A12" i="88"/>
  <c r="G12" i="88" s="1"/>
  <c r="F11" i="88"/>
  <c r="D10" i="88"/>
  <c r="C15" i="78"/>
  <c r="F16" i="84"/>
  <c r="D15" i="84"/>
  <c r="E16" i="84"/>
  <c r="A17" i="84"/>
  <c r="B17" i="84" s="1"/>
  <c r="B16" i="84"/>
  <c r="D16" i="84" s="1"/>
  <c r="C13" i="86"/>
  <c r="A15" i="86"/>
  <c r="E15" i="86" s="1"/>
  <c r="G14" i="86"/>
  <c r="B14" i="86"/>
  <c r="C14" i="86" s="1"/>
  <c r="F14" i="86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D17" i="81"/>
  <c r="C17" i="81"/>
  <c r="E13" i="87"/>
  <c r="B13" i="87"/>
  <c r="G13" i="87"/>
  <c r="F13" i="87"/>
  <c r="A14" i="87"/>
  <c r="E19" i="83"/>
  <c r="G19" i="83"/>
  <c r="A20" i="83"/>
  <c r="F19" i="83"/>
  <c r="B19" i="83"/>
  <c r="C18" i="83"/>
  <c r="D18" i="83"/>
  <c r="B18" i="80"/>
  <c r="G18" i="80"/>
  <c r="F18" i="80"/>
  <c r="E18" i="80"/>
  <c r="A19" i="80"/>
  <c r="C17" i="80"/>
  <c r="D17" i="80"/>
  <c r="AC14" i="63" l="1"/>
  <c r="AC10" i="63"/>
  <c r="AD16" i="63" s="1"/>
  <c r="A13" i="88"/>
  <c r="F13" i="88" s="1"/>
  <c r="E12" i="88"/>
  <c r="F12" i="88"/>
  <c r="B12" i="88"/>
  <c r="C12" i="88" s="1"/>
  <c r="C11" i="88"/>
  <c r="E17" i="84"/>
  <c r="G17" i="84"/>
  <c r="F17" i="84"/>
  <c r="A18" i="84"/>
  <c r="E18" i="84" s="1"/>
  <c r="C16" i="84"/>
  <c r="B15" i="86"/>
  <c r="D15" i="86" s="1"/>
  <c r="G15" i="86"/>
  <c r="F15" i="86"/>
  <c r="A16" i="86"/>
  <c r="A17" i="86" s="1"/>
  <c r="D14" i="86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E20" i="83"/>
  <c r="F20" i="83"/>
  <c r="B20" i="83"/>
  <c r="A21" i="83"/>
  <c r="G20" i="83"/>
  <c r="C19" i="83"/>
  <c r="D19" i="83"/>
  <c r="E19" i="80"/>
  <c r="F19" i="80"/>
  <c r="A20" i="80"/>
  <c r="B19" i="80"/>
  <c r="G19" i="80"/>
  <c r="C18" i="80"/>
  <c r="D18" i="80"/>
  <c r="AD8" i="63" l="1"/>
  <c r="AD7" i="63"/>
  <c r="B7" i="73" s="1"/>
  <c r="AD9" i="63"/>
  <c r="AD10" i="63"/>
  <c r="AD11" i="63"/>
  <c r="AD12" i="63"/>
  <c r="AD13" i="63"/>
  <c r="AD14" i="63"/>
  <c r="AD15" i="63"/>
  <c r="E13" i="88"/>
  <c r="B13" i="88"/>
  <c r="C13" i="88" s="1"/>
  <c r="D12" i="88"/>
  <c r="A14" i="88"/>
  <c r="G14" i="88" s="1"/>
  <c r="G13" i="88"/>
  <c r="G18" i="84"/>
  <c r="B18" i="84"/>
  <c r="C18" i="84" s="1"/>
  <c r="F18" i="84"/>
  <c r="A19" i="84"/>
  <c r="G19" i="84" s="1"/>
  <c r="C15" i="86"/>
  <c r="E16" i="86"/>
  <c r="B16" i="86"/>
  <c r="C16" i="86" s="1"/>
  <c r="F16" i="86"/>
  <c r="G16" i="86"/>
  <c r="C16" i="85"/>
  <c r="D16" i="85"/>
  <c r="C14" i="87"/>
  <c r="D14" i="87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C19" i="79"/>
  <c r="D19" i="79"/>
  <c r="C19" i="81"/>
  <c r="D19" i="81"/>
  <c r="F20" i="81"/>
  <c r="E20" i="81"/>
  <c r="B20" i="81"/>
  <c r="A21" i="81"/>
  <c r="G20" i="81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B21" i="83"/>
  <c r="A22" i="83"/>
  <c r="F21" i="83"/>
  <c r="G21" i="83"/>
  <c r="E21" i="83"/>
  <c r="D20" i="83"/>
  <c r="C20" i="83"/>
  <c r="D19" i="80"/>
  <c r="C19" i="80"/>
  <c r="F20" i="80"/>
  <c r="A21" i="80"/>
  <c r="E20" i="80"/>
  <c r="B20" i="80"/>
  <c r="G20" i="80"/>
  <c r="H7" i="73" l="1"/>
  <c r="B16" i="73"/>
  <c r="D16" i="73" s="1"/>
  <c r="B12" i="73"/>
  <c r="E12" i="73" s="1"/>
  <c r="B9" i="73"/>
  <c r="E9" i="73" s="1"/>
  <c r="B11" i="73"/>
  <c r="G11" i="73" s="1"/>
  <c r="B10" i="73"/>
  <c r="H10" i="73" s="1"/>
  <c r="B14" i="73"/>
  <c r="C14" i="73" s="1"/>
  <c r="B8" i="73"/>
  <c r="F8" i="73" s="1"/>
  <c r="B15" i="73"/>
  <c r="F15" i="73" s="1"/>
  <c r="B13" i="73"/>
  <c r="E13" i="73" s="1"/>
  <c r="F7" i="73"/>
  <c r="E7" i="73"/>
  <c r="C7" i="73"/>
  <c r="G7" i="73"/>
  <c r="D7" i="73"/>
  <c r="B14" i="88"/>
  <c r="D14" i="88" s="1"/>
  <c r="F14" i="88"/>
  <c r="E14" i="88"/>
  <c r="A15" i="88"/>
  <c r="E15" i="88" s="1"/>
  <c r="D13" i="88"/>
  <c r="D18" i="84"/>
  <c r="B19" i="84"/>
  <c r="C19" i="84" s="1"/>
  <c r="A20" i="84"/>
  <c r="F20" i="84" s="1"/>
  <c r="F19" i="84"/>
  <c r="E19" i="84"/>
  <c r="D16" i="86"/>
  <c r="C19" i="78"/>
  <c r="D19" i="78"/>
  <c r="B21" i="82"/>
  <c r="E21" i="82"/>
  <c r="G21" i="82"/>
  <c r="A22" i="82"/>
  <c r="F21" i="82"/>
  <c r="D20" i="82"/>
  <c r="C20" i="82"/>
  <c r="E18" i="86"/>
  <c r="G18" i="86"/>
  <c r="A19" i="86"/>
  <c r="F18" i="86"/>
  <c r="B18" i="86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F22" i="83"/>
  <c r="E22" i="83"/>
  <c r="G22" i="83"/>
  <c r="B22" i="83"/>
  <c r="A23" i="83"/>
  <c r="D21" i="83"/>
  <c r="C21" i="83"/>
  <c r="D20" i="80"/>
  <c r="C20" i="80"/>
  <c r="E21" i="80"/>
  <c r="F21" i="80"/>
  <c r="G21" i="80"/>
  <c r="B21" i="80"/>
  <c r="A22" i="80"/>
  <c r="G16" i="73" l="1"/>
  <c r="F16" i="73"/>
  <c r="E16" i="73"/>
  <c r="D12" i="73"/>
  <c r="G8" i="73"/>
  <c r="D8" i="73"/>
  <c r="H16" i="73"/>
  <c r="H8" i="73"/>
  <c r="F14" i="73"/>
  <c r="F9" i="73"/>
  <c r="H11" i="73"/>
  <c r="D14" i="73"/>
  <c r="D10" i="73"/>
  <c r="E8" i="73"/>
  <c r="G9" i="73"/>
  <c r="H14" i="73"/>
  <c r="E14" i="73"/>
  <c r="C16" i="73"/>
  <c r="G14" i="73"/>
  <c r="G13" i="73"/>
  <c r="H13" i="73"/>
  <c r="D9" i="73"/>
  <c r="G10" i="73"/>
  <c r="F12" i="73"/>
  <c r="F10" i="73"/>
  <c r="F11" i="73"/>
  <c r="G12" i="73"/>
  <c r="C8" i="73"/>
  <c r="C9" i="73"/>
  <c r="C12" i="73"/>
  <c r="E15" i="73"/>
  <c r="H15" i="73"/>
  <c r="F13" i="73"/>
  <c r="H12" i="73"/>
  <c r="D15" i="73"/>
  <c r="G15" i="73"/>
  <c r="C13" i="73"/>
  <c r="E11" i="73"/>
  <c r="D11" i="73"/>
  <c r="C15" i="73"/>
  <c r="E10" i="73"/>
  <c r="C10" i="73"/>
  <c r="C11" i="73"/>
  <c r="H9" i="73"/>
  <c r="D13" i="73"/>
  <c r="I7" i="73"/>
  <c r="J7" i="73"/>
  <c r="F15" i="88"/>
  <c r="B15" i="88"/>
  <c r="D15" i="88" s="1"/>
  <c r="G15" i="88"/>
  <c r="A16" i="88"/>
  <c r="A17" i="88" s="1"/>
  <c r="E17" i="88" s="1"/>
  <c r="C14" i="88"/>
  <c r="B20" i="84"/>
  <c r="D20" i="84" s="1"/>
  <c r="G20" i="84"/>
  <c r="E20" i="84"/>
  <c r="A21" i="84"/>
  <c r="E21" i="84" s="1"/>
  <c r="D19" i="84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D20" i="78"/>
  <c r="C20" i="78"/>
  <c r="C16" i="87"/>
  <c r="D16" i="87"/>
  <c r="A23" i="81"/>
  <c r="B22" i="81"/>
  <c r="E22" i="81"/>
  <c r="F22" i="81"/>
  <c r="G22" i="81"/>
  <c r="A24" i="83"/>
  <c r="B23" i="83"/>
  <c r="G23" i="83"/>
  <c r="E23" i="83"/>
  <c r="F23" i="83"/>
  <c r="C22" i="83"/>
  <c r="D22" i="83"/>
  <c r="A23" i="80"/>
  <c r="E22" i="80"/>
  <c r="B22" i="80"/>
  <c r="G22" i="80"/>
  <c r="F22" i="80"/>
  <c r="D21" i="80"/>
  <c r="C21" i="80"/>
  <c r="J16" i="73" l="1"/>
  <c r="I8" i="73"/>
  <c r="K8" i="73" s="1"/>
  <c r="I13" i="73"/>
  <c r="K13" i="73" s="1"/>
  <c r="J8" i="73"/>
  <c r="J12" i="73"/>
  <c r="I16" i="73"/>
  <c r="AA13" i="70" s="1"/>
  <c r="J11" i="73"/>
  <c r="AB15" i="70" s="1"/>
  <c r="J14" i="73"/>
  <c r="AB16" i="70" s="1"/>
  <c r="I12" i="73"/>
  <c r="K12" i="73" s="1"/>
  <c r="I14" i="73"/>
  <c r="J15" i="73"/>
  <c r="AB14" i="70" s="1"/>
  <c r="I15" i="73"/>
  <c r="I10" i="73"/>
  <c r="AA7" i="70" s="1"/>
  <c r="J10" i="73"/>
  <c r="J9" i="73"/>
  <c r="AB12" i="70" s="1"/>
  <c r="J13" i="73"/>
  <c r="I9" i="73"/>
  <c r="I11" i="73"/>
  <c r="K7" i="73"/>
  <c r="C15" i="88"/>
  <c r="F17" i="88"/>
  <c r="G17" i="88"/>
  <c r="F16" i="88"/>
  <c r="B17" i="88"/>
  <c r="D17" i="88" s="1"/>
  <c r="A18" i="88"/>
  <c r="B18" i="88" s="1"/>
  <c r="B16" i="88"/>
  <c r="C16" i="88" s="1"/>
  <c r="G16" i="88"/>
  <c r="E16" i="88"/>
  <c r="C20" i="84"/>
  <c r="B21" i="84"/>
  <c r="D21" i="84" s="1"/>
  <c r="A22" i="84"/>
  <c r="B22" i="84" s="1"/>
  <c r="G21" i="84"/>
  <c r="F21" i="84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G20" i="85"/>
  <c r="F20" i="85"/>
  <c r="A21" i="85"/>
  <c r="E20" i="85"/>
  <c r="B20" i="85"/>
  <c r="D19" i="85"/>
  <c r="C19" i="85"/>
  <c r="D19" i="86"/>
  <c r="C19" i="86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3" i="83"/>
  <c r="C23" i="83"/>
  <c r="B24" i="83"/>
  <c r="E24" i="83"/>
  <c r="A25" i="83"/>
  <c r="G24" i="83"/>
  <c r="F24" i="83"/>
  <c r="D22" i="80"/>
  <c r="C22" i="80"/>
  <c r="G23" i="80"/>
  <c r="B23" i="80"/>
  <c r="A24" i="80"/>
  <c r="F23" i="80"/>
  <c r="E23" i="80"/>
  <c r="AB9" i="70" l="1"/>
  <c r="AA10" i="70"/>
  <c r="AA12" i="70"/>
  <c r="AC12" i="70" s="1"/>
  <c r="AB11" i="70"/>
  <c r="AB13" i="70"/>
  <c r="AC13" i="70" s="1"/>
  <c r="K15" i="73"/>
  <c r="AA14" i="70"/>
  <c r="AC14" i="70" s="1"/>
  <c r="K14" i="73"/>
  <c r="AA16" i="70"/>
  <c r="AC16" i="70" s="1"/>
  <c r="K11" i="73"/>
  <c r="AA15" i="70"/>
  <c r="AC15" i="70" s="1"/>
  <c r="AB7" i="70"/>
  <c r="AC7" i="70" s="1"/>
  <c r="AB8" i="70"/>
  <c r="AB10" i="70"/>
  <c r="K16" i="73"/>
  <c r="AA11" i="70"/>
  <c r="K9" i="73"/>
  <c r="AA8" i="70"/>
  <c r="K10" i="73"/>
  <c r="AA9" i="70"/>
  <c r="C17" i="88"/>
  <c r="D16" i="88"/>
  <c r="E18" i="88"/>
  <c r="F18" i="88"/>
  <c r="A19" i="88"/>
  <c r="B19" i="88" s="1"/>
  <c r="G18" i="88"/>
  <c r="C21" i="84"/>
  <c r="G22" i="84"/>
  <c r="A23" i="84"/>
  <c r="B23" i="84" s="1"/>
  <c r="F22" i="84"/>
  <c r="E22" i="84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F24" i="82"/>
  <c r="G24" i="82"/>
  <c r="E24" i="82"/>
  <c r="B24" i="82"/>
  <c r="A25" i="82"/>
  <c r="B25" i="83"/>
  <c r="F25" i="83"/>
  <c r="A26" i="83"/>
  <c r="G25" i="83"/>
  <c r="E25" i="83"/>
  <c r="D24" i="83"/>
  <c r="C24" i="83"/>
  <c r="D23" i="80"/>
  <c r="C23" i="80"/>
  <c r="G24" i="80"/>
  <c r="E24" i="80"/>
  <c r="A25" i="80"/>
  <c r="B24" i="80"/>
  <c r="F24" i="80"/>
  <c r="AC9" i="70" l="1"/>
  <c r="AC11" i="70"/>
  <c r="AC10" i="70"/>
  <c r="AC8" i="70"/>
  <c r="E19" i="88"/>
  <c r="F19" i="88"/>
  <c r="A20" i="88"/>
  <c r="A21" i="88" s="1"/>
  <c r="G19" i="88"/>
  <c r="A24" i="84"/>
  <c r="F24" i="84" s="1"/>
  <c r="G23" i="84"/>
  <c r="F23" i="84"/>
  <c r="E23" i="84"/>
  <c r="D19" i="88"/>
  <c r="C19" i="88"/>
  <c r="B22" i="86"/>
  <c r="G22" i="86"/>
  <c r="A23" i="86"/>
  <c r="E22" i="86"/>
  <c r="F22" i="86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B26" i="83"/>
  <c r="A27" i="83"/>
  <c r="F26" i="83"/>
  <c r="E26" i="83"/>
  <c r="G26" i="83"/>
  <c r="D25" i="83"/>
  <c r="C25" i="83"/>
  <c r="D24" i="80"/>
  <c r="C24" i="80"/>
  <c r="E25" i="80"/>
  <c r="F25" i="80"/>
  <c r="B25" i="80"/>
  <c r="A26" i="80"/>
  <c r="G25" i="80"/>
  <c r="AD11" i="70" l="1"/>
  <c r="AD16" i="70"/>
  <c r="AD15" i="70"/>
  <c r="AD14" i="70"/>
  <c r="AD13" i="70"/>
  <c r="AD12" i="70"/>
  <c r="AD8" i="70"/>
  <c r="AD9" i="70"/>
  <c r="AD10" i="70"/>
  <c r="AD7" i="70"/>
  <c r="E20" i="88"/>
  <c r="F20" i="88"/>
  <c r="G20" i="88"/>
  <c r="B20" i="88"/>
  <c r="C20" i="88" s="1"/>
  <c r="A25" i="84"/>
  <c r="G25" i="84" s="1"/>
  <c r="G24" i="84"/>
  <c r="E24" i="84"/>
  <c r="B24" i="84"/>
  <c r="D24" i="84" s="1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B21" i="88"/>
  <c r="F21" i="88"/>
  <c r="G21" i="88"/>
  <c r="A22" i="88"/>
  <c r="E21" i="88"/>
  <c r="E25" i="78"/>
  <c r="F25" i="78"/>
  <c r="B25" i="78"/>
  <c r="G25" i="78"/>
  <c r="A26" i="78"/>
  <c r="B26" i="82"/>
  <c r="A27" i="82"/>
  <c r="E26" i="82"/>
  <c r="F26" i="82"/>
  <c r="G26" i="82"/>
  <c r="D20" i="87"/>
  <c r="C20" i="87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E27" i="83"/>
  <c r="F27" i="83"/>
  <c r="A28" i="83"/>
  <c r="B27" i="83"/>
  <c r="G27" i="83"/>
  <c r="C26" i="83"/>
  <c r="D26" i="83"/>
  <c r="G26" i="80"/>
  <c r="E26" i="80"/>
  <c r="F26" i="80"/>
  <c r="A27" i="80"/>
  <c r="B26" i="80"/>
  <c r="D25" i="80"/>
  <c r="C25" i="80"/>
  <c r="B7" i="74" l="1"/>
  <c r="B16" i="74"/>
  <c r="G16" i="74" s="1"/>
  <c r="B9" i="74"/>
  <c r="G9" i="74" s="1"/>
  <c r="B10" i="74"/>
  <c r="H10" i="74" s="1"/>
  <c r="B15" i="74"/>
  <c r="C15" i="74" s="1"/>
  <c r="B13" i="74"/>
  <c r="J13" i="74" s="1"/>
  <c r="B11" i="74"/>
  <c r="H11" i="74" s="1"/>
  <c r="B8" i="74"/>
  <c r="J8" i="74" s="1"/>
  <c r="B14" i="74"/>
  <c r="H14" i="74" s="1"/>
  <c r="B12" i="74"/>
  <c r="I12" i="74" s="1"/>
  <c r="D20" i="88"/>
  <c r="F25" i="84"/>
  <c r="A26" i="84"/>
  <c r="F26" i="84" s="1"/>
  <c r="B25" i="84"/>
  <c r="C25" i="84" s="1"/>
  <c r="E25" i="84"/>
  <c r="C24" i="84"/>
  <c r="C26" i="82"/>
  <c r="D26" i="82"/>
  <c r="F24" i="85"/>
  <c r="A25" i="85"/>
  <c r="E24" i="85"/>
  <c r="G24" i="85"/>
  <c r="B24" i="85"/>
  <c r="D21" i="87"/>
  <c r="C21" i="87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7" i="83"/>
  <c r="D27" i="83"/>
  <c r="E28" i="83"/>
  <c r="A29" i="83"/>
  <c r="G28" i="83"/>
  <c r="B28" i="83"/>
  <c r="F28" i="83"/>
  <c r="C26" i="80"/>
  <c r="D26" i="80"/>
  <c r="F27" i="80"/>
  <c r="E27" i="80"/>
  <c r="G27" i="80"/>
  <c r="B27" i="80"/>
  <c r="A28" i="80"/>
  <c r="C7" i="74" l="1"/>
  <c r="E9" i="74"/>
  <c r="D9" i="74"/>
  <c r="F9" i="74"/>
  <c r="I9" i="74"/>
  <c r="C9" i="74"/>
  <c r="F16" i="74"/>
  <c r="E16" i="74"/>
  <c r="J16" i="74"/>
  <c r="I16" i="74"/>
  <c r="D16" i="74"/>
  <c r="H16" i="74"/>
  <c r="C16" i="74"/>
  <c r="J9" i="74"/>
  <c r="H7" i="74"/>
  <c r="J7" i="74"/>
  <c r="E7" i="74"/>
  <c r="D7" i="74"/>
  <c r="F7" i="74"/>
  <c r="G7" i="74"/>
  <c r="I7" i="74"/>
  <c r="H15" i="74"/>
  <c r="H9" i="74"/>
  <c r="G14" i="74"/>
  <c r="F10" i="74"/>
  <c r="F8" i="74"/>
  <c r="F15" i="74"/>
  <c r="H13" i="74"/>
  <c r="G15" i="74"/>
  <c r="F13" i="74"/>
  <c r="I10" i="74"/>
  <c r="I11" i="74"/>
  <c r="C13" i="74"/>
  <c r="J10" i="74"/>
  <c r="C10" i="74"/>
  <c r="E10" i="74"/>
  <c r="C14" i="74"/>
  <c r="D10" i="74"/>
  <c r="E15" i="74"/>
  <c r="G10" i="74"/>
  <c r="C8" i="74"/>
  <c r="H12" i="74"/>
  <c r="D11" i="74"/>
  <c r="E12" i="74"/>
  <c r="I8" i="74"/>
  <c r="G12" i="74"/>
  <c r="C12" i="74"/>
  <c r="J12" i="74"/>
  <c r="J15" i="74"/>
  <c r="F12" i="74"/>
  <c r="D15" i="74"/>
  <c r="E13" i="74"/>
  <c r="I14" i="74"/>
  <c r="C11" i="74"/>
  <c r="E14" i="74"/>
  <c r="D14" i="74"/>
  <c r="F11" i="74"/>
  <c r="I13" i="74"/>
  <c r="E8" i="74"/>
  <c r="D12" i="74"/>
  <c r="E11" i="74"/>
  <c r="H8" i="74"/>
  <c r="G11" i="74"/>
  <c r="J14" i="74"/>
  <c r="D8" i="74"/>
  <c r="I15" i="74"/>
  <c r="F14" i="74"/>
  <c r="D13" i="74"/>
  <c r="G13" i="74"/>
  <c r="J11" i="74"/>
  <c r="G8" i="74"/>
  <c r="E26" i="84"/>
  <c r="G26" i="84"/>
  <c r="A27" i="84"/>
  <c r="E27" i="84" s="1"/>
  <c r="B26" i="84"/>
  <c r="D26" i="84" s="1"/>
  <c r="D25" i="84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C27" i="81"/>
  <c r="D27" i="81"/>
  <c r="A29" i="81"/>
  <c r="B28" i="81"/>
  <c r="F28" i="81"/>
  <c r="E28" i="81"/>
  <c r="G28" i="81"/>
  <c r="D24" i="86"/>
  <c r="C24" i="86"/>
  <c r="C27" i="79"/>
  <c r="D27" i="79"/>
  <c r="F28" i="79"/>
  <c r="A29" i="79"/>
  <c r="B28" i="79"/>
  <c r="G28" i="79"/>
  <c r="E28" i="79"/>
  <c r="D28" i="83"/>
  <c r="C28" i="83"/>
  <c r="A30" i="83"/>
  <c r="F29" i="83"/>
  <c r="E29" i="83"/>
  <c r="G29" i="83"/>
  <c r="B29" i="83"/>
  <c r="F28" i="80"/>
  <c r="B28" i="80"/>
  <c r="A29" i="80"/>
  <c r="E28" i="80"/>
  <c r="G28" i="80"/>
  <c r="C27" i="80"/>
  <c r="D27" i="80"/>
  <c r="K9" i="74" l="1"/>
  <c r="L16" i="74"/>
  <c r="K7" i="74"/>
  <c r="K16" i="74"/>
  <c r="L9" i="74"/>
  <c r="L7" i="74"/>
  <c r="L10" i="74"/>
  <c r="K14" i="74"/>
  <c r="L15" i="74"/>
  <c r="AB15" i="68" s="1"/>
  <c r="L14" i="74"/>
  <c r="AB14" i="68" s="1"/>
  <c r="L11" i="74"/>
  <c r="AB13" i="68" s="1"/>
  <c r="K13" i="74"/>
  <c r="K10" i="74"/>
  <c r="AA12" i="68" s="1"/>
  <c r="K11" i="74"/>
  <c r="K15" i="74"/>
  <c r="L12" i="74"/>
  <c r="K8" i="74"/>
  <c r="L13" i="74"/>
  <c r="AB16" i="68" s="1"/>
  <c r="K12" i="74"/>
  <c r="M12" i="74" s="1"/>
  <c r="L8" i="74"/>
  <c r="AB9" i="68" s="1"/>
  <c r="F27" i="84"/>
  <c r="G27" i="84"/>
  <c r="B27" i="84"/>
  <c r="D27" i="84" s="1"/>
  <c r="A28" i="84"/>
  <c r="A29" i="84" s="1"/>
  <c r="C26" i="84"/>
  <c r="C27" i="78"/>
  <c r="D27" i="78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G24" i="87"/>
  <c r="B24" i="87"/>
  <c r="A25" i="87"/>
  <c r="E24" i="87"/>
  <c r="F24" i="87"/>
  <c r="C25" i="86"/>
  <c r="D25" i="86"/>
  <c r="A27" i="86"/>
  <c r="F26" i="86"/>
  <c r="G26" i="86"/>
  <c r="B26" i="86"/>
  <c r="E26" i="86"/>
  <c r="D29" i="83"/>
  <c r="C29" i="83"/>
  <c r="G30" i="83"/>
  <c r="B30" i="83"/>
  <c r="F30" i="83"/>
  <c r="A31" i="83"/>
  <c r="E30" i="83"/>
  <c r="D28" i="80"/>
  <c r="C28" i="80"/>
  <c r="E29" i="80"/>
  <c r="G29" i="80"/>
  <c r="F29" i="80"/>
  <c r="B29" i="80"/>
  <c r="A30" i="80"/>
  <c r="AB8" i="68" l="1"/>
  <c r="M14" i="74"/>
  <c r="AA14" i="68"/>
  <c r="AC14" i="68" s="1"/>
  <c r="M15" i="74"/>
  <c r="AA15" i="68"/>
  <c r="AC15" i="68" s="1"/>
  <c r="AB10" i="68"/>
  <c r="AB12" i="68"/>
  <c r="AC12" i="68" s="1"/>
  <c r="M11" i="74"/>
  <c r="AA13" i="68"/>
  <c r="AC13" i="68" s="1"/>
  <c r="AB7" i="68"/>
  <c r="M13" i="74"/>
  <c r="AA16" i="68"/>
  <c r="AC16" i="68" s="1"/>
  <c r="AB11" i="68"/>
  <c r="M10" i="74"/>
  <c r="AA10" i="68"/>
  <c r="AC10" i="68" s="1"/>
  <c r="M16" i="74"/>
  <c r="AA11" i="68"/>
  <c r="M8" i="74"/>
  <c r="AA9" i="68"/>
  <c r="AC9" i="68" s="1"/>
  <c r="M9" i="74"/>
  <c r="AA8" i="68"/>
  <c r="AC8" i="68" s="1"/>
  <c r="M7" i="74"/>
  <c r="AA7" i="68"/>
  <c r="AC7" i="68" s="1"/>
  <c r="C27" i="84"/>
  <c r="F28" i="84"/>
  <c r="B28" i="84"/>
  <c r="D28" i="84" s="1"/>
  <c r="G28" i="84"/>
  <c r="E28" i="84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1" i="83"/>
  <c r="G31" i="83"/>
  <c r="F31" i="83"/>
  <c r="E31" i="83"/>
  <c r="A32" i="83"/>
  <c r="C30" i="83"/>
  <c r="D30" i="83"/>
  <c r="B30" i="80"/>
  <c r="G30" i="80"/>
  <c r="A31" i="80"/>
  <c r="F30" i="80"/>
  <c r="E30" i="80"/>
  <c r="D29" i="80"/>
  <c r="C29" i="80"/>
  <c r="AC11" i="68" l="1"/>
  <c r="AD16" i="68" s="1"/>
  <c r="AD15" i="68"/>
  <c r="AD14" i="68"/>
  <c r="AD13" i="68"/>
  <c r="AD12" i="68"/>
  <c r="AD11" i="68"/>
  <c r="AD7" i="68"/>
  <c r="AD8" i="68"/>
  <c r="C28" i="84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G32" i="83"/>
  <c r="A33" i="83"/>
  <c r="B32" i="83"/>
  <c r="F32" i="83"/>
  <c r="E32" i="83"/>
  <c r="C31" i="83"/>
  <c r="D31" i="83"/>
  <c r="B31" i="80"/>
  <c r="F31" i="80"/>
  <c r="A32" i="80"/>
  <c r="E31" i="80"/>
  <c r="G31" i="80"/>
  <c r="C30" i="80"/>
  <c r="D30" i="80"/>
  <c r="AD10" i="68" l="1"/>
  <c r="AD9" i="68"/>
  <c r="B14" i="75" s="1"/>
  <c r="G14" i="75" s="1"/>
  <c r="B10" i="75"/>
  <c r="F10" i="75" s="1"/>
  <c r="B15" i="75"/>
  <c r="I15" i="75" s="1"/>
  <c r="B7" i="75"/>
  <c r="B16" i="75"/>
  <c r="E16" i="75" s="1"/>
  <c r="B8" i="75"/>
  <c r="H8" i="75" s="1"/>
  <c r="B12" i="75"/>
  <c r="C12" i="75" s="1"/>
  <c r="B9" i="75"/>
  <c r="C9" i="75" s="1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C32" i="83"/>
  <c r="D32" i="83"/>
  <c r="B33" i="83"/>
  <c r="E33" i="83"/>
  <c r="F33" i="83"/>
  <c r="G33" i="83"/>
  <c r="A34" i="83"/>
  <c r="E32" i="80"/>
  <c r="A33" i="80"/>
  <c r="F32" i="80"/>
  <c r="B32" i="80"/>
  <c r="G32" i="80"/>
  <c r="D31" i="80"/>
  <c r="C31" i="80"/>
  <c r="B11" i="75" l="1"/>
  <c r="C11" i="75" s="1"/>
  <c r="B13" i="75"/>
  <c r="J13" i="75" s="1"/>
  <c r="E7" i="75"/>
  <c r="L13" i="75"/>
  <c r="K13" i="75"/>
  <c r="E13" i="75"/>
  <c r="H13" i="75"/>
  <c r="F13" i="75"/>
  <c r="D13" i="75"/>
  <c r="G13" i="75"/>
  <c r="K7" i="75"/>
  <c r="C13" i="75"/>
  <c r="G10" i="75"/>
  <c r="J11" i="75"/>
  <c r="J7" i="75"/>
  <c r="D10" i="75"/>
  <c r="C15" i="75"/>
  <c r="L15" i="75"/>
  <c r="C10" i="75"/>
  <c r="L11" i="75"/>
  <c r="E15" i="75"/>
  <c r="D11" i="75"/>
  <c r="G15" i="75"/>
  <c r="L10" i="75"/>
  <c r="F15" i="75"/>
  <c r="H11" i="75"/>
  <c r="H10" i="75"/>
  <c r="K11" i="75"/>
  <c r="G11" i="75"/>
  <c r="J15" i="75"/>
  <c r="F11" i="75"/>
  <c r="I7" i="75"/>
  <c r="K10" i="75"/>
  <c r="L7" i="75"/>
  <c r="G9" i="75"/>
  <c r="J10" i="75"/>
  <c r="C7" i="75"/>
  <c r="E10" i="75"/>
  <c r="D7" i="75"/>
  <c r="G7" i="75"/>
  <c r="D15" i="75"/>
  <c r="L14" i="75"/>
  <c r="L12" i="75"/>
  <c r="C14" i="75"/>
  <c r="H7" i="75"/>
  <c r="I12" i="75"/>
  <c r="L9" i="75"/>
  <c r="J12" i="75"/>
  <c r="J9" i="75"/>
  <c r="G12" i="75"/>
  <c r="K9" i="75"/>
  <c r="F7" i="75"/>
  <c r="I10" i="75"/>
  <c r="K15" i="75"/>
  <c r="C16" i="75"/>
  <c r="J16" i="75"/>
  <c r="K14" i="75"/>
  <c r="F14" i="75"/>
  <c r="E9" i="75"/>
  <c r="I8" i="75"/>
  <c r="J8" i="75"/>
  <c r="D8" i="75"/>
  <c r="G8" i="75"/>
  <c r="E8" i="75"/>
  <c r="L8" i="75"/>
  <c r="I14" i="75"/>
  <c r="C8" i="75"/>
  <c r="F9" i="75"/>
  <c r="I16" i="75"/>
  <c r="G16" i="75"/>
  <c r="D9" i="75"/>
  <c r="H12" i="75"/>
  <c r="L16" i="75"/>
  <c r="E14" i="75"/>
  <c r="I9" i="75"/>
  <c r="F16" i="75"/>
  <c r="J14" i="75"/>
  <c r="D14" i="75"/>
  <c r="H9" i="75"/>
  <c r="D12" i="75"/>
  <c r="E12" i="75"/>
  <c r="E11" i="75"/>
  <c r="K12" i="75"/>
  <c r="H15" i="75"/>
  <c r="K16" i="75"/>
  <c r="K8" i="75"/>
  <c r="F12" i="75"/>
  <c r="F8" i="75"/>
  <c r="I11" i="75"/>
  <c r="H14" i="75"/>
  <c r="H16" i="75"/>
  <c r="D16" i="75"/>
  <c r="G30" i="85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4" i="83"/>
  <c r="F34" i="83"/>
  <c r="E34" i="83"/>
  <c r="B34" i="83"/>
  <c r="A35" i="83"/>
  <c r="D33" i="83"/>
  <c r="C33" i="83"/>
  <c r="G33" i="80"/>
  <c r="A34" i="80"/>
  <c r="F33" i="80"/>
  <c r="E33" i="80"/>
  <c r="B33" i="80"/>
  <c r="D32" i="80"/>
  <c r="C32" i="80"/>
  <c r="I13" i="75" l="1"/>
  <c r="N13" i="75"/>
  <c r="AB13" i="69" s="1"/>
  <c r="M13" i="75"/>
  <c r="N7" i="75"/>
  <c r="N11" i="75"/>
  <c r="N10" i="75"/>
  <c r="AB15" i="69" s="1"/>
  <c r="M7" i="75"/>
  <c r="AA10" i="69" s="1"/>
  <c r="M15" i="75"/>
  <c r="M10" i="75"/>
  <c r="N14" i="75"/>
  <c r="N15" i="75"/>
  <c r="AB8" i="69" s="1"/>
  <c r="M11" i="75"/>
  <c r="M9" i="75"/>
  <c r="N9" i="75"/>
  <c r="AB11" i="69" s="1"/>
  <c r="M14" i="75"/>
  <c r="O14" i="75" s="1"/>
  <c r="N12" i="75"/>
  <c r="AB14" i="69" s="1"/>
  <c r="M8" i="75"/>
  <c r="M12" i="75"/>
  <c r="M16" i="75"/>
  <c r="N16" i="75"/>
  <c r="N8" i="75"/>
  <c r="AB16" i="69" s="1"/>
  <c r="D33" i="8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A36" i="83"/>
  <c r="B35" i="83"/>
  <c r="E35" i="83"/>
  <c r="G35" i="83"/>
  <c r="F35" i="83"/>
  <c r="D34" i="83"/>
  <c r="C34" i="83"/>
  <c r="B34" i="80"/>
  <c r="G34" i="80"/>
  <c r="F34" i="80"/>
  <c r="A35" i="80"/>
  <c r="E34" i="80"/>
  <c r="D33" i="80"/>
  <c r="C33" i="80"/>
  <c r="AB9" i="69" l="1"/>
  <c r="AB12" i="69"/>
  <c r="O16" i="75"/>
  <c r="AA9" i="69"/>
  <c r="O13" i="75"/>
  <c r="AA13" i="69"/>
  <c r="AC13" i="69" s="1"/>
  <c r="O8" i="75"/>
  <c r="AA16" i="69"/>
  <c r="AC16" i="69" s="1"/>
  <c r="O10" i="75"/>
  <c r="AA15" i="69"/>
  <c r="AC15" i="69" s="1"/>
  <c r="O12" i="75"/>
  <c r="AA14" i="69"/>
  <c r="AC14" i="69" s="1"/>
  <c r="O15" i="75"/>
  <c r="AA8" i="69"/>
  <c r="AC8" i="69" s="1"/>
  <c r="O9" i="75"/>
  <c r="AA11" i="69"/>
  <c r="AC11" i="69" s="1"/>
  <c r="O11" i="75"/>
  <c r="AA12" i="69"/>
  <c r="AB7" i="69"/>
  <c r="AB10" i="69"/>
  <c r="AC10" i="69" s="1"/>
  <c r="O7" i="75"/>
  <c r="AA7" i="69"/>
  <c r="E35" i="79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D35" i="83"/>
  <c r="C35" i="83"/>
  <c r="A37" i="83"/>
  <c r="G36" i="83"/>
  <c r="E36" i="83"/>
  <c r="B36" i="83"/>
  <c r="F36" i="83"/>
  <c r="C34" i="80"/>
  <c r="D34" i="80"/>
  <c r="A36" i="80"/>
  <c r="G35" i="80"/>
  <c r="F35" i="80"/>
  <c r="E35" i="80"/>
  <c r="B35" i="80"/>
  <c r="AC12" i="69" l="1"/>
  <c r="AC9" i="69"/>
  <c r="AC7" i="69"/>
  <c r="F33" i="85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C36" i="83"/>
  <c r="D36" i="83"/>
  <c r="F37" i="83"/>
  <c r="A38" i="83"/>
  <c r="B37" i="83"/>
  <c r="E37" i="83"/>
  <c r="G37" i="83"/>
  <c r="A37" i="80"/>
  <c r="G36" i="80"/>
  <c r="E36" i="80"/>
  <c r="F36" i="80"/>
  <c r="B36" i="80"/>
  <c r="C35" i="80"/>
  <c r="D35" i="80"/>
  <c r="AD15" i="69" l="1"/>
  <c r="AD9" i="69"/>
  <c r="AD10" i="69"/>
  <c r="AD12" i="69"/>
  <c r="AD11" i="69"/>
  <c r="AD14" i="69"/>
  <c r="AD13" i="69"/>
  <c r="AD8" i="69"/>
  <c r="AD16" i="69"/>
  <c r="AD7" i="69"/>
  <c r="G37" i="82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C37" i="83"/>
  <c r="D37" i="83"/>
  <c r="F38" i="83"/>
  <c r="A39" i="83"/>
  <c r="G38" i="83"/>
  <c r="E38" i="83"/>
  <c r="B38" i="83"/>
  <c r="F37" i="80"/>
  <c r="A38" i="80"/>
  <c r="G37" i="80"/>
  <c r="E37" i="80"/>
  <c r="B37" i="80"/>
  <c r="D36" i="80"/>
  <c r="C36" i="80"/>
  <c r="B7" i="77" l="1"/>
  <c r="N7" i="77" s="1"/>
  <c r="B16" i="77"/>
  <c r="N16" i="77" s="1"/>
  <c r="B9" i="77"/>
  <c r="E9" i="77" s="1"/>
  <c r="B14" i="77"/>
  <c r="G14" i="77" s="1"/>
  <c r="B13" i="77"/>
  <c r="N13" i="77" s="1"/>
  <c r="B8" i="77"/>
  <c r="J8" i="77" s="1"/>
  <c r="B12" i="77"/>
  <c r="I12" i="77" s="1"/>
  <c r="B10" i="77"/>
  <c r="N10" i="77" s="1"/>
  <c r="B11" i="77"/>
  <c r="L11" i="77" s="1"/>
  <c r="B15" i="77"/>
  <c r="E15" i="77" s="1"/>
  <c r="D37" i="8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D38" i="83"/>
  <c r="C38" i="83"/>
  <c r="B39" i="83"/>
  <c r="E39" i="83"/>
  <c r="G39" i="83"/>
  <c r="F39" i="83"/>
  <c r="A40" i="83"/>
  <c r="B38" i="80"/>
  <c r="G38" i="80"/>
  <c r="F38" i="80"/>
  <c r="E38" i="80"/>
  <c r="A39" i="80"/>
  <c r="D37" i="80"/>
  <c r="C37" i="80"/>
  <c r="K16" i="77" l="1"/>
  <c r="G16" i="77"/>
  <c r="L16" i="77"/>
  <c r="I15" i="77"/>
  <c r="J16" i="77"/>
  <c r="M15" i="77"/>
  <c r="D16" i="77"/>
  <c r="F16" i="77"/>
  <c r="M16" i="77"/>
  <c r="I7" i="77"/>
  <c r="C11" i="77"/>
  <c r="F7" i="77"/>
  <c r="M7" i="77"/>
  <c r="E7" i="77"/>
  <c r="H7" i="77"/>
  <c r="D11" i="77"/>
  <c r="C7" i="77"/>
  <c r="C12" i="77"/>
  <c r="D7" i="77"/>
  <c r="J7" i="77"/>
  <c r="E12" i="77"/>
  <c r="N12" i="77"/>
  <c r="J15" i="77"/>
  <c r="H16" i="77"/>
  <c r="D13" i="77"/>
  <c r="E16" i="77"/>
  <c r="L7" i="77"/>
  <c r="L8" i="77"/>
  <c r="I9" i="77"/>
  <c r="C16" i="77"/>
  <c r="K7" i="77"/>
  <c r="G7" i="77"/>
  <c r="L13" i="77"/>
  <c r="I16" i="77"/>
  <c r="K10" i="77"/>
  <c r="G10" i="77"/>
  <c r="F10" i="77"/>
  <c r="C10" i="77"/>
  <c r="H10" i="77"/>
  <c r="K12" i="77"/>
  <c r="G9" i="77"/>
  <c r="C9" i="77"/>
  <c r="J12" i="77"/>
  <c r="D12" i="77"/>
  <c r="H12" i="77"/>
  <c r="F12" i="77"/>
  <c r="G12" i="77"/>
  <c r="M12" i="77"/>
  <c r="L12" i="77"/>
  <c r="D14" i="77"/>
  <c r="H15" i="77"/>
  <c r="H9" i="77"/>
  <c r="J9" i="77"/>
  <c r="M14" i="77"/>
  <c r="D15" i="77"/>
  <c r="L9" i="77"/>
  <c r="C14" i="77"/>
  <c r="L14" i="77"/>
  <c r="K15" i="77"/>
  <c r="F9" i="77"/>
  <c r="N14" i="77"/>
  <c r="M9" i="77"/>
  <c r="G15" i="77"/>
  <c r="H14" i="77"/>
  <c r="N15" i="77"/>
  <c r="K9" i="77"/>
  <c r="J14" i="77"/>
  <c r="I11" i="77"/>
  <c r="N9" i="77"/>
  <c r="K14" i="77"/>
  <c r="F15" i="77"/>
  <c r="D9" i="77"/>
  <c r="F8" i="77"/>
  <c r="J13" i="77"/>
  <c r="M8" i="77"/>
  <c r="E13" i="77"/>
  <c r="D8" i="77"/>
  <c r="M13" i="77"/>
  <c r="C13" i="77"/>
  <c r="F13" i="77"/>
  <c r="K8" i="77"/>
  <c r="I8" i="77"/>
  <c r="G8" i="77"/>
  <c r="K13" i="77"/>
  <c r="G13" i="77"/>
  <c r="I14" i="77"/>
  <c r="H8" i="77"/>
  <c r="M10" i="77"/>
  <c r="C8" i="77"/>
  <c r="E8" i="77"/>
  <c r="F14" i="77"/>
  <c r="N8" i="77"/>
  <c r="E10" i="77"/>
  <c r="H13" i="77"/>
  <c r="E14" i="77"/>
  <c r="L15" i="77"/>
  <c r="C15" i="77"/>
  <c r="I13" i="77"/>
  <c r="D10" i="77"/>
  <c r="J10" i="77"/>
  <c r="I10" i="77"/>
  <c r="E11" i="77"/>
  <c r="L10" i="77"/>
  <c r="K11" i="77"/>
  <c r="J11" i="77"/>
  <c r="M11" i="77"/>
  <c r="N11" i="77"/>
  <c r="H11" i="77"/>
  <c r="F11" i="77"/>
  <c r="G11" i="77"/>
  <c r="F39" i="82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F40" i="83"/>
  <c r="E40" i="83"/>
  <c r="A41" i="83"/>
  <c r="G40" i="83"/>
  <c r="B40" i="83"/>
  <c r="D39" i="83"/>
  <c r="C39" i="83"/>
  <c r="C38" i="80"/>
  <c r="D38" i="80"/>
  <c r="G39" i="80"/>
  <c r="F39" i="80"/>
  <c r="E39" i="80"/>
  <c r="B39" i="80"/>
  <c r="A40" i="80"/>
  <c r="P16" i="77" l="1"/>
  <c r="P7" i="77"/>
  <c r="O16" i="77"/>
  <c r="Q16" i="77" s="1"/>
  <c r="O7" i="77"/>
  <c r="Q7" i="77" s="1"/>
  <c r="O12" i="77"/>
  <c r="Q12" i="77" s="1"/>
  <c r="O15" i="77"/>
  <c r="Q15" i="77" s="1"/>
  <c r="P12" i="77"/>
  <c r="P9" i="77"/>
  <c r="O9" i="77"/>
  <c r="Q9" i="77" s="1"/>
  <c r="O14" i="77"/>
  <c r="Q14" i="77" s="1"/>
  <c r="O10" i="77"/>
  <c r="Q10" i="77" s="1"/>
  <c r="P15" i="77"/>
  <c r="P13" i="77"/>
  <c r="P11" i="77"/>
  <c r="P14" i="77"/>
  <c r="O13" i="77"/>
  <c r="Q13" i="77" s="1"/>
  <c r="O8" i="77"/>
  <c r="Q8" i="77" s="1"/>
  <c r="O11" i="77"/>
  <c r="Q11" i="77" s="1"/>
  <c r="P10" i="77"/>
  <c r="P8" i="77"/>
  <c r="C38" i="78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C40" i="83"/>
  <c r="D40" i="83"/>
  <c r="E41" i="83"/>
  <c r="G41" i="83"/>
  <c r="F41" i="83"/>
  <c r="A42" i="83"/>
  <c r="B41" i="83"/>
  <c r="B40" i="80"/>
  <c r="A41" i="80"/>
  <c r="G40" i="80"/>
  <c r="F40" i="80"/>
  <c r="E40" i="80"/>
  <c r="C39" i="80"/>
  <c r="D39" i="80"/>
  <c r="B40" i="78" l="1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C41" i="83"/>
  <c r="D41" i="83"/>
  <c r="A43" i="83"/>
  <c r="E42" i="83"/>
  <c r="G42" i="83"/>
  <c r="B42" i="83"/>
  <c r="F42" i="83"/>
  <c r="A42" i="80"/>
  <c r="G41" i="80"/>
  <c r="F41" i="80"/>
  <c r="B41" i="80"/>
  <c r="E41" i="80"/>
  <c r="D40" i="80"/>
  <c r="C40" i="80"/>
  <c r="E41" i="84" l="1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C42" i="83"/>
  <c r="D42" i="83"/>
  <c r="F43" i="83"/>
  <c r="G43" i="83"/>
  <c r="A44" i="83"/>
  <c r="B43" i="83"/>
  <c r="E43" i="83"/>
  <c r="D41" i="80"/>
  <c r="C41" i="80"/>
  <c r="E42" i="80"/>
  <c r="A43" i="80"/>
  <c r="G42" i="80"/>
  <c r="F42" i="80"/>
  <c r="B42" i="80"/>
  <c r="B40" i="86" l="1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C43" i="83"/>
  <c r="D43" i="83"/>
  <c r="A45" i="83"/>
  <c r="F44" i="83"/>
  <c r="G44" i="83"/>
  <c r="B44" i="83"/>
  <c r="E44" i="83"/>
  <c r="F43" i="80"/>
  <c r="A44" i="80"/>
  <c r="G43" i="80"/>
  <c r="B43" i="80"/>
  <c r="E43" i="80"/>
  <c r="C42" i="80"/>
  <c r="D42" i="80"/>
  <c r="E39" i="88" l="1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4" i="83"/>
  <c r="D44" i="83"/>
  <c r="G45" i="83"/>
  <c r="E45" i="83"/>
  <c r="A46" i="83"/>
  <c r="F45" i="83"/>
  <c r="B45" i="83"/>
  <c r="C43" i="80"/>
  <c r="D43" i="80"/>
  <c r="A45" i="80"/>
  <c r="F44" i="80"/>
  <c r="B44" i="80"/>
  <c r="G44" i="80"/>
  <c r="E44" i="80"/>
  <c r="B44" i="84" l="1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C45" i="83"/>
  <c r="D45" i="83"/>
  <c r="G46" i="83"/>
  <c r="E46" i="83"/>
  <c r="F46" i="83"/>
  <c r="B46" i="83"/>
  <c r="A47" i="83"/>
  <c r="E45" i="80"/>
  <c r="F45" i="80"/>
  <c r="A46" i="80"/>
  <c r="G45" i="80"/>
  <c r="B45" i="80"/>
  <c r="C44" i="80"/>
  <c r="D44" i="80"/>
  <c r="F45" i="78" l="1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G47" i="83"/>
  <c r="E47" i="83"/>
  <c r="F47" i="83"/>
  <c r="B47" i="83"/>
  <c r="A48" i="83"/>
  <c r="D46" i="83"/>
  <c r="C46" i="83"/>
  <c r="C45" i="80"/>
  <c r="D45" i="80"/>
  <c r="G46" i="80"/>
  <c r="A47" i="80"/>
  <c r="E46" i="80"/>
  <c r="F46" i="80"/>
  <c r="B46" i="80"/>
  <c r="G42" i="87" l="1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E48" i="83"/>
  <c r="F48" i="83"/>
  <c r="B48" i="83"/>
  <c r="G48" i="83"/>
  <c r="A49" i="83"/>
  <c r="C47" i="83"/>
  <c r="D47" i="83"/>
  <c r="B47" i="80"/>
  <c r="E47" i="80"/>
  <c r="F47" i="80"/>
  <c r="A48" i="80"/>
  <c r="G47" i="80"/>
  <c r="C46" i="80"/>
  <c r="D46" i="80"/>
  <c r="E48" i="79" l="1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A50" i="83"/>
  <c r="F49" i="83"/>
  <c r="G49" i="83"/>
  <c r="E49" i="83"/>
  <c r="B49" i="83"/>
  <c r="D48" i="83"/>
  <c r="C48" i="83"/>
  <c r="D47" i="80"/>
  <c r="C47" i="80"/>
  <c r="B48" i="80"/>
  <c r="A49" i="80"/>
  <c r="F48" i="80"/>
  <c r="G48" i="80"/>
  <c r="E48" i="80"/>
  <c r="F48" i="78" l="1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D49" i="83"/>
  <c r="C49" i="83"/>
  <c r="A51" i="83"/>
  <c r="E50" i="83"/>
  <c r="F50" i="83"/>
  <c r="G50" i="83"/>
  <c r="B50" i="83"/>
  <c r="G49" i="80"/>
  <c r="B49" i="80"/>
  <c r="A50" i="80"/>
  <c r="E49" i="80"/>
  <c r="F49" i="80"/>
  <c r="C48" i="80"/>
  <c r="D48" i="80"/>
  <c r="E50" i="79" l="1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D50" i="83"/>
  <c r="C50" i="83"/>
  <c r="B51" i="83"/>
  <c r="F51" i="83"/>
  <c r="G51" i="83"/>
  <c r="E51" i="83"/>
  <c r="A52" i="83"/>
  <c r="G50" i="80"/>
  <c r="E50" i="80"/>
  <c r="F50" i="80"/>
  <c r="A51" i="80"/>
  <c r="B50" i="80"/>
  <c r="C49" i="80"/>
  <c r="D49" i="80"/>
  <c r="D45" i="88" l="1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G52" i="83"/>
  <c r="A53" i="83"/>
  <c r="F52" i="83"/>
  <c r="B52" i="83"/>
  <c r="E52" i="83"/>
  <c r="D51" i="83"/>
  <c r="C51" i="83"/>
  <c r="D50" i="80"/>
  <c r="C50" i="80"/>
  <c r="G51" i="80"/>
  <c r="A52" i="80"/>
  <c r="B51" i="80"/>
  <c r="F51" i="80"/>
  <c r="E51" i="80"/>
  <c r="C50" i="78" l="1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C52" i="83"/>
  <c r="D52" i="83"/>
  <c r="A54" i="83"/>
  <c r="G53" i="83"/>
  <c r="F53" i="83"/>
  <c r="B53" i="83"/>
  <c r="E53" i="83"/>
  <c r="D51" i="80"/>
  <c r="C51" i="80"/>
  <c r="A53" i="80"/>
  <c r="G52" i="80"/>
  <c r="E52" i="80"/>
  <c r="B52" i="80"/>
  <c r="F52" i="80"/>
  <c r="E52" i="84" l="1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C53" i="83"/>
  <c r="D53" i="83"/>
  <c r="A55" i="83"/>
  <c r="G54" i="83"/>
  <c r="B54" i="83"/>
  <c r="F54" i="83"/>
  <c r="E54" i="83"/>
  <c r="B53" i="80"/>
  <c r="A54" i="80"/>
  <c r="G53" i="80"/>
  <c r="E53" i="80"/>
  <c r="F53" i="80"/>
  <c r="C52" i="80"/>
  <c r="D52" i="80"/>
  <c r="C48" i="88" l="1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C54" i="83"/>
  <c r="D54" i="83"/>
  <c r="E55" i="83"/>
  <c r="A56" i="83"/>
  <c r="B55" i="83"/>
  <c r="F55" i="83"/>
  <c r="G55" i="83"/>
  <c r="B54" i="80"/>
  <c r="G54" i="80"/>
  <c r="A55" i="80"/>
  <c r="E54" i="80"/>
  <c r="F54" i="80"/>
  <c r="C53" i="80"/>
  <c r="D53" i="80"/>
  <c r="C49" i="87" l="1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D55" i="83"/>
  <c r="C55" i="83"/>
  <c r="G56" i="83"/>
  <c r="F56" i="83"/>
  <c r="B56" i="83"/>
  <c r="E56" i="83"/>
  <c r="A57" i="83"/>
  <c r="G55" i="80"/>
  <c r="F55" i="80"/>
  <c r="A56" i="80"/>
  <c r="B55" i="80"/>
  <c r="E55" i="80"/>
  <c r="C54" i="80"/>
  <c r="D54" i="80"/>
  <c r="C52" i="86" l="1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G57" i="83"/>
  <c r="A58" i="83"/>
  <c r="E57" i="83"/>
  <c r="B57" i="83"/>
  <c r="F57" i="83"/>
  <c r="D56" i="83"/>
  <c r="C56" i="83"/>
  <c r="D55" i="80"/>
  <c r="C55" i="80"/>
  <c r="A57" i="80"/>
  <c r="G56" i="80"/>
  <c r="B56" i="80"/>
  <c r="F56" i="80"/>
  <c r="E56" i="80"/>
  <c r="G52" i="88" l="1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7" i="83"/>
  <c r="C57" i="83"/>
  <c r="A59" i="83"/>
  <c r="E58" i="83"/>
  <c r="G58" i="83"/>
  <c r="F58" i="83"/>
  <c r="B58" i="83"/>
  <c r="D56" i="80"/>
  <c r="C56" i="80"/>
  <c r="A58" i="80"/>
  <c r="B57" i="80"/>
  <c r="G57" i="80"/>
  <c r="F57" i="80"/>
  <c r="E57" i="80"/>
  <c r="C57" i="81" l="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8" i="83"/>
  <c r="D58" i="83"/>
  <c r="B59" i="83"/>
  <c r="G59" i="83"/>
  <c r="A60" i="83"/>
  <c r="E59" i="83"/>
  <c r="F59" i="83"/>
  <c r="C57" i="80"/>
  <c r="D57" i="80"/>
  <c r="B58" i="80"/>
  <c r="E58" i="80"/>
  <c r="F58" i="80"/>
  <c r="G58" i="80"/>
  <c r="A59" i="80"/>
  <c r="C55" i="85" l="1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G60" i="83"/>
  <c r="E60" i="83"/>
  <c r="A61" i="83"/>
  <c r="B60" i="83"/>
  <c r="F60" i="83"/>
  <c r="D59" i="83"/>
  <c r="C59" i="83"/>
  <c r="C58" i="80"/>
  <c r="D58" i="80"/>
  <c r="B59" i="80"/>
  <c r="F59" i="80"/>
  <c r="E59" i="80"/>
  <c r="G59" i="80"/>
  <c r="A60" i="80"/>
  <c r="D59" i="79" l="1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C60" i="83"/>
  <c r="D60" i="83"/>
  <c r="G61" i="83"/>
  <c r="B61" i="83"/>
  <c r="A62" i="83"/>
  <c r="F61" i="83"/>
  <c r="E61" i="83"/>
  <c r="D59" i="80"/>
  <c r="C59" i="80"/>
  <c r="G60" i="80"/>
  <c r="B60" i="80"/>
  <c r="E60" i="80"/>
  <c r="A61" i="80"/>
  <c r="F60" i="80"/>
  <c r="B60" i="84" l="1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B62" i="83"/>
  <c r="G62" i="83"/>
  <c r="E62" i="83"/>
  <c r="F62" i="83"/>
  <c r="A63" i="83"/>
  <c r="D61" i="83"/>
  <c r="C61" i="83"/>
  <c r="F61" i="80"/>
  <c r="G61" i="80"/>
  <c r="B61" i="80"/>
  <c r="E61" i="80"/>
  <c r="A62" i="80"/>
  <c r="C60" i="80"/>
  <c r="D60" i="80"/>
  <c r="G62" i="82" l="1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G63" i="83"/>
  <c r="E63" i="83"/>
  <c r="A64" i="83"/>
  <c r="B63" i="83"/>
  <c r="F63" i="83"/>
  <c r="C62" i="83"/>
  <c r="D62" i="83"/>
  <c r="D61" i="80"/>
  <c r="C61" i="80"/>
  <c r="G62" i="80"/>
  <c r="E62" i="80"/>
  <c r="A63" i="80"/>
  <c r="B62" i="80"/>
  <c r="F62" i="80"/>
  <c r="D62" i="81" l="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C63" i="83"/>
  <c r="D63" i="83"/>
  <c r="A65" i="83"/>
  <c r="G64" i="83"/>
  <c r="B64" i="83"/>
  <c r="E64" i="83"/>
  <c r="F64" i="83"/>
  <c r="A64" i="80"/>
  <c r="B63" i="80"/>
  <c r="G63" i="80"/>
  <c r="E63" i="80"/>
  <c r="F63" i="80"/>
  <c r="C62" i="80"/>
  <c r="D62" i="80"/>
  <c r="C62" i="78" l="1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4" i="83"/>
  <c r="D64" i="83"/>
  <c r="F65" i="83"/>
  <c r="E65" i="83"/>
  <c r="A66" i="83"/>
  <c r="G65" i="83"/>
  <c r="B65" i="83"/>
  <c r="C63" i="80"/>
  <c r="D63" i="80"/>
  <c r="B64" i="80"/>
  <c r="A65" i="80"/>
  <c r="E64" i="80"/>
  <c r="F64" i="80"/>
  <c r="G64" i="80"/>
  <c r="C63" i="78" l="1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C65" i="83"/>
  <c r="D65" i="83"/>
  <c r="F66" i="83"/>
  <c r="A67" i="83"/>
  <c r="E66" i="83"/>
  <c r="B66" i="83"/>
  <c r="G66" i="83"/>
  <c r="G65" i="80"/>
  <c r="A66" i="80"/>
  <c r="F65" i="80"/>
  <c r="E65" i="80"/>
  <c r="B65" i="80"/>
  <c r="C64" i="80"/>
  <c r="D64" i="80"/>
  <c r="G63" i="85" l="1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C66" i="83"/>
  <c r="D66" i="83"/>
  <c r="F67" i="83"/>
  <c r="G67" i="83"/>
  <c r="E67" i="83"/>
  <c r="A68" i="83"/>
  <c r="B67" i="83"/>
  <c r="D65" i="80"/>
  <c r="C65" i="80"/>
  <c r="G66" i="80"/>
  <c r="A67" i="80"/>
  <c r="F66" i="80"/>
  <c r="E66" i="80"/>
  <c r="B66" i="80"/>
  <c r="G62" i="87" l="1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C67" i="83"/>
  <c r="D67" i="83"/>
  <c r="B68" i="83"/>
  <c r="G68" i="83"/>
  <c r="F68" i="83"/>
  <c r="A69" i="83"/>
  <c r="E68" i="83"/>
  <c r="D66" i="80"/>
  <c r="C66" i="80"/>
  <c r="G67" i="80"/>
  <c r="A68" i="80"/>
  <c r="E67" i="80"/>
  <c r="F67" i="80"/>
  <c r="B67" i="80"/>
  <c r="E68" i="82" l="1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B69" i="83"/>
  <c r="E69" i="83"/>
  <c r="G69" i="83"/>
  <c r="F69" i="83"/>
  <c r="A70" i="83"/>
  <c r="D68" i="83"/>
  <c r="C68" i="83"/>
  <c r="D67" i="80"/>
  <c r="C67" i="80"/>
  <c r="F68" i="80"/>
  <c r="G68" i="80"/>
  <c r="E68" i="80"/>
  <c r="B68" i="80"/>
  <c r="A69" i="80"/>
  <c r="D67" i="84" l="1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E70" i="83"/>
  <c r="G70" i="83"/>
  <c r="B70" i="83"/>
  <c r="A71" i="83"/>
  <c r="F70" i="83"/>
  <c r="C69" i="83"/>
  <c r="D69" i="83"/>
  <c r="C68" i="80"/>
  <c r="D68" i="80"/>
  <c r="A70" i="80"/>
  <c r="F69" i="80"/>
  <c r="B69" i="80"/>
  <c r="E69" i="80"/>
  <c r="G69" i="80"/>
  <c r="D69" i="81" l="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G71" i="83"/>
  <c r="F71" i="83"/>
  <c r="E71" i="83"/>
  <c r="A72" i="83"/>
  <c r="B71" i="83"/>
  <c r="D70" i="83"/>
  <c r="C70" i="83"/>
  <c r="C69" i="80"/>
  <c r="D69" i="80"/>
  <c r="B70" i="80"/>
  <c r="F70" i="80"/>
  <c r="E70" i="80"/>
  <c r="A71" i="80"/>
  <c r="G70" i="80"/>
  <c r="B68" i="86" l="1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C71" i="83"/>
  <c r="D71" i="83"/>
  <c r="G72" i="83"/>
  <c r="E72" i="83"/>
  <c r="F72" i="83"/>
  <c r="B72" i="83"/>
  <c r="A73" i="83"/>
  <c r="B71" i="80"/>
  <c r="E71" i="80"/>
  <c r="G71" i="80"/>
  <c r="A72" i="80"/>
  <c r="F71" i="80"/>
  <c r="C70" i="80"/>
  <c r="D70" i="80"/>
  <c r="D71" i="82" l="1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B73" i="83"/>
  <c r="E73" i="83"/>
  <c r="A74" i="83"/>
  <c r="F73" i="83"/>
  <c r="G73" i="83"/>
  <c r="C72" i="83"/>
  <c r="D72" i="83"/>
  <c r="E72" i="80"/>
  <c r="A73" i="80"/>
  <c r="F72" i="80"/>
  <c r="G72" i="80"/>
  <c r="B72" i="80"/>
  <c r="D71" i="80"/>
  <c r="C71" i="80"/>
  <c r="G68" i="88" l="1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B74" i="83"/>
  <c r="F74" i="83"/>
  <c r="G74" i="83"/>
  <c r="E74" i="83"/>
  <c r="A75" i="83"/>
  <c r="C73" i="83"/>
  <c r="D73" i="83"/>
  <c r="C72" i="80"/>
  <c r="D72" i="80"/>
  <c r="E73" i="80"/>
  <c r="A74" i="80"/>
  <c r="F73" i="80"/>
  <c r="G73" i="80"/>
  <c r="B73" i="80"/>
  <c r="A75" i="79" l="1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A76" i="83"/>
  <c r="E75" i="83"/>
  <c r="F75" i="83"/>
  <c r="B75" i="83"/>
  <c r="G75" i="83"/>
  <c r="C74" i="83"/>
  <c r="D74" i="83"/>
  <c r="C73" i="80"/>
  <c r="D73" i="80"/>
  <c r="B74" i="80"/>
  <c r="A75" i="80"/>
  <c r="G74" i="80"/>
  <c r="F74" i="80"/>
  <c r="E74" i="80"/>
  <c r="D71" i="85" l="1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D75" i="83"/>
  <c r="C75" i="83"/>
  <c r="A77" i="83"/>
  <c r="G76" i="83"/>
  <c r="E76" i="83"/>
  <c r="B76" i="83"/>
  <c r="F76" i="83"/>
  <c r="G75" i="80"/>
  <c r="E75" i="80"/>
  <c r="A76" i="80"/>
  <c r="B75" i="80"/>
  <c r="F75" i="80"/>
  <c r="D74" i="80"/>
  <c r="C74" i="80"/>
  <c r="D75" i="82" l="1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D76" i="83"/>
  <c r="C76" i="83"/>
  <c r="F77" i="83"/>
  <c r="E77" i="83"/>
  <c r="B77" i="83"/>
  <c r="A78" i="83"/>
  <c r="G77" i="83"/>
  <c r="C75" i="80"/>
  <c r="D75" i="80"/>
  <c r="G76" i="80"/>
  <c r="B76" i="80"/>
  <c r="F76" i="80"/>
  <c r="A77" i="80"/>
  <c r="E76" i="80"/>
  <c r="A78" i="81" l="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F78" i="83"/>
  <c r="A79" i="83"/>
  <c r="G78" i="83"/>
  <c r="E78" i="83"/>
  <c r="B78" i="83"/>
  <c r="D77" i="83"/>
  <c r="C77" i="83"/>
  <c r="E77" i="80"/>
  <c r="G77" i="80"/>
  <c r="A78" i="80"/>
  <c r="F77" i="80"/>
  <c r="B77" i="80"/>
  <c r="C76" i="80"/>
  <c r="D76" i="80"/>
  <c r="D77" i="82" l="1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8" i="83"/>
  <c r="D78" i="83"/>
  <c r="F79" i="83"/>
  <c r="A80" i="83"/>
  <c r="G79" i="83"/>
  <c r="B79" i="83"/>
  <c r="E79" i="83"/>
  <c r="C77" i="80"/>
  <c r="D77" i="80"/>
  <c r="G78" i="80"/>
  <c r="E78" i="80"/>
  <c r="A79" i="80"/>
  <c r="F78" i="80"/>
  <c r="B78" i="80"/>
  <c r="D75" i="86" l="1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C79" i="83"/>
  <c r="D79" i="83"/>
  <c r="F80" i="83"/>
  <c r="B80" i="83"/>
  <c r="G80" i="83"/>
  <c r="A81" i="83"/>
  <c r="E80" i="83"/>
  <c r="A80" i="80"/>
  <c r="F79" i="80"/>
  <c r="B79" i="80"/>
  <c r="E79" i="80"/>
  <c r="G79" i="80"/>
  <c r="C78" i="80"/>
  <c r="D78" i="80"/>
  <c r="C76" i="86" l="1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A82" i="83"/>
  <c r="G81" i="83"/>
  <c r="F81" i="83"/>
  <c r="E81" i="83"/>
  <c r="B81" i="83"/>
  <c r="C80" i="83"/>
  <c r="D80" i="83"/>
  <c r="E80" i="80"/>
  <c r="B80" i="80"/>
  <c r="G80" i="80"/>
  <c r="A81" i="80"/>
  <c r="F80" i="80"/>
  <c r="C79" i="80"/>
  <c r="D79" i="80"/>
  <c r="E81" i="81" l="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D81" i="83"/>
  <c r="C81" i="83"/>
  <c r="G82" i="83"/>
  <c r="F82" i="83"/>
  <c r="E82" i="83"/>
  <c r="B82" i="83"/>
  <c r="A83" i="83"/>
  <c r="E81" i="80"/>
  <c r="F81" i="80"/>
  <c r="A82" i="80"/>
  <c r="G81" i="80"/>
  <c r="B81" i="80"/>
  <c r="C80" i="80"/>
  <c r="D80" i="80"/>
  <c r="D78" i="85" l="1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B83" i="83"/>
  <c r="E83" i="83"/>
  <c r="A84" i="83"/>
  <c r="G83" i="83"/>
  <c r="F83" i="83"/>
  <c r="C82" i="83"/>
  <c r="D82" i="83"/>
  <c r="D81" i="80"/>
  <c r="C81" i="80"/>
  <c r="A83" i="80"/>
  <c r="G82" i="80"/>
  <c r="E82" i="80"/>
  <c r="F82" i="80"/>
  <c r="B82" i="80"/>
  <c r="B80" i="85" l="1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A85" i="83"/>
  <c r="F84" i="83"/>
  <c r="B84" i="83"/>
  <c r="E84" i="83"/>
  <c r="G84" i="83"/>
  <c r="C83" i="83"/>
  <c r="D83" i="83"/>
  <c r="D82" i="80"/>
  <c r="C82" i="80"/>
  <c r="B83" i="80"/>
  <c r="E83" i="80"/>
  <c r="A84" i="80"/>
  <c r="G83" i="80"/>
  <c r="F83" i="80"/>
  <c r="C83" i="81" l="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D84" i="83"/>
  <c r="C84" i="83"/>
  <c r="F85" i="83"/>
  <c r="A86" i="83"/>
  <c r="E85" i="83"/>
  <c r="G85" i="83"/>
  <c r="B85" i="83"/>
  <c r="C83" i="80"/>
  <c r="D83" i="80"/>
  <c r="A85" i="80"/>
  <c r="F84" i="80"/>
  <c r="G84" i="80"/>
  <c r="B84" i="80"/>
  <c r="E84" i="80"/>
  <c r="C84" i="82" l="1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5" i="83"/>
  <c r="C85" i="83"/>
  <c r="A87" i="83"/>
  <c r="F86" i="83"/>
  <c r="E86" i="83"/>
  <c r="G86" i="83"/>
  <c r="B86" i="83"/>
  <c r="D84" i="80"/>
  <c r="C84" i="80"/>
  <c r="A86" i="80"/>
  <c r="F85" i="80"/>
  <c r="E85" i="80"/>
  <c r="B85" i="80"/>
  <c r="G85" i="80"/>
  <c r="E86" i="82" l="1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D86" i="83"/>
  <c r="C86" i="83"/>
  <c r="A88" i="83"/>
  <c r="G87" i="83"/>
  <c r="B87" i="83"/>
  <c r="F87" i="83"/>
  <c r="E87" i="83"/>
  <c r="C85" i="80"/>
  <c r="D85" i="80"/>
  <c r="B86" i="80"/>
  <c r="G86" i="80"/>
  <c r="F86" i="80"/>
  <c r="E86" i="80"/>
  <c r="A87" i="80"/>
  <c r="B82" i="87" l="1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C87" i="83"/>
  <c r="D87" i="83"/>
  <c r="B88" i="83"/>
  <c r="G88" i="83"/>
  <c r="A89" i="83"/>
  <c r="E88" i="83"/>
  <c r="F88" i="83"/>
  <c r="D86" i="80"/>
  <c r="C86" i="80"/>
  <c r="B87" i="80"/>
  <c r="G87" i="80"/>
  <c r="E87" i="80"/>
  <c r="F87" i="80"/>
  <c r="A88" i="80"/>
  <c r="G88" i="81" l="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E89" i="83"/>
  <c r="A90" i="83"/>
  <c r="F89" i="83"/>
  <c r="B89" i="83"/>
  <c r="G89" i="83"/>
  <c r="C88" i="83"/>
  <c r="D88" i="83"/>
  <c r="C87" i="80"/>
  <c r="D87" i="80"/>
  <c r="E88" i="80"/>
  <c r="F88" i="80"/>
  <c r="B88" i="80"/>
  <c r="G88" i="80"/>
  <c r="A89" i="80"/>
  <c r="C83" i="88" l="1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D89" i="83"/>
  <c r="C89" i="83"/>
  <c r="B90" i="83"/>
  <c r="E90" i="83"/>
  <c r="F90" i="83"/>
  <c r="G90" i="83"/>
  <c r="A91" i="83"/>
  <c r="G89" i="80"/>
  <c r="A90" i="80"/>
  <c r="F89" i="80"/>
  <c r="E89" i="80"/>
  <c r="B89" i="80"/>
  <c r="C88" i="80"/>
  <c r="D88" i="80"/>
  <c r="E87" i="86" l="1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A92" i="83"/>
  <c r="F91" i="83"/>
  <c r="B91" i="83"/>
  <c r="E91" i="83"/>
  <c r="G91" i="83"/>
  <c r="D90" i="83"/>
  <c r="C90" i="83"/>
  <c r="D89" i="80"/>
  <c r="C89" i="80"/>
  <c r="G90" i="80"/>
  <c r="A91" i="80"/>
  <c r="E90" i="80"/>
  <c r="B90" i="80"/>
  <c r="F90" i="80"/>
  <c r="D89" i="78" l="1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1" i="83"/>
  <c r="D91" i="83"/>
  <c r="E92" i="83"/>
  <c r="G92" i="83"/>
  <c r="B92" i="83"/>
  <c r="F92" i="83"/>
  <c r="A93" i="83"/>
  <c r="C90" i="80"/>
  <c r="D90" i="80"/>
  <c r="G91" i="80"/>
  <c r="F91" i="80"/>
  <c r="A92" i="80"/>
  <c r="B91" i="80"/>
  <c r="E91" i="80"/>
  <c r="E87" i="88" l="1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G93" i="83"/>
  <c r="A94" i="83"/>
  <c r="F93" i="83"/>
  <c r="E93" i="83"/>
  <c r="B93" i="83"/>
  <c r="C92" i="83"/>
  <c r="D92" i="83"/>
  <c r="E92" i="80"/>
  <c r="B92" i="80"/>
  <c r="A93" i="80"/>
  <c r="G92" i="80"/>
  <c r="F92" i="80"/>
  <c r="D91" i="80"/>
  <c r="C91" i="80"/>
  <c r="C92" i="82" l="1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C93" i="83"/>
  <c r="D93" i="83"/>
  <c r="F94" i="83"/>
  <c r="E94" i="83"/>
  <c r="G94" i="83"/>
  <c r="A95" i="83"/>
  <c r="B94" i="83"/>
  <c r="A94" i="80"/>
  <c r="G93" i="80"/>
  <c r="F93" i="80"/>
  <c r="B93" i="80"/>
  <c r="E93" i="80"/>
  <c r="C92" i="80"/>
  <c r="D92" i="80"/>
  <c r="A94" i="78" l="1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4" i="83"/>
  <c r="C94" i="83"/>
  <c r="B95" i="83"/>
  <c r="G95" i="83"/>
  <c r="A96" i="83"/>
  <c r="E95" i="83"/>
  <c r="F95" i="83"/>
  <c r="D93" i="80"/>
  <c r="C93" i="80"/>
  <c r="B94" i="80"/>
  <c r="E94" i="80"/>
  <c r="A95" i="80"/>
  <c r="G94" i="80"/>
  <c r="F94" i="80"/>
  <c r="C89" i="87" l="1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B96" i="83"/>
  <c r="G96" i="83"/>
  <c r="F96" i="83"/>
  <c r="A97" i="83"/>
  <c r="E96" i="83"/>
  <c r="C95" i="83"/>
  <c r="D95" i="83"/>
  <c r="E95" i="80"/>
  <c r="F95" i="80"/>
  <c r="B95" i="80"/>
  <c r="A96" i="80"/>
  <c r="G95" i="80"/>
  <c r="D94" i="80"/>
  <c r="C94" i="80"/>
  <c r="A96" i="84" l="1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7" i="83"/>
  <c r="A98" i="83"/>
  <c r="G97" i="83"/>
  <c r="E97" i="83"/>
  <c r="F97" i="83"/>
  <c r="D96" i="83"/>
  <c r="C96" i="83"/>
  <c r="B96" i="80"/>
  <c r="G96" i="80"/>
  <c r="F96" i="80"/>
  <c r="E96" i="80"/>
  <c r="A97" i="80"/>
  <c r="C95" i="80"/>
  <c r="D95" i="80"/>
  <c r="F97" i="82" l="1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E98" i="83"/>
  <c r="G98" i="83"/>
  <c r="B98" i="83"/>
  <c r="F98" i="83"/>
  <c r="A99" i="83"/>
  <c r="C97" i="83"/>
  <c r="D97" i="83"/>
  <c r="B97" i="80"/>
  <c r="G97" i="80"/>
  <c r="F97" i="80"/>
  <c r="A98" i="80"/>
  <c r="E97" i="80"/>
  <c r="D96" i="80"/>
  <c r="C96" i="80"/>
  <c r="E95" i="86" l="1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A100" i="83"/>
  <c r="G99" i="83"/>
  <c r="B99" i="83"/>
  <c r="F99" i="83"/>
  <c r="E99" i="83"/>
  <c r="D98" i="83"/>
  <c r="C98" i="83"/>
  <c r="C97" i="80"/>
  <c r="D97" i="80"/>
  <c r="G98" i="80"/>
  <c r="B98" i="80"/>
  <c r="F98" i="80"/>
  <c r="A99" i="80"/>
  <c r="E98" i="80"/>
  <c r="F94" i="87" l="1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D99" i="83"/>
  <c r="C99" i="83"/>
  <c r="A101" i="83"/>
  <c r="B100" i="83"/>
  <c r="G100" i="83"/>
  <c r="E100" i="83"/>
  <c r="F100" i="83"/>
  <c r="B99" i="80"/>
  <c r="F99" i="80"/>
  <c r="E99" i="80"/>
  <c r="A100" i="80"/>
  <c r="G99" i="80"/>
  <c r="D98" i="80"/>
  <c r="C98" i="80"/>
  <c r="C99" i="81" l="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C100" i="83"/>
  <c r="D100" i="83"/>
  <c r="E101" i="83"/>
  <c r="B101" i="83"/>
  <c r="G101" i="83"/>
  <c r="F101" i="83"/>
  <c r="A102" i="83"/>
  <c r="D99" i="80"/>
  <c r="C99" i="80"/>
  <c r="B100" i="80"/>
  <c r="F100" i="80"/>
  <c r="G100" i="80"/>
  <c r="A101" i="80"/>
  <c r="E100" i="80"/>
  <c r="D99" i="78" l="1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2" i="83"/>
  <c r="F102" i="83"/>
  <c r="A103" i="83"/>
  <c r="E102" i="83"/>
  <c r="B102" i="83"/>
  <c r="D101" i="83"/>
  <c r="C101" i="83"/>
  <c r="G101" i="80"/>
  <c r="B101" i="80"/>
  <c r="A102" i="80"/>
  <c r="E101" i="80"/>
  <c r="F101" i="80"/>
  <c r="D100" i="80"/>
  <c r="C100" i="80"/>
  <c r="D96" i="87" l="1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D102" i="83"/>
  <c r="C102" i="83"/>
  <c r="A104" i="83"/>
  <c r="E103" i="83"/>
  <c r="B103" i="83"/>
  <c r="F103" i="83"/>
  <c r="G103" i="83"/>
  <c r="A103" i="80"/>
  <c r="B102" i="80"/>
  <c r="G102" i="80"/>
  <c r="F102" i="80"/>
  <c r="E102" i="80"/>
  <c r="C101" i="80"/>
  <c r="D101" i="80"/>
  <c r="F102" i="78" l="1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3" i="83"/>
  <c r="C103" i="83"/>
  <c r="F104" i="83"/>
  <c r="B104" i="83"/>
  <c r="E104" i="83"/>
  <c r="G104" i="83"/>
  <c r="D102" i="80"/>
  <c r="C102" i="80"/>
  <c r="G103" i="80"/>
  <c r="E103" i="80"/>
  <c r="A104" i="80"/>
  <c r="F103" i="80"/>
  <c r="B103" i="80"/>
  <c r="E104" i="81" l="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4" i="83"/>
  <c r="C104" i="83"/>
  <c r="D103" i="80"/>
  <c r="C103" i="80"/>
  <c r="B104" i="80"/>
  <c r="E104" i="80"/>
  <c r="G104" i="80"/>
  <c r="F104" i="80"/>
  <c r="D103" i="78" l="1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0" i="88" l="1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BDE509FD-9B53-4530-BB3D-4985220F873F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E007C0BD-ADE4-4866-A76F-CD0E67ED398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5BACFD02-9973-4E18-98B9-E9408DF86284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FDBFAC65-5FB9-446A-A82A-0353404868BE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A1D3E1C1-8926-4546-98D9-F0E92EFD5B7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C1D07D82-3F09-4377-A9C2-BDB558A59321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41C18213-F21A-4882-A2FD-998D94F8378C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7D6A0BD9-8568-4554-960D-102E85B23755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2BD2F6F9-081D-4BE8-9CAD-5DB9D4FEC593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<sst xmlns="http://schemas.openxmlformats.org/spreadsheetml/2006/main" count="22134" uniqueCount="2577">
  <si>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</si>
  <si>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</si>
  <si>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</si>
  <si>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</si>
  <si>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</si>
  <si>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</si>
  <si>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</si>
  <si>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</si>
  <si>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</si>
  <si>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</si>
  <si>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</si>
  <si>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</si>
  <si>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</si>
  <si>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</si>
  <si>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</si>
  <si>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</si>
  <si>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</si>
  <si>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</si>
  <si>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</si>
  <si>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</si>
  <si>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</si>
  <si>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</si>
  <si>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</si>
  <si>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</si>
  <si>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</si>
  <si>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</si>
  <si>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</si>
  <si>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</si>
  <si>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</si>
  <si>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</si>
  <si>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</si>
  <si>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</si>
  <si>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</si>
  <si>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</si>
  <si>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</si>
  <si>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</si>
  <si>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</si>
  <si>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</si>
  <si>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</si>
  <si>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</si>
  <si>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</si>
  <si>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</si>
  <si>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</si>
  <si>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</si>
  <si>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</si>
  <si>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</si>
  <si>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</si>
  <si>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</si>
  <si>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</si>
  <si>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</si>
  <si>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</si>
  <si>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</si>
  <si>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</si>
  <si>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</si>
  <si>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</si>
  <si>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</si>
  <si>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</si>
  <si>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</si>
  <si>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</si>
  <si>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</si>
  <si>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</si>
  <si>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</si>
  <si>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</si>
  <si>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</si>
  <si>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</si>
  <si>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</si>
  <si>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</si>
  <si>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</si>
  <si>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</si>
  <si>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</si>
  <si>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</si>
  <si>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</si>
  <si>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</si>
  <si>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</si>
  <si>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</si>
  <si>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</si>
  <si>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</si>
  <si>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</si>
  <si>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</si>
  <si>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</si>
  <si>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</si>
  <si>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</si>
  <si>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</si>
  <si>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</si>
  <si>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</si>
  <si>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</si>
  <si>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</si>
  <si>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</si>
  <si>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</si>
  <si>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</si>
  <si>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</si>
  <si>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</si>
  <si>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</si>
  <si>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</si>
  <si>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</si>
  <si>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</si>
  <si>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</si>
  <si>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</si>
  <si>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</si>
  <si>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</si>
  <si>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</si>
  <si>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</si>
  <si>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</si>
  <si>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</si>
  <si>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</si>
  <si>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</si>
  <si>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</si>
  <si>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</si>
  <si>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</si>
  <si>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</si>
  <si>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</si>
  <si>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</si>
  <si>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</si>
  <si>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</si>
  <si>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</si>
  <si>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</si>
  <si>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</si>
  <si>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</si>
  <si>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</si>
  <si>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</si>
  <si>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</si>
  <si>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</si>
  <si>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</si>
  <si>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</si>
  <si>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</si>
  <si>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</si>
  <si>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</si>
  <si>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</si>
  <si>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</si>
  <si>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</si>
  <si>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</si>
  <si>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</si>
  <si>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</si>
  <si>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</si>
  <si>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</si>
  <si>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</si>
  <si>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</si>
  <si>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</si>
  <si>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</si>
  <si>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</si>
  <si>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</si>
  <si>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</si>
  <si>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</si>
  <si>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</si>
  <si>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</si>
  <si>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</si>
  <si>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</si>
  <si>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</si>
  <si>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</si>
  <si>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</si>
  <si>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</si>
  <si>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</si>
  <si>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</si>
  <si>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</si>
  <si>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</si>
  <si>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</si>
  <si>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</si>
  <si>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</si>
  <si>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</si>
  <si>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</si>
  <si>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</si>
  <si>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</si>
  <si>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</si>
  <si>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</si>
  <si>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</si>
  <si>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</si>
  <si>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</si>
  <si>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</si>
  <si>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</si>
  <si>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</si>
  <si>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</si>
  <si>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</si>
  <si>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</si>
  <si>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</si>
  <si>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</si>
  <si>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</si>
  <si>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</si>
  <si>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</si>
  <si>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</si>
  <si>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</si>
  <si>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</si>
  <si>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</si>
  <si>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</si>
  <si>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</si>
  <si>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</si>
  <si>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</si>
  <si>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</si>
  <si>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</si>
  <si>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</si>
  <si>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</si>
  <si>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</si>
  <si>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</si>
  <si>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</si>
  <si>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</si>
  <si>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</si>
  <si>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</si>
  <si>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</si>
  <si>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</si>
  <si>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</si>
  <si>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</si>
  <si>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</si>
  <si>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</si>
  <si>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</si>
  <si>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</si>
  <si>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</si>
  <si>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</si>
  <si>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</si>
  <si>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</si>
  <si>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</si>
  <si>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</si>
  <si>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</si>
  <si>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</si>
  <si>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</si>
  <si>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</si>
  <si>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</si>
  <si>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</si>
  <si>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</si>
  <si>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</si>
  <si>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</si>
  <si>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</si>
  <si>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</si>
  <si>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</si>
  <si>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</si>
  <si>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</si>
  <si>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</si>
  <si>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</si>
  <si>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</si>
  <si>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</si>
  <si>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</si>
  <si>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</si>
  <si>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</si>
  <si>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</si>
  <si>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</si>
  <si>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</si>
  <si>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</si>
  <si>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</si>
  <si>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</si>
  <si>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</si>
  <si>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</si>
  <si>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</si>
  <si>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</si>
  <si>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</si>
  <si>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</si>
  <si>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</si>
  <si>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</si>
  <si>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</si>
  <si>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</si>
  <si>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</si>
  <si>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</si>
  <si>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</si>
  <si>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</si>
  <si>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</si>
  <si>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</si>
  <si>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</si>
  <si>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</si>
  <si>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</si>
  <si>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</si>
  <si>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</si>
  <si>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</si>
  <si>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</si>
  <si>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</si>
  <si>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</si>
  <si>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</si>
  <si>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</si>
  <si>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</si>
  <si>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</si>
  <si>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</si>
  <si>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</si>
  <si>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</si>
  <si>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</si>
  <si>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</si>
  <si>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</si>
  <si>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</si>
  <si>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</si>
  <si>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</si>
  <si>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</si>
  <si>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</si>
  <si>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</si>
  <si>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</si>
  <si>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</si>
  <si>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</si>
  <si>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</si>
  <si>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</si>
  <si>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</si>
  <si>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</si>
  <si>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</si>
  <si>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</si>
  <si>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</si>
  <si>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</si>
  <si>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</si>
  <si>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</si>
  <si>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</si>
  <si>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</si>
  <si>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</si>
  <si>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</si>
  <si>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</si>
  <si>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</si>
  <si>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</si>
  <si>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</si>
  <si>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</si>
  <si>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</si>
  <si>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</si>
  <si>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</si>
  <si>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</si>
  <si>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</si>
  <si>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</si>
  <si>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</si>
  <si>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</si>
  <si>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</si>
  <si>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</si>
  <si>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</si>
  <si>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</si>
  <si>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</si>
  <si>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</si>
  <si>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</si>
  <si>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</si>
  <si>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</si>
  <si>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</si>
  <si>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</si>
  <si>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</si>
  <si>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</si>
  <si>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</si>
  <si>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</si>
  <si>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</si>
  <si>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</si>
  <si>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</si>
  <si>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</si>
  <si>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</si>
  <si>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</si>
  <si>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</si>
  <si>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</si>
  <si>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</si>
  <si>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</si>
  <si>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</si>
  <si>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</si>
  <si>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</si>
  <si>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</si>
  <si>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</si>
  <si>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</si>
  <si>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</si>
  <si>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</si>
  <si>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</si>
  <si>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</si>
  <si>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</si>
  <si>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</si>
  <si>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</si>
  <si>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</si>
  <si>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</si>
  <si>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</si>
  <si>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</si>
  <si>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</si>
  <si>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</si>
  <si>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</si>
  <si>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</si>
  <si>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</si>
  <si>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</si>
  <si>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</si>
  <si>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</si>
  <si>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</si>
  <si>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</si>
  <si>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</si>
  <si>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</si>
  <si>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</si>
  <si>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</si>
  <si>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</si>
  <si>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</si>
  <si>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</si>
  <si>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</si>
  <si>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</si>
  <si>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</si>
  <si>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</si>
  <si>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</si>
  <si>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</si>
  <si>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</si>
  <si>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</si>
  <si>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</si>
  <si>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</si>
  <si>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</si>
  <si>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</si>
  <si>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</si>
  <si>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</si>
  <si>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</si>
  <si>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</si>
  <si>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</si>
  <si>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</si>
  <si>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</si>
  <si>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</si>
  <si>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</si>
  <si>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</si>
  <si>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</si>
  <si>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</si>
  <si>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</si>
  <si>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</si>
  <si>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</si>
  <si>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</si>
  <si>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</si>
  <si>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</si>
  <si>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</si>
  <si>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</si>
  <si>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</si>
  <si>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</si>
  <si>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</si>
  <si>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</si>
  <si>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</si>
  <si>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</si>
  <si>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</si>
  <si>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</si>
  <si>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</si>
  <si>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</si>
  <si>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</si>
  <si>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</si>
  <si>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</si>
  <si>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</si>
  <si>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</si>
  <si>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</si>
  <si>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</si>
  <si>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</si>
  <si>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</si>
  <si>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</si>
  <si>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</si>
  <si>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</si>
  <si>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</si>
  <si>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</si>
  <si>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</si>
  <si>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</si>
  <si>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</si>
  <si>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</si>
  <si>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</si>
  <si>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</si>
  <si>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</si>
  <si>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</si>
  <si>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</si>
  <si>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</si>
  <si>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</si>
  <si>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</si>
  <si>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</si>
  <si>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</si>
  <si>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</si>
  <si>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</si>
  <si>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</si>
  <si>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</si>
  <si>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</si>
  <si>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</si>
  <si>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</si>
  <si>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</si>
  <si>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</si>
  <si>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</si>
  <si>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</si>
  <si>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</si>
  <si>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</si>
  <si>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</si>
  <si>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</si>
  <si>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</si>
  <si>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</si>
  <si>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</si>
  <si>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</si>
  <si>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</si>
  <si>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</si>
  <si>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</si>
  <si>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</si>
  <si>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</si>
  <si>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</si>
  <si>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</si>
  <si>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</si>
  <si>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</si>
  <si>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</si>
  <si>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</si>
  <si>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</si>
  <si>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</si>
  <si>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</si>
  <si>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</si>
  <si>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</si>
  <si>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</si>
  <si>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</si>
  <si>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</si>
  <si>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</si>
  <si>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</si>
  <si>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</si>
  <si>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</si>
  <si>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</si>
  <si>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</si>
  <si>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</si>
  <si>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</si>
  <si>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</si>
  <si>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</si>
  <si>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</si>
  <si>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</si>
  <si>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</si>
  <si>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</si>
  <si>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</si>
  <si>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</si>
  <si>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</si>
  <si>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</si>
  <si>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</si>
  <si>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</si>
  <si>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</si>
  <si>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</si>
  <si>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</si>
  <si>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</si>
  <si>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</si>
  <si>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</si>
  <si>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</si>
  <si>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</si>
  <si>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</si>
  <si>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</si>
  <si>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</si>
  <si>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</si>
  <si>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</si>
  <si>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</si>
  <si>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</si>
  <si>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</si>
  <si>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</si>
  <si>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</si>
  <si>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</si>
  <si>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</si>
  <si>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</si>
  <si>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</si>
  <si>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</si>
  <si>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</si>
  <si>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</si>
  <si>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</si>
  <si>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</si>
  <si>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</si>
  <si>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</si>
  <si>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</si>
  <si>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</si>
  <si>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</si>
  <si>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</si>
  <si>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</si>
  <si>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</si>
  <si>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</si>
  <si>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</si>
  <si>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</si>
  <si>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</si>
  <si>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</si>
  <si>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</si>
  <si>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</si>
  <si>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</si>
  <si>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</si>
  <si>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</si>
  <si>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</si>
  <si>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</si>
  <si>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</si>
  <si>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</si>
  <si>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</si>
  <si>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</si>
  <si>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</si>
  <si>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</si>
  <si>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</si>
  <si>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</si>
  <si>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</si>
  <si>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</si>
  <si>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</si>
  <si>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</si>
  <si>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</si>
  <si>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</si>
  <si>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</si>
  <si>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</si>
  <si>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</si>
  <si>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</si>
  <si>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</si>
  <si>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</si>
  <si>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</si>
  <si>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</si>
  <si>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</si>
  <si>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</si>
  <si>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</si>
  <si>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</si>
  <si>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</si>
  <si>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</si>
  <si>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</si>
  <si>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</si>
  <si>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</si>
  <si>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</si>
  <si>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</si>
  <si>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</si>
  <si>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</si>
  <si>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</si>
  <si>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</si>
  <si>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</si>
  <si>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</si>
  <si>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</si>
  <si>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</si>
  <si>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</si>
  <si>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</si>
  <si>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</si>
  <si>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</si>
  <si>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</si>
  <si>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</si>
  <si>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</si>
  <si>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</si>
  <si>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</si>
  <si>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</si>
  <si>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</si>
  <si>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</si>
  <si>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</si>
  <si>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</si>
  <si>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</si>
  <si>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</si>
  <si>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</si>
  <si>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</si>
  <si>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</si>
  <si>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</si>
  <si>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</si>
  <si>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</si>
  <si>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</si>
  <si>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</si>
  <si>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</si>
  <si>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</si>
  <si>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</si>
  <si>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</si>
  <si>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</si>
  <si>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</si>
  <si>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</si>
  <si>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</si>
  <si>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</si>
  <si>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</si>
  <si>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</si>
  <si>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</si>
  <si>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</si>
  <si>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</si>
  <si>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</si>
  <si>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</si>
  <si>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</si>
  <si>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</si>
  <si>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</si>
  <si>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</si>
  <si>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</si>
  <si>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</si>
  <si>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</si>
  <si>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</si>
  <si>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</si>
  <si>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</si>
  <si>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</si>
  <si>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</si>
  <si>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</si>
  <si>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</si>
  <si>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</si>
  <si>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</si>
  <si>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</si>
  <si>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</si>
  <si>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</si>
  <si>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</si>
  <si>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</si>
  <si>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</si>
  <si>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</si>
  <si>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</si>
  <si>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</si>
  <si>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</si>
  <si>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</si>
  <si>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</si>
  <si>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</si>
  <si>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</si>
  <si>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</si>
  <si>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</si>
  <si>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</si>
  <si>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</si>
  <si>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</si>
  <si>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</si>
  <si>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</si>
  <si>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</si>
  <si>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</si>
  <si>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</si>
  <si>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</si>
  <si>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</si>
  <si>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</si>
  <si>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</si>
  <si>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</si>
  <si>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</si>
  <si>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</si>
  <si>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</si>
  <si>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</si>
  <si>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</si>
  <si>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</si>
  <si>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</si>
  <si>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</si>
  <si>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</si>
  <si>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</si>
  <si>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</si>
  <si>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</si>
  <si>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</si>
  <si>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</si>
  <si>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</si>
  <si>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</si>
  <si>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</si>
  <si>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</si>
  <si>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</si>
  <si>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</si>
  <si>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</si>
  <si>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</si>
  <si>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</si>
  <si>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</si>
  <si>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</si>
  <si>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</si>
  <si>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</si>
  <si>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</si>
  <si>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</si>
  <si>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</si>
  <si>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</si>
  <si>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</si>
  <si>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</si>
  <si>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</si>
  <si>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</si>
  <si>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</si>
  <si>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</si>
  <si>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</si>
  <si>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</si>
  <si>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</si>
  <si>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</si>
  <si>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</si>
  <si>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</si>
  <si>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</si>
  <si>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</si>
  <si>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</si>
  <si>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</si>
  <si>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</si>
  <si>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</si>
  <si>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</si>
  <si>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</si>
  <si>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</si>
  <si>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</si>
  <si>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</si>
  <si>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</si>
  <si>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</si>
  <si>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</si>
  <si>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</si>
  <si>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</si>
  <si>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</si>
  <si>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</si>
  <si>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</si>
  <si>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</si>
  <si>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</si>
  <si>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</si>
  <si>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</si>
  <si>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</si>
  <si>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</si>
  <si>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</si>
  <si>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</si>
  <si>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</si>
  <si>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</si>
  <si>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</si>
  <si>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</si>
  <si>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</si>
  <si>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</si>
  <si>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</si>
  <si>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</si>
  <si>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</si>
  <si>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</si>
  <si>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</si>
  <si>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</si>
  <si>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</si>
  <si>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</si>
  <si>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</si>
  <si>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</si>
  <si>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</si>
  <si>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</si>
  <si>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</si>
  <si>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</si>
  <si>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</si>
  <si>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</si>
  <si>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</si>
  <si>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</si>
  <si>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</si>
  <si>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</si>
  <si>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</si>
  <si>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</si>
  <si>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</si>
  <si>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</si>
  <si>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</si>
  <si>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</si>
  <si>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</si>
  <si>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</si>
  <si>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</si>
  <si>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</si>
  <si>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</si>
  <si>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</si>
  <si>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</si>
  <si>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</si>
  <si>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</si>
  <si>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</si>
  <si>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</si>
  <si>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</si>
  <si>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</si>
  <si>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</si>
  <si>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</si>
  <si>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</si>
  <si>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</si>
  <si>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</si>
  <si>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</si>
  <si>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</si>
  <si>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</si>
  <si>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</si>
  <si>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</si>
  <si>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</si>
  <si>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</si>
  <si>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</si>
  <si>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</si>
  <si>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</si>
  <si>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</si>
  <si>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</si>
  <si>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</si>
  <si>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</si>
  <si>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</si>
  <si>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</si>
  <si>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</si>
  <si>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</si>
  <si>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</si>
  <si>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</si>
  <si>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</si>
  <si>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</si>
  <si>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</si>
  <si>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</si>
  <si>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</si>
  <si>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</si>
  <si>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</si>
  <si>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</si>
  <si>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</si>
  <si>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</si>
  <si>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</si>
  <si>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</si>
  <si>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</si>
  <si>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</si>
  <si>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</si>
  <si>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</si>
  <si>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</si>
  <si>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</si>
  <si>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</si>
  <si>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</si>
  <si>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</si>
  <si>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</si>
  <si>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</si>
  <si>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</si>
  <si>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</si>
  <si>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</si>
  <si>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</si>
  <si>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</si>
  <si>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</si>
  <si>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</si>
  <si>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</si>
  <si>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</si>
  <si>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</si>
  <si>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</si>
  <si>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</si>
  <si>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</si>
  <si>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</si>
  <si>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</si>
  <si>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</si>
  <si>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</si>
  <si>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</si>
  <si>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</si>
  <si>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</si>
  <si>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</si>
  <si>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</si>
  <si>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</si>
  <si>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</si>
  <si>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</si>
  <si>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</si>
  <si>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</si>
  <si>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</si>
  <si>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</si>
  <si>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</si>
  <si>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</si>
  <si>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</si>
  <si>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</si>
  <si>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</si>
  <si>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</si>
  <si>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</si>
  <si>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</si>
  <si>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</si>
  <si>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</si>
  <si>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</si>
  <si>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</si>
  <si>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</si>
  <si>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</si>
  <si>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</si>
  <si>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</si>
  <si>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</si>
  <si>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</si>
  <si>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</si>
  <si>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</si>
  <si>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</si>
  <si>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</si>
  <si>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</si>
  <si>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</si>
  <si>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</si>
  <si>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</si>
  <si>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</si>
  <si>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</si>
  <si>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</si>
  <si>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</si>
  <si>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</si>
  <si>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</si>
  <si>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</si>
  <si>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</si>
  <si>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</si>
  <si>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</si>
  <si>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</si>
  <si>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</si>
  <si>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</si>
  <si>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</si>
  <si>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</si>
  <si>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</si>
  <si>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</si>
  <si>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</si>
  <si>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</si>
  <si>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</si>
  <si>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</si>
  <si>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</si>
  <si>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</si>
  <si>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</si>
  <si>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</si>
  <si>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</si>
  <si>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</si>
  <si>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</si>
  <si>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</si>
  <si>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</si>
  <si>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</si>
  <si>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</si>
  <si>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</si>
  <si>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</si>
  <si>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</si>
  <si>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</si>
  <si>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</si>
  <si>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</si>
  <si>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</si>
  <si>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</si>
  <si>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</si>
  <si>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</si>
  <si>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</si>
  <si>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</si>
  <si>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</si>
  <si>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</si>
  <si>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</si>
  <si>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</si>
  <si>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</si>
  <si>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</si>
  <si>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</si>
  <si>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</si>
  <si>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</si>
  <si>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</si>
  <si>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</si>
  <si>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</si>
  <si>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</si>
  <si>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</si>
  <si>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</si>
  <si>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</si>
  <si>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</si>
  <si>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</si>
  <si>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</si>
  <si>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</si>
  <si>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</si>
  <si>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</si>
  <si>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</si>
  <si>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</si>
  <si>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</si>
  <si>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</si>
  <si>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</si>
  <si>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</si>
  <si>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</si>
  <si>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</si>
  <si>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</si>
  <si>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</si>
  <si>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</si>
  <si>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</si>
  <si>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</si>
  <si>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</si>
  <si>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</si>
  <si>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</si>
  <si>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</si>
  <si>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</si>
  <si>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</si>
  <si>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</si>
  <si>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</si>
  <si>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</si>
  <si>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</si>
  <si>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</si>
  <si>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</si>
  <si>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</si>
  <si>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</si>
  <si>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</si>
  <si>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</si>
  <si>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</si>
  <si>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</si>
  <si>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</si>
  <si>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</si>
  <si>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</si>
  <si>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</si>
  <si>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</si>
  <si>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</si>
  <si>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</si>
  <si>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</si>
  <si>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</si>
  <si>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</si>
  <si>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</si>
  <si>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</si>
  <si>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</si>
  <si>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</si>
  <si>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</si>
  <si>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</si>
  <si>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</si>
  <si>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</si>
  <si>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</si>
  <si>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</si>
  <si>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</si>
  <si>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</si>
  <si>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</si>
  <si>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</si>
  <si>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</si>
  <si>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</si>
  <si>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</si>
  <si>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</si>
  <si>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</si>
  <si>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</si>
  <si>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</si>
  <si>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</si>
  <si>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</si>
  <si>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</si>
  <si>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</si>
  <si>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</si>
  <si>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</si>
  <si>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</si>
  <si>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</si>
  <si>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</si>
  <si>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</si>
  <si>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</si>
  <si>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</si>
  <si>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</si>
  <si>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</si>
  <si>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</si>
  <si>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</si>
  <si>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</si>
  <si>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</si>
  <si>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</si>
  <si>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</si>
  <si>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</si>
  <si>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</si>
  <si>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</si>
  <si>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</si>
  <si>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</si>
  <si>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</si>
  <si>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</si>
  <si>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</si>
  <si>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</si>
  <si>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</si>
  <si>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</si>
  <si>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</si>
  <si>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</si>
  <si>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</si>
  <si>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</si>
  <si>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</si>
  <si>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</si>
  <si>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</si>
  <si>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</si>
  <si>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</si>
  <si>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</si>
  <si>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</si>
  <si>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</si>
  <si>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</si>
  <si>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</si>
  <si>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</si>
  <si>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</si>
  <si>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</si>
  <si>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</si>
  <si>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</si>
  <si>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</si>
  <si>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</si>
  <si>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</si>
  <si>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</si>
  <si>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</si>
  <si>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</si>
  <si>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</si>
  <si>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</si>
  <si>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</si>
  <si>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</si>
  <si>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</si>
  <si>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</si>
  <si>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</si>
  <si>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</si>
  <si>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</si>
  <si>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</si>
  <si>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</si>
  <si>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</si>
  <si>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</si>
  <si>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</si>
  <si>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</si>
  <si>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</si>
  <si>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</si>
  <si>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</si>
  <si>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</si>
  <si>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</si>
  <si>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</si>
  <si>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</si>
  <si>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</si>
  <si>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</si>
  <si>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</si>
  <si>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</si>
  <si>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</si>
  <si>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</si>
  <si>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</si>
  <si>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</si>
  <si>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</si>
  <si>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</si>
  <si>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</si>
  <si>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</si>
  <si>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</si>
  <si>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</si>
  <si>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</si>
  <si>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</si>
  <si>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</si>
  <si>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</si>
  <si>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</si>
  <si>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</si>
  <si>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</si>
  <si>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</si>
  <si>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</si>
  <si>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</si>
  <si>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</si>
  <si>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</si>
  <si>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</si>
  <si>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</si>
  <si>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</si>
  <si>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</si>
  <si>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</si>
  <si>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</si>
  <si>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</si>
  <si>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</si>
  <si>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</si>
  <si>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</si>
  <si>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</si>
  <si>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</si>
  <si>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</si>
  <si>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</si>
  <si>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</si>
  <si>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</si>
  <si>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</si>
  <si>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</si>
  <si>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</si>
  <si>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</si>
  <si>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</si>
  <si>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</si>
  <si>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</si>
  <si>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</si>
  <si>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</si>
  <si>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</si>
  <si>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</si>
  <si>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</si>
  <si>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</si>
  <si>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</si>
  <si>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</si>
  <si>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</si>
  <si>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</si>
  <si>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</si>
  <si>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</si>
  <si>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</si>
  <si>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</si>
  <si>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</si>
  <si>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</si>
  <si>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</si>
  <si>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</si>
  <si>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</si>
  <si>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</si>
  <si>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</si>
  <si>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</si>
  <si>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</si>
  <si>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</si>
  <si>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</si>
  <si>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</si>
  <si>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</si>
  <si>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</si>
  <si>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</si>
  <si>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</si>
  <si>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</si>
  <si>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</si>
  <si>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</si>
  <si>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</si>
  <si>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</si>
  <si>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</si>
  <si>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</si>
  <si>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</si>
  <si>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</si>
  <si>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</si>
  <si>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</si>
  <si>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</si>
  <si>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</si>
  <si>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</si>
  <si>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</si>
  <si>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</si>
  <si>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</si>
  <si>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</si>
  <si>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</si>
  <si>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</si>
  <si>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</si>
  <si>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</si>
  <si>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</si>
  <si>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</si>
  <si>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</si>
  <si>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</si>
  <si>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</si>
  <si>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</si>
  <si>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</si>
  <si>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</si>
  <si>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</si>
  <si>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</si>
  <si>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</si>
  <si>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</si>
  <si>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</si>
  <si>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</si>
  <si>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</si>
  <si>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</si>
  <si>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</si>
  <si>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</si>
  <si>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</si>
  <si>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</si>
  <si>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</si>
  <si>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</si>
  <si>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</si>
  <si>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</si>
  <si>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</si>
  <si>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</si>
  <si>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</si>
  <si>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</si>
  <si>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</si>
  <si>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</si>
  <si>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</si>
  <si>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</si>
  <si>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</si>
  <si>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</si>
  <si>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</si>
  <si>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</si>
  <si>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</si>
  <si>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</si>
  <si>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</si>
  <si>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</si>
  <si>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</si>
  <si>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</si>
  <si>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</si>
  <si>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</si>
  <si>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</si>
  <si>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</si>
  <si>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</si>
  <si>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</si>
  <si>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</si>
  <si>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</si>
  <si>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</si>
  <si>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</si>
  <si>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</si>
  <si>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</si>
  <si>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</si>
  <si>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</si>
  <si>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</si>
  <si>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</si>
  <si>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</si>
  <si>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</si>
  <si>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</si>
  <si>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</si>
  <si>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</si>
  <si>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</si>
  <si>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</si>
  <si>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</si>
  <si>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</si>
  <si>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</si>
  <si>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</si>
  <si>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</si>
  <si>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</si>
  <si>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</si>
  <si>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</si>
  <si>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</si>
  <si>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</si>
  <si>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</si>
  <si>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</si>
  <si>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</si>
  <si>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</si>
  <si>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</si>
  <si>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</si>
  <si>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</si>
  <si>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</si>
  <si>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</si>
  <si>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</si>
  <si>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</si>
  <si>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</si>
  <si>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</si>
  <si>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</si>
  <si>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</si>
  <si>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</si>
  <si>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</si>
  <si>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</si>
  <si>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</si>
  <si>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</si>
  <si>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</si>
  <si>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</si>
  <si>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</si>
  <si>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</si>
  <si>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</si>
  <si>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</si>
  <si>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</si>
  <si>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</si>
  <si>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</si>
  <si>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</si>
  <si>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</si>
  <si>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</si>
  <si>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</si>
  <si>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</si>
  <si>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</si>
  <si>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</si>
  <si>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</si>
  <si>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</si>
  <si>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</si>
  <si>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</si>
  <si>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</si>
  <si>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</si>
  <si>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</si>
  <si>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</si>
  <si>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</si>
  <si>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</si>
  <si>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</si>
  <si>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</si>
  <si>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</si>
  <si>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</si>
  <si>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</si>
  <si>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</si>
  <si>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</si>
  <si>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</si>
  <si>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</si>
  <si>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</si>
  <si>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</si>
  <si>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</si>
  <si>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</si>
  <si>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</si>
  <si>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</si>
  <si>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</si>
  <si>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</si>
  <si>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</si>
  <si>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</si>
  <si>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</si>
  <si>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</si>
  <si>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</si>
  <si>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</si>
  <si>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</si>
  <si>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</si>
  <si>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</si>
  <si>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</si>
  <si>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</si>
  <si>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</si>
  <si>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</si>
  <si>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</si>
  <si>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</si>
  <si>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</si>
  <si>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</si>
  <si>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</si>
  <si>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</si>
  <si>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</si>
  <si>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</si>
  <si>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</si>
  <si>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</si>
  <si>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</si>
  <si>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</si>
  <si>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</si>
  <si>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</si>
  <si>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</si>
  <si>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</si>
  <si>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</si>
  <si>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</si>
  <si>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</si>
  <si>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</si>
  <si>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</si>
  <si>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</si>
  <si>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</si>
  <si>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</si>
  <si>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</si>
  <si>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</si>
  <si>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</si>
  <si>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</si>
  <si>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</si>
  <si>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</si>
  <si>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</si>
  <si>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</si>
  <si>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</si>
  <si>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</si>
  <si>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</si>
  <si>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</si>
  <si>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</si>
  <si>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</si>
  <si>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</si>
  <si>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</si>
  <si>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</si>
  <si>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</si>
  <si>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</si>
  <si>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</si>
  <si>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</si>
  <si>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</si>
  <si>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</si>
  <si>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</si>
  <si>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</si>
  <si>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</si>
  <si>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</si>
  <si>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</si>
  <si>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</si>
  <si>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</si>
  <si>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</si>
  <si>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</si>
  <si>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</si>
  <si>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</si>
  <si>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</si>
  <si>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</si>
  <si>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</si>
  <si>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</si>
  <si>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</si>
  <si>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</si>
  <si>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</si>
  <si>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</si>
  <si>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</si>
  <si>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</si>
  <si>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</si>
  <si>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</si>
  <si>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</si>
  <si>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</si>
  <si>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</si>
  <si>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</si>
  <si>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</si>
  <si>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</si>
  <si>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</si>
  <si>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</si>
  <si>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</si>
  <si>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</si>
  <si>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</si>
  <si>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</si>
  <si>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</si>
  <si>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</si>
  <si>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</si>
  <si>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</si>
  <si>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</si>
  <si>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</si>
  <si>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</si>
  <si>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</si>
  <si>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</si>
  <si>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</si>
  <si>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</si>
  <si>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</si>
  <si>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</si>
  <si>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</si>
  <si>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</si>
  <si>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</si>
  <si>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</si>
  <si>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</si>
  <si>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</si>
  <si>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</si>
  <si>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</si>
  <si>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</si>
  <si>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</si>
  <si>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</si>
  <si>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</si>
  <si>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</si>
  <si>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</si>
  <si>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</si>
  <si>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</si>
  <si>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</si>
  <si>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</si>
  <si>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</si>
  <si>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</si>
  <si>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</si>
  <si>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</si>
  <si>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</si>
  <si>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</si>
  <si>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</si>
  <si>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</si>
  <si>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</si>
  <si>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</si>
  <si>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</si>
  <si>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</si>
  <si>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</si>
  <si>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</si>
  <si>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</si>
  <si>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</si>
  <si>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</si>
  <si>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</si>
  <si>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</si>
  <si>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</si>
  <si>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</si>
  <si>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</si>
  <si>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</si>
  <si>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</si>
  <si>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</si>
  <si>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</si>
  <si>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</si>
  <si>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</si>
  <si>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</si>
  <si>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</si>
  <si>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</si>
  <si>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</si>
  <si>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</si>
  <si>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</si>
  <si>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</si>
  <si>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</si>
  <si>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</si>
  <si>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</si>
  <si>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</si>
  <si>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</si>
  <si>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</si>
  <si>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</si>
  <si>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</si>
  <si>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</si>
  <si>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</si>
  <si>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</si>
  <si>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</si>
  <si>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</si>
  <si>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</si>
  <si>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</si>
  <si>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</si>
  <si>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</si>
  <si>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</si>
  <si>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</si>
  <si>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</si>
  <si>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</si>
  <si>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</si>
  <si>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</si>
  <si>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</si>
  <si>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</si>
  <si>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</si>
  <si>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</si>
  <si>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</si>
  <si>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</si>
  <si>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</si>
  <si>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</si>
  <si>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</si>
  <si>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</si>
  <si>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</si>
  <si>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</si>
  <si>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</si>
  <si>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</si>
  <si>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</si>
  <si>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</si>
  <si>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</si>
  <si>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</si>
  <si>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</si>
  <si>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</si>
  <si>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</si>
  <si>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</si>
  <si>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</si>
  <si>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</si>
  <si>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</si>
  <si>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</si>
  <si>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</si>
  <si>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</si>
  <si>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</si>
  <si>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</si>
  <si>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</si>
  <si>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</si>
  <si>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</si>
  <si>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</si>
  <si>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</si>
  <si>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</si>
  <si>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</si>
  <si>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</si>
  <si>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</si>
  <si>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</si>
  <si>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</si>
  <si>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</si>
  <si>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</si>
  <si>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</si>
  <si>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</si>
  <si>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</si>
  <si>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</si>
  <si>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</si>
  <si>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</si>
  <si>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</si>
  <si>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</si>
  <si>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</si>
  <si>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</si>
  <si>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</si>
  <si>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</si>
  <si>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</si>
  <si>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</si>
  <si>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</si>
  <si>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</si>
  <si>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</si>
  <si>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</si>
  <si>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</si>
  <si>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</si>
  <si>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</si>
  <si>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</si>
  <si>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</si>
  <si>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</si>
  <si>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</si>
  <si>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</si>
  <si>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</si>
  <si>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</si>
  <si>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</si>
  <si>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</si>
  <si>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</si>
  <si>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</si>
  <si>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</si>
  <si>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</si>
  <si>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</si>
  <si>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</si>
  <si>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</si>
  <si>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</si>
  <si>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</si>
  <si>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</si>
  <si>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</si>
  <si>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</si>
  <si>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</si>
  <si>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</si>
  <si>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</si>
  <si>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</si>
  <si>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</si>
  <si>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</si>
  <si>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</si>
  <si>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</si>
  <si>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</si>
  <si>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</si>
  <si>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</si>
  <si>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</si>
  <si>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</si>
  <si>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</si>
  <si>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</si>
  <si>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</si>
  <si>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</si>
  <si>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</si>
  <si>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</si>
  <si>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</si>
  <si>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</si>
  <si>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</si>
  <si>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</si>
  <si>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</si>
  <si>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</si>
  <si>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</si>
  <si>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</si>
  <si>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</si>
  <si>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</si>
  <si>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</si>
  <si>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</si>
  <si>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</si>
  <si>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</si>
  <si>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</si>
  <si>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</si>
  <si>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</si>
  <si>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</si>
  <si>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</si>
  <si>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</si>
  <si>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</si>
  <si>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</si>
  <si>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</si>
  <si>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</si>
  <si>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</si>
  <si>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</si>
  <si>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</si>
  <si>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</si>
  <si>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</si>
  <si>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</si>
  <si>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</si>
  <si>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</si>
  <si>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</si>
  <si>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</si>
  <si>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</si>
  <si>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</si>
  <si>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</si>
  <si>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</si>
  <si>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</si>
  <si>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</si>
  <si>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</si>
  <si>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</si>
  <si>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</si>
  <si>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</si>
  <si>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</si>
  <si>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</si>
  <si>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</si>
  <si>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</si>
  <si>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</si>
  <si>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</si>
  <si>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</si>
  <si>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</si>
  <si>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</si>
  <si>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</si>
  <si>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</si>
  <si>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</si>
  <si>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</si>
  <si>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</si>
  <si>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</si>
  <si>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</si>
  <si>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</si>
  <si>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</si>
  <si>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</si>
  <si>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</si>
  <si>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</si>
  <si>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</si>
  <si>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</si>
  <si>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</si>
  <si>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</si>
  <si>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</si>
  <si>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</si>
  <si>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</si>
  <si>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</si>
  <si>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</si>
  <si>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</si>
  <si>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</si>
  <si>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</si>
  <si>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</si>
  <si>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</si>
  <si>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</si>
  <si>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</si>
  <si>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</si>
  <si>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</si>
  <si>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</si>
  <si>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</si>
  <si>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</si>
  <si>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</si>
  <si>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</si>
  <si>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</si>
  <si>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</si>
  <si>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</si>
  <si>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</si>
  <si>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</si>
  <si>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</si>
  <si>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</si>
  <si>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</si>
  <si>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</si>
  <si>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</si>
  <si>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</si>
  <si>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</si>
  <si>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</si>
  <si>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</si>
  <si>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</si>
  <si>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</si>
  <si>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</si>
  <si>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</si>
  <si>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</si>
  <si>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</si>
  <si>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</si>
  <si>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</si>
  <si>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</si>
  <si>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</si>
  <si>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</si>
  <si>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</si>
  <si>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</si>
  <si>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</si>
  <si>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</si>
  <si>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</si>
  <si>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</si>
  <si>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</si>
  <si>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</si>
  <si>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</si>
  <si>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</si>
  <si>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</si>
  <si>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</si>
  <si>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</si>
  <si>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</si>
  <si>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</si>
  <si>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</si>
  <si>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</si>
  <si>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</si>
  <si>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</si>
  <si>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</si>
  <si>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</si>
  <si>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</si>
  <si>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</si>
  <si>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</si>
  <si>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</si>
  <si>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</si>
  <si>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</si>
  <si>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</si>
  <si>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</si>
  <si>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</si>
  <si>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</si>
  <si>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</si>
  <si>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</si>
  <si>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</si>
  <si>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</si>
  <si>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</si>
  <si>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</si>
  <si>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</si>
  <si>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</si>
  <si>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</si>
  <si>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</si>
  <si>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</si>
  <si>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</si>
  <si>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</si>
  <si>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</si>
  <si>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</si>
  <si>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</si>
  <si>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</si>
  <si>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</si>
  <si>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</si>
  <si>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</si>
  <si>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</si>
  <si>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</si>
  <si>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</si>
  <si>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</si>
  <si>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</si>
  <si>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</si>
  <si>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</si>
  <si>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</si>
  <si>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</si>
  <si>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</si>
  <si>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</si>
  <si>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</si>
  <si>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</si>
  <si>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</si>
  <si>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</si>
  <si>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</si>
  <si>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</si>
  <si>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</si>
  <si>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</si>
  <si>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</si>
  <si>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</si>
  <si>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</si>
  <si>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</si>
  <si>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</si>
  <si>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</si>
  <si>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</si>
  <si>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</si>
  <si>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</si>
  <si>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</si>
  <si>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</si>
  <si>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</si>
  <si>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</si>
  <si>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</si>
  <si>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</si>
  <si>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</si>
  <si>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</si>
  <si>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</si>
  <si>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</si>
  <si>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</si>
  <si>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</si>
  <si>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</si>
  <si>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</si>
  <si>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</si>
  <si>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</si>
  <si>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</si>
  <si>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</si>
  <si>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</si>
  <si>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</si>
  <si>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</si>
  <si>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</si>
  <si>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</si>
  <si>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</si>
  <si>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</si>
  <si>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</si>
  <si>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</si>
  <si>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</si>
  <si>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</si>
  <si>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</si>
  <si>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</si>
  <si>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</si>
  <si>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</si>
  <si>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</si>
  <si>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</si>
  <si>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</si>
  <si>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</si>
  <si>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</si>
  <si>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</si>
  <si>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</si>
  <si>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</si>
  <si>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</si>
  <si>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</si>
  <si>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</si>
  <si>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</si>
  <si>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</si>
  <si>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</si>
  <si>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</si>
  <si>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</si>
  <si>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</si>
  <si>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</si>
  <si>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</si>
  <si>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</si>
  <si>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</si>
  <si>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</si>
  <si>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</si>
  <si>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</si>
  <si>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</si>
  <si>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</si>
  <si>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</si>
  <si>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</si>
  <si>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</si>
  <si>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</si>
  <si>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</si>
  <si>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</si>
  <si>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</si>
  <si>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</si>
  <si>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</si>
  <si>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</si>
  <si>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</si>
  <si>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</si>
  <si>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</si>
  <si>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</si>
  <si>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</si>
  <si>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</si>
  <si>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</si>
  <si>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</si>
  <si>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</si>
  <si>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</si>
  <si>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</si>
  <si>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</si>
  <si>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</si>
  <si>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</si>
  <si>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</si>
  <si>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</si>
  <si>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</si>
  <si>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</si>
  <si>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</si>
  <si>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</si>
  <si>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</si>
  <si>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</si>
  <si>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</si>
  <si>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</si>
  <si>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</si>
  <si>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</si>
  <si>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</si>
  <si>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</si>
  <si>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</si>
  <si>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</si>
  <si>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</si>
  <si>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</si>
  <si>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</si>
  <si>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</si>
  <si>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</si>
  <si>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</si>
  <si>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</si>
  <si>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</si>
  <si>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</si>
  <si>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</si>
  <si>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</si>
  <si>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</si>
  <si>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</si>
  <si>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</si>
  <si>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</si>
  <si>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</si>
  <si>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</si>
  <si>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</si>
  <si>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</si>
  <si>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</si>
  <si>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</si>
  <si>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</si>
  <si>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</si>
  <si>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</si>
  <si>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</si>
  <si>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</si>
  <si>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</si>
  <si>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</si>
  <si>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</si>
  <si>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</si>
  <si>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</si>
  <si>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</si>
  <si>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</si>
  <si>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</si>
  <si>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</si>
  <si>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</si>
  <si>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</si>
  <si>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</si>
  <si>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</si>
  <si>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</si>
  <si>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</si>
  <si>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</si>
  <si>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</si>
  <si>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</si>
  <si>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</si>
  <si>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</si>
  <si>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</si>
  <si>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</si>
  <si>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</si>
  <si>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</si>
  <si>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</si>
  <si>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</si>
  <si>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</si>
  <si>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</si>
  <si>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</si>
  <si>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</si>
  <si>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</si>
  <si>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</si>
  <si>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</si>
  <si>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</si>
  <si>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</si>
  <si>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</si>
  <si>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</si>
  <si>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</si>
  <si>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</si>
  <si>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</si>
  <si>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</si>
  <si>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</si>
  <si>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</si>
  <si>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</si>
  <si>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</si>
  <si>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</si>
  <si>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</si>
  <si>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</si>
  <si>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</si>
  <si>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</si>
  <si>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</si>
  <si>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</si>
  <si>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</si>
  <si>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</si>
  <si>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</si>
  <si>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</si>
  <si>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</si>
  <si>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</si>
  <si>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</si>
  <si>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</si>
  <si>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</si>
  <si>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</si>
  <si>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</si>
  <si>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</si>
  <si>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</si>
  <si>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</si>
  <si>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</si>
  <si>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</si>
  <si>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</si>
  <si>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</si>
  <si>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</si>
  <si>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</si>
  <si>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</si>
  <si>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</si>
  <si>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</si>
  <si>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</si>
  <si>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</si>
  <si>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</si>
  <si>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</si>
  <si>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</si>
  <si>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</si>
  <si>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</si>
  <si>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</si>
  <si>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</si>
  <si>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</si>
  <si>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</si>
  <si>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</si>
  <si>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</si>
  <si>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</si>
  <si>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</si>
  <si>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</si>
  <si>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</si>
  <si>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</si>
  <si>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</si>
  <si>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</si>
  <si>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</si>
  <si>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</si>
  <si>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</si>
  <si>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</si>
  <si>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</si>
  <si>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</si>
  <si>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</si>
  <si>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</si>
  <si>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</si>
  <si>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</si>
  <si>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</si>
  <si>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</si>
  <si>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</si>
  <si>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</si>
  <si>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</si>
  <si>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</si>
  <si>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</si>
  <si>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</si>
  <si>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</si>
  <si>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</si>
  <si>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</si>
  <si>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</si>
  <si>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</si>
  <si>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</si>
  <si>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</si>
  <si>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</si>
  <si>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</si>
  <si>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</si>
  <si>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</si>
  <si>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</si>
  <si>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</si>
  <si>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</si>
  <si>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</si>
  <si>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</si>
  <si>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</si>
  <si>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</si>
  <si>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</si>
  <si>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</si>
  <si>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</si>
  <si>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</si>
  <si>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</si>
  <si>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</si>
  <si>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</si>
  <si>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</si>
  <si>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</si>
  <si>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</si>
  <si>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</si>
  <si>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</si>
  <si>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</si>
  <si>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</si>
  <si>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</si>
  <si>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</si>
  <si>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</si>
  <si>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</si>
  <si>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</si>
  <si>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</si>
  <si>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</si>
  <si>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</si>
  <si>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</si>
  <si>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</si>
  <si>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</si>
  <si>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</si>
  <si>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</si>
  <si>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</si>
  <si>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</si>
  <si>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</si>
  <si>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</si>
  <si>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</si>
  <si>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</si>
  <si>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</si>
  <si>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</si>
  <si>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</si>
  <si>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</si>
  <si>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</si>
  <si>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</si>
  <si>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</si>
  <si>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</si>
  <si>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</si>
  <si>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</si>
  <si>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</si>
  <si>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</si>
  <si>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</si>
  <si>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</si>
  <si>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</si>
  <si>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</si>
  <si>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</si>
  <si>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</si>
  <si>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</si>
  <si>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</si>
  <si>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</si>
  <si>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</si>
  <si>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</si>
  <si>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</si>
  <si>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</si>
  <si>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</si>
  <si>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</si>
  <si>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</si>
  <si>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</si>
  <si>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</si>
  <si>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</si>
  <si>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</si>
  <si>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</si>
  <si>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</si>
  <si>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</si>
  <si>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</si>
  <si>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</si>
  <si>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</si>
  <si>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</si>
  <si>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</si>
  <si>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</si>
  <si>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</si>
  <si>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</si>
  <si>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</si>
  <si>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</si>
  <si>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</si>
  <si>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</si>
  <si>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</si>
  <si>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</si>
  <si>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</si>
  <si>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</si>
  <si>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</si>
  <si>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</si>
  <si>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</si>
  <si>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</si>
  <si>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</si>
  <si>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</si>
  <si>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</si>
  <si>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</si>
  <si>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</si>
  <si>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</si>
  <si>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</si>
  <si>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</si>
  <si>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</si>
  <si>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</si>
  <si>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</si>
  <si>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</si>
  <si>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</si>
  <si>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</si>
  <si>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</si>
  <si>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</si>
  <si>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</si>
  <si>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</si>
  <si>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</si>
  <si>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</si>
  <si>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</si>
  <si>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</si>
  <si>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</si>
  <si>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</si>
  <si>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</si>
  <si>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</si>
  <si>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</si>
  <si>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</si>
  <si>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</si>
  <si>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</si>
  <si>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</si>
  <si>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</si>
  <si>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</si>
  <si>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</si>
  <si>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</si>
  <si>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</si>
  <si>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</si>
  <si>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</si>
  <si>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</si>
  <si>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</si>
  <si>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</si>
  <si>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</si>
  <si>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</si>
  <si>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</si>
  <si>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</si>
  <si>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</si>
  <si>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</si>
  <si>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</si>
  <si>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</si>
  <si>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</si>
  <si>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</si>
  <si>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</si>
  <si>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</si>
  <si>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</si>
  <si>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</si>
  <si>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</si>
  <si>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</si>
  <si>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</si>
  <si>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</si>
  <si>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</si>
  <si>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</si>
  <si>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</si>
  <si>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</si>
  <si>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</si>
  <si>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</si>
  <si>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</si>
  <si>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</si>
  <si>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</si>
  <si>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</si>
  <si>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</si>
  <si>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</si>
  <si>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</si>
  <si>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</si>
  <si>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</si>
  <si>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</si>
  <si>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</si>
  <si>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</si>
  <si>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</si>
  <si>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</si>
  <si>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</si>
  <si>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</si>
  <si>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</si>
  <si>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</si>
  <si>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</si>
  <si>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</si>
  <si>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</si>
  <si>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</si>
  <si>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</si>
  <si>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</si>
  <si>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</si>
  <si>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</si>
  <si>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</si>
  <si>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</si>
  <si>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</si>
  <si>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</si>
  <si>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</si>
  <si>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</si>
  <si>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</si>
  <si>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</si>
  <si>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</si>
  <si>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</si>
  <si>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</si>
  <si>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</si>
  <si>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</si>
  <si>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</si>
  <si>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</si>
  <si>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</si>
  <si>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</si>
  <si>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</si>
  <si>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</si>
  <si>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</si>
  <si>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</si>
  <si>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</si>
  <si>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</si>
  <si>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</si>
  <si>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</si>
  <si>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</si>
  <si>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</si>
  <si>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</si>
  <si>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</si>
  <si>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</si>
  <si>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</si>
  <si>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</si>
  <si>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</si>
  <si>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</si>
  <si>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</si>
  <si>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</si>
  <si>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</si>
  <si>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</si>
  <si>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</si>
  <si>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</si>
  <si>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</si>
  <si>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</si>
  <si>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</si>
  <si>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</si>
  <si>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</si>
  <si>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</si>
  <si>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</si>
  <si>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</si>
  <si>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</si>
  <si>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</si>
  <si>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</si>
  <si>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</si>
  <si>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</si>
  <si>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</si>
  <si>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</si>
  <si>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</si>
  <si>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</si>
  <si>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</si>
  <si>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</si>
  <si>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</si>
  <si>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</si>
  <si>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</si>
  <si>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</si>
  <si>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</si>
  <si>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</si>
  <si>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</si>
  <si>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</si>
  <si>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</si>
  <si>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</si>
  <si>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</si>
  <si>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</si>
  <si>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</si>
  <si>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</si>
  <si>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Bayernliga Herren</t>
  </si>
  <si>
    <t>defekt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</si>
  <si>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</si>
  <si>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</si>
  <si>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</si>
  <si>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</si>
  <si>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</si>
  <si>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</si>
  <si>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</si>
  <si>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</si>
  <si>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</si>
  <si>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</si>
  <si>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</si>
  <si>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</si>
  <si>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</si>
  <si>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</si>
  <si>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</si>
  <si>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</si>
  <si>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</si>
  <si>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</si>
  <si>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</si>
  <si>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</si>
  <si>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</si>
  <si>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</si>
  <si>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</si>
  <si>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</si>
  <si>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</si>
  <si>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</si>
  <si>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</si>
  <si>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</si>
  <si>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</si>
  <si>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</si>
  <si>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</si>
  <si>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</si>
  <si>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</si>
  <si>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</si>
  <si>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</si>
  <si>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</si>
  <si>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</si>
  <si>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</si>
  <si>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</si>
  <si>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</si>
  <si>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</si>
  <si>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</si>
  <si>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</si>
  <si>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funktioniert nicht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</si>
  <si>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</si>
  <si>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</si>
  <si>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</si>
  <si>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</si>
  <si>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</si>
  <si>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</si>
  <si>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</si>
  <si>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</si>
  <si>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</si>
  <si>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</si>
  <si>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</si>
  <si>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</si>
  <si>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</si>
  <si>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</si>
  <si>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</si>
  <si>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</si>
  <si>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</si>
  <si>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</si>
  <si>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</si>
  <si>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</si>
  <si>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</si>
  <si>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</si>
  <si>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</si>
  <si>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</si>
  <si>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</si>
  <si>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</si>
  <si>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</si>
  <si>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</si>
  <si>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</si>
  <si>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</si>
  <si>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</si>
  <si>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</si>
  <si>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</si>
  <si>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</si>
  <si>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</si>
  <si>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</si>
  <si>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</si>
  <si>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</si>
  <si>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</si>
  <si>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</si>
  <si>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</si>
  <si>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</si>
  <si>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</si>
  <si>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</si>
  <si>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</si>
  <si>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</si>
  <si>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</si>
  <si>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</si>
  <si>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</si>
  <si>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</si>
  <si>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</si>
  <si>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</si>
  <si>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</si>
  <si>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</si>
  <si>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</si>
  <si>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</si>
  <si>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</si>
  <si>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</si>
  <si>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</si>
  <si>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</si>
  <si>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</si>
  <si>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</si>
  <si>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</si>
  <si>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</si>
  <si>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</si>
  <si>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</si>
  <si>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</si>
  <si>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</si>
  <si>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</si>
  <si>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BC Comet Nürnberg</t>
  </si>
  <si>
    <t>Bajuwaren München 1</t>
  </si>
  <si>
    <t>BK München 3</t>
  </si>
  <si>
    <t>RW Lichtenhof Stein 1</t>
  </si>
  <si>
    <t>SG Rottendorf 1</t>
  </si>
  <si>
    <t>Schanzer Ingolstadt 1</t>
  </si>
  <si>
    <t>BC EMAX Unterföhring 2</t>
  </si>
  <si>
    <t>Bowlinghaus Bamberg 1</t>
  </si>
  <si>
    <t>High Roller Rosenheim 1</t>
  </si>
  <si>
    <t>Liste der aktiven Mitglieder in der Saison 2024/25</t>
  </si>
  <si>
    <t>Stand vom 13.08.2024</t>
  </si>
  <si>
    <t>Sortierung nach: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</si>
  <si>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</si>
  <si>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</si>
  <si>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</si>
  <si>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</si>
  <si>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</si>
  <si>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</si>
  <si>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</si>
  <si>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</si>
  <si>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</si>
  <si>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</si>
  <si>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</si>
  <si>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</si>
  <si>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</si>
  <si>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</si>
  <si>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</si>
  <si>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</si>
  <si>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</si>
  <si>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</si>
  <si>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</si>
  <si>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</si>
  <si>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</si>
  <si>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</si>
  <si>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</si>
  <si>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</si>
  <si>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</si>
  <si>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</si>
  <si>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</si>
  <si>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</si>
  <si>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</si>
  <si>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</si>
  <si>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</si>
  <si>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</si>
  <si>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</si>
  <si>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</si>
  <si>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</si>
  <si>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</si>
  <si>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</si>
  <si>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</si>
  <si>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</si>
  <si>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</si>
  <si>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</si>
  <si>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</si>
  <si>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</si>
  <si>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</si>
  <si>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</si>
  <si>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</si>
  <si>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</si>
  <si>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</si>
  <si>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</si>
  <si>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</si>
  <si>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</si>
  <si>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</si>
  <si>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</si>
  <si>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</si>
  <si>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</si>
  <si>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</si>
  <si>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</si>
  <si>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</si>
  <si>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</si>
  <si>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</si>
  <si>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</si>
  <si>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</si>
  <si>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</si>
  <si>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</si>
  <si>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</si>
  <si>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</si>
  <si>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</si>
  <si>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</si>
  <si>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</si>
  <si>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</si>
  <si>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</si>
  <si>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</si>
  <si>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</si>
  <si>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</si>
  <si>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</si>
  <si>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</si>
  <si>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</si>
  <si>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</si>
  <si>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</si>
  <si>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</si>
  <si>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</si>
  <si>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</si>
  <si>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</si>
  <si>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</si>
  <si>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</si>
  <si>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</si>
  <si>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</si>
  <si>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</si>
  <si>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</si>
  <si>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</si>
  <si>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</si>
  <si>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</si>
  <si>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</si>
  <si>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</si>
  <si>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</si>
  <si>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</si>
  <si>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</si>
  <si>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</si>
  <si>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</si>
  <si>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</si>
  <si>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</si>
  <si>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x</t>
  </si>
  <si>
    <t>als leihe nicht nachvollziehbar. Bitte um Rückmeldung</t>
  </si>
  <si>
    <t>Verwerfer und Bälle auf Bahn 16. Gripper auf Bahn 16 erneuert</t>
  </si>
  <si>
    <t>1. Verzögerung durch Stau auf dem Zubringer der Eschenrieder Spanne 10 minuten später . 2 10 Minuten Pause nach dem 2 Spikel um die Tabelle zu aktualisieren und neu zu sortieren. ( Meldelisten sind am Sonntag da. )</t>
  </si>
  <si>
    <t>Börding Peter,  BK München</t>
  </si>
  <si>
    <t>Tom Eck, E.P.A München</t>
  </si>
  <si>
    <t>Börding Peter, BK München</t>
  </si>
  <si>
    <t>Glatzer Daniel, Comet Nürnberg</t>
  </si>
  <si>
    <t>Spieltag 1,  12.10/13.10 Team Nr.6  SG Rottendorf Spieler 4 , Spiel 8 gestrichen Wechselfehler ( Schön Horst - Wendel Dominik )</t>
  </si>
  <si>
    <t>09:00/08:30</t>
  </si>
  <si>
    <t>ÖlbildDeadman`s Curve wurde über Mikrofon bekannt gegeben</t>
  </si>
  <si>
    <t>div.</t>
  </si>
  <si>
    <t>Spiel 3: Bowlinghaus Bamberg Karl William nach 5. Frame wg. Verletzung ausgewechselt. Nickoleit Thomas eingewechselt.</t>
  </si>
  <si>
    <t>Passkonztrolle: DJK Rimpar, Altenfeld Marco fehlt Vereins u Clubeintrag, Comet Nürnberg, Schick Andreas gehlt Clubeintrag, Spielende Samstag 13:15, Sonntag 14:30</t>
  </si>
  <si>
    <t>Peter Börding,  BK München</t>
  </si>
  <si>
    <t>Bruno Hödl, BF RW Lichtenhof 69</t>
  </si>
  <si>
    <t>Renner, Alexander</t>
  </si>
  <si>
    <t>08:45/08:30</t>
  </si>
  <si>
    <t>Kratzer im Ball Bahn wurde verlegt</t>
  </si>
  <si>
    <t>Passkontrolle erfolgt, alle Pässe i.O.</t>
  </si>
  <si>
    <t>Peter Börding, BK München</t>
  </si>
  <si>
    <t>Wiemken Dieter, BK München</t>
  </si>
  <si>
    <t>Tavares, S.</t>
  </si>
  <si>
    <t>BC Highroller Rosenheim</t>
  </si>
  <si>
    <t>Lüthje Dennis 7600 Verletzung am Finger.  7 Frame , Spiel 6</t>
  </si>
  <si>
    <t>Petra Schroll, BC Castra Regina</t>
  </si>
  <si>
    <t>Wieczorek Ben</t>
  </si>
  <si>
    <t>Spieler Hinterwimmer Georg EDV 07867 BK München 3 hat RL-Karte verloren, neu beantragt!</t>
  </si>
  <si>
    <t>Rainer Mundhenk, BC Bajuwaren München</t>
  </si>
  <si>
    <t>Gerhard Glaser, DJK Rimpar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</si>
</sst>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#0;\(##0\)"/>
  </numFmts>
  <fonts count="4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8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5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9" fontId="13" fillId="0" borderId="12" xfId="0" applyNumberFormat="1" applyFont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horizontal="center" vertical="center"/>
    </xf>
    <xf numFmtId="170" fontId="13" fillId="0" borderId="14" xfId="2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170" fontId="13" fillId="0" borderId="12" xfId="2" applyNumberFormat="1" applyFont="1" applyBorder="1" applyAlignment="1">
      <alignment horizontal="center" vertical="center"/>
    </xf>
    <xf numFmtId="166" fontId="13" fillId="0" borderId="12" xfId="0" applyNumberFormat="1" applyFont="1" applyBorder="1" applyAlignment="1">
      <alignment horizontal="center" vertical="center"/>
    </xf>
    <xf numFmtId="169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5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5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5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5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5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5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5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6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5" fontId="5" fillId="0" borderId="30" xfId="0" applyNumberFormat="1" applyFont="1" applyBorder="1" applyAlignment="1" applyProtection="1">
      <alignment vertical="center"/>
      <protection locked="0"/>
    </xf>
    <xf numFmtId="165" fontId="5" fillId="0" borderId="23" xfId="0" applyNumberFormat="1" applyFont="1" applyBorder="1" applyAlignment="1" applyProtection="1">
      <alignment vertical="center"/>
      <protection locked="0"/>
    </xf>
    <xf numFmtId="165" fontId="5" fillId="0" borderId="31" xfId="0" applyNumberFormat="1" applyFont="1" applyBorder="1" applyAlignment="1" applyProtection="1">
      <alignment vertical="center"/>
      <protection locked="0"/>
    </xf>
    <xf numFmtId="166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6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6" fontId="0" fillId="0" borderId="37" xfId="0" applyNumberFormat="1" applyBorder="1" applyAlignment="1">
      <alignment vertical="center"/>
    </xf>
    <xf numFmtId="166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6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6" fontId="0" fillId="0" borderId="43" xfId="0" applyNumberFormat="1" applyBorder="1" applyAlignment="1">
      <alignment horizontal="center" vertical="center"/>
    </xf>
    <xf numFmtId="165" fontId="2" fillId="0" borderId="44" xfId="0" applyNumberFormat="1" applyFont="1" applyBorder="1" applyAlignment="1">
      <alignment vertical="center"/>
    </xf>
    <xf numFmtId="166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6" fontId="0" fillId="0" borderId="12" xfId="0" applyNumberFormat="1" applyBorder="1" applyAlignment="1">
      <alignment vertical="center"/>
    </xf>
    <xf numFmtId="166" fontId="2" fillId="0" borderId="21" xfId="0" applyNumberFormat="1" applyFont="1" applyBorder="1" applyAlignment="1">
      <alignment horizontal="center" vertical="center"/>
    </xf>
    <xf numFmtId="166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6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70" fontId="13" fillId="0" borderId="13" xfId="2" applyNumberFormat="1" applyFont="1" applyBorder="1" applyAlignment="1" applyProtection="1">
      <alignment horizontal="center" vertical="center"/>
    </xf>
    <xf numFmtId="166" fontId="7" fillId="0" borderId="13" xfId="0" applyNumberFormat="1" applyFont="1" applyBorder="1" applyAlignment="1">
      <alignment horizontal="center" vertical="center"/>
    </xf>
    <xf numFmtId="167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5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1" fontId="0" fillId="0" borderId="21" xfId="0" applyNumberFormat="1" applyBorder="1" applyAlignment="1" applyProtection="1">
      <alignment horizontal="center" vertical="center"/>
      <protection locked="0"/>
    </xf>
    <xf numFmtId="171" fontId="0" fillId="0" borderId="16" xfId="0" applyNumberFormat="1" applyBorder="1" applyAlignment="1" applyProtection="1">
      <alignment horizontal="center" vertical="center"/>
      <protection locked="0"/>
    </xf>
    <xf numFmtId="171" fontId="0" fillId="0" borderId="51" xfId="0" applyNumberFormat="1" applyBorder="1" applyAlignment="1" applyProtection="1">
      <alignment horizontal="center" vertical="center"/>
      <protection locked="0"/>
    </xf>
    <xf numFmtId="171" fontId="0" fillId="0" borderId="52" xfId="0" applyNumberFormat="1" applyBorder="1" applyAlignment="1" applyProtection="1">
      <alignment horizontal="center" vertical="center"/>
      <protection locked="0"/>
    </xf>
    <xf numFmtId="171" fontId="0" fillId="0" borderId="24" xfId="0" applyNumberFormat="1" applyBorder="1" applyAlignment="1" applyProtection="1">
      <alignment horizontal="center" vertical="center"/>
      <protection locked="0"/>
    </xf>
    <xf numFmtId="171" fontId="5" fillId="0" borderId="16" xfId="0" applyNumberFormat="1" applyFont="1" applyBorder="1" applyAlignment="1" applyProtection="1">
      <alignment horizontal="center" vertical="center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1" fontId="5" fillId="0" borderId="44" xfId="0" applyNumberFormat="1" applyFont="1" applyBorder="1" applyAlignment="1">
      <alignment horizontal="center" vertical="center"/>
    </xf>
    <xf numFmtId="166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6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7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7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7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171" fontId="0" fillId="2" borderId="52" xfId="0" applyNumberFormat="1" applyFill="1" applyBorder="1" applyAlignment="1" applyProtection="1">
      <alignment horizontal="center" vertical="center"/>
      <protection locked="0"/>
    </xf>
    <xf numFmtId="171" fontId="35" fillId="0" borderId="16" xfId="0" applyNumberFormat="1" applyFont="1" applyBorder="1" applyAlignment="1" applyProtection="1">
      <alignment horizontal="center" vertical="center"/>
      <protection locked="0"/>
    </xf>
    <xf numFmtId="171" fontId="1" fillId="0" borderId="16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5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166" fontId="0" fillId="0" borderId="37" xfId="0" applyNumberFormat="1" applyBorder="1" applyAlignment="1">
      <alignment horizontal="center" vertical="center"/>
    </xf>
    <xf numFmtId="166" fontId="0" fillId="0" borderId="39" xfId="0" applyNumberFormat="1" applyBorder="1" applyAlignment="1">
      <alignment horizontal="center" vertical="center"/>
    </xf>
    <xf numFmtId="166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1FEEC146-C419-40A0-B04A-DC2446D04B47}"/>
    <cellStyle name="Standard_BM Jugend Do 2008" xfId="8" xr:uid="{00000000-0005-0000-0000-000008000000}"/>
    <cellStyle name="Währung 2" xfId="9" xr:uid="{00000000-0005-0000-0000-000009000000}"/>
    <cellStyle name="Währung 2 2" xfId="10" xr:uid="{00000000-0005-0000-0000-00000A000000}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6</xdr:row>
          <xdr:rowOff>99060</xdr:rowOff>
        </xdr:from>
        <xdr:to>
          <xdr:col>13</xdr:col>
          <xdr:colOff>129540</xdr:colOff>
          <xdr:row>8</xdr:row>
          <xdr:rowOff>7620</xdr:rowOff>
        </xdr:to>
        <xdr:sp macro="" textlink="">
          <xdr:nvSpPr>
            <xdr:cNvPr id="36900" name="Button 36" hidden="1">
              <a:extLst>
                <a:ext uri="{63B3BB69-23CF-44E3-9099-C40C66FF867C}">
                  <a14:compatExt spid="_x0000_s36900"/>
                </a:ext>
                <a:ext uri="{FF2B5EF4-FFF2-40B4-BE49-F238E27FC236}">
                  <a16:creationId xmlns:a16="http://schemas.microsoft.com/office/drawing/2014/main" id="{00000000-0008-0000-2D00-00002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EDV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8</xdr:row>
          <xdr:rowOff>114300</xdr:rowOff>
        </xdr:from>
        <xdr:to>
          <xdr:col>13</xdr:col>
          <xdr:colOff>137160</xdr:colOff>
          <xdr:row>10</xdr:row>
          <xdr:rowOff>30480</xdr:rowOff>
        </xdr:to>
        <xdr:sp macro="" textlink="">
          <xdr:nvSpPr>
            <xdr:cNvPr id="36901" name="Button 37" hidden="1">
              <a:extLst>
                <a:ext uri="{63B3BB69-23CF-44E3-9099-C40C66FF867C}">
                  <a14:compatExt spid="_x0000_s36901"/>
                </a:ext>
                <a:ext uri="{FF2B5EF4-FFF2-40B4-BE49-F238E27FC236}">
                  <a16:creationId xmlns:a16="http://schemas.microsoft.com/office/drawing/2014/main" id="{00000000-0008-0000-2D00-00002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11</xdr:row>
          <xdr:rowOff>0</xdr:rowOff>
        </xdr:from>
        <xdr:to>
          <xdr:col>13</xdr:col>
          <xdr:colOff>137160</xdr:colOff>
          <xdr:row>12</xdr:row>
          <xdr:rowOff>76200</xdr:rowOff>
        </xdr:to>
        <xdr:sp macro="" textlink="">
          <xdr:nvSpPr>
            <xdr:cNvPr id="36902" name="Button 38" hidden="1">
              <a:extLst>
                <a:ext uri="{63B3BB69-23CF-44E3-9099-C40C66FF867C}">
                  <a14:compatExt spid="_x0000_s36902"/>
                </a:ext>
                <a:ext uri="{FF2B5EF4-FFF2-40B4-BE49-F238E27FC236}">
                  <a16:creationId xmlns:a16="http://schemas.microsoft.com/office/drawing/2014/main" id="{00000000-0008-0000-2D00-00002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Verein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497bf6d2a9305fdc/Desktop/Liga%202425/Kopie%20von%20aktive_2408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/>
      <sheetData sheetId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/>
      <sheetData sheetId="3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ber"/>
      <sheetName val="Tabelle1"/>
      <sheetName val="Vereine"/>
      <sheetName val="Kopie von aktive_240813"/>
    </sheetNames>
    <definedNames>
      <definedName name="EDV"/>
      <definedName name="Name"/>
      <definedName name="Verein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6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4"/>
  <sheetViews>
    <sheetView showGridLines="0" zoomScaleNormal="100" zoomScaleSheetLayoutView="100" workbookViewId="0">
      <selection activeCell="C5" sqref="C5"/>
    </sheetView>
  </sheetViews>
  <sheetFormatPr baseColWidth="10" defaultRowHeight="13.8" x14ac:dyDescent="0.25"/>
  <cols>
    <col min="1" max="1" width="11.33203125" style="197" bestFit="1" customWidth="1"/>
    <col min="2" max="2" width="17.109375" style="198" customWidth="1"/>
    <col min="3" max="3" width="62.88671875" style="198" customWidth="1"/>
  </cols>
  <sheetData>
    <row r="1" spans="1:3" x14ac:dyDescent="0.25">
      <c r="A1" s="195" t="s">
        <v>1838</v>
      </c>
      <c r="B1" s="196" t="s">
        <v>2019</v>
      </c>
      <c r="C1" s="196" t="str">
        <f>"Prüfung / Änderung "&amp;TEXT(MAX(A:A),"TT.MM.JJJJ")</f>
        <v>Prüfung / Änderung 25.07.2024</v>
      </c>
    </row>
    <row r="2" spans="1:3" hidden="1" x14ac:dyDescent="0.25">
      <c r="A2" s="197">
        <v>45498</v>
      </c>
      <c r="C2" s="198" t="s">
        <v>2243</v>
      </c>
    </row>
    <row r="3" spans="1:3" hidden="1" x14ac:dyDescent="0.25"/>
    <row r="4" spans="1:3" hidden="1" x14ac:dyDescent="0.25"/>
  </sheetData>
  <sheetProtection password="D714" sheet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topLeftCell="A63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31" t="s">
        <v>1837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2"/>
      <c r="R4" s="332"/>
      <c r="S4" s="332"/>
      <c r="T4" s="332"/>
      <c r="U4" s="332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3">
        <f>+Spielzettel2!T2</f>
        <v>2</v>
      </c>
      <c r="F6" s="334"/>
      <c r="P6" s="140" t="s">
        <v>1838</v>
      </c>
      <c r="Q6" s="335" t="str">
        <f>+Spielzettel2!U1</f>
        <v>02.11./03.11.</v>
      </c>
      <c r="R6" s="336">
        <v>0</v>
      </c>
      <c r="S6" s="336">
        <v>0</v>
      </c>
      <c r="T6" s="337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8" t="str">
        <f>+Spielzettel2!F2</f>
        <v>Nürnberg West Bowling</v>
      </c>
      <c r="F8" s="339"/>
      <c r="G8" s="339"/>
      <c r="H8" s="339">
        <v>0</v>
      </c>
      <c r="I8" s="339"/>
      <c r="J8" s="340"/>
      <c r="N8" s="140" t="s">
        <v>1840</v>
      </c>
      <c r="P8" s="338" t="str">
        <f>+Spielzettel2!F1</f>
        <v>Bayernliga Herren</v>
      </c>
      <c r="Q8" s="339"/>
      <c r="R8" s="339"/>
      <c r="S8" s="339"/>
      <c r="T8" s="340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6" t="s">
        <v>1841</v>
      </c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163"/>
    </row>
    <row r="12" spans="2:21" ht="21.75" customHeight="1" x14ac:dyDescent="0.25">
      <c r="B12" s="164"/>
      <c r="C12" s="327" t="s">
        <v>1842</v>
      </c>
      <c r="D12" s="327"/>
      <c r="E12" s="327"/>
      <c r="F12" s="327"/>
      <c r="G12" s="327"/>
      <c r="H12" s="327"/>
      <c r="I12" s="327"/>
      <c r="J12" s="327"/>
      <c r="L12" s="150" t="s">
        <v>2556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 t="s">
        <v>2547</v>
      </c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9" t="s">
        <v>2557</v>
      </c>
      <c r="D19" s="320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2547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9" t="s">
        <v>2320</v>
      </c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1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0.53125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0"/>
      <c r="G30" s="330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9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 t="s">
        <v>2547</v>
      </c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5" t="s">
        <v>2558</v>
      </c>
      <c r="G36" s="325"/>
      <c r="H36" s="32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9" t="s">
        <v>2559</v>
      </c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6" t="s">
        <v>1863</v>
      </c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9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9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9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9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9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9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2" t="s">
        <v>2560</v>
      </c>
      <c r="D74" s="323"/>
      <c r="E74" s="323"/>
      <c r="F74" s="323"/>
      <c r="G74" s="323"/>
      <c r="H74" s="323"/>
      <c r="I74" s="323"/>
      <c r="J74" s="323"/>
      <c r="K74" s="323"/>
      <c r="L74" s="323"/>
      <c r="M74" s="323"/>
      <c r="N74" s="323"/>
      <c r="O74" s="323"/>
      <c r="P74" s="323"/>
      <c r="Q74" s="323"/>
      <c r="R74" s="323"/>
      <c r="S74" s="323"/>
      <c r="T74" s="324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7" t="s">
        <v>2561</v>
      </c>
      <c r="E77" s="318"/>
      <c r="F77" s="318"/>
      <c r="G77" s="318"/>
      <c r="H77" s="318"/>
      <c r="I77" s="318"/>
      <c r="J77" s="318"/>
      <c r="K77" s="318"/>
      <c r="L77" s="318"/>
      <c r="M77" s="318"/>
      <c r="P77" s="318"/>
      <c r="Q77" s="318"/>
      <c r="R77" s="318"/>
      <c r="S77" s="318"/>
      <c r="T77" s="318"/>
      <c r="U77" s="318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7" t="s">
        <v>2562</v>
      </c>
      <c r="E80" s="318"/>
      <c r="F80" s="318"/>
      <c r="G80" s="318"/>
      <c r="H80" s="318"/>
      <c r="I80" s="318"/>
      <c r="J80" s="318"/>
      <c r="K80" s="318"/>
      <c r="L80" s="318"/>
      <c r="M80" s="318"/>
      <c r="P80" s="318"/>
      <c r="Q80" s="318"/>
      <c r="R80" s="318"/>
      <c r="S80" s="318"/>
      <c r="T80" s="318"/>
      <c r="U80" s="318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54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5" t="str">
        <f>Schlüssel!$C$1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45"/>
      <c r="Q1" s="45"/>
      <c r="R1" s="48"/>
      <c r="S1" s="49" t="s">
        <v>1794</v>
      </c>
      <c r="T1" s="50"/>
      <c r="U1" s="341" t="str">
        <f>Schlüssel!$AG$1</f>
        <v>02.11./03.11.</v>
      </c>
      <c r="V1" s="342"/>
      <c r="W1" s="34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4" t="str">
        <f>Schlüssel!$W$2</f>
        <v>Nürnberg West Bowling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v>2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VLOOKUP(B2,Schlüssel!$A$5:$DZ$14,33)</f>
        <v>3</v>
      </c>
      <c r="F4" s="65" t="s">
        <v>10</v>
      </c>
      <c r="G4" s="44">
        <f>VLOOKUP(B2,Schlüssel!$A$5:$DZ$14,34)</f>
        <v>9</v>
      </c>
      <c r="H4" s="65" t="s">
        <v>10</v>
      </c>
      <c r="I4" s="44">
        <f>VLOOKUP(B2,Schlüssel!$A$5:$DZ$14,35)</f>
        <v>5</v>
      </c>
      <c r="J4" s="65" t="s">
        <v>10</v>
      </c>
      <c r="K4" s="44">
        <f>VLOOKUP(B2,Schlüssel!$A$5:$DZ$14,36)</f>
        <v>8</v>
      </c>
      <c r="L4" s="65" t="s">
        <v>10</v>
      </c>
      <c r="M4" s="44">
        <f>VLOOKUP(B2,Schlüssel!$A$5:$DZ$14,37)</f>
        <v>4</v>
      </c>
      <c r="N4" s="65" t="s">
        <v>10</v>
      </c>
      <c r="O4" s="44">
        <f>VLOOKUP(B2,Schlüssel!$A$5:$DZ$14,38)</f>
        <v>6</v>
      </c>
      <c r="P4" s="65" t="s">
        <v>10</v>
      </c>
      <c r="Q4" s="44">
        <f>VLOOKUP(B2,Schlüssel!$A$5:$DZ$14,39)</f>
        <v>10</v>
      </c>
      <c r="R4" s="65" t="s">
        <v>10</v>
      </c>
      <c r="S4" s="44">
        <f>VLOOKUP(B2,Schlüssel!$A$5:$DZ$14,40)</f>
        <v>7</v>
      </c>
      <c r="T4" s="65" t="s">
        <v>10</v>
      </c>
      <c r="U4" s="66">
        <f>VLOOKUP(B2,Schlüssel!$A$5:$DZ$14,41)</f>
        <v>2</v>
      </c>
    </row>
    <row r="5" spans="1:29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3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3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3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3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6">
        <f>VLOOKUP(B2,Schlüssel!$A$5:$DZ$14,23)</f>
        <v>8</v>
      </c>
      <c r="E22" s="356"/>
      <c r="F22" s="356">
        <f>VLOOKUP(B2,Schlüssel!$A$5:$DZ$14,24)</f>
        <v>2</v>
      </c>
      <c r="G22" s="356"/>
      <c r="H22" s="356">
        <f>VLOOKUP(B2,Schlüssel!$A$5:$DZ$14,25)</f>
        <v>4</v>
      </c>
      <c r="I22" s="356"/>
      <c r="J22" s="356">
        <f>VLOOKUP(B2,Schlüssel!$A$5:$DZ$14,26)</f>
        <v>7</v>
      </c>
      <c r="K22" s="356"/>
      <c r="L22" s="356">
        <f>VLOOKUP(B2,Schlüssel!$A$5:$DZ$14,27)</f>
        <v>10</v>
      </c>
      <c r="M22" s="356"/>
      <c r="N22" s="356">
        <f>VLOOKUP(B2,Schlüssel!$A$5:$DZ$14,28)</f>
        <v>5</v>
      </c>
      <c r="O22" s="356"/>
      <c r="P22" s="356">
        <f>VLOOKUP(B2,Schlüssel!$A$5:$DZ$14,29)</f>
        <v>6</v>
      </c>
      <c r="Q22" s="356"/>
      <c r="R22" s="356">
        <f>VLOOKUP(B2,Schlüssel!$A$5:$DZ$14,30)</f>
        <v>9</v>
      </c>
      <c r="S22" s="356"/>
      <c r="T22" s="356">
        <f>VLOOKUP(B2,Schlüssel!$A$5:$DZ$14,31)</f>
        <v>3</v>
      </c>
      <c r="U22" s="356"/>
      <c r="V22" s="357"/>
      <c r="W22" s="357"/>
    </row>
    <row r="23" spans="1:29" ht="28.5" customHeight="1" x14ac:dyDescent="0.25">
      <c r="B23" s="90"/>
      <c r="C23" s="86"/>
      <c r="D23" s="358" t="str">
        <f>VLOOKUP(D22,Schlüssel!$A$5:$K$14,2)</f>
        <v>BC EMAX Unterföhring 2</v>
      </c>
      <c r="E23" s="359"/>
      <c r="F23" s="358" t="str">
        <f>VLOOKUP(F22,Schlüssel!$A$5:$K$14,2)</f>
        <v>Bajuwaren München 1</v>
      </c>
      <c r="G23" s="359"/>
      <c r="H23" s="358" t="str">
        <f>VLOOKUP(H22,Schlüssel!$A$5:$K$14,2)</f>
        <v>SG DJK Rimpar</v>
      </c>
      <c r="I23" s="359"/>
      <c r="J23" s="358" t="str">
        <f>VLOOKUP(J22,Schlüssel!$A$5:$K$14,2)</f>
        <v>Schanzer Ingolstadt 1</v>
      </c>
      <c r="K23" s="359"/>
      <c r="L23" s="358" t="str">
        <f>VLOOKUP(L22,Schlüssel!$A$5:$K$14,2)</f>
        <v>High Roller Rosenheim 1</v>
      </c>
      <c r="M23" s="359"/>
      <c r="N23" s="358" t="str">
        <f>VLOOKUP(N22,Schlüssel!$A$5:$K$14,2)</f>
        <v>RW Lichtenhof Stein 1</v>
      </c>
      <c r="O23" s="359"/>
      <c r="P23" s="358" t="str">
        <f>VLOOKUP(P22,Schlüssel!$A$5:$K$14,2)</f>
        <v>SG Rottendorf 1</v>
      </c>
      <c r="Q23" s="359"/>
      <c r="R23" s="358" t="str">
        <f>VLOOKUP(R22,Schlüssel!$A$5:$K$14,2)</f>
        <v>Bowlinghaus Bamberg 1</v>
      </c>
      <c r="S23" s="359"/>
      <c r="T23" s="358" t="str">
        <f>VLOOKUP(T22,Schlüssel!$A$5:$K$14,2)</f>
        <v>BK München 3</v>
      </c>
      <c r="U23" s="359"/>
      <c r="V23" s="363"/>
      <c r="W23" s="363"/>
    </row>
    <row r="24" spans="1:29" ht="12" customHeight="1" x14ac:dyDescent="0.25">
      <c r="B24" s="90"/>
      <c r="C24" s="86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1"/>
      <c r="V24" s="298"/>
      <c r="W24" s="298"/>
    </row>
    <row r="25" spans="1:29" ht="15.9" customHeight="1" x14ac:dyDescent="0.25">
      <c r="B25" s="91" t="s">
        <v>0</v>
      </c>
      <c r="C25" s="9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4"/>
      <c r="W25" s="364"/>
    </row>
    <row r="26" spans="1:29" ht="15.9" customHeight="1" x14ac:dyDescent="0.25">
      <c r="B26" s="91" t="s">
        <v>2</v>
      </c>
      <c r="C26" s="9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4"/>
      <c r="W26" s="364"/>
    </row>
    <row r="27" spans="1:29" ht="15.9" customHeight="1" x14ac:dyDescent="0.25">
      <c r="B27" s="91" t="s">
        <v>3</v>
      </c>
      <c r="C27" s="9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4"/>
      <c r="W27" s="364"/>
    </row>
    <row r="28" spans="1:29" ht="15.9" customHeight="1" x14ac:dyDescent="0.25">
      <c r="B28" s="91" t="s">
        <v>11</v>
      </c>
      <c r="C28" s="9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4"/>
      <c r="W28" s="364"/>
    </row>
    <row r="29" spans="1:29" ht="15.9" customHeight="1" x14ac:dyDescent="0.25">
      <c r="B29" s="93" t="s">
        <v>1799</v>
      </c>
      <c r="C29" s="94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01"/>
      <c r="W29" s="30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5" t="str">
        <f>Schlüssel!$C$1</f>
        <v>Bayernliga Herren</v>
      </c>
      <c r="G30" s="345"/>
      <c r="H30" s="345"/>
      <c r="I30" s="345"/>
      <c r="J30" s="345"/>
      <c r="K30" s="345"/>
      <c r="L30" s="345"/>
      <c r="M30" s="345"/>
      <c r="N30" s="345"/>
      <c r="O30" s="345"/>
      <c r="P30" s="45"/>
      <c r="Q30" s="45"/>
      <c r="R30" s="48"/>
      <c r="S30" s="49" t="s">
        <v>1794</v>
      </c>
      <c r="T30" s="50"/>
      <c r="U30" s="341" t="str">
        <f>Schlüssel!$AG$1</f>
        <v>02.11./03.11.</v>
      </c>
      <c r="V30" s="342"/>
      <c r="W30" s="34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4" t="str">
        <f>Schlüssel!$W$2</f>
        <v>Nürnberg West Bowling</v>
      </c>
      <c r="G31" s="344"/>
      <c r="H31" s="344"/>
      <c r="I31" s="344"/>
      <c r="J31" s="344"/>
      <c r="K31" s="344"/>
      <c r="L31" s="344"/>
      <c r="M31" s="344"/>
      <c r="N31" s="344"/>
      <c r="O31" s="344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VLOOKUP(B31,Schlüssel!$A$5:$DZ$14,33)</f>
        <v>8</v>
      </c>
      <c r="F33" s="65" t="s">
        <v>10</v>
      </c>
      <c r="G33" s="44">
        <f>VLOOKUP(B31,Schlüssel!$A$5:$DZ$14,34)</f>
        <v>10</v>
      </c>
      <c r="H33" s="65" t="s">
        <v>10</v>
      </c>
      <c r="I33" s="44">
        <f>VLOOKUP(B31,Schlüssel!$A$5:$DZ$14,35)</f>
        <v>2</v>
      </c>
      <c r="J33" s="65" t="s">
        <v>10</v>
      </c>
      <c r="K33" s="44">
        <f>VLOOKUP(B31,Schlüssel!$A$5:$DZ$14,36)</f>
        <v>3</v>
      </c>
      <c r="L33" s="65" t="s">
        <v>10</v>
      </c>
      <c r="M33" s="44">
        <f>VLOOKUP(B31,Schlüssel!$A$5:$DZ$14,37)</f>
        <v>9</v>
      </c>
      <c r="N33" s="65" t="s">
        <v>10</v>
      </c>
      <c r="O33" s="44">
        <f>VLOOKUP(B31,Schlüssel!$A$5:$DZ$14,38)</f>
        <v>7</v>
      </c>
      <c r="P33" s="65" t="s">
        <v>10</v>
      </c>
      <c r="Q33" s="44">
        <f>VLOOKUP(B31,Schlüssel!$A$5:$DZ$14,39)</f>
        <v>1</v>
      </c>
      <c r="R33" s="65" t="s">
        <v>10</v>
      </c>
      <c r="S33" s="44">
        <f>VLOOKUP(B31,Schlüssel!$A$5:$DZ$14,40)</f>
        <v>6</v>
      </c>
      <c r="T33" s="65" t="s">
        <v>10</v>
      </c>
      <c r="U33" s="66">
        <f>VLOOKUP(B31,Schlüssel!$A$5:$DZ$14,41)</f>
        <v>4</v>
      </c>
    </row>
    <row r="34" spans="1:23" ht="20.25" customHeight="1" x14ac:dyDescent="0.25">
      <c r="B34" s="67" t="s">
        <v>1</v>
      </c>
      <c r="C34" s="68"/>
      <c r="D34" s="346" t="s">
        <v>1800</v>
      </c>
      <c r="E34" s="347"/>
      <c r="F34" s="346" t="s">
        <v>1801</v>
      </c>
      <c r="G34" s="347"/>
      <c r="H34" s="346" t="s">
        <v>1802</v>
      </c>
      <c r="I34" s="347"/>
      <c r="J34" s="346" t="s">
        <v>1803</v>
      </c>
      <c r="K34" s="347"/>
      <c r="L34" s="346" t="s">
        <v>1804</v>
      </c>
      <c r="M34" s="347"/>
      <c r="N34" s="346" t="s">
        <v>1805</v>
      </c>
      <c r="O34" s="347"/>
      <c r="P34" s="346" t="s">
        <v>1806</v>
      </c>
      <c r="Q34" s="347"/>
      <c r="R34" s="346" t="s">
        <v>1807</v>
      </c>
      <c r="S34" s="347"/>
      <c r="T34" s="346" t="s">
        <v>1808</v>
      </c>
      <c r="U34" s="347"/>
      <c r="V34" s="354" t="s">
        <v>1799</v>
      </c>
      <c r="W34" s="355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3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3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3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3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6">
        <f>VLOOKUP(B31,Schlüssel!$A$5:$DZ$14,23)</f>
        <v>9</v>
      </c>
      <c r="E51" s="356"/>
      <c r="F51" s="356">
        <f>VLOOKUP(B31,Schlüssel!$A$5:$DZ$14,24)</f>
        <v>1</v>
      </c>
      <c r="G51" s="356"/>
      <c r="H51" s="356">
        <f>VLOOKUP(B31,Schlüssel!$A$5:$DZ$14,25)</f>
        <v>10</v>
      </c>
      <c r="I51" s="356"/>
      <c r="J51" s="356">
        <f>VLOOKUP(B31,Schlüssel!$A$5:$DZ$14,26)</f>
        <v>5</v>
      </c>
      <c r="K51" s="356"/>
      <c r="L51" s="356">
        <f>VLOOKUP(B31,Schlüssel!$A$5:$DZ$14,27)</f>
        <v>3</v>
      </c>
      <c r="M51" s="356"/>
      <c r="N51" s="356">
        <f>VLOOKUP(B31,Schlüssel!$A$5:$DZ$14,28)</f>
        <v>7</v>
      </c>
      <c r="O51" s="356"/>
      <c r="P51" s="356">
        <f>VLOOKUP(B31,Schlüssel!$A$5:$DZ$14,29)</f>
        <v>8</v>
      </c>
      <c r="Q51" s="356"/>
      <c r="R51" s="356">
        <f>VLOOKUP(B31,Schlüssel!$A$5:$DZ$14,30)</f>
        <v>4</v>
      </c>
      <c r="S51" s="356"/>
      <c r="T51" s="356">
        <f>VLOOKUP(B31,Schlüssel!$A$5:$DZ$14,31)</f>
        <v>6</v>
      </c>
      <c r="U51" s="356"/>
      <c r="V51" s="357"/>
      <c r="W51" s="357"/>
    </row>
    <row r="52" spans="1:29" ht="28.5" customHeight="1" x14ac:dyDescent="0.25">
      <c r="B52" s="90"/>
      <c r="C52" s="86"/>
      <c r="D52" s="358" t="str">
        <f>VLOOKUP(D51,Schlüssel!$A$5:$K$14,2)</f>
        <v>Bowlinghaus Bamberg 1</v>
      </c>
      <c r="E52" s="359"/>
      <c r="F52" s="358" t="str">
        <f>VLOOKUP(F51,Schlüssel!$A$5:$K$14,2)</f>
        <v>BC Comet Nürnberg</v>
      </c>
      <c r="G52" s="359"/>
      <c r="H52" s="358" t="str">
        <f>VLOOKUP(H51,Schlüssel!$A$5:$K$14,2)</f>
        <v>High Roller Rosenheim 1</v>
      </c>
      <c r="I52" s="359"/>
      <c r="J52" s="358" t="str">
        <f>VLOOKUP(J51,Schlüssel!$A$5:$K$14,2)</f>
        <v>RW Lichtenhof Stein 1</v>
      </c>
      <c r="K52" s="359"/>
      <c r="L52" s="358" t="str">
        <f>VLOOKUP(L51,Schlüssel!$A$5:$K$14,2)</f>
        <v>BK München 3</v>
      </c>
      <c r="M52" s="359"/>
      <c r="N52" s="358" t="str">
        <f>VLOOKUP(N51,Schlüssel!$A$5:$K$14,2)</f>
        <v>Schanzer Ingolstadt 1</v>
      </c>
      <c r="O52" s="359"/>
      <c r="P52" s="358" t="str">
        <f>VLOOKUP(P51,Schlüssel!$A$5:$K$14,2)</f>
        <v>BC EMAX Unterföhring 2</v>
      </c>
      <c r="Q52" s="359"/>
      <c r="R52" s="358" t="str">
        <f>VLOOKUP(R51,Schlüssel!$A$5:$K$14,2)</f>
        <v>SG DJK Rimpar</v>
      </c>
      <c r="S52" s="359"/>
      <c r="T52" s="358" t="str">
        <f>VLOOKUP(T51,Schlüssel!$A$5:$K$14,2)</f>
        <v>SG Rottendorf 1</v>
      </c>
      <c r="U52" s="359"/>
      <c r="V52" s="363"/>
      <c r="W52" s="363"/>
    </row>
    <row r="53" spans="1:29" ht="12" customHeight="1" x14ac:dyDescent="0.25">
      <c r="B53" s="90"/>
      <c r="C53" s="86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1"/>
      <c r="V53" s="298"/>
      <c r="W53" s="298"/>
    </row>
    <row r="54" spans="1:29" ht="15.9" customHeight="1" x14ac:dyDescent="0.25">
      <c r="B54" s="91" t="s">
        <v>0</v>
      </c>
      <c r="C54" s="9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4"/>
      <c r="W54" s="364"/>
    </row>
    <row r="55" spans="1:29" ht="15.9" customHeight="1" x14ac:dyDescent="0.25">
      <c r="B55" s="91" t="s">
        <v>2</v>
      </c>
      <c r="C55" s="9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4"/>
      <c r="W55" s="364"/>
    </row>
    <row r="56" spans="1:29" ht="15.9" customHeight="1" x14ac:dyDescent="0.25">
      <c r="B56" s="91" t="s">
        <v>3</v>
      </c>
      <c r="C56" s="9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4"/>
      <c r="W56" s="364"/>
    </row>
    <row r="57" spans="1:29" ht="15.9" customHeight="1" x14ac:dyDescent="0.25">
      <c r="B57" s="91" t="s">
        <v>11</v>
      </c>
      <c r="C57" s="9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4"/>
      <c r="W57" s="364"/>
    </row>
    <row r="58" spans="1:29" ht="15.9" customHeight="1" x14ac:dyDescent="0.25">
      <c r="B58" s="93" t="s">
        <v>1799</v>
      </c>
      <c r="C58" s="94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01"/>
      <c r="W58" s="30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5" t="str">
        <f>Schlüssel!$C$1</f>
        <v>Bayernliga Herren</v>
      </c>
      <c r="G59" s="345"/>
      <c r="H59" s="345"/>
      <c r="I59" s="345"/>
      <c r="J59" s="345"/>
      <c r="K59" s="345"/>
      <c r="L59" s="345"/>
      <c r="M59" s="345"/>
      <c r="N59" s="345"/>
      <c r="O59" s="345"/>
      <c r="P59" s="45"/>
      <c r="Q59" s="45"/>
      <c r="R59" s="48"/>
      <c r="S59" s="49" t="s">
        <v>1794</v>
      </c>
      <c r="T59" s="50"/>
      <c r="U59" s="341" t="str">
        <f>Schlüssel!$AG$1</f>
        <v>02.11./03.11.</v>
      </c>
      <c r="V59" s="342"/>
      <c r="W59" s="34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4" t="str">
        <f>Schlüssel!$W$2</f>
        <v>Nürnberg West Bowling</v>
      </c>
      <c r="G60" s="344"/>
      <c r="H60" s="344"/>
      <c r="I60" s="344"/>
      <c r="J60" s="344"/>
      <c r="K60" s="344"/>
      <c r="L60" s="344"/>
      <c r="M60" s="344"/>
      <c r="N60" s="344"/>
      <c r="O60" s="344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VLOOKUP(B60,Schlüssel!$A$5:$DZ$14,33)</f>
        <v>9</v>
      </c>
      <c r="F62" s="65" t="s">
        <v>10</v>
      </c>
      <c r="G62" s="44">
        <f>VLOOKUP(B60,Schlüssel!$A$5:$DZ$14,34)</f>
        <v>4</v>
      </c>
      <c r="H62" s="65" t="s">
        <v>10</v>
      </c>
      <c r="I62" s="44">
        <f>VLOOKUP(B60,Schlüssel!$A$5:$DZ$14,35)</f>
        <v>8</v>
      </c>
      <c r="J62" s="65" t="s">
        <v>10</v>
      </c>
      <c r="K62" s="44">
        <f>VLOOKUP(B60,Schlüssel!$A$5:$DZ$14,36)</f>
        <v>5</v>
      </c>
      <c r="L62" s="65" t="s">
        <v>10</v>
      </c>
      <c r="M62" s="44">
        <f>VLOOKUP(B60,Schlüssel!$A$5:$DZ$14,37)</f>
        <v>10</v>
      </c>
      <c r="N62" s="65" t="s">
        <v>10</v>
      </c>
      <c r="O62" s="44">
        <f>VLOOKUP(B60,Schlüssel!$A$5:$DZ$14,38)</f>
        <v>2</v>
      </c>
      <c r="P62" s="65" t="s">
        <v>10</v>
      </c>
      <c r="Q62" s="44">
        <f>VLOOKUP(B60,Schlüssel!$A$5:$DZ$14,39)</f>
        <v>7</v>
      </c>
      <c r="R62" s="65" t="s">
        <v>10</v>
      </c>
      <c r="S62" s="44">
        <f>VLOOKUP(B60,Schlüssel!$A$5:$DZ$14,40)</f>
        <v>3</v>
      </c>
      <c r="T62" s="65" t="s">
        <v>10</v>
      </c>
      <c r="U62" s="66">
        <f>VLOOKUP(B60,Schlüssel!$A$5:$DZ$14,41)</f>
        <v>1</v>
      </c>
    </row>
    <row r="63" spans="1:29" ht="20.25" customHeight="1" x14ac:dyDescent="0.25">
      <c r="B63" s="67" t="s">
        <v>1</v>
      </c>
      <c r="C63" s="68"/>
      <c r="D63" s="346" t="s">
        <v>1800</v>
      </c>
      <c r="E63" s="347"/>
      <c r="F63" s="346" t="s">
        <v>1801</v>
      </c>
      <c r="G63" s="347"/>
      <c r="H63" s="346" t="s">
        <v>1802</v>
      </c>
      <c r="I63" s="347"/>
      <c r="J63" s="346" t="s">
        <v>1803</v>
      </c>
      <c r="K63" s="347"/>
      <c r="L63" s="346" t="s">
        <v>1804</v>
      </c>
      <c r="M63" s="347"/>
      <c r="N63" s="346" t="s">
        <v>1805</v>
      </c>
      <c r="O63" s="347"/>
      <c r="P63" s="346" t="s">
        <v>1806</v>
      </c>
      <c r="Q63" s="347"/>
      <c r="R63" s="346" t="s">
        <v>1807</v>
      </c>
      <c r="S63" s="347"/>
      <c r="T63" s="346" t="s">
        <v>1808</v>
      </c>
      <c r="U63" s="347"/>
      <c r="V63" s="354" t="s">
        <v>1799</v>
      </c>
      <c r="W63" s="355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3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3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3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3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6">
        <f>VLOOKUP(B60,Schlüssel!$A$5:$DZ$14,23)</f>
        <v>7</v>
      </c>
      <c r="E80" s="356"/>
      <c r="F80" s="356">
        <f>VLOOKUP(B60,Schlüssel!$A$5:$DZ$14,24)</f>
        <v>4</v>
      </c>
      <c r="G80" s="356"/>
      <c r="H80" s="356">
        <f>VLOOKUP(B60,Schlüssel!$A$5:$DZ$14,25)</f>
        <v>8</v>
      </c>
      <c r="I80" s="356"/>
      <c r="J80" s="356">
        <f>VLOOKUP(B60,Schlüssel!$A$5:$DZ$14,26)</f>
        <v>6</v>
      </c>
      <c r="K80" s="356"/>
      <c r="L80" s="356">
        <f>VLOOKUP(B60,Schlüssel!$A$5:$DZ$14,27)</f>
        <v>2</v>
      </c>
      <c r="M80" s="356"/>
      <c r="N80" s="356">
        <f>VLOOKUP(B60,Schlüssel!$A$5:$DZ$14,28)</f>
        <v>9</v>
      </c>
      <c r="O80" s="356"/>
      <c r="P80" s="356">
        <f>VLOOKUP(B60,Schlüssel!$A$5:$DZ$14,29)</f>
        <v>5</v>
      </c>
      <c r="Q80" s="356"/>
      <c r="R80" s="356">
        <f>VLOOKUP(B60,Schlüssel!$A$5:$DZ$14,30)</f>
        <v>10</v>
      </c>
      <c r="S80" s="356"/>
      <c r="T80" s="356">
        <f>VLOOKUP(B60,Schlüssel!$A$5:$DZ$14,31)</f>
        <v>1</v>
      </c>
      <c r="U80" s="356"/>
      <c r="V80" s="357"/>
      <c r="W80" s="357"/>
    </row>
    <row r="81" spans="1:29" ht="28.5" customHeight="1" x14ac:dyDescent="0.25">
      <c r="B81" s="90"/>
      <c r="C81" s="86"/>
      <c r="D81" s="358" t="str">
        <f>VLOOKUP(D80,Schlüssel!$A$5:$K$14,2)</f>
        <v>Schanzer Ingolstadt 1</v>
      </c>
      <c r="E81" s="359"/>
      <c r="F81" s="358" t="str">
        <f>VLOOKUP(F80,Schlüssel!$A$5:$K$14,2)</f>
        <v>SG DJK Rimpar</v>
      </c>
      <c r="G81" s="359"/>
      <c r="H81" s="358" t="str">
        <f>VLOOKUP(H80,Schlüssel!$A$5:$K$14,2)</f>
        <v>BC EMAX Unterföhring 2</v>
      </c>
      <c r="I81" s="359"/>
      <c r="J81" s="358" t="str">
        <f>VLOOKUP(J80,Schlüssel!$A$5:$K$14,2)</f>
        <v>SG Rottendorf 1</v>
      </c>
      <c r="K81" s="359"/>
      <c r="L81" s="358" t="str">
        <f>VLOOKUP(L80,Schlüssel!$A$5:$K$14,2)</f>
        <v>Bajuwaren München 1</v>
      </c>
      <c r="M81" s="359"/>
      <c r="N81" s="358" t="str">
        <f>VLOOKUP(N80,Schlüssel!$A$5:$K$14,2)</f>
        <v>Bowlinghaus Bamberg 1</v>
      </c>
      <c r="O81" s="359"/>
      <c r="P81" s="358" t="str">
        <f>VLOOKUP(P80,Schlüssel!$A$5:$K$14,2)</f>
        <v>RW Lichtenhof Stein 1</v>
      </c>
      <c r="Q81" s="359"/>
      <c r="R81" s="358" t="str">
        <f>VLOOKUP(R80,Schlüssel!$A$5:$K$14,2)</f>
        <v>High Roller Rosenheim 1</v>
      </c>
      <c r="S81" s="359"/>
      <c r="T81" s="358" t="str">
        <f>VLOOKUP(T80,Schlüssel!$A$5:$K$14,2)</f>
        <v>BC Comet Nürnberg</v>
      </c>
      <c r="U81" s="359"/>
      <c r="V81" s="363"/>
      <c r="W81" s="363"/>
    </row>
    <row r="82" spans="1:29" ht="12" customHeight="1" x14ac:dyDescent="0.25">
      <c r="B82" s="90"/>
      <c r="C82" s="86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1"/>
      <c r="V82" s="298"/>
      <c r="W82" s="298"/>
    </row>
    <row r="83" spans="1:29" ht="15.9" customHeight="1" x14ac:dyDescent="0.25">
      <c r="B83" s="91" t="s">
        <v>0</v>
      </c>
      <c r="C83" s="9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4"/>
      <c r="W83" s="364"/>
    </row>
    <row r="84" spans="1:29" ht="15.9" customHeight="1" x14ac:dyDescent="0.25">
      <c r="B84" s="91" t="s">
        <v>2</v>
      </c>
      <c r="C84" s="9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4"/>
      <c r="W84" s="364"/>
    </row>
    <row r="85" spans="1:29" ht="15.9" customHeight="1" x14ac:dyDescent="0.25">
      <c r="B85" s="91" t="s">
        <v>3</v>
      </c>
      <c r="C85" s="9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4"/>
      <c r="W85" s="364"/>
    </row>
    <row r="86" spans="1:29" ht="15.9" customHeight="1" x14ac:dyDescent="0.25">
      <c r="B86" s="91" t="s">
        <v>11</v>
      </c>
      <c r="C86" s="9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4"/>
      <c r="W86" s="364"/>
    </row>
    <row r="87" spans="1:29" ht="15.9" customHeight="1" x14ac:dyDescent="0.25">
      <c r="B87" s="93" t="s">
        <v>1799</v>
      </c>
      <c r="C87" s="94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01"/>
      <c r="W87" s="30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5" t="str">
        <f>Schlüssel!$C$1</f>
        <v>Bayernliga Herren</v>
      </c>
      <c r="G88" s="345"/>
      <c r="H88" s="345"/>
      <c r="I88" s="345"/>
      <c r="J88" s="345"/>
      <c r="K88" s="345"/>
      <c r="L88" s="345"/>
      <c r="M88" s="345"/>
      <c r="N88" s="345"/>
      <c r="O88" s="345"/>
      <c r="P88" s="45"/>
      <c r="Q88" s="45"/>
      <c r="R88" s="48"/>
      <c r="S88" s="49" t="s">
        <v>1794</v>
      </c>
      <c r="T88" s="50"/>
      <c r="U88" s="341" t="str">
        <f>Schlüssel!$AG$1</f>
        <v>02.11./03.11.</v>
      </c>
      <c r="V88" s="342"/>
      <c r="W88" s="34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4" t="str">
        <f>Schlüssel!$W$2</f>
        <v>Nürnberg West Bowling</v>
      </c>
      <c r="G89" s="344"/>
      <c r="H89" s="344"/>
      <c r="I89" s="344"/>
      <c r="J89" s="344"/>
      <c r="K89" s="344"/>
      <c r="L89" s="344"/>
      <c r="M89" s="344"/>
      <c r="N89" s="344"/>
      <c r="O89" s="344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VLOOKUP(B89,Schlüssel!$A$5:$DZ$14,33)</f>
        <v>1</v>
      </c>
      <c r="F91" s="65" t="s">
        <v>10</v>
      </c>
      <c r="G91" s="44">
        <f>VLOOKUP(B89,Schlüssel!$A$5:$DZ$14,34)</f>
        <v>3</v>
      </c>
      <c r="H91" s="65" t="s">
        <v>10</v>
      </c>
      <c r="I91" s="44">
        <f>VLOOKUP(B89,Schlüssel!$A$5:$DZ$14,35)</f>
        <v>6</v>
      </c>
      <c r="J91" s="65" t="s">
        <v>10</v>
      </c>
      <c r="K91" s="44">
        <f>VLOOKUP(B89,Schlüssel!$A$5:$DZ$14,36)</f>
        <v>2</v>
      </c>
      <c r="L91" s="65" t="s">
        <v>10</v>
      </c>
      <c r="M91" s="44">
        <f>VLOOKUP(B89,Schlüssel!$A$5:$DZ$14,37)</f>
        <v>8</v>
      </c>
      <c r="N91" s="65" t="s">
        <v>10</v>
      </c>
      <c r="O91" s="44">
        <f>VLOOKUP(B89,Schlüssel!$A$5:$DZ$14,38)</f>
        <v>9</v>
      </c>
      <c r="P91" s="65" t="s">
        <v>10</v>
      </c>
      <c r="Q91" s="44">
        <f>VLOOKUP(B89,Schlüssel!$A$5:$DZ$14,39)</f>
        <v>4</v>
      </c>
      <c r="R91" s="65" t="s">
        <v>10</v>
      </c>
      <c r="S91" s="44">
        <f>VLOOKUP(B89,Schlüssel!$A$5:$DZ$14,40)</f>
        <v>5</v>
      </c>
      <c r="T91" s="65" t="s">
        <v>10</v>
      </c>
      <c r="U91" s="66">
        <f>VLOOKUP(B89,Schlüssel!$A$5:$DZ$14,41)</f>
        <v>10</v>
      </c>
    </row>
    <row r="92" spans="1:29" ht="20.25" customHeight="1" x14ac:dyDescent="0.25">
      <c r="B92" s="67" t="s">
        <v>1</v>
      </c>
      <c r="C92" s="68"/>
      <c r="D92" s="346" t="s">
        <v>1800</v>
      </c>
      <c r="E92" s="347"/>
      <c r="F92" s="346" t="s">
        <v>1801</v>
      </c>
      <c r="G92" s="347"/>
      <c r="H92" s="346" t="s">
        <v>1802</v>
      </c>
      <c r="I92" s="347"/>
      <c r="J92" s="346" t="s">
        <v>1803</v>
      </c>
      <c r="K92" s="347"/>
      <c r="L92" s="346" t="s">
        <v>1804</v>
      </c>
      <c r="M92" s="347"/>
      <c r="N92" s="346" t="s">
        <v>1805</v>
      </c>
      <c r="O92" s="347"/>
      <c r="P92" s="346" t="s">
        <v>1806</v>
      </c>
      <c r="Q92" s="347"/>
      <c r="R92" s="346" t="s">
        <v>1807</v>
      </c>
      <c r="S92" s="347"/>
      <c r="T92" s="346" t="s">
        <v>1808</v>
      </c>
      <c r="U92" s="347"/>
      <c r="V92" s="354" t="s">
        <v>1799</v>
      </c>
      <c r="W92" s="355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3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3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3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3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6">
        <f>VLOOKUP(B89,Schlüssel!$A$5:$DZ$14,23)</f>
        <v>5</v>
      </c>
      <c r="E109" s="356"/>
      <c r="F109" s="356">
        <f>VLOOKUP(B89,Schlüssel!$A$5:$DZ$14,24)</f>
        <v>3</v>
      </c>
      <c r="G109" s="356"/>
      <c r="H109" s="356">
        <f>VLOOKUP(B89,Schlüssel!$A$5:$DZ$14,25)</f>
        <v>1</v>
      </c>
      <c r="I109" s="356"/>
      <c r="J109" s="356">
        <f>VLOOKUP(B89,Schlüssel!$A$5:$DZ$14,26)</f>
        <v>8</v>
      </c>
      <c r="K109" s="356"/>
      <c r="L109" s="356">
        <f>VLOOKUP(B89,Schlüssel!$A$5:$DZ$14,27)</f>
        <v>6</v>
      </c>
      <c r="M109" s="356"/>
      <c r="N109" s="356">
        <f>VLOOKUP(B89,Schlüssel!$A$5:$DZ$14,28)</f>
        <v>10</v>
      </c>
      <c r="O109" s="356"/>
      <c r="P109" s="356">
        <f>VLOOKUP(B89,Schlüssel!$A$5:$DZ$14,29)</f>
        <v>9</v>
      </c>
      <c r="Q109" s="356"/>
      <c r="R109" s="356">
        <f>VLOOKUP(B89,Schlüssel!$A$5:$DZ$14,30)</f>
        <v>2</v>
      </c>
      <c r="S109" s="356"/>
      <c r="T109" s="356">
        <f>VLOOKUP(B89,Schlüssel!$A$5:$DZ$14,31)</f>
        <v>7</v>
      </c>
      <c r="U109" s="356"/>
      <c r="V109" s="357"/>
      <c r="W109" s="357"/>
    </row>
    <row r="110" spans="1:23" ht="28.5" customHeight="1" x14ac:dyDescent="0.25">
      <c r="B110" s="90"/>
      <c r="C110" s="86"/>
      <c r="D110" s="358" t="str">
        <f>VLOOKUP(D109,Schlüssel!$A$5:$K$14,2)</f>
        <v>RW Lichtenhof Stein 1</v>
      </c>
      <c r="E110" s="359"/>
      <c r="F110" s="358" t="str">
        <f>VLOOKUP(F109,Schlüssel!$A$5:$K$14,2)</f>
        <v>BK München 3</v>
      </c>
      <c r="G110" s="359"/>
      <c r="H110" s="358" t="str">
        <f>VLOOKUP(H109,Schlüssel!$A$5:$K$14,2)</f>
        <v>BC Comet Nürnberg</v>
      </c>
      <c r="I110" s="359"/>
      <c r="J110" s="358" t="str">
        <f>VLOOKUP(J109,Schlüssel!$A$5:$K$14,2)</f>
        <v>BC EMAX Unterföhring 2</v>
      </c>
      <c r="K110" s="359"/>
      <c r="L110" s="358" t="str">
        <f>VLOOKUP(L109,Schlüssel!$A$5:$K$14,2)</f>
        <v>SG Rottendorf 1</v>
      </c>
      <c r="M110" s="359"/>
      <c r="N110" s="358" t="str">
        <f>VLOOKUP(N109,Schlüssel!$A$5:$K$14,2)</f>
        <v>High Roller Rosenheim 1</v>
      </c>
      <c r="O110" s="359"/>
      <c r="P110" s="358" t="str">
        <f>VLOOKUP(P109,Schlüssel!$A$5:$K$14,2)</f>
        <v>Bowlinghaus Bamberg 1</v>
      </c>
      <c r="Q110" s="359"/>
      <c r="R110" s="358" t="str">
        <f>VLOOKUP(R109,Schlüssel!$A$5:$K$14,2)</f>
        <v>Bajuwaren München 1</v>
      </c>
      <c r="S110" s="359"/>
      <c r="T110" s="358" t="str">
        <f>VLOOKUP(T109,Schlüssel!$A$5:$K$14,2)</f>
        <v>Schanzer Ingolstadt 1</v>
      </c>
      <c r="U110" s="359"/>
      <c r="V110" s="363"/>
      <c r="W110" s="363"/>
    </row>
    <row r="111" spans="1:23" ht="12" customHeight="1" x14ac:dyDescent="0.25">
      <c r="B111" s="90"/>
      <c r="C111" s="86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1"/>
      <c r="V111" s="298"/>
      <c r="W111" s="298"/>
    </row>
    <row r="112" spans="1:23" ht="15.9" customHeight="1" x14ac:dyDescent="0.25">
      <c r="B112" s="91" t="s">
        <v>0</v>
      </c>
      <c r="C112" s="92"/>
      <c r="D112" s="362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2"/>
      <c r="S112" s="362"/>
      <c r="T112" s="362"/>
      <c r="U112" s="362"/>
      <c r="V112" s="364"/>
      <c r="W112" s="364"/>
    </row>
    <row r="113" spans="1:29" ht="15.9" customHeight="1" x14ac:dyDescent="0.25">
      <c r="B113" s="91" t="s">
        <v>2</v>
      </c>
      <c r="C113" s="92"/>
      <c r="D113" s="362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4"/>
      <c r="W113" s="364"/>
    </row>
    <row r="114" spans="1:29" ht="15.9" customHeight="1" x14ac:dyDescent="0.25">
      <c r="B114" s="91" t="s">
        <v>3</v>
      </c>
      <c r="C114" s="92"/>
      <c r="D114" s="362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4"/>
      <c r="W114" s="364"/>
    </row>
    <row r="115" spans="1:29" ht="15.9" customHeight="1" x14ac:dyDescent="0.25">
      <c r="B115" s="91" t="s">
        <v>11</v>
      </c>
      <c r="C115" s="92"/>
      <c r="D115" s="362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4"/>
      <c r="W115" s="364"/>
    </row>
    <row r="116" spans="1:29" ht="15.9" customHeight="1" x14ac:dyDescent="0.25">
      <c r="B116" s="93" t="s">
        <v>1799</v>
      </c>
      <c r="C116" s="94"/>
      <c r="D116" s="365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01"/>
      <c r="W116" s="30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5" t="str">
        <f>Schlüssel!$C$1</f>
        <v>Bayernliga Herren</v>
      </c>
      <c r="G117" s="345"/>
      <c r="H117" s="345"/>
      <c r="I117" s="345"/>
      <c r="J117" s="345"/>
      <c r="K117" s="345"/>
      <c r="L117" s="345"/>
      <c r="M117" s="345"/>
      <c r="N117" s="345"/>
      <c r="O117" s="345"/>
      <c r="P117" s="45"/>
      <c r="Q117" s="45"/>
      <c r="R117" s="48"/>
      <c r="S117" s="49" t="s">
        <v>1794</v>
      </c>
      <c r="T117" s="50"/>
      <c r="U117" s="341" t="str">
        <f>Schlüssel!$AG$1</f>
        <v>02.11./03.11.</v>
      </c>
      <c r="V117" s="342"/>
      <c r="W117" s="34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4" t="str">
        <f>Schlüssel!$W$2</f>
        <v>Nürnberg West Bowling</v>
      </c>
      <c r="G118" s="344"/>
      <c r="H118" s="344"/>
      <c r="I118" s="344"/>
      <c r="J118" s="344"/>
      <c r="K118" s="344"/>
      <c r="L118" s="344"/>
      <c r="M118" s="344"/>
      <c r="N118" s="344"/>
      <c r="O118" s="344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VLOOKUP(B118,Schlüssel!$A$5:$DZ$14,33)</f>
        <v>2</v>
      </c>
      <c r="F120" s="65" t="s">
        <v>10</v>
      </c>
      <c r="G120" s="44">
        <f>VLOOKUP(B118,Schlüssel!$A$5:$DZ$14,34)</f>
        <v>7</v>
      </c>
      <c r="H120" s="65" t="s">
        <v>10</v>
      </c>
      <c r="I120" s="44">
        <f>VLOOKUP(B118,Schlüssel!$A$5:$DZ$14,35)</f>
        <v>9</v>
      </c>
      <c r="J120" s="65" t="s">
        <v>10</v>
      </c>
      <c r="K120" s="44">
        <f>VLOOKUP(B118,Schlüssel!$A$5:$DZ$14,36)</f>
        <v>4</v>
      </c>
      <c r="L120" s="65" t="s">
        <v>10</v>
      </c>
      <c r="M120" s="44">
        <f>VLOOKUP(B118,Schlüssel!$A$5:$DZ$14,37)</f>
        <v>1</v>
      </c>
      <c r="N120" s="65" t="s">
        <v>10</v>
      </c>
      <c r="O120" s="44">
        <f>VLOOKUP(B118,Schlüssel!$A$5:$DZ$14,38)</f>
        <v>5</v>
      </c>
      <c r="P120" s="65" t="s">
        <v>10</v>
      </c>
      <c r="Q120" s="44">
        <f>VLOOKUP(B118,Schlüssel!$A$5:$DZ$14,39)</f>
        <v>8</v>
      </c>
      <c r="R120" s="65" t="s">
        <v>10</v>
      </c>
      <c r="S120" s="44">
        <f>VLOOKUP(B118,Schlüssel!$A$5:$DZ$14,40)</f>
        <v>10</v>
      </c>
      <c r="T120" s="65" t="s">
        <v>10</v>
      </c>
      <c r="U120" s="66">
        <f>VLOOKUP(B118,Schlüssel!$A$5:$DZ$14,41)</f>
        <v>6</v>
      </c>
    </row>
    <row r="121" spans="1:29" ht="20.25" customHeight="1" x14ac:dyDescent="0.25">
      <c r="B121" s="67" t="s">
        <v>1</v>
      </c>
      <c r="C121" s="68"/>
      <c r="D121" s="346" t="s">
        <v>1800</v>
      </c>
      <c r="E121" s="347"/>
      <c r="F121" s="346" t="s">
        <v>1801</v>
      </c>
      <c r="G121" s="347"/>
      <c r="H121" s="346" t="s">
        <v>1802</v>
      </c>
      <c r="I121" s="347"/>
      <c r="J121" s="346" t="s">
        <v>1803</v>
      </c>
      <c r="K121" s="347"/>
      <c r="L121" s="346" t="s">
        <v>1804</v>
      </c>
      <c r="M121" s="347"/>
      <c r="N121" s="346" t="s">
        <v>1805</v>
      </c>
      <c r="O121" s="347"/>
      <c r="P121" s="346" t="s">
        <v>1806</v>
      </c>
      <c r="Q121" s="347"/>
      <c r="R121" s="346" t="s">
        <v>1807</v>
      </c>
      <c r="S121" s="347"/>
      <c r="T121" s="346" t="s">
        <v>1808</v>
      </c>
      <c r="U121" s="347"/>
      <c r="V121" s="354" t="s">
        <v>1799</v>
      </c>
      <c r="W121" s="355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3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3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3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3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6">
        <f>VLOOKUP(B118,Schlüssel!$A$5:$DZ$14,23)</f>
        <v>4</v>
      </c>
      <c r="E138" s="356"/>
      <c r="F138" s="356">
        <f>VLOOKUP(B118,Schlüssel!$A$5:$DZ$14,24)</f>
        <v>10</v>
      </c>
      <c r="G138" s="356"/>
      <c r="H138" s="356">
        <f>VLOOKUP(B118,Schlüssel!$A$5:$DZ$14,25)</f>
        <v>6</v>
      </c>
      <c r="I138" s="356"/>
      <c r="J138" s="356">
        <f>VLOOKUP(B118,Schlüssel!$A$5:$DZ$14,26)</f>
        <v>2</v>
      </c>
      <c r="K138" s="356"/>
      <c r="L138" s="356">
        <f>VLOOKUP(B118,Schlüssel!$A$5:$DZ$14,27)</f>
        <v>7</v>
      </c>
      <c r="M138" s="356"/>
      <c r="N138" s="356">
        <f>VLOOKUP(B118,Schlüssel!$A$5:$DZ$14,28)</f>
        <v>1</v>
      </c>
      <c r="O138" s="356"/>
      <c r="P138" s="356">
        <f>VLOOKUP(B118,Schlüssel!$A$5:$DZ$14,29)</f>
        <v>3</v>
      </c>
      <c r="Q138" s="356"/>
      <c r="R138" s="356">
        <f>VLOOKUP(B118,Schlüssel!$A$5:$DZ$14,30)</f>
        <v>8</v>
      </c>
      <c r="S138" s="356"/>
      <c r="T138" s="356">
        <f>VLOOKUP(B118,Schlüssel!$A$5:$DZ$14,31)</f>
        <v>9</v>
      </c>
      <c r="U138" s="356"/>
      <c r="V138" s="357"/>
      <c r="W138" s="357"/>
    </row>
    <row r="139" spans="1:23" ht="28.5" customHeight="1" x14ac:dyDescent="0.25">
      <c r="B139" s="90"/>
      <c r="C139" s="86"/>
      <c r="D139" s="358" t="str">
        <f>VLOOKUP(D138,Schlüssel!$A$5:$K$14,2)</f>
        <v>SG DJK Rimpar</v>
      </c>
      <c r="E139" s="359"/>
      <c r="F139" s="358" t="str">
        <f>VLOOKUP(F138,Schlüssel!$A$5:$K$14,2)</f>
        <v>High Roller Rosenheim 1</v>
      </c>
      <c r="G139" s="359"/>
      <c r="H139" s="358" t="str">
        <f>VLOOKUP(H138,Schlüssel!$A$5:$K$14,2)</f>
        <v>SG Rottendorf 1</v>
      </c>
      <c r="I139" s="359"/>
      <c r="J139" s="358" t="str">
        <f>VLOOKUP(J138,Schlüssel!$A$5:$K$14,2)</f>
        <v>Bajuwaren München 1</v>
      </c>
      <c r="K139" s="359"/>
      <c r="L139" s="358" t="str">
        <f>VLOOKUP(L138,Schlüssel!$A$5:$K$14,2)</f>
        <v>Schanzer Ingolstadt 1</v>
      </c>
      <c r="M139" s="359"/>
      <c r="N139" s="358" t="str">
        <f>VLOOKUP(N138,Schlüssel!$A$5:$K$14,2)</f>
        <v>BC Comet Nürnberg</v>
      </c>
      <c r="O139" s="359"/>
      <c r="P139" s="358" t="str">
        <f>VLOOKUP(P138,Schlüssel!$A$5:$K$14,2)</f>
        <v>BK München 3</v>
      </c>
      <c r="Q139" s="359"/>
      <c r="R139" s="358" t="str">
        <f>VLOOKUP(R138,Schlüssel!$A$5:$K$14,2)</f>
        <v>BC EMAX Unterföhring 2</v>
      </c>
      <c r="S139" s="359"/>
      <c r="T139" s="358" t="str">
        <f>VLOOKUP(T138,Schlüssel!$A$5:$K$14,2)</f>
        <v>Bowlinghaus Bamberg 1</v>
      </c>
      <c r="U139" s="359"/>
      <c r="V139" s="363"/>
      <c r="W139" s="363"/>
    </row>
    <row r="140" spans="1:23" ht="12" customHeight="1" x14ac:dyDescent="0.25">
      <c r="B140" s="90"/>
      <c r="C140" s="86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  <c r="O140" s="360"/>
      <c r="P140" s="360"/>
      <c r="Q140" s="360"/>
      <c r="R140" s="360"/>
      <c r="S140" s="360"/>
      <c r="T140" s="360"/>
      <c r="U140" s="361"/>
      <c r="V140" s="298"/>
      <c r="W140" s="298"/>
    </row>
    <row r="141" spans="1:23" ht="15.9" customHeight="1" x14ac:dyDescent="0.25">
      <c r="B141" s="91" t="s">
        <v>0</v>
      </c>
      <c r="C141" s="92"/>
      <c r="D141" s="362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4"/>
      <c r="W141" s="364"/>
    </row>
    <row r="142" spans="1:23" ht="15.9" customHeight="1" x14ac:dyDescent="0.25">
      <c r="B142" s="91" t="s">
        <v>2</v>
      </c>
      <c r="C142" s="92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4"/>
      <c r="W142" s="364"/>
    </row>
    <row r="143" spans="1:23" ht="15.9" customHeight="1" x14ac:dyDescent="0.25">
      <c r="B143" s="91" t="s">
        <v>3</v>
      </c>
      <c r="C143" s="92"/>
      <c r="D143" s="362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4"/>
      <c r="W143" s="364"/>
    </row>
    <row r="144" spans="1:23" ht="15.9" customHeight="1" x14ac:dyDescent="0.25">
      <c r="B144" s="91" t="s">
        <v>11</v>
      </c>
      <c r="C144" s="9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4"/>
      <c r="W144" s="364"/>
    </row>
    <row r="145" spans="1:29" ht="15.9" customHeight="1" x14ac:dyDescent="0.25">
      <c r="B145" s="93" t="s">
        <v>1799</v>
      </c>
      <c r="C145" s="94"/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01"/>
      <c r="W145" s="30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5" t="str">
        <f>Schlüssel!$C$1</f>
        <v>Bayernliga Herren</v>
      </c>
      <c r="G146" s="345"/>
      <c r="H146" s="345"/>
      <c r="I146" s="345"/>
      <c r="J146" s="345"/>
      <c r="K146" s="345"/>
      <c r="L146" s="345"/>
      <c r="M146" s="345"/>
      <c r="N146" s="345"/>
      <c r="O146" s="345"/>
      <c r="P146" s="45"/>
      <c r="Q146" s="45"/>
      <c r="R146" s="48"/>
      <c r="S146" s="49" t="s">
        <v>1794</v>
      </c>
      <c r="T146" s="50"/>
      <c r="U146" s="341" t="str">
        <f>Schlüssel!$AG$1</f>
        <v>02.11./03.11.</v>
      </c>
      <c r="V146" s="342"/>
      <c r="W146" s="34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4" t="str">
        <f>Schlüssel!$W$2</f>
        <v>Nürnberg West Bowling</v>
      </c>
      <c r="G147" s="344"/>
      <c r="H147" s="344"/>
      <c r="I147" s="344"/>
      <c r="J147" s="344"/>
      <c r="K147" s="344"/>
      <c r="L147" s="344"/>
      <c r="M147" s="344"/>
      <c r="N147" s="344"/>
      <c r="O147" s="344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VLOOKUP(B147,Schlüssel!$A$5:$DZ$14,33)</f>
        <v>5</v>
      </c>
      <c r="F149" s="65" t="s">
        <v>10</v>
      </c>
      <c r="G149" s="44">
        <f>VLOOKUP(B147,Schlüssel!$A$5:$DZ$14,34)</f>
        <v>1</v>
      </c>
      <c r="H149" s="65" t="s">
        <v>10</v>
      </c>
      <c r="I149" s="44">
        <f>VLOOKUP(B147,Schlüssel!$A$5:$DZ$14,35)</f>
        <v>10</v>
      </c>
      <c r="J149" s="65" t="s">
        <v>10</v>
      </c>
      <c r="K149" s="44">
        <f>VLOOKUP(B147,Schlüssel!$A$5:$DZ$14,36)</f>
        <v>6</v>
      </c>
      <c r="L149" s="65" t="s">
        <v>10</v>
      </c>
      <c r="M149" s="44">
        <f>VLOOKUP(B147,Schlüssel!$A$5:$DZ$14,37)</f>
        <v>7</v>
      </c>
      <c r="N149" s="65" t="s">
        <v>10</v>
      </c>
      <c r="O149" s="44">
        <f>VLOOKUP(B147,Schlüssel!$A$5:$DZ$14,38)</f>
        <v>4</v>
      </c>
      <c r="P149" s="65" t="s">
        <v>10</v>
      </c>
      <c r="Q149" s="44">
        <f>VLOOKUP(B147,Schlüssel!$A$5:$DZ$14,39)</f>
        <v>9</v>
      </c>
      <c r="R149" s="65" t="s">
        <v>10</v>
      </c>
      <c r="S149" s="44">
        <f>VLOOKUP(B147,Schlüssel!$A$5:$DZ$14,40)</f>
        <v>2</v>
      </c>
      <c r="T149" s="65" t="s">
        <v>10</v>
      </c>
      <c r="U149" s="66">
        <f>VLOOKUP(B147,Schlüssel!$A$5:$DZ$14,41)</f>
        <v>3</v>
      </c>
    </row>
    <row r="150" spans="1:29" ht="20.25" customHeight="1" x14ac:dyDescent="0.25">
      <c r="B150" s="67" t="s">
        <v>1</v>
      </c>
      <c r="C150" s="68"/>
      <c r="D150" s="346" t="s">
        <v>1800</v>
      </c>
      <c r="E150" s="347"/>
      <c r="F150" s="346" t="s">
        <v>1801</v>
      </c>
      <c r="G150" s="347"/>
      <c r="H150" s="346" t="s">
        <v>1802</v>
      </c>
      <c r="I150" s="347"/>
      <c r="J150" s="346" t="s">
        <v>1803</v>
      </c>
      <c r="K150" s="347"/>
      <c r="L150" s="346" t="s">
        <v>1804</v>
      </c>
      <c r="M150" s="347"/>
      <c r="N150" s="346" t="s">
        <v>1805</v>
      </c>
      <c r="O150" s="347"/>
      <c r="P150" s="346" t="s">
        <v>1806</v>
      </c>
      <c r="Q150" s="347"/>
      <c r="R150" s="346" t="s">
        <v>1807</v>
      </c>
      <c r="S150" s="347"/>
      <c r="T150" s="346" t="s">
        <v>1808</v>
      </c>
      <c r="U150" s="347"/>
      <c r="V150" s="354" t="s">
        <v>1799</v>
      </c>
      <c r="W150" s="355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3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3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3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3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6">
        <f>VLOOKUP(B147,Schlüssel!$A$5:$DZ$14,23)</f>
        <v>10</v>
      </c>
      <c r="E167" s="356"/>
      <c r="F167" s="356">
        <f>VLOOKUP(B147,Schlüssel!$A$5:$DZ$14,24)</f>
        <v>9</v>
      </c>
      <c r="G167" s="356"/>
      <c r="H167" s="356">
        <f>VLOOKUP(B147,Schlüssel!$A$5:$DZ$14,25)</f>
        <v>5</v>
      </c>
      <c r="I167" s="356"/>
      <c r="J167" s="356">
        <f>VLOOKUP(B147,Schlüssel!$A$5:$DZ$14,26)</f>
        <v>3</v>
      </c>
      <c r="K167" s="356"/>
      <c r="L167" s="356">
        <f>VLOOKUP(B147,Schlüssel!$A$5:$DZ$14,27)</f>
        <v>4</v>
      </c>
      <c r="M167" s="356"/>
      <c r="N167" s="356">
        <f>VLOOKUP(B147,Schlüssel!$A$5:$DZ$14,28)</f>
        <v>8</v>
      </c>
      <c r="O167" s="356"/>
      <c r="P167" s="356">
        <f>VLOOKUP(B147,Schlüssel!$A$5:$DZ$14,29)</f>
        <v>1</v>
      </c>
      <c r="Q167" s="356"/>
      <c r="R167" s="356">
        <f>VLOOKUP(B147,Schlüssel!$A$5:$DZ$14,30)</f>
        <v>7</v>
      </c>
      <c r="S167" s="356"/>
      <c r="T167" s="356">
        <f>VLOOKUP(B147,Schlüssel!$A$5:$DZ$14,31)</f>
        <v>2</v>
      </c>
      <c r="U167" s="356"/>
      <c r="V167" s="357"/>
      <c r="W167" s="357"/>
    </row>
    <row r="168" spans="1:29" ht="28.5" customHeight="1" x14ac:dyDescent="0.25">
      <c r="B168" s="90"/>
      <c r="C168" s="86"/>
      <c r="D168" s="358" t="str">
        <f>VLOOKUP(D167,Schlüssel!$A$5:$K$14,2)</f>
        <v>High Roller Rosenheim 1</v>
      </c>
      <c r="E168" s="359"/>
      <c r="F168" s="358" t="str">
        <f>VLOOKUP(F167,Schlüssel!$A$5:$K$14,2)</f>
        <v>Bowlinghaus Bamberg 1</v>
      </c>
      <c r="G168" s="359"/>
      <c r="H168" s="358" t="str">
        <f>VLOOKUP(H167,Schlüssel!$A$5:$K$14,2)</f>
        <v>RW Lichtenhof Stein 1</v>
      </c>
      <c r="I168" s="359"/>
      <c r="J168" s="358" t="str">
        <f>VLOOKUP(J167,Schlüssel!$A$5:$K$14,2)</f>
        <v>BK München 3</v>
      </c>
      <c r="K168" s="359"/>
      <c r="L168" s="358" t="str">
        <f>VLOOKUP(L167,Schlüssel!$A$5:$K$14,2)</f>
        <v>SG DJK Rimpar</v>
      </c>
      <c r="M168" s="359"/>
      <c r="N168" s="358" t="str">
        <f>VLOOKUP(N167,Schlüssel!$A$5:$K$14,2)</f>
        <v>BC EMAX Unterföhring 2</v>
      </c>
      <c r="O168" s="359"/>
      <c r="P168" s="358" t="str">
        <f>VLOOKUP(P167,Schlüssel!$A$5:$K$14,2)</f>
        <v>BC Comet Nürnberg</v>
      </c>
      <c r="Q168" s="359"/>
      <c r="R168" s="358" t="str">
        <f>VLOOKUP(R167,Schlüssel!$A$5:$K$14,2)</f>
        <v>Schanzer Ingolstadt 1</v>
      </c>
      <c r="S168" s="359"/>
      <c r="T168" s="358" t="str">
        <f>VLOOKUP(T167,Schlüssel!$A$5:$K$14,2)</f>
        <v>Bajuwaren München 1</v>
      </c>
      <c r="U168" s="359"/>
      <c r="V168" s="363"/>
      <c r="W168" s="363"/>
    </row>
    <row r="169" spans="1:29" ht="12" customHeight="1" x14ac:dyDescent="0.25">
      <c r="B169" s="90"/>
      <c r="C169" s="86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  <c r="O169" s="360"/>
      <c r="P169" s="360"/>
      <c r="Q169" s="360"/>
      <c r="R169" s="360"/>
      <c r="S169" s="360"/>
      <c r="T169" s="360"/>
      <c r="U169" s="361"/>
      <c r="V169" s="298"/>
      <c r="W169" s="298"/>
    </row>
    <row r="170" spans="1:29" ht="15.9" customHeight="1" x14ac:dyDescent="0.25">
      <c r="B170" s="91" t="s">
        <v>0</v>
      </c>
      <c r="C170" s="92"/>
      <c r="D170" s="362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4"/>
      <c r="W170" s="364"/>
    </row>
    <row r="171" spans="1:29" ht="15.9" customHeight="1" x14ac:dyDescent="0.25">
      <c r="B171" s="91" t="s">
        <v>2</v>
      </c>
      <c r="C171" s="92"/>
      <c r="D171" s="362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4"/>
      <c r="W171" s="364"/>
    </row>
    <row r="172" spans="1:29" ht="15.9" customHeight="1" x14ac:dyDescent="0.25">
      <c r="B172" s="91" t="s">
        <v>3</v>
      </c>
      <c r="C172" s="92"/>
      <c r="D172" s="362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4"/>
      <c r="W172" s="364"/>
    </row>
    <row r="173" spans="1:29" ht="15.9" customHeight="1" x14ac:dyDescent="0.25">
      <c r="B173" s="91" t="s">
        <v>11</v>
      </c>
      <c r="C173" s="92"/>
      <c r="D173" s="362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4"/>
      <c r="W173" s="364"/>
    </row>
    <row r="174" spans="1:29" ht="15.9" customHeight="1" x14ac:dyDescent="0.25">
      <c r="B174" s="93" t="s">
        <v>1799</v>
      </c>
      <c r="C174" s="94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01"/>
      <c r="W174" s="30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5" t="str">
        <f>Schlüssel!$C$1</f>
        <v>Bayernliga Herren</v>
      </c>
      <c r="G175" s="345"/>
      <c r="H175" s="345"/>
      <c r="I175" s="345"/>
      <c r="J175" s="345"/>
      <c r="K175" s="345"/>
      <c r="L175" s="345"/>
      <c r="M175" s="345"/>
      <c r="N175" s="345"/>
      <c r="O175" s="345"/>
      <c r="P175" s="45"/>
      <c r="Q175" s="45"/>
      <c r="R175" s="48"/>
      <c r="S175" s="49" t="s">
        <v>1794</v>
      </c>
      <c r="T175" s="50"/>
      <c r="U175" s="341" t="str">
        <f>Schlüssel!$AG$1</f>
        <v>02.11./03.11.</v>
      </c>
      <c r="V175" s="342"/>
      <c r="W175" s="34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4" t="str">
        <f>Schlüssel!$W$2</f>
        <v>Nürnberg West Bowling</v>
      </c>
      <c r="G176" s="344"/>
      <c r="H176" s="344"/>
      <c r="I176" s="344"/>
      <c r="J176" s="344"/>
      <c r="K176" s="344"/>
      <c r="L176" s="344"/>
      <c r="M176" s="344"/>
      <c r="N176" s="344"/>
      <c r="O176" s="344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VLOOKUP(B176,Schlüssel!$A$5:$DZ$14,33)</f>
        <v>10</v>
      </c>
      <c r="F178" s="65" t="s">
        <v>10</v>
      </c>
      <c r="G178" s="44">
        <f>VLOOKUP(B176,Schlüssel!$A$5:$DZ$14,34)</f>
        <v>5</v>
      </c>
      <c r="H178" s="65" t="s">
        <v>10</v>
      </c>
      <c r="I178" s="44">
        <f>VLOOKUP(B176,Schlüssel!$A$5:$DZ$14,35)</f>
        <v>3</v>
      </c>
      <c r="J178" s="65" t="s">
        <v>10</v>
      </c>
      <c r="K178" s="44">
        <f>VLOOKUP(B176,Schlüssel!$A$5:$DZ$14,36)</f>
        <v>7</v>
      </c>
      <c r="L178" s="65" t="s">
        <v>10</v>
      </c>
      <c r="M178" s="44">
        <f>VLOOKUP(B176,Schlüssel!$A$5:$DZ$14,37)</f>
        <v>2</v>
      </c>
      <c r="N178" s="65" t="s">
        <v>10</v>
      </c>
      <c r="O178" s="44">
        <f>VLOOKUP(B176,Schlüssel!$A$5:$DZ$14,38)</f>
        <v>8</v>
      </c>
      <c r="P178" s="65" t="s">
        <v>10</v>
      </c>
      <c r="Q178" s="44">
        <f>VLOOKUP(B176,Schlüssel!$A$5:$DZ$14,39)</f>
        <v>6</v>
      </c>
      <c r="R178" s="65" t="s">
        <v>10</v>
      </c>
      <c r="S178" s="44">
        <f>VLOOKUP(B176,Schlüssel!$A$5:$DZ$14,40)</f>
        <v>1</v>
      </c>
      <c r="T178" s="65" t="s">
        <v>10</v>
      </c>
      <c r="U178" s="66">
        <f>VLOOKUP(B176,Schlüssel!$A$5:$DZ$14,41)</f>
        <v>9</v>
      </c>
    </row>
    <row r="179" spans="1:23" ht="20.25" customHeight="1" x14ac:dyDescent="0.25">
      <c r="B179" s="67" t="s">
        <v>1</v>
      </c>
      <c r="C179" s="68"/>
      <c r="D179" s="346" t="s">
        <v>1800</v>
      </c>
      <c r="E179" s="347"/>
      <c r="F179" s="346" t="s">
        <v>1801</v>
      </c>
      <c r="G179" s="347"/>
      <c r="H179" s="346" t="s">
        <v>1802</v>
      </c>
      <c r="I179" s="347"/>
      <c r="J179" s="346" t="s">
        <v>1803</v>
      </c>
      <c r="K179" s="347"/>
      <c r="L179" s="346" t="s">
        <v>1804</v>
      </c>
      <c r="M179" s="347"/>
      <c r="N179" s="346" t="s">
        <v>1805</v>
      </c>
      <c r="O179" s="347"/>
      <c r="P179" s="346" t="s">
        <v>1806</v>
      </c>
      <c r="Q179" s="347"/>
      <c r="R179" s="346" t="s">
        <v>1807</v>
      </c>
      <c r="S179" s="347"/>
      <c r="T179" s="346" t="s">
        <v>1808</v>
      </c>
      <c r="U179" s="347"/>
      <c r="V179" s="354" t="s">
        <v>1799</v>
      </c>
      <c r="W179" s="355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3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3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3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3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6">
        <f>VLOOKUP(B176,Schlüssel!$A$5:$DZ$14,23)</f>
        <v>3</v>
      </c>
      <c r="E196" s="356"/>
      <c r="F196" s="356">
        <f>VLOOKUP(B176,Schlüssel!$A$5:$DZ$14,24)</f>
        <v>8</v>
      </c>
      <c r="G196" s="356"/>
      <c r="H196" s="356">
        <f>VLOOKUP(B176,Schlüssel!$A$5:$DZ$14,25)</f>
        <v>9</v>
      </c>
      <c r="I196" s="356"/>
      <c r="J196" s="356">
        <f>VLOOKUP(B176,Schlüssel!$A$5:$DZ$14,26)</f>
        <v>1</v>
      </c>
      <c r="K196" s="356"/>
      <c r="L196" s="356">
        <f>VLOOKUP(B176,Schlüssel!$A$5:$DZ$14,27)</f>
        <v>5</v>
      </c>
      <c r="M196" s="356"/>
      <c r="N196" s="356">
        <f>VLOOKUP(B176,Schlüssel!$A$5:$DZ$14,28)</f>
        <v>2</v>
      </c>
      <c r="O196" s="356"/>
      <c r="P196" s="356">
        <f>VLOOKUP(B176,Schlüssel!$A$5:$DZ$14,29)</f>
        <v>10</v>
      </c>
      <c r="Q196" s="356"/>
      <c r="R196" s="356">
        <f>VLOOKUP(B176,Schlüssel!$A$5:$DZ$14,30)</f>
        <v>6</v>
      </c>
      <c r="S196" s="356"/>
      <c r="T196" s="356">
        <f>VLOOKUP(B176,Schlüssel!$A$5:$DZ$14,31)</f>
        <v>4</v>
      </c>
      <c r="U196" s="356"/>
      <c r="V196" s="357"/>
      <c r="W196" s="357"/>
    </row>
    <row r="197" spans="1:29" ht="28.5" customHeight="1" x14ac:dyDescent="0.25">
      <c r="B197" s="90"/>
      <c r="C197" s="86"/>
      <c r="D197" s="358" t="str">
        <f>VLOOKUP(D196,Schlüssel!$A$5:$K$14,2)</f>
        <v>BK München 3</v>
      </c>
      <c r="E197" s="359"/>
      <c r="F197" s="358" t="str">
        <f>VLOOKUP(F196,Schlüssel!$A$5:$K$14,2)</f>
        <v>BC EMAX Unterföhring 2</v>
      </c>
      <c r="G197" s="359"/>
      <c r="H197" s="358" t="str">
        <f>VLOOKUP(H196,Schlüssel!$A$5:$K$14,2)</f>
        <v>Bowlinghaus Bamberg 1</v>
      </c>
      <c r="I197" s="359"/>
      <c r="J197" s="358" t="str">
        <f>VLOOKUP(J196,Schlüssel!$A$5:$K$14,2)</f>
        <v>BC Comet Nürnberg</v>
      </c>
      <c r="K197" s="359"/>
      <c r="L197" s="358" t="str">
        <f>VLOOKUP(L196,Schlüssel!$A$5:$K$14,2)</f>
        <v>RW Lichtenhof Stein 1</v>
      </c>
      <c r="M197" s="359"/>
      <c r="N197" s="358" t="str">
        <f>VLOOKUP(N196,Schlüssel!$A$5:$K$14,2)</f>
        <v>Bajuwaren München 1</v>
      </c>
      <c r="O197" s="359"/>
      <c r="P197" s="358" t="str">
        <f>VLOOKUP(P196,Schlüssel!$A$5:$K$14,2)</f>
        <v>High Roller Rosenheim 1</v>
      </c>
      <c r="Q197" s="359"/>
      <c r="R197" s="358" t="str">
        <f>VLOOKUP(R196,Schlüssel!$A$5:$K$14,2)</f>
        <v>SG Rottendorf 1</v>
      </c>
      <c r="S197" s="359"/>
      <c r="T197" s="358" t="str">
        <f>VLOOKUP(T196,Schlüssel!$A$5:$K$14,2)</f>
        <v>SG DJK Rimpar</v>
      </c>
      <c r="U197" s="359"/>
      <c r="V197" s="363"/>
      <c r="W197" s="363"/>
    </row>
    <row r="198" spans="1:29" ht="12" customHeight="1" x14ac:dyDescent="0.25">
      <c r="B198" s="90"/>
      <c r="C198" s="86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1"/>
      <c r="V198" s="298"/>
      <c r="W198" s="298"/>
    </row>
    <row r="199" spans="1:29" ht="15.9" customHeight="1" x14ac:dyDescent="0.25">
      <c r="B199" s="91" t="s">
        <v>0</v>
      </c>
      <c r="C199" s="92"/>
      <c r="D199" s="362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4"/>
      <c r="W199" s="364"/>
    </row>
    <row r="200" spans="1:29" ht="15.9" customHeight="1" x14ac:dyDescent="0.25">
      <c r="B200" s="91" t="s">
        <v>2</v>
      </c>
      <c r="C200" s="92"/>
      <c r="D200" s="362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4"/>
      <c r="W200" s="364"/>
    </row>
    <row r="201" spans="1:29" ht="15.9" customHeight="1" x14ac:dyDescent="0.25">
      <c r="B201" s="91" t="s">
        <v>3</v>
      </c>
      <c r="C201" s="92"/>
      <c r="D201" s="362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4"/>
      <c r="W201" s="364"/>
    </row>
    <row r="202" spans="1:29" ht="15.9" customHeight="1" x14ac:dyDescent="0.25">
      <c r="B202" s="91" t="s">
        <v>11</v>
      </c>
      <c r="C202" s="92"/>
      <c r="D202" s="362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4"/>
      <c r="W202" s="364"/>
    </row>
    <row r="203" spans="1:29" ht="15.9" customHeight="1" x14ac:dyDescent="0.25">
      <c r="B203" s="93" t="s">
        <v>1799</v>
      </c>
      <c r="C203" s="94"/>
      <c r="D203" s="365"/>
      <c r="E203" s="365"/>
      <c r="F203" s="365"/>
      <c r="G203" s="365"/>
      <c r="H203" s="365"/>
      <c r="I203" s="365"/>
      <c r="J203" s="365"/>
      <c r="K203" s="365"/>
      <c r="L203" s="365"/>
      <c r="M203" s="365"/>
      <c r="N203" s="365"/>
      <c r="O203" s="365"/>
      <c r="P203" s="365"/>
      <c r="Q203" s="365"/>
      <c r="R203" s="365"/>
      <c r="S203" s="365"/>
      <c r="T203" s="365"/>
      <c r="U203" s="365"/>
      <c r="V203" s="301"/>
      <c r="W203" s="30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5" t="str">
        <f>Schlüssel!$C$1</f>
        <v>Bayernliga Herren</v>
      </c>
      <c r="G204" s="345"/>
      <c r="H204" s="345"/>
      <c r="I204" s="345"/>
      <c r="J204" s="345"/>
      <c r="K204" s="345"/>
      <c r="L204" s="345"/>
      <c r="M204" s="345"/>
      <c r="N204" s="345"/>
      <c r="O204" s="345"/>
      <c r="P204" s="45"/>
      <c r="Q204" s="45"/>
      <c r="R204" s="48"/>
      <c r="S204" s="49" t="s">
        <v>1794</v>
      </c>
      <c r="T204" s="50"/>
      <c r="U204" s="341" t="str">
        <f>Schlüssel!$AG$1</f>
        <v>02.11./03.11.</v>
      </c>
      <c r="V204" s="342"/>
      <c r="W204" s="34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4" t="str">
        <f>Schlüssel!$W$2</f>
        <v>Nürnberg West Bowling</v>
      </c>
      <c r="G205" s="344"/>
      <c r="H205" s="344"/>
      <c r="I205" s="344"/>
      <c r="J205" s="344"/>
      <c r="K205" s="344"/>
      <c r="L205" s="344"/>
      <c r="M205" s="344"/>
      <c r="N205" s="344"/>
      <c r="O205" s="344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VLOOKUP(B205,Schlüssel!$A$5:$DZ$14,33)</f>
        <v>4</v>
      </c>
      <c r="F207" s="65" t="s">
        <v>10</v>
      </c>
      <c r="G207" s="44">
        <f>VLOOKUP(B205,Schlüssel!$A$5:$DZ$14,34)</f>
        <v>6</v>
      </c>
      <c r="H207" s="65" t="s">
        <v>10</v>
      </c>
      <c r="I207" s="44">
        <f>VLOOKUP(B205,Schlüssel!$A$5:$DZ$14,35)</f>
        <v>7</v>
      </c>
      <c r="J207" s="65" t="s">
        <v>10</v>
      </c>
      <c r="K207" s="44">
        <f>VLOOKUP(B205,Schlüssel!$A$5:$DZ$14,36)</f>
        <v>1</v>
      </c>
      <c r="L207" s="65" t="s">
        <v>10</v>
      </c>
      <c r="M207" s="44">
        <f>VLOOKUP(B205,Schlüssel!$A$5:$DZ$14,37)</f>
        <v>5</v>
      </c>
      <c r="N207" s="65" t="s">
        <v>10</v>
      </c>
      <c r="O207" s="44">
        <f>VLOOKUP(B205,Schlüssel!$A$5:$DZ$14,38)</f>
        <v>3</v>
      </c>
      <c r="P207" s="65" t="s">
        <v>10</v>
      </c>
      <c r="Q207" s="44">
        <f>VLOOKUP(B205,Schlüssel!$A$5:$DZ$14,39)</f>
        <v>2</v>
      </c>
      <c r="R207" s="65" t="s">
        <v>10</v>
      </c>
      <c r="S207" s="44">
        <f>VLOOKUP(B205,Schlüssel!$A$5:$DZ$14,40)</f>
        <v>9</v>
      </c>
      <c r="T207" s="65" t="s">
        <v>10</v>
      </c>
      <c r="U207" s="66">
        <f>VLOOKUP(B205,Schlüssel!$A$5:$DZ$14,41)</f>
        <v>8</v>
      </c>
    </row>
    <row r="208" spans="1:29" ht="20.25" customHeight="1" x14ac:dyDescent="0.25">
      <c r="B208" s="67" t="s">
        <v>1</v>
      </c>
      <c r="C208" s="68"/>
      <c r="D208" s="346" t="s">
        <v>1800</v>
      </c>
      <c r="E208" s="347"/>
      <c r="F208" s="346" t="s">
        <v>1801</v>
      </c>
      <c r="G208" s="347"/>
      <c r="H208" s="346" t="s">
        <v>1802</v>
      </c>
      <c r="I208" s="347"/>
      <c r="J208" s="346" t="s">
        <v>1803</v>
      </c>
      <c r="K208" s="347"/>
      <c r="L208" s="346" t="s">
        <v>1804</v>
      </c>
      <c r="M208" s="347"/>
      <c r="N208" s="346" t="s">
        <v>1805</v>
      </c>
      <c r="O208" s="347"/>
      <c r="P208" s="346" t="s">
        <v>1806</v>
      </c>
      <c r="Q208" s="347"/>
      <c r="R208" s="346" t="s">
        <v>1807</v>
      </c>
      <c r="S208" s="347"/>
      <c r="T208" s="346" t="s">
        <v>1808</v>
      </c>
      <c r="U208" s="347"/>
      <c r="V208" s="354" t="s">
        <v>1799</v>
      </c>
      <c r="W208" s="355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3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3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3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3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6">
        <f>VLOOKUP(B205,Schlüssel!$A$5:$DZ$14,23)</f>
        <v>1</v>
      </c>
      <c r="E225" s="356"/>
      <c r="F225" s="356">
        <f>VLOOKUP(B205,Schlüssel!$A$5:$DZ$14,24)</f>
        <v>7</v>
      </c>
      <c r="G225" s="356"/>
      <c r="H225" s="356">
        <f>VLOOKUP(B205,Schlüssel!$A$5:$DZ$14,25)</f>
        <v>3</v>
      </c>
      <c r="I225" s="356"/>
      <c r="J225" s="356">
        <f>VLOOKUP(B205,Schlüssel!$A$5:$DZ$14,26)</f>
        <v>4</v>
      </c>
      <c r="K225" s="356"/>
      <c r="L225" s="356">
        <f>VLOOKUP(B205,Schlüssel!$A$5:$DZ$14,27)</f>
        <v>9</v>
      </c>
      <c r="M225" s="356"/>
      <c r="N225" s="356">
        <f>VLOOKUP(B205,Schlüssel!$A$5:$DZ$14,28)</f>
        <v>6</v>
      </c>
      <c r="O225" s="356"/>
      <c r="P225" s="356">
        <f>VLOOKUP(B205,Schlüssel!$A$5:$DZ$14,29)</f>
        <v>2</v>
      </c>
      <c r="Q225" s="356"/>
      <c r="R225" s="356">
        <f>VLOOKUP(B205,Schlüssel!$A$5:$DZ$14,30)</f>
        <v>5</v>
      </c>
      <c r="S225" s="356"/>
      <c r="T225" s="356">
        <f>VLOOKUP(B205,Schlüssel!$A$5:$DZ$14,31)</f>
        <v>10</v>
      </c>
      <c r="U225" s="356"/>
      <c r="V225" s="357"/>
      <c r="W225" s="357"/>
    </row>
    <row r="226" spans="1:29" ht="28.5" customHeight="1" x14ac:dyDescent="0.25">
      <c r="B226" s="90"/>
      <c r="C226" s="86"/>
      <c r="D226" s="358" t="str">
        <f>VLOOKUP(D225,Schlüssel!$A$5:$K$14,2)</f>
        <v>BC Comet Nürnberg</v>
      </c>
      <c r="E226" s="359"/>
      <c r="F226" s="358" t="str">
        <f>VLOOKUP(F225,Schlüssel!$A$5:$K$14,2)</f>
        <v>Schanzer Ingolstadt 1</v>
      </c>
      <c r="G226" s="359"/>
      <c r="H226" s="358" t="str">
        <f>VLOOKUP(H225,Schlüssel!$A$5:$K$14,2)</f>
        <v>BK München 3</v>
      </c>
      <c r="I226" s="359"/>
      <c r="J226" s="358" t="str">
        <f>VLOOKUP(J225,Schlüssel!$A$5:$K$14,2)</f>
        <v>SG DJK Rimpar</v>
      </c>
      <c r="K226" s="359"/>
      <c r="L226" s="358" t="str">
        <f>VLOOKUP(L225,Schlüssel!$A$5:$K$14,2)</f>
        <v>Bowlinghaus Bamberg 1</v>
      </c>
      <c r="M226" s="359"/>
      <c r="N226" s="358" t="str">
        <f>VLOOKUP(N225,Schlüssel!$A$5:$K$14,2)</f>
        <v>SG Rottendorf 1</v>
      </c>
      <c r="O226" s="359"/>
      <c r="P226" s="358" t="str">
        <f>VLOOKUP(P225,Schlüssel!$A$5:$K$14,2)</f>
        <v>Bajuwaren München 1</v>
      </c>
      <c r="Q226" s="359"/>
      <c r="R226" s="358" t="str">
        <f>VLOOKUP(R225,Schlüssel!$A$5:$K$14,2)</f>
        <v>RW Lichtenhof Stein 1</v>
      </c>
      <c r="S226" s="359"/>
      <c r="T226" s="358" t="str">
        <f>VLOOKUP(T225,Schlüssel!$A$5:$K$14,2)</f>
        <v>High Roller Rosenheim 1</v>
      </c>
      <c r="U226" s="359"/>
      <c r="V226" s="363"/>
      <c r="W226" s="363"/>
    </row>
    <row r="227" spans="1:29" ht="12" customHeight="1" x14ac:dyDescent="0.25">
      <c r="B227" s="90"/>
      <c r="C227" s="86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1"/>
      <c r="V227" s="298"/>
      <c r="W227" s="298"/>
    </row>
    <row r="228" spans="1:29" ht="15.9" customHeight="1" x14ac:dyDescent="0.25">
      <c r="B228" s="91" t="s">
        <v>0</v>
      </c>
      <c r="C228" s="92"/>
      <c r="D228" s="362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4"/>
      <c r="W228" s="364"/>
    </row>
    <row r="229" spans="1:29" ht="15.9" customHeight="1" x14ac:dyDescent="0.25">
      <c r="B229" s="91" t="s">
        <v>2</v>
      </c>
      <c r="C229" s="92"/>
      <c r="D229" s="362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4"/>
      <c r="W229" s="364"/>
    </row>
    <row r="230" spans="1:29" ht="15.9" customHeight="1" x14ac:dyDescent="0.25">
      <c r="B230" s="91" t="s">
        <v>3</v>
      </c>
      <c r="C230" s="92"/>
      <c r="D230" s="362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4"/>
      <c r="W230" s="364"/>
    </row>
    <row r="231" spans="1:29" ht="15.9" customHeight="1" x14ac:dyDescent="0.25">
      <c r="B231" s="91" t="s">
        <v>11</v>
      </c>
      <c r="C231" s="92"/>
      <c r="D231" s="362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4"/>
      <c r="W231" s="364"/>
    </row>
    <row r="232" spans="1:29" ht="15.9" customHeight="1" x14ac:dyDescent="0.25">
      <c r="B232" s="93" t="s">
        <v>1799</v>
      </c>
      <c r="C232" s="94"/>
      <c r="D232" s="365"/>
      <c r="E232" s="36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01"/>
      <c r="W232" s="30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5" t="str">
        <f>Schlüssel!$C$1</f>
        <v>Bayernliga Herren</v>
      </c>
      <c r="G233" s="345"/>
      <c r="H233" s="345"/>
      <c r="I233" s="345"/>
      <c r="J233" s="345"/>
      <c r="K233" s="345"/>
      <c r="L233" s="345"/>
      <c r="M233" s="345"/>
      <c r="N233" s="345"/>
      <c r="O233" s="345"/>
      <c r="P233" s="45"/>
      <c r="Q233" s="45"/>
      <c r="R233" s="48"/>
      <c r="S233" s="49" t="s">
        <v>1794</v>
      </c>
      <c r="T233" s="50"/>
      <c r="U233" s="341" t="str">
        <f>Schlüssel!$AG$1</f>
        <v>02.11./03.11.</v>
      </c>
      <c r="V233" s="342"/>
      <c r="W233" s="34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4" t="str">
        <f>Schlüssel!$W$2</f>
        <v>Nürnberg West Bowling</v>
      </c>
      <c r="G234" s="344"/>
      <c r="H234" s="344"/>
      <c r="I234" s="344"/>
      <c r="J234" s="344"/>
      <c r="K234" s="344"/>
      <c r="L234" s="344"/>
      <c r="M234" s="344"/>
      <c r="N234" s="344"/>
      <c r="O234" s="344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VLOOKUP(B234,Schlüssel!$A$5:$DZ$14,33)</f>
        <v>7</v>
      </c>
      <c r="F236" s="65" t="s">
        <v>10</v>
      </c>
      <c r="G236" s="44">
        <f>VLOOKUP(B234,Schlüssel!$A$5:$DZ$14,34)</f>
        <v>2</v>
      </c>
      <c r="H236" s="65" t="s">
        <v>10</v>
      </c>
      <c r="I236" s="44">
        <f>VLOOKUP(B234,Schlüssel!$A$5:$DZ$14,35)</f>
        <v>4</v>
      </c>
      <c r="J236" s="65" t="s">
        <v>10</v>
      </c>
      <c r="K236" s="44">
        <f>VLOOKUP(B234,Schlüssel!$A$5:$DZ$14,36)</f>
        <v>10</v>
      </c>
      <c r="L236" s="65" t="s">
        <v>10</v>
      </c>
      <c r="M236" s="44">
        <f>VLOOKUP(B234,Schlüssel!$A$5:$DZ$14,37)</f>
        <v>6</v>
      </c>
      <c r="N236" s="65" t="s">
        <v>10</v>
      </c>
      <c r="O236" s="44">
        <f>VLOOKUP(B234,Schlüssel!$A$5:$DZ$14,38)</f>
        <v>1</v>
      </c>
      <c r="P236" s="65" t="s">
        <v>10</v>
      </c>
      <c r="Q236" s="44">
        <f>VLOOKUP(B234,Schlüssel!$A$5:$DZ$14,39)</f>
        <v>3</v>
      </c>
      <c r="R236" s="65" t="s">
        <v>10</v>
      </c>
      <c r="S236" s="44">
        <f>VLOOKUP(B234,Schlüssel!$A$5:$DZ$14,40)</f>
        <v>8</v>
      </c>
      <c r="T236" s="65" t="s">
        <v>10</v>
      </c>
      <c r="U236" s="66">
        <f>VLOOKUP(B234,Schlüssel!$A$5:$DZ$14,41)</f>
        <v>5</v>
      </c>
    </row>
    <row r="237" spans="1:29" ht="20.25" customHeight="1" x14ac:dyDescent="0.25">
      <c r="B237" s="67" t="s">
        <v>1</v>
      </c>
      <c r="C237" s="68"/>
      <c r="D237" s="346" t="s">
        <v>1800</v>
      </c>
      <c r="E237" s="347"/>
      <c r="F237" s="346" t="s">
        <v>1801</v>
      </c>
      <c r="G237" s="347"/>
      <c r="H237" s="346" t="s">
        <v>1802</v>
      </c>
      <c r="I237" s="347"/>
      <c r="J237" s="346" t="s">
        <v>1803</v>
      </c>
      <c r="K237" s="347"/>
      <c r="L237" s="346" t="s">
        <v>1804</v>
      </c>
      <c r="M237" s="347"/>
      <c r="N237" s="346" t="s">
        <v>1805</v>
      </c>
      <c r="O237" s="347"/>
      <c r="P237" s="346" t="s">
        <v>1806</v>
      </c>
      <c r="Q237" s="347"/>
      <c r="R237" s="346" t="s">
        <v>1807</v>
      </c>
      <c r="S237" s="347"/>
      <c r="T237" s="346" t="s">
        <v>1808</v>
      </c>
      <c r="U237" s="347"/>
      <c r="V237" s="354" t="s">
        <v>1799</v>
      </c>
      <c r="W237" s="355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3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3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3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3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6">
        <f>VLOOKUP(B234,Schlüssel!$A$5:$DZ$14,23)</f>
        <v>2</v>
      </c>
      <c r="E254" s="356"/>
      <c r="F254" s="356">
        <f>VLOOKUP(B234,Schlüssel!$A$5:$DZ$14,24)</f>
        <v>6</v>
      </c>
      <c r="G254" s="356"/>
      <c r="H254" s="356">
        <f>VLOOKUP(B234,Schlüssel!$A$5:$DZ$14,25)</f>
        <v>7</v>
      </c>
      <c r="I254" s="356"/>
      <c r="J254" s="356">
        <f>VLOOKUP(B234,Schlüssel!$A$5:$DZ$14,26)</f>
        <v>10</v>
      </c>
      <c r="K254" s="356"/>
      <c r="L254" s="356">
        <f>VLOOKUP(B234,Schlüssel!$A$5:$DZ$14,27)</f>
        <v>8</v>
      </c>
      <c r="M254" s="356"/>
      <c r="N254" s="356">
        <f>VLOOKUP(B234,Schlüssel!$A$5:$DZ$14,28)</f>
        <v>3</v>
      </c>
      <c r="O254" s="356"/>
      <c r="P254" s="356">
        <f>VLOOKUP(B234,Schlüssel!$A$5:$DZ$14,29)</f>
        <v>4</v>
      </c>
      <c r="Q254" s="356"/>
      <c r="R254" s="356">
        <f>VLOOKUP(B234,Schlüssel!$A$5:$DZ$14,30)</f>
        <v>1</v>
      </c>
      <c r="S254" s="356"/>
      <c r="T254" s="356">
        <f>VLOOKUP(B234,Schlüssel!$A$5:$DZ$14,31)</f>
        <v>5</v>
      </c>
      <c r="U254" s="356"/>
      <c r="V254" s="357"/>
      <c r="W254" s="357"/>
    </row>
    <row r="255" spans="1:23" ht="28.5" customHeight="1" x14ac:dyDescent="0.25">
      <c r="B255" s="90"/>
      <c r="C255" s="86"/>
      <c r="D255" s="358" t="str">
        <f>VLOOKUP(D254,Schlüssel!$A$5:$K$14,2)</f>
        <v>Bajuwaren München 1</v>
      </c>
      <c r="E255" s="359"/>
      <c r="F255" s="358" t="str">
        <f>VLOOKUP(F254,Schlüssel!$A$5:$K$14,2)</f>
        <v>SG Rottendorf 1</v>
      </c>
      <c r="G255" s="359"/>
      <c r="H255" s="358" t="str">
        <f>VLOOKUP(H254,Schlüssel!$A$5:$K$14,2)</f>
        <v>Schanzer Ingolstadt 1</v>
      </c>
      <c r="I255" s="359"/>
      <c r="J255" s="358" t="str">
        <f>VLOOKUP(J254,Schlüssel!$A$5:$K$14,2)</f>
        <v>High Roller Rosenheim 1</v>
      </c>
      <c r="K255" s="359"/>
      <c r="L255" s="358" t="str">
        <f>VLOOKUP(L254,Schlüssel!$A$5:$K$14,2)</f>
        <v>BC EMAX Unterföhring 2</v>
      </c>
      <c r="M255" s="359"/>
      <c r="N255" s="358" t="str">
        <f>VLOOKUP(N254,Schlüssel!$A$5:$K$14,2)</f>
        <v>BK München 3</v>
      </c>
      <c r="O255" s="359"/>
      <c r="P255" s="358" t="str">
        <f>VLOOKUP(P254,Schlüssel!$A$5:$K$14,2)</f>
        <v>SG DJK Rimpar</v>
      </c>
      <c r="Q255" s="359"/>
      <c r="R255" s="358" t="str">
        <f>VLOOKUP(R254,Schlüssel!$A$5:$K$14,2)</f>
        <v>BC Comet Nürnberg</v>
      </c>
      <c r="S255" s="359"/>
      <c r="T255" s="358" t="str">
        <f>VLOOKUP(T254,Schlüssel!$A$5:$K$14,2)</f>
        <v>RW Lichtenhof Stein 1</v>
      </c>
      <c r="U255" s="359"/>
      <c r="V255" s="363"/>
      <c r="W255" s="363"/>
    </row>
    <row r="256" spans="1:23" ht="12" customHeight="1" x14ac:dyDescent="0.25">
      <c r="B256" s="90"/>
      <c r="C256" s="86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1"/>
      <c r="V256" s="298"/>
      <c r="W256" s="298"/>
    </row>
    <row r="257" spans="1:29" ht="15.9" customHeight="1" x14ac:dyDescent="0.25">
      <c r="B257" s="91" t="s">
        <v>0</v>
      </c>
      <c r="C257" s="92"/>
      <c r="D257" s="362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4"/>
      <c r="W257" s="364"/>
    </row>
    <row r="258" spans="1:29" ht="15.9" customHeight="1" x14ac:dyDescent="0.25">
      <c r="B258" s="91" t="s">
        <v>2</v>
      </c>
      <c r="C258" s="92"/>
      <c r="D258" s="362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4"/>
      <c r="W258" s="364"/>
    </row>
    <row r="259" spans="1:29" ht="15.9" customHeight="1" x14ac:dyDescent="0.25">
      <c r="B259" s="91" t="s">
        <v>3</v>
      </c>
      <c r="C259" s="92"/>
      <c r="D259" s="362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4"/>
      <c r="W259" s="364"/>
    </row>
    <row r="260" spans="1:29" ht="15.9" customHeight="1" x14ac:dyDescent="0.25">
      <c r="B260" s="91" t="s">
        <v>11</v>
      </c>
      <c r="C260" s="9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4"/>
      <c r="W260" s="364"/>
    </row>
    <row r="261" spans="1:29" ht="15.9" customHeight="1" x14ac:dyDescent="0.25">
      <c r="B261" s="93" t="s">
        <v>1799</v>
      </c>
      <c r="C261" s="94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01"/>
      <c r="W261" s="30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5" t="str">
        <f>Schlüssel!$C$1</f>
        <v>Bayernliga Herren</v>
      </c>
      <c r="G262" s="345"/>
      <c r="H262" s="345"/>
      <c r="I262" s="345"/>
      <c r="J262" s="345"/>
      <c r="K262" s="345"/>
      <c r="L262" s="345"/>
      <c r="M262" s="345"/>
      <c r="N262" s="345"/>
      <c r="O262" s="345"/>
      <c r="P262" s="45"/>
      <c r="Q262" s="45"/>
      <c r="R262" s="48"/>
      <c r="S262" s="49" t="s">
        <v>1794</v>
      </c>
      <c r="T262" s="50"/>
      <c r="U262" s="341" t="str">
        <f>Schlüssel!$AG$1</f>
        <v>02.11./03.11.</v>
      </c>
      <c r="V262" s="342"/>
      <c r="W262" s="34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4" t="str">
        <f>Schlüssel!$W$2</f>
        <v>Nürnberg West Bowling</v>
      </c>
      <c r="G263" s="344"/>
      <c r="H263" s="344"/>
      <c r="I263" s="344"/>
      <c r="J263" s="344"/>
      <c r="K263" s="344"/>
      <c r="L263" s="344"/>
      <c r="M263" s="344"/>
      <c r="N263" s="344"/>
      <c r="O263" s="344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VLOOKUP(B263,Schlüssel!$A$5:$DZ$14,33)</f>
        <v>6</v>
      </c>
      <c r="F265" s="65" t="s">
        <v>10</v>
      </c>
      <c r="G265" s="44">
        <f>VLOOKUP(B263,Schlüssel!$A$5:$DZ$14,34)</f>
        <v>8</v>
      </c>
      <c r="H265" s="65" t="s">
        <v>10</v>
      </c>
      <c r="I265" s="44">
        <f>VLOOKUP(B263,Schlüssel!$A$5:$DZ$14,35)</f>
        <v>1</v>
      </c>
      <c r="J265" s="65" t="s">
        <v>10</v>
      </c>
      <c r="K265" s="44">
        <f>VLOOKUP(B263,Schlüssel!$A$5:$DZ$14,36)</f>
        <v>9</v>
      </c>
      <c r="L265" s="65" t="s">
        <v>10</v>
      </c>
      <c r="M265" s="44">
        <f>VLOOKUP(B263,Schlüssel!$A$5:$DZ$14,37)</f>
        <v>3</v>
      </c>
      <c r="N265" s="65" t="s">
        <v>10</v>
      </c>
      <c r="O265" s="44">
        <f>VLOOKUP(B263,Schlüssel!$A$5:$DZ$14,38)</f>
        <v>10</v>
      </c>
      <c r="P265" s="65" t="s">
        <v>10</v>
      </c>
      <c r="Q265" s="44">
        <f>VLOOKUP(B263,Schlüssel!$A$5:$DZ$14,39)</f>
        <v>5</v>
      </c>
      <c r="R265" s="65" t="s">
        <v>10</v>
      </c>
      <c r="S265" s="44">
        <f>VLOOKUP(B263,Schlüssel!$A$5:$DZ$14,40)</f>
        <v>4</v>
      </c>
      <c r="T265" s="65" t="s">
        <v>10</v>
      </c>
      <c r="U265" s="66">
        <f>VLOOKUP(B263,Schlüssel!$A$5:$DZ$14,41)</f>
        <v>7</v>
      </c>
    </row>
    <row r="266" spans="1:29" ht="20.25" customHeight="1" x14ac:dyDescent="0.25">
      <c r="B266" s="67" t="s">
        <v>1</v>
      </c>
      <c r="C266" s="68"/>
      <c r="D266" s="346" t="s">
        <v>1800</v>
      </c>
      <c r="E266" s="347"/>
      <c r="F266" s="346" t="s">
        <v>1801</v>
      </c>
      <c r="G266" s="347"/>
      <c r="H266" s="346" t="s">
        <v>1802</v>
      </c>
      <c r="I266" s="347"/>
      <c r="J266" s="346" t="s">
        <v>1803</v>
      </c>
      <c r="K266" s="347"/>
      <c r="L266" s="346" t="s">
        <v>1804</v>
      </c>
      <c r="M266" s="347"/>
      <c r="N266" s="346" t="s">
        <v>1805</v>
      </c>
      <c r="O266" s="347"/>
      <c r="P266" s="346" t="s">
        <v>1806</v>
      </c>
      <c r="Q266" s="347"/>
      <c r="R266" s="346" t="s">
        <v>1807</v>
      </c>
      <c r="S266" s="347"/>
      <c r="T266" s="346" t="s">
        <v>1808</v>
      </c>
      <c r="U266" s="347"/>
      <c r="V266" s="354" t="s">
        <v>1799</v>
      </c>
      <c r="W266" s="355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3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3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3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3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6">
        <f>VLOOKUP(B263,Schlüssel!$A$5:$DZ$14,23)</f>
        <v>6</v>
      </c>
      <c r="E283" s="356"/>
      <c r="F283" s="356">
        <f>VLOOKUP(B263,Schlüssel!$A$5:$DZ$14,24)</f>
        <v>5</v>
      </c>
      <c r="G283" s="356"/>
      <c r="H283" s="356">
        <f>VLOOKUP(B263,Schlüssel!$A$5:$DZ$14,25)</f>
        <v>2</v>
      </c>
      <c r="I283" s="356"/>
      <c r="J283" s="356">
        <f>VLOOKUP(B263,Schlüssel!$A$5:$DZ$14,26)</f>
        <v>9</v>
      </c>
      <c r="K283" s="356"/>
      <c r="L283" s="356">
        <f>VLOOKUP(B263,Schlüssel!$A$5:$DZ$14,27)</f>
        <v>1</v>
      </c>
      <c r="M283" s="356"/>
      <c r="N283" s="356">
        <f>VLOOKUP(B263,Schlüssel!$A$5:$DZ$14,28)</f>
        <v>4</v>
      </c>
      <c r="O283" s="356"/>
      <c r="P283" s="356">
        <f>VLOOKUP(B263,Schlüssel!$A$5:$DZ$14,29)</f>
        <v>7</v>
      </c>
      <c r="Q283" s="356"/>
      <c r="R283" s="356">
        <f>VLOOKUP(B263,Schlüssel!$A$5:$DZ$14,30)</f>
        <v>3</v>
      </c>
      <c r="S283" s="356"/>
      <c r="T283" s="356">
        <f>VLOOKUP(B263,Schlüssel!$A$5:$DZ$14,31)</f>
        <v>8</v>
      </c>
      <c r="U283" s="356"/>
      <c r="V283" s="357"/>
      <c r="W283" s="357"/>
    </row>
    <row r="284" spans="1:23" ht="28.5" customHeight="1" x14ac:dyDescent="0.25">
      <c r="B284" s="90"/>
      <c r="C284" s="86"/>
      <c r="D284" s="358" t="str">
        <f>VLOOKUP(D283,Schlüssel!$A$5:$K$14,2)</f>
        <v>SG Rottendorf 1</v>
      </c>
      <c r="E284" s="359"/>
      <c r="F284" s="358" t="str">
        <f>VLOOKUP(F283,Schlüssel!$A$5:$K$14,2)</f>
        <v>RW Lichtenhof Stein 1</v>
      </c>
      <c r="G284" s="359"/>
      <c r="H284" s="358" t="str">
        <f>VLOOKUP(H283,Schlüssel!$A$5:$K$14,2)</f>
        <v>Bajuwaren München 1</v>
      </c>
      <c r="I284" s="359"/>
      <c r="J284" s="358" t="str">
        <f>VLOOKUP(J283,Schlüssel!$A$5:$K$14,2)</f>
        <v>Bowlinghaus Bamberg 1</v>
      </c>
      <c r="K284" s="359"/>
      <c r="L284" s="358" t="str">
        <f>VLOOKUP(L283,Schlüssel!$A$5:$K$14,2)</f>
        <v>BC Comet Nürnberg</v>
      </c>
      <c r="M284" s="359"/>
      <c r="N284" s="358" t="str">
        <f>VLOOKUP(N283,Schlüssel!$A$5:$K$14,2)</f>
        <v>SG DJK Rimpar</v>
      </c>
      <c r="O284" s="359"/>
      <c r="P284" s="358" t="str">
        <f>VLOOKUP(P283,Schlüssel!$A$5:$K$14,2)</f>
        <v>Schanzer Ingolstadt 1</v>
      </c>
      <c r="Q284" s="359"/>
      <c r="R284" s="358" t="str">
        <f>VLOOKUP(R283,Schlüssel!$A$5:$K$14,2)</f>
        <v>BK München 3</v>
      </c>
      <c r="S284" s="359"/>
      <c r="T284" s="358" t="str">
        <f>VLOOKUP(T283,Schlüssel!$A$5:$K$14,2)</f>
        <v>BC EMAX Unterföhring 2</v>
      </c>
      <c r="U284" s="359"/>
      <c r="V284" s="363"/>
      <c r="W284" s="363"/>
    </row>
    <row r="285" spans="1:23" ht="12" customHeight="1" x14ac:dyDescent="0.25">
      <c r="B285" s="90"/>
      <c r="C285" s="86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0"/>
      <c r="O285" s="360"/>
      <c r="P285" s="360"/>
      <c r="Q285" s="360"/>
      <c r="R285" s="360"/>
      <c r="S285" s="360"/>
      <c r="T285" s="360"/>
      <c r="U285" s="361"/>
      <c r="V285" s="298"/>
      <c r="W285" s="298"/>
    </row>
    <row r="286" spans="1:23" ht="15.9" customHeight="1" x14ac:dyDescent="0.25">
      <c r="B286" s="91" t="s">
        <v>0</v>
      </c>
      <c r="C286" s="92"/>
      <c r="D286" s="362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4"/>
      <c r="W286" s="364"/>
    </row>
    <row r="287" spans="1:23" ht="15.9" customHeight="1" x14ac:dyDescent="0.25">
      <c r="B287" s="91" t="s">
        <v>2</v>
      </c>
      <c r="C287" s="92"/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4"/>
      <c r="W287" s="364"/>
    </row>
    <row r="288" spans="1:23" ht="15.9" customHeight="1" x14ac:dyDescent="0.25">
      <c r="B288" s="91" t="s">
        <v>3</v>
      </c>
      <c r="C288" s="92"/>
      <c r="D288" s="36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4"/>
      <c r="W288" s="364"/>
    </row>
    <row r="289" spans="2:23" ht="15.9" customHeight="1" x14ac:dyDescent="0.25">
      <c r="B289" s="91" t="s">
        <v>11</v>
      </c>
      <c r="C289" s="92"/>
      <c r="D289" s="36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4"/>
      <c r="W289" s="364"/>
    </row>
    <row r="290" spans="2:23" ht="15.9" customHeight="1" x14ac:dyDescent="0.25">
      <c r="B290" s="93" t="s">
        <v>1799</v>
      </c>
      <c r="C290" s="94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01"/>
      <c r="W290" s="301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5" t="str">
        <f>AE1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48"/>
      <c r="S1" s="49" t="s">
        <v>1794</v>
      </c>
      <c r="T1" s="50"/>
      <c r="U1" s="341" t="str">
        <f>AT1</f>
        <v>02.11./03.11.</v>
      </c>
      <c r="V1" s="342"/>
      <c r="W1" s="343"/>
      <c r="X1" s="372"/>
      <c r="Y1" s="373"/>
      <c r="Z1" s="373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41" t="str">
        <f>VLOOKUP(AS2,Spielorte!$A$1:$C$6,2)</f>
        <v>02.11./03.11.</v>
      </c>
      <c r="AU1" s="342"/>
      <c r="AV1" s="34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4" t="str">
        <f>AE2</f>
        <v>Nürnberg West Bowling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3</v>
      </c>
      <c r="AE4" s="65" t="s">
        <v>10</v>
      </c>
      <c r="AF4" s="44">
        <f>VLOOKUP(AA2,Schlüssel!$A$5:$DZ$14,34)</f>
        <v>9</v>
      </c>
      <c r="AG4" s="65" t="s">
        <v>10</v>
      </c>
      <c r="AH4" s="44">
        <f>VLOOKUP(AA2,Schlüssel!$A$5:$DZ$14,35)</f>
        <v>5</v>
      </c>
      <c r="AI4" s="65" t="s">
        <v>10</v>
      </c>
      <c r="AJ4" s="44">
        <f>VLOOKUP(AA2,Schlüssel!$A$5:$DZ$14,36)</f>
        <v>8</v>
      </c>
      <c r="AK4" s="65" t="s">
        <v>10</v>
      </c>
      <c r="AL4" s="44">
        <f>VLOOKUP(AA2,Schlüssel!$A$5:$DZ$14,37)</f>
        <v>4</v>
      </c>
      <c r="AM4" s="65" t="s">
        <v>10</v>
      </c>
      <c r="AN4" s="44">
        <f>VLOOKUP(AA2,Schlüssel!$A$5:$DZ$14,38)</f>
        <v>6</v>
      </c>
      <c r="AO4" s="65" t="s">
        <v>10</v>
      </c>
      <c r="AP4" s="44">
        <f>VLOOKUP(AA2,Schlüssel!$A$5:$DZ$14,39)</f>
        <v>10</v>
      </c>
      <c r="AQ4" s="65" t="s">
        <v>10</v>
      </c>
      <c r="AR4" s="44">
        <f>VLOOKUP(AA2,Schlüssel!$A$5:$DZ$14,40)</f>
        <v>7</v>
      </c>
      <c r="AS4" s="65" t="s">
        <v>10</v>
      </c>
      <c r="AT4" s="44">
        <f>VLOOKUP(AA2,Schlüssel!$A$5:$DZ$14,41)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6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224</v>
      </c>
      <c r="E7" s="348">
        <f>IF(AD7="","",AD7)</f>
        <v>1</v>
      </c>
      <c r="F7" s="75">
        <f t="shared" ref="F7:F20" si="0">IF(AE7=0,"",AE7)</f>
        <v>186</v>
      </c>
      <c r="G7" s="348">
        <f>IF(AF7="","",AF7)</f>
        <v>0</v>
      </c>
      <c r="H7" s="75">
        <f t="shared" ref="H7:H20" si="1">IF(AG7=0,"",AG7)</f>
        <v>191</v>
      </c>
      <c r="I7" s="348">
        <f>IF(AH7="","",AH7)</f>
        <v>1</v>
      </c>
      <c r="J7" s="75">
        <f t="shared" ref="J7:J20" si="2">IF(AI7=0,"",AI7)</f>
        <v>151</v>
      </c>
      <c r="K7" s="348">
        <f>IF(AJ7="","",AJ7)</f>
        <v>0</v>
      </c>
      <c r="L7" s="75">
        <f t="shared" ref="L7:L20" si="3">IF(AK7=0,"",AK7)</f>
        <v>203</v>
      </c>
      <c r="M7" s="348">
        <f>IF(AL7="","",AL7)</f>
        <v>1</v>
      </c>
      <c r="N7" s="75">
        <f>IF(AM7=0,"",AM7)</f>
        <v>184</v>
      </c>
      <c r="O7" s="348">
        <f>IF(AN7="","",AN7)</f>
        <v>0</v>
      </c>
      <c r="P7" s="75">
        <f t="shared" ref="P7:P20" si="4">IF(AO7=0,"",AO7)</f>
        <v>202</v>
      </c>
      <c r="Q7" s="348">
        <f>IF(AP7="","",AP7)</f>
        <v>1</v>
      </c>
      <c r="R7" s="75">
        <f t="shared" ref="R7:R20" si="5">IF(AQ7=0,"",AQ7)</f>
        <v>156</v>
      </c>
      <c r="S7" s="348">
        <f>IF(AR7="","",AR7)</f>
        <v>0</v>
      </c>
      <c r="T7" s="75">
        <f t="shared" ref="T7:T20" si="6">IF(AS7=0,"",AS7)</f>
        <v>222</v>
      </c>
      <c r="U7" s="348">
        <f>IF(AT7="","",AT7)</f>
        <v>1</v>
      </c>
      <c r="V7" s="75">
        <f t="shared" ref="V7:V20" si="7">IF(AU7=0,"",AU7)</f>
        <v>1719</v>
      </c>
      <c r="W7" s="348">
        <f>IF(AV7="","",AV7)</f>
        <v>5</v>
      </c>
      <c r="Z7" s="351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224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0</v>
      </c>
      <c r="AG7" s="185">
        <v>191</v>
      </c>
      <c r="AH7" s="109">
        <f>IF(SUM(AG7:AG9)+AG25=0,0,IF(SUM(AG7:AG9)=AG25,0.5,IF(SUM(AG7:AG9)&gt;AG25,1,0)))</f>
        <v>1</v>
      </c>
      <c r="AI7" s="185">
        <v>151</v>
      </c>
      <c r="AJ7" s="109">
        <f>IF(SUM(AI7:AI9)+AI25=0,0,IF(SUM(AI7:AI9)=AI25,0.5,IF(SUM(AI7:AI9)&gt;AI25,1,0)))</f>
        <v>0</v>
      </c>
      <c r="AK7" s="185">
        <v>203</v>
      </c>
      <c r="AL7" s="109">
        <f>IF(SUM(AK7:AK9)+AK25=0,0,IF(SUM(AK7:AK9)=AK25,0.5,IF(SUM(AK7:AK9)&gt;AK25,1,0)))</f>
        <v>1</v>
      </c>
      <c r="AM7" s="185">
        <v>184</v>
      </c>
      <c r="AN7" s="109">
        <f>IF(SUM(AM7:AM9)+AM25=0,0,IF(SUM(AM7:AM9)=AM25,0.5,IF(SUM(AM7:AM9)&gt;AM25,1,0)))</f>
        <v>0</v>
      </c>
      <c r="AO7" s="185">
        <v>202</v>
      </c>
      <c r="AP7" s="109">
        <f>IF(SUM(AO7:AO9)+AO25=0,0,IF(SUM(AO7:AO9)=AO25,0.5,IF(SUM(AO7:AO9)&gt;AO25,1,0)))</f>
        <v>1</v>
      </c>
      <c r="AQ7" s="185">
        <v>156</v>
      </c>
      <c r="AR7" s="109">
        <f>IF(SUM(AQ7:AQ9)+AQ25=0,0,IF(SUM(AQ7:AQ9)=AQ25,0.5,IF(SUM(AQ7:AQ9)&gt;AQ25,1,0)))</f>
        <v>0</v>
      </c>
      <c r="AS7" s="185">
        <v>222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1719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1719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224</v>
      </c>
      <c r="BI7" s="215">
        <f t="shared" ref="BI7:BI18" si="10">IF(AE7=0,"",AE7)</f>
        <v>186</v>
      </c>
      <c r="BJ7" s="215">
        <f t="shared" ref="BJ7:BJ18" si="11">IF(AG7=0,"",AG7)</f>
        <v>191</v>
      </c>
      <c r="BK7" s="215">
        <f t="shared" ref="BK7:BK18" si="12">IF(AI7=0,"",AI7)</f>
        <v>151</v>
      </c>
      <c r="BL7" s="215">
        <f t="shared" ref="BL7:BL18" si="13">IF(AK7=0,"",AK7)</f>
        <v>203</v>
      </c>
      <c r="BM7" s="215">
        <f t="shared" ref="BM7:BM18" si="14">IF(AM7=0,"",AM7)</f>
        <v>184</v>
      </c>
      <c r="BN7" s="215">
        <f t="shared" ref="BN7:BN18" si="15">IF(AO7=0,"",AO7)</f>
        <v>202</v>
      </c>
      <c r="BO7" s="215">
        <f t="shared" ref="BO7:BO18" si="16">IF(AQ7=0,"",AQ7)</f>
        <v>156</v>
      </c>
      <c r="BP7" s="215">
        <f t="shared" ref="BP7:BP18" si="17">IF(AS7=0,"",AS7)</f>
        <v>222</v>
      </c>
      <c r="BQ7" s="216"/>
      <c r="BR7" s="214"/>
      <c r="BS7" s="215">
        <f>MAX(BH7:BP7)</f>
        <v>224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1719</v>
      </c>
      <c r="BX7" s="215">
        <f>IF(COUNTIF(BH7:BP7,"&gt;0")&lt;Spielorte!$A$23,0,BE7/Spielorte!$A$23)</f>
        <v>191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7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8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6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212</v>
      </c>
      <c r="E10" s="348">
        <f>IF(AD10="","",AD10)</f>
        <v>1</v>
      </c>
      <c r="F10" s="75">
        <f t="shared" si="0"/>
        <v>214</v>
      </c>
      <c r="G10" s="348">
        <f>IF(AF10="","",AF10)</f>
        <v>0</v>
      </c>
      <c r="H10" s="75">
        <f t="shared" si="1"/>
        <v>225</v>
      </c>
      <c r="I10" s="348">
        <f>IF(AH10="","",AH10)</f>
        <v>1</v>
      </c>
      <c r="J10" s="75">
        <f t="shared" si="2"/>
        <v>162</v>
      </c>
      <c r="K10" s="348">
        <f>IF(AJ10="","",AJ10)</f>
        <v>0</v>
      </c>
      <c r="L10" s="75">
        <f t="shared" si="3"/>
        <v>215</v>
      </c>
      <c r="M10" s="348">
        <f>IF(AL10="","",AL10)</f>
        <v>1</v>
      </c>
      <c r="N10" s="75">
        <f t="shared" si="20"/>
        <v>211</v>
      </c>
      <c r="O10" s="348">
        <f>IF(AN10="","",AN10)</f>
        <v>1</v>
      </c>
      <c r="P10" s="75">
        <f t="shared" si="4"/>
        <v>192</v>
      </c>
      <c r="Q10" s="348">
        <f>IF(AP10="","",AP10)</f>
        <v>0</v>
      </c>
      <c r="R10" s="75">
        <f t="shared" si="5"/>
        <v>180</v>
      </c>
      <c r="S10" s="348">
        <f>IF(AR10="","",AR10)</f>
        <v>1</v>
      </c>
      <c r="T10" s="75">
        <f t="shared" si="6"/>
        <v>155</v>
      </c>
      <c r="U10" s="348">
        <f>IF(AT10="","",AT10)</f>
        <v>0</v>
      </c>
      <c r="V10" s="75">
        <f t="shared" si="7"/>
        <v>1766</v>
      </c>
      <c r="W10" s="348">
        <f>IF(AV10="","",AV10)</f>
        <v>5</v>
      </c>
      <c r="Z10" s="351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212</v>
      </c>
      <c r="AD10" s="109">
        <f>IF(SUM(AC10:AC12)+AC26=0,0,IF(SUM(AC10:AC12)=AC26,0.5,IF(SUM(AC10:AC12)&gt;AC26,1,0)))</f>
        <v>1</v>
      </c>
      <c r="AE10" s="188">
        <v>214</v>
      </c>
      <c r="AF10" s="109">
        <f>IF(SUM(AE10:AE12)+AE26=0,0,IF(SUM(AE10:AE12)=AE26,0.5,IF(SUM(AE10:AE12)&gt;AE26,1,0)))</f>
        <v>0</v>
      </c>
      <c r="AG10" s="188">
        <v>225</v>
      </c>
      <c r="AH10" s="109">
        <f>IF(SUM(AG10:AG12)+AG26=0,0,IF(SUM(AG10:AG12)=AG26,0.5,IF(SUM(AG10:AG12)&gt;AG26,1,0)))</f>
        <v>1</v>
      </c>
      <c r="AI10" s="188">
        <v>162</v>
      </c>
      <c r="AJ10" s="109">
        <f>IF(SUM(AI10:AI12)+AI26=0,0,IF(SUM(AI10:AI12)=AI26,0.5,IF(SUM(AI10:AI12)&gt;AI26,1,0)))</f>
        <v>0</v>
      </c>
      <c r="AK10" s="188">
        <v>215</v>
      </c>
      <c r="AL10" s="109">
        <f>IF(SUM(AK10:AK12)+AK26=0,0,IF(SUM(AK10:AK12)=AK26,0.5,IF(SUM(AK10:AK12)&gt;AK26,1,0)))</f>
        <v>1</v>
      </c>
      <c r="AM10" s="188">
        <v>211</v>
      </c>
      <c r="AN10" s="109">
        <f>IF(SUM(AM10:AM12)+AM26=0,0,IF(SUM(AM10:AM12)=AM26,0.5,IF(SUM(AM10:AM12)&gt;AM26,1,0)))</f>
        <v>1</v>
      </c>
      <c r="AO10" s="188">
        <v>192</v>
      </c>
      <c r="AP10" s="109">
        <f>IF(SUM(AO10:AO12)+AO26=0,0,IF(SUM(AO10:AO12)=AO26,0.5,IF(SUM(AO10:AO12)&gt;AO26,1,0)))</f>
        <v>0</v>
      </c>
      <c r="AQ10" s="188">
        <v>180</v>
      </c>
      <c r="AR10" s="109">
        <f>IF(SUM(AQ10:AQ12)+AQ26=0,0,IF(SUM(AQ10:AQ12)=AQ26,0.5,IF(SUM(AQ10:AQ12)&gt;AQ26,1,0)))</f>
        <v>1</v>
      </c>
      <c r="AS10" s="188">
        <v>155</v>
      </c>
      <c r="AT10" s="109">
        <f>IF(SUM(AS10:AS12)+AS26=0,0,IF(SUM(AS10:AS12)=AS26,0.5,IF(SUM(AS10:AS12)&gt;AS26,1,0)))</f>
        <v>0</v>
      </c>
      <c r="AU10" s="110">
        <f t="shared" si="8"/>
        <v>1766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1766</v>
      </c>
      <c r="BF10" s="215">
        <f t="shared" si="23"/>
        <v>9</v>
      </c>
      <c r="BG10" s="215">
        <f t="shared" si="24"/>
        <v>9</v>
      </c>
      <c r="BH10" s="215">
        <f t="shared" si="9"/>
        <v>212</v>
      </c>
      <c r="BI10" s="215">
        <f t="shared" si="10"/>
        <v>214</v>
      </c>
      <c r="BJ10" s="215">
        <f t="shared" si="11"/>
        <v>225</v>
      </c>
      <c r="BK10" s="215">
        <f t="shared" si="12"/>
        <v>162</v>
      </c>
      <c r="BL10" s="215">
        <f t="shared" si="13"/>
        <v>215</v>
      </c>
      <c r="BM10" s="215">
        <f t="shared" si="14"/>
        <v>211</v>
      </c>
      <c r="BN10" s="215">
        <f t="shared" si="15"/>
        <v>192</v>
      </c>
      <c r="BO10" s="215">
        <f t="shared" si="16"/>
        <v>180</v>
      </c>
      <c r="BP10" s="215">
        <f t="shared" si="17"/>
        <v>155</v>
      </c>
      <c r="BQ10" s="216"/>
      <c r="BR10" s="214"/>
      <c r="BS10" s="215">
        <f t="shared" si="25"/>
        <v>225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1766</v>
      </c>
      <c r="BX10" s="215">
        <f>IF(COUNTIF(BH10:BP10,"&gt;0")&lt;Spielorte!$A$23,0,BE10/Spielorte!$A$23)</f>
        <v>196.22222222222223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7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8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6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244</v>
      </c>
      <c r="E13" s="348">
        <f>IF(AD13="","",AD13)</f>
        <v>1</v>
      </c>
      <c r="F13" s="75">
        <f t="shared" si="0"/>
        <v>209</v>
      </c>
      <c r="G13" s="348">
        <f>IF(AF13="","",AF13)</f>
        <v>1</v>
      </c>
      <c r="H13" s="75">
        <f t="shared" si="1"/>
        <v>175</v>
      </c>
      <c r="I13" s="348">
        <f>IF(AH13="","",AH13)</f>
        <v>0</v>
      </c>
      <c r="J13" s="75">
        <f t="shared" si="2"/>
        <v>171</v>
      </c>
      <c r="K13" s="348">
        <f>IF(AJ13="","",AJ13)</f>
        <v>0</v>
      </c>
      <c r="L13" s="75">
        <f t="shared" si="3"/>
        <v>176</v>
      </c>
      <c r="M13" s="348">
        <f>IF(AL13="","",AL13)</f>
        <v>1</v>
      </c>
      <c r="N13" s="75">
        <f t="shared" si="20"/>
        <v>179</v>
      </c>
      <c r="O13" s="348">
        <f>IF(AN13="","",AN13)</f>
        <v>0</v>
      </c>
      <c r="P13" s="75">
        <f t="shared" si="4"/>
        <v>192</v>
      </c>
      <c r="Q13" s="348">
        <f>IF(AP13="","",AP13)</f>
        <v>1</v>
      </c>
      <c r="R13" s="75">
        <f t="shared" si="5"/>
        <v>244</v>
      </c>
      <c r="S13" s="348">
        <f>IF(AR13="","",AR13)</f>
        <v>1</v>
      </c>
      <c r="T13" s="75">
        <f t="shared" si="6"/>
        <v>170</v>
      </c>
      <c r="U13" s="348">
        <f>IF(AT13="","",AT13)</f>
        <v>1</v>
      </c>
      <c r="V13" s="75">
        <f t="shared" si="7"/>
        <v>1760</v>
      </c>
      <c r="W13" s="348">
        <f>IF(AV13="","",AV13)</f>
        <v>6</v>
      </c>
      <c r="Z13" s="351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244</v>
      </c>
      <c r="AD13" s="109">
        <f>IF(SUM(AC13:AC15)+AC27=0,0,IF(SUM(AC13:AC15)=AC27,0.5,IF(SUM(AC13:AC15)&gt;AC27,1,0)))</f>
        <v>1</v>
      </c>
      <c r="AE13" s="188">
        <v>209</v>
      </c>
      <c r="AF13" s="109">
        <f>IF(SUM(AE13:AE15)+AE27=0,0,IF(SUM(AE13:AE15)=AE27,0.5,IF(SUM(AE13:AE15)&gt;AE27,1,0)))</f>
        <v>1</v>
      </c>
      <c r="AG13" s="188">
        <v>175</v>
      </c>
      <c r="AH13" s="109">
        <f>IF(SUM(AG13:AG15)+AG27=0,0,IF(SUM(AG13:AG15)=AG27,0.5,IF(SUM(AG13:AG15)&gt;AG27,1,0)))</f>
        <v>0</v>
      </c>
      <c r="AI13" s="188">
        <v>171</v>
      </c>
      <c r="AJ13" s="109">
        <f>IF(SUM(AI13:AI15)+AI27=0,0,IF(SUM(AI13:AI15)=AI27,0.5,IF(SUM(AI13:AI15)&gt;AI27,1,0)))</f>
        <v>0</v>
      </c>
      <c r="AK13" s="188">
        <v>176</v>
      </c>
      <c r="AL13" s="109">
        <f>IF(SUM(AK13:AK15)+AK27=0,0,IF(SUM(AK13:AK15)=AK27,0.5,IF(SUM(AK13:AK15)&gt;AK27,1,0)))</f>
        <v>1</v>
      </c>
      <c r="AM13" s="188">
        <v>179</v>
      </c>
      <c r="AN13" s="109">
        <f>IF(SUM(AM13:AM15)+AM27=0,0,IF(SUM(AM13:AM15)=AM27,0.5,IF(SUM(AM13:AM15)&gt;AM27,1,0)))</f>
        <v>0</v>
      </c>
      <c r="AO13" s="188">
        <v>192</v>
      </c>
      <c r="AP13" s="109">
        <f>IF(SUM(AO13:AO15)+AO27=0,0,IF(SUM(AO13:AO15)=AO27,0.5,IF(SUM(AO13:AO15)&gt;AO27,1,0)))</f>
        <v>1</v>
      </c>
      <c r="AQ13" s="188">
        <v>244</v>
      </c>
      <c r="AR13" s="109">
        <f>IF(SUM(AQ13:AQ15)+AQ27=0,0,IF(SUM(AQ13:AQ15)=AQ27,0.5,IF(SUM(AQ13:AQ15)&gt;AQ27,1,0)))</f>
        <v>1</v>
      </c>
      <c r="AS13" s="188">
        <v>170</v>
      </c>
      <c r="AT13" s="109">
        <f>IF(SUM(AS13:AS15)+AS27=0,0,IF(SUM(AS13:AS15)=AS27,0.5,IF(SUM(AS13:AS15)&gt;AS27,1,0)))</f>
        <v>1</v>
      </c>
      <c r="AU13" s="110">
        <f t="shared" si="8"/>
        <v>1760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1760</v>
      </c>
      <c r="BF13" s="215">
        <f t="shared" si="23"/>
        <v>9</v>
      </c>
      <c r="BG13" s="215">
        <f t="shared" si="24"/>
        <v>9</v>
      </c>
      <c r="BH13" s="215">
        <f t="shared" si="9"/>
        <v>244</v>
      </c>
      <c r="BI13" s="215">
        <f t="shared" si="10"/>
        <v>209</v>
      </c>
      <c r="BJ13" s="215">
        <f t="shared" si="11"/>
        <v>175</v>
      </c>
      <c r="BK13" s="215">
        <f t="shared" si="12"/>
        <v>171</v>
      </c>
      <c r="BL13" s="215">
        <f t="shared" si="13"/>
        <v>176</v>
      </c>
      <c r="BM13" s="215">
        <f t="shared" si="14"/>
        <v>179</v>
      </c>
      <c r="BN13" s="215">
        <f t="shared" si="15"/>
        <v>192</v>
      </c>
      <c r="BO13" s="215">
        <f t="shared" si="16"/>
        <v>244</v>
      </c>
      <c r="BP13" s="215">
        <f t="shared" si="17"/>
        <v>170</v>
      </c>
      <c r="BQ13" s="216"/>
      <c r="BR13" s="214"/>
      <c r="BS13" s="215">
        <f t="shared" si="25"/>
        <v>244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1760</v>
      </c>
      <c r="BX13" s="215">
        <f>IF(COUNTIF(BH13:BP13,"&gt;0")&lt;Spielorte!$A$23,0,BE13/Spielorte!$A$23)</f>
        <v>195.55555555555554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7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8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6" t="s">
        <v>11</v>
      </c>
      <c r="B16" s="73" t="str">
        <f>IF(AA16=0,"",AA16)</f>
        <v>Schick, Andreas</v>
      </c>
      <c r="C16" s="74">
        <f t="shared" si="19"/>
        <v>7102</v>
      </c>
      <c r="D16" s="75">
        <f t="shared" si="19"/>
        <v>228</v>
      </c>
      <c r="E16" s="348">
        <f>IF(AD16="","",AD16)</f>
        <v>1</v>
      </c>
      <c r="F16" s="75">
        <f t="shared" si="0"/>
        <v>206</v>
      </c>
      <c r="G16" s="348">
        <f>IF(AF16="","",AF16)</f>
        <v>1</v>
      </c>
      <c r="H16" s="75">
        <f t="shared" si="1"/>
        <v>171</v>
      </c>
      <c r="I16" s="348">
        <f>IF(AH16="","",AH16)</f>
        <v>0</v>
      </c>
      <c r="J16" s="75">
        <f t="shared" si="2"/>
        <v>181</v>
      </c>
      <c r="K16" s="348">
        <f>IF(AJ16="","",AJ16)</f>
        <v>0</v>
      </c>
      <c r="L16" s="75">
        <f t="shared" si="3"/>
        <v>244</v>
      </c>
      <c r="M16" s="348">
        <f>IF(AL16="","",AL16)</f>
        <v>1</v>
      </c>
      <c r="N16" s="75">
        <f t="shared" si="20"/>
        <v>201</v>
      </c>
      <c r="O16" s="348">
        <f>IF(AN16="","",AN16)</f>
        <v>1</v>
      </c>
      <c r="P16" s="75">
        <f t="shared" si="4"/>
        <v>204</v>
      </c>
      <c r="Q16" s="348">
        <f>IF(AP16="","",AP16)</f>
        <v>0</v>
      </c>
      <c r="R16" s="75">
        <f t="shared" si="5"/>
        <v>207</v>
      </c>
      <c r="S16" s="348">
        <f>IF(AR16="","",AR16)</f>
        <v>0</v>
      </c>
      <c r="T16" s="75">
        <f t="shared" si="6"/>
        <v>181</v>
      </c>
      <c r="U16" s="348">
        <f>IF(AT16="","",AT16)</f>
        <v>0</v>
      </c>
      <c r="V16" s="75">
        <f t="shared" si="7"/>
        <v>1823</v>
      </c>
      <c r="W16" s="348">
        <f>IF(AV16="","",AV16)</f>
        <v>4</v>
      </c>
      <c r="Z16" s="351" t="s">
        <v>11</v>
      </c>
      <c r="AA16" s="108" t="str">
        <f>IF(AB16=0,"",VLOOKUP(AB16,Starter!$A$1:$D$199,2,FALSE))</f>
        <v>Schick, Andreas</v>
      </c>
      <c r="AB16" s="99">
        <v>7102</v>
      </c>
      <c r="AC16" s="188">
        <v>228</v>
      </c>
      <c r="AD16" s="109">
        <f>IF(SUM(AC16:AC18)+AC28=0,0,IF(SUM(AC16:AC18)=AC28,0.5,IF(SUM(AC16:AC18)&gt;AC28,1,0)))</f>
        <v>1</v>
      </c>
      <c r="AE16" s="188">
        <v>206</v>
      </c>
      <c r="AF16" s="109">
        <f>IF(SUM(AE16:AE18)+AE28=0,0,IF(SUM(AE16:AE18)=AE28,0.5,IF(SUM(AE16:AE18)&gt;AE28,1,0)))</f>
        <v>1</v>
      </c>
      <c r="AG16" s="188">
        <v>171</v>
      </c>
      <c r="AH16" s="109">
        <f>IF(SUM(AG16:AG18)+AG28=0,0,IF(SUM(AG16:AG18)=AG28,0.5,IF(SUM(AG16:AG18)&gt;AG28,1,0)))</f>
        <v>0</v>
      </c>
      <c r="AI16" s="188">
        <v>181</v>
      </c>
      <c r="AJ16" s="109">
        <f>IF(SUM(AI16:AI18)+AI28=0,0,IF(SUM(AI16:AI18)=AI28,0.5,IF(SUM(AI16:AI18)&gt;AI28,1,0)))</f>
        <v>0</v>
      </c>
      <c r="AK16" s="188">
        <v>244</v>
      </c>
      <c r="AL16" s="109">
        <f>IF(SUM(AK16:AK18)+AK28=0,0,IF(SUM(AK16:AK18)=AK28,0.5,IF(SUM(AK16:AK18)&gt;AK28,1,0)))</f>
        <v>1</v>
      </c>
      <c r="AM16" s="188">
        <v>201</v>
      </c>
      <c r="AN16" s="109">
        <f>IF(SUM(AM16:AM18)+AM28=0,0,IF(SUM(AM16:AM18)=AM28,0.5,IF(SUM(AM16:AM18)&gt;AM28,1,0)))</f>
        <v>1</v>
      </c>
      <c r="AO16" s="188">
        <v>204</v>
      </c>
      <c r="AP16" s="109">
        <f>IF(SUM(AO16:AO18)+AO28=0,0,IF(SUM(AO16:AO18)=AO28,0.5,IF(SUM(AO16:AO18)&gt;AO28,1,0)))</f>
        <v>0</v>
      </c>
      <c r="AQ16" s="188">
        <v>207</v>
      </c>
      <c r="AR16" s="109">
        <f>IF(SUM(AQ16:AQ18)+AQ28=0,0,IF(SUM(AQ16:AQ18)=AQ28,0.5,IF(SUM(AQ16:AQ18)&gt;AQ28,1,0)))</f>
        <v>0</v>
      </c>
      <c r="AS16" s="188">
        <v>181</v>
      </c>
      <c r="AT16" s="109">
        <f>IF(SUM(AS16:AS18)+AS28=0,0,IF(SUM(AS16:AS18)=AS28,0.5,IF(SUM(AS16:AS18)&gt;AS28,1,0)))</f>
        <v>0</v>
      </c>
      <c r="AU16" s="110">
        <f t="shared" si="8"/>
        <v>1823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7102</v>
      </c>
      <c r="BE16" s="213">
        <f t="shared" si="22"/>
        <v>1823</v>
      </c>
      <c r="BF16" s="215">
        <f t="shared" si="23"/>
        <v>9</v>
      </c>
      <c r="BG16" s="215">
        <f t="shared" si="24"/>
        <v>9</v>
      </c>
      <c r="BH16" s="215">
        <f t="shared" si="9"/>
        <v>228</v>
      </c>
      <c r="BI16" s="215">
        <f t="shared" si="10"/>
        <v>206</v>
      </c>
      <c r="BJ16" s="215">
        <f t="shared" si="11"/>
        <v>171</v>
      </c>
      <c r="BK16" s="215">
        <f t="shared" si="12"/>
        <v>181</v>
      </c>
      <c r="BL16" s="215">
        <f t="shared" si="13"/>
        <v>244</v>
      </c>
      <c r="BM16" s="215">
        <f t="shared" si="14"/>
        <v>201</v>
      </c>
      <c r="BN16" s="215">
        <f t="shared" si="15"/>
        <v>204</v>
      </c>
      <c r="BO16" s="215">
        <f t="shared" si="16"/>
        <v>207</v>
      </c>
      <c r="BP16" s="215">
        <f t="shared" si="17"/>
        <v>181</v>
      </c>
      <c r="BQ16" s="216"/>
      <c r="BR16" s="214"/>
      <c r="BS16" s="215">
        <f t="shared" si="25"/>
        <v>244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1823</v>
      </c>
      <c r="BX16" s="215">
        <f>IF(COUNTIF(BH16:BP16,"&gt;0")&lt;Spielorte!$A$23,0,BE16/Spielorte!$A$23)</f>
        <v>202.55555555555554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7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8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908</v>
      </c>
      <c r="E19" s="84">
        <f>IF(AD19="","",AD19)</f>
        <v>2</v>
      </c>
      <c r="F19" s="83">
        <f t="shared" si="0"/>
        <v>815</v>
      </c>
      <c r="G19" s="84">
        <f>IF(AF19="","",AF19)</f>
        <v>2</v>
      </c>
      <c r="H19" s="83">
        <f t="shared" si="1"/>
        <v>762</v>
      </c>
      <c r="I19" s="84">
        <f>IF(AH19="","",AH19)</f>
        <v>0</v>
      </c>
      <c r="J19" s="83">
        <f t="shared" si="2"/>
        <v>665</v>
      </c>
      <c r="K19" s="84">
        <f>IF(AJ19="","",AJ19)</f>
        <v>0</v>
      </c>
      <c r="L19" s="83">
        <f t="shared" si="3"/>
        <v>838</v>
      </c>
      <c r="M19" s="84">
        <f>IF(AL19="","",AL19)</f>
        <v>2</v>
      </c>
      <c r="N19" s="83">
        <f t="shared" si="20"/>
        <v>775</v>
      </c>
      <c r="O19" s="84">
        <f>IF(AN19="","",AN19)</f>
        <v>2</v>
      </c>
      <c r="P19" s="83">
        <f t="shared" si="4"/>
        <v>790</v>
      </c>
      <c r="Q19" s="84">
        <f>IF(AP19="","",AP19)</f>
        <v>2</v>
      </c>
      <c r="R19" s="83">
        <f t="shared" si="5"/>
        <v>787</v>
      </c>
      <c r="S19" s="84">
        <f>IF(AR19="","",AR19)</f>
        <v>0</v>
      </c>
      <c r="T19" s="83">
        <f t="shared" si="6"/>
        <v>728</v>
      </c>
      <c r="U19" s="84">
        <f>IF(AT19="","",AT19)</f>
        <v>2</v>
      </c>
      <c r="V19" s="83">
        <f t="shared" si="7"/>
        <v>7068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908</v>
      </c>
      <c r="AD19" s="121">
        <f>IF(AC19+AC29=0,0,IF(AC19=AC29,1,IF(AC19&gt;AC29,2,0)))</f>
        <v>2</v>
      </c>
      <c r="AE19" s="211">
        <f>ABS(SUM(AE7:AE9))+ABS(SUM(AE10:AE12))+ABS(SUM(AE13:AE15))+ABS(SUM(AE16:AE18))</f>
        <v>815</v>
      </c>
      <c r="AF19" s="121">
        <f>IF(AE19+AE29=0,0,IF(AE19=AE29,1,IF(AE19&gt;AE29,2,0)))</f>
        <v>2</v>
      </c>
      <c r="AG19" s="211">
        <f>ABS(SUM(AG7:AG9))+ABS(SUM(AG10:AG12))+ABS(SUM(AG13:AG15))+ABS(SUM(AG16:AG18))</f>
        <v>762</v>
      </c>
      <c r="AH19" s="121">
        <f>IF(AG19+AG29=0,0,IF(AG19=AG29,1,IF(AG19&gt;AG29,2,0)))</f>
        <v>0</v>
      </c>
      <c r="AI19" s="211">
        <f>ABS(SUM(AI7:AI9))+ABS(SUM(AI10:AI12))+ABS(SUM(AI13:AI15))+ABS(SUM(AI16:AI18))</f>
        <v>665</v>
      </c>
      <c r="AJ19" s="121">
        <f>IF(AI19+AI29=0,0,IF(AI19=AI29,1,IF(AI19&gt;AI29,2,0)))</f>
        <v>0</v>
      </c>
      <c r="AK19" s="211">
        <f>ABS(SUM(AK7:AK9))+ABS(SUM(AK10:AK12))+ABS(SUM(AK13:AK15))+ABS(SUM(AK16:AK18))</f>
        <v>838</v>
      </c>
      <c r="AL19" s="121">
        <f>IF(AK19+AK29=0,0,IF(AK19=AK29,1,IF(AK19&gt;AK29,2,0)))</f>
        <v>2</v>
      </c>
      <c r="AM19" s="211">
        <f>ABS(SUM(AM7:AM9))+ABS(SUM(AM10:AM12))+ABS(SUM(AM13:AM15))+ABS(SUM(AM16:AM18))</f>
        <v>775</v>
      </c>
      <c r="AN19" s="121">
        <f>IF(AM19+AM29=0,0,IF(AM19=AM29,1,IF(AM19&gt;AM29,2,0)))</f>
        <v>2</v>
      </c>
      <c r="AO19" s="211">
        <f>ABS(SUM(AO7:AO9))+ABS(SUM(AO10:AO12))+ABS(SUM(AO13:AO15))+ABS(SUM(AO16:AO18))</f>
        <v>790</v>
      </c>
      <c r="AP19" s="121">
        <f>IF(AO19+AO29=0,0,IF(AO19=AO29,1,IF(AO19&gt;AO29,2,0)))</f>
        <v>2</v>
      </c>
      <c r="AQ19" s="211">
        <f>ABS(SUM(AQ7:AQ9))+ABS(SUM(AQ10:AQ12))+ABS(SUM(AQ13:AQ15))+ABS(SUM(AQ16:AQ18))</f>
        <v>787</v>
      </c>
      <c r="AR19" s="121">
        <f>IF(AQ19+AQ29=0,0,IF(AQ19=AQ29,1,IF(AQ19&gt;AQ29,2,0)))</f>
        <v>0</v>
      </c>
      <c r="AS19" s="211">
        <f>ABS(SUM(AS7:AS9))+ABS(SUM(AS10:AS12))+ABS(SUM(AS13:AS15))+ABS(SUM(AS16:AS18))</f>
        <v>728</v>
      </c>
      <c r="AT19" s="121">
        <f>IF(AS19+AS29=0,0,IF(AS19=AS29,1,IF(AS19&gt;AS29,2,0)))</f>
        <v>2</v>
      </c>
      <c r="AU19" s="122">
        <f>SUM(AC19+AE19+AG19+AI19+AK19+AM19+AO19+AQ19+AS19)</f>
        <v>7068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2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4</v>
      </c>
      <c r="V20" s="86" t="str">
        <f t="shared" si="7"/>
        <v/>
      </c>
      <c r="W20" s="87">
        <f>IF(AV20="","",AV20)</f>
        <v>32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4</v>
      </c>
      <c r="AG20" s="86"/>
      <c r="AH20" s="124">
        <f>SUM(AH7:AH19)</f>
        <v>2</v>
      </c>
      <c r="AI20" s="86"/>
      <c r="AJ20" s="124">
        <f>SUM(AJ7:AJ19)</f>
        <v>0</v>
      </c>
      <c r="AK20" s="86"/>
      <c r="AL20" s="124">
        <f>SUM(AL7:AL19)</f>
        <v>6</v>
      </c>
      <c r="AM20" s="86"/>
      <c r="AN20" s="124">
        <f>SUM(AN7:AN19)</f>
        <v>4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4</v>
      </c>
      <c r="AU20" s="86"/>
      <c r="AV20" s="125">
        <f>SUM(AV7:AV19)</f>
        <v>32</v>
      </c>
      <c r="AW20" s="101"/>
      <c r="AX20" s="102"/>
      <c r="BA20" s="212">
        <f>+AV20</f>
        <v>32</v>
      </c>
      <c r="BB20" s="213">
        <f>+AU19</f>
        <v>7068</v>
      </c>
      <c r="BC20" s="214">
        <f>+AA2</f>
        <v>1</v>
      </c>
      <c r="BF20" s="215">
        <f>SUM(BF1:BF19)</f>
        <v>36</v>
      </c>
      <c r="BQ20" s="212">
        <f>+BB20/1000000+BA20</f>
        <v>32.007067999999997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6">
        <f t="shared" si="31"/>
        <v>8</v>
      </c>
      <c r="E22" s="356" t="str">
        <f t="shared" si="31"/>
        <v/>
      </c>
      <c r="F22" s="356">
        <f t="shared" si="31"/>
        <v>2</v>
      </c>
      <c r="G22" s="356" t="str">
        <f t="shared" si="31"/>
        <v/>
      </c>
      <c r="H22" s="356">
        <f t="shared" si="31"/>
        <v>4</v>
      </c>
      <c r="I22" s="356" t="str">
        <f t="shared" si="31"/>
        <v/>
      </c>
      <c r="J22" s="356">
        <f t="shared" si="31"/>
        <v>7</v>
      </c>
      <c r="K22" s="356" t="str">
        <f t="shared" si="31"/>
        <v/>
      </c>
      <c r="L22" s="356">
        <f t="shared" ref="L22:U24" si="32">IF(AK22=0,"",AK22)</f>
        <v>10</v>
      </c>
      <c r="M22" s="356" t="str">
        <f t="shared" si="32"/>
        <v/>
      </c>
      <c r="N22" s="356">
        <f t="shared" si="32"/>
        <v>5</v>
      </c>
      <c r="O22" s="356" t="str">
        <f t="shared" si="32"/>
        <v/>
      </c>
      <c r="P22" s="356">
        <f t="shared" si="32"/>
        <v>6</v>
      </c>
      <c r="Q22" s="356" t="str">
        <f t="shared" si="32"/>
        <v/>
      </c>
      <c r="R22" s="356">
        <f t="shared" si="32"/>
        <v>9</v>
      </c>
      <c r="S22" s="356" t="str">
        <f t="shared" si="32"/>
        <v/>
      </c>
      <c r="T22" s="356">
        <f t="shared" si="32"/>
        <v>3</v>
      </c>
      <c r="U22" s="356" t="str">
        <f t="shared" si="32"/>
        <v/>
      </c>
      <c r="V22" s="357"/>
      <c r="W22" s="357"/>
      <c r="AA22" s="88" t="s">
        <v>1797</v>
      </c>
      <c r="AB22" s="89" t="s">
        <v>1798</v>
      </c>
      <c r="AC22" s="370">
        <f>VLOOKUP($AA2,Schlüssel!$A$5:$DG$14,23)</f>
        <v>8</v>
      </c>
      <c r="AD22" s="371"/>
      <c r="AE22" s="370">
        <f>VLOOKUP($AA2,Schlüssel!$A$5:$EK$14,24)</f>
        <v>2</v>
      </c>
      <c r="AF22" s="371"/>
      <c r="AG22" s="370">
        <f>VLOOKUP($AA2,Schlüssel!$A$5:$EK$14,25)</f>
        <v>4</v>
      </c>
      <c r="AH22" s="371"/>
      <c r="AI22" s="370">
        <f>VLOOKUP($AA2,Schlüssel!$A$5:$EK$14,26)</f>
        <v>7</v>
      </c>
      <c r="AJ22" s="371"/>
      <c r="AK22" s="370">
        <f>VLOOKUP($AA2,Schlüssel!$A$5:$EK$14,27)</f>
        <v>10</v>
      </c>
      <c r="AL22" s="371"/>
      <c r="AM22" s="370">
        <f>VLOOKUP($AA2,Schlüssel!$A$5:$EK$14,28)</f>
        <v>5</v>
      </c>
      <c r="AN22" s="371"/>
      <c r="AO22" s="370">
        <f>VLOOKUP($AA2,Schlüssel!$A$5:$EK$14,29)</f>
        <v>6</v>
      </c>
      <c r="AP22" s="371"/>
      <c r="AQ22" s="370">
        <f>VLOOKUP($AA2,Schlüssel!$A$5:$EK$14,30)</f>
        <v>9</v>
      </c>
      <c r="AR22" s="371"/>
      <c r="AS22" s="370">
        <f>VLOOKUP($AA2,Schlüssel!$A$5:$EK$14,31)</f>
        <v>3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8" t="str">
        <f t="shared" si="31"/>
        <v>BC EMAX Unterföhring 2</v>
      </c>
      <c r="E23" s="359" t="str">
        <f t="shared" si="31"/>
        <v/>
      </c>
      <c r="F23" s="358" t="str">
        <f t="shared" si="31"/>
        <v>Bajuwaren München 1</v>
      </c>
      <c r="G23" s="359" t="str">
        <f t="shared" si="31"/>
        <v/>
      </c>
      <c r="H23" s="358" t="str">
        <f t="shared" si="31"/>
        <v>SG DJK Rimpar</v>
      </c>
      <c r="I23" s="359" t="str">
        <f t="shared" si="31"/>
        <v/>
      </c>
      <c r="J23" s="358" t="str">
        <f t="shared" si="31"/>
        <v>Schanzer Ingolstadt 1</v>
      </c>
      <c r="K23" s="359" t="str">
        <f t="shared" si="31"/>
        <v/>
      </c>
      <c r="L23" s="358" t="str">
        <f t="shared" si="32"/>
        <v>High Roller Rosenheim 1</v>
      </c>
      <c r="M23" s="359" t="str">
        <f t="shared" si="32"/>
        <v/>
      </c>
      <c r="N23" s="358" t="str">
        <f t="shared" si="32"/>
        <v>RW Lichtenhof Stein 1</v>
      </c>
      <c r="O23" s="359" t="str">
        <f t="shared" si="32"/>
        <v/>
      </c>
      <c r="P23" s="358" t="str">
        <f t="shared" si="32"/>
        <v>SG Rottendorf 1</v>
      </c>
      <c r="Q23" s="359" t="str">
        <f t="shared" si="32"/>
        <v/>
      </c>
      <c r="R23" s="358" t="str">
        <f t="shared" si="32"/>
        <v>Bowlinghaus Bamberg 1</v>
      </c>
      <c r="S23" s="359" t="str">
        <f t="shared" si="32"/>
        <v/>
      </c>
      <c r="T23" s="358" t="str">
        <f t="shared" si="32"/>
        <v>BK München 3</v>
      </c>
      <c r="U23" s="359" t="str">
        <f t="shared" si="32"/>
        <v/>
      </c>
      <c r="V23" s="363"/>
      <c r="W23" s="363"/>
      <c r="AA23" s="90"/>
      <c r="AB23" s="86"/>
      <c r="AC23" s="358" t="str">
        <f>VLOOKUP(AC22,Schlüssel!$A$5:$K$14,2)</f>
        <v>BC EMAX Unterföhring 2</v>
      </c>
      <c r="AD23" s="359"/>
      <c r="AE23" s="358" t="str">
        <f>VLOOKUP(AE22,Schlüssel!$A$5:$K$14,2)</f>
        <v>Bajuwaren München 1</v>
      </c>
      <c r="AF23" s="359"/>
      <c r="AG23" s="358" t="str">
        <f>VLOOKUP(AG22,Schlüssel!$A$5:$K$14,2)</f>
        <v>SG DJK Rimpar</v>
      </c>
      <c r="AH23" s="359"/>
      <c r="AI23" s="358" t="str">
        <f>VLOOKUP(AI22,Schlüssel!$A$5:$K$14,2)</f>
        <v>Schanzer Ingolstadt 1</v>
      </c>
      <c r="AJ23" s="359"/>
      <c r="AK23" s="358" t="str">
        <f>VLOOKUP(AK22,Schlüssel!$A$5:$K$14,2)</f>
        <v>High Roller Rosenheim 1</v>
      </c>
      <c r="AL23" s="359"/>
      <c r="AM23" s="358" t="str">
        <f>VLOOKUP(AM22,Schlüssel!$A$5:$K$14,2)</f>
        <v>RW Lichtenhof Stein 1</v>
      </c>
      <c r="AN23" s="359"/>
      <c r="AO23" s="358" t="str">
        <f>VLOOKUP(AO22,Schlüssel!$A$5:$K$14,2)</f>
        <v>SG Rottendorf 1</v>
      </c>
      <c r="AP23" s="359"/>
      <c r="AQ23" s="358" t="str">
        <f>VLOOKUP(AQ22,Schlüssel!$A$5:$K$14,2)</f>
        <v>Bowlinghaus Bamberg 1</v>
      </c>
      <c r="AR23" s="359"/>
      <c r="AS23" s="358" t="str">
        <f>VLOOKUP(AS22,Schlüssel!$A$5:$K$14,2)</f>
        <v>BK München 3</v>
      </c>
      <c r="AT23" s="359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60" t="str">
        <f t="shared" si="31"/>
        <v/>
      </c>
      <c r="E24" s="360" t="str">
        <f t="shared" si="31"/>
        <v/>
      </c>
      <c r="F24" s="360" t="str">
        <f t="shared" si="31"/>
        <v/>
      </c>
      <c r="G24" s="360" t="str">
        <f t="shared" si="31"/>
        <v/>
      </c>
      <c r="H24" s="360" t="str">
        <f t="shared" si="31"/>
        <v/>
      </c>
      <c r="I24" s="360" t="str">
        <f t="shared" si="31"/>
        <v/>
      </c>
      <c r="J24" s="360" t="str">
        <f t="shared" si="31"/>
        <v/>
      </c>
      <c r="K24" s="360" t="str">
        <f t="shared" si="31"/>
        <v/>
      </c>
      <c r="L24" s="360" t="str">
        <f t="shared" si="32"/>
        <v/>
      </c>
      <c r="M24" s="360" t="str">
        <f t="shared" si="32"/>
        <v/>
      </c>
      <c r="N24" s="360" t="str">
        <f t="shared" si="32"/>
        <v/>
      </c>
      <c r="O24" s="360" t="str">
        <f t="shared" si="32"/>
        <v/>
      </c>
      <c r="P24" s="360" t="str">
        <f t="shared" si="32"/>
        <v/>
      </c>
      <c r="Q24" s="360" t="str">
        <f t="shared" si="32"/>
        <v/>
      </c>
      <c r="R24" s="360" t="str">
        <f t="shared" si="32"/>
        <v/>
      </c>
      <c r="S24" s="360" t="str">
        <f t="shared" si="32"/>
        <v/>
      </c>
      <c r="T24" s="360" t="str">
        <f t="shared" si="32"/>
        <v/>
      </c>
      <c r="U24" s="361" t="str">
        <f t="shared" si="32"/>
        <v/>
      </c>
      <c r="V24" s="298"/>
      <c r="W24" s="298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4" t="str">
        <f t="shared" ref="B25:C29" si="33">IF(AA25=0,"",AA25)</f>
        <v>Spieler 1</v>
      </c>
      <c r="C25" s="375" t="str">
        <f t="shared" si="33"/>
        <v/>
      </c>
      <c r="D25" s="362">
        <f>IF(AC25=301,"",AC25)</f>
        <v>153</v>
      </c>
      <c r="E25" s="362" t="str">
        <f>IF(AD25=0,"",AD25)</f>
        <v/>
      </c>
      <c r="F25" s="362">
        <f>IF(AE25=301,"",AE25)</f>
        <v>205</v>
      </c>
      <c r="G25" s="362" t="str">
        <f>IF(AF25=0,"",AF25)</f>
        <v/>
      </c>
      <c r="H25" s="362">
        <f>IF(AG25=301,"",AG25)</f>
        <v>180</v>
      </c>
      <c r="I25" s="362" t="str">
        <f>IF(AH25=0,"",AH25)</f>
        <v/>
      </c>
      <c r="J25" s="362">
        <f>IF(AI25=301,"",AI25)</f>
        <v>171</v>
      </c>
      <c r="K25" s="362" t="str">
        <f>IF(AJ25=0,"",AJ25)</f>
        <v/>
      </c>
      <c r="L25" s="362">
        <f>IF(AK25=301,"",AK25)</f>
        <v>192</v>
      </c>
      <c r="M25" s="362" t="str">
        <f>IF(AL25=0,"",AL25)</f>
        <v/>
      </c>
      <c r="N25" s="362">
        <f>IF(AM25=301,"",AM25)</f>
        <v>187</v>
      </c>
      <c r="O25" s="362" t="str">
        <f>IF(AN25=0,"",AN25)</f>
        <v/>
      </c>
      <c r="P25" s="362">
        <f>IF(AO25=301,"",AO25)</f>
        <v>149</v>
      </c>
      <c r="Q25" s="362" t="str">
        <f>IF(AP25=0,"",AP25)</f>
        <v/>
      </c>
      <c r="R25" s="362">
        <f>IF(AQ25=301,"",AQ25)</f>
        <v>184</v>
      </c>
      <c r="S25" s="362" t="str">
        <f>IF(AR25=0,"",AR25)</f>
        <v/>
      </c>
      <c r="T25" s="362">
        <f>IF(AS25=301,"",AS25)</f>
        <v>164</v>
      </c>
      <c r="U25" s="362" t="str">
        <f>IF(AT25=0,"",AT25)</f>
        <v/>
      </c>
      <c r="V25" s="364"/>
      <c r="W25" s="364"/>
      <c r="AA25" s="91" t="s">
        <v>0</v>
      </c>
      <c r="AB25" s="92"/>
      <c r="AC25" s="368">
        <f>ABS(INDEX(AC:AC,MATCH(AC22,$AA:$AA,0)+5)+INDEX(AC:AC,MATCH(AC22,$AA:$AA,0)+6)+INDEX(AC:AC,MATCH(AC22,$AA:$AA,0)+7))</f>
        <v>153</v>
      </c>
      <c r="AD25" s="369"/>
      <c r="AE25" s="368">
        <f>ABS(INDEX(AE:AE,MATCH(AE22,$AA:$AA,0)+5)+INDEX(AE:AE,MATCH(AE22,$AA:$AA,0)+6)+INDEX(AE:AE,MATCH(AE22,$AA:$AA,0)+7))</f>
        <v>205</v>
      </c>
      <c r="AF25" s="369"/>
      <c r="AG25" s="368">
        <f>ABS(INDEX(AG:AG,MATCH(AG22,$AA:$AA,0)+5)+INDEX(AG:AG,MATCH(AG22,$AA:$AA,0)+6)+INDEX(AG:AG,MATCH(AG22,$AA:$AA,0)+7))</f>
        <v>180</v>
      </c>
      <c r="AH25" s="369"/>
      <c r="AI25" s="368">
        <f>ABS(INDEX(AI:AI,MATCH(AI22,$AA:$AA,0)+5)+INDEX(AI:AI,MATCH(AI22,$AA:$AA,0)+6)+INDEX(AI:AI,MATCH(AI22,$AA:$AA,0)+7))</f>
        <v>171</v>
      </c>
      <c r="AJ25" s="369"/>
      <c r="AK25" s="368">
        <f>ABS(INDEX(AK:AK,MATCH(AK22,$AA:$AA,0)+5)+INDEX(AK:AK,MATCH(AK22,$AA:$AA,0)+6)+INDEX(AK:AK,MATCH(AK22,$AA:$AA,0)+7))</f>
        <v>192</v>
      </c>
      <c r="AL25" s="369"/>
      <c r="AM25" s="368">
        <f>ABS(INDEX(AM:AM,MATCH(AM22,$AA:$AA,0)+5)+INDEX(AM:AM,MATCH(AM22,$AA:$AA,0)+6)+INDEX(AM:AM,MATCH(AM22,$AA:$AA,0)+7))</f>
        <v>187</v>
      </c>
      <c r="AN25" s="369"/>
      <c r="AO25" s="368">
        <f>ABS(INDEX(AO:AO,MATCH(AO22,$AA:$AA,0)+5)+INDEX(AO:AO,MATCH(AO22,$AA:$AA,0)+6)+INDEX(AO:AO,MATCH(AO22,$AA:$AA,0)+7))</f>
        <v>149</v>
      </c>
      <c r="AP25" s="369"/>
      <c r="AQ25" s="368">
        <f>ABS(INDEX(AQ:AQ,MATCH(AQ22,$AA:$AA,0)+5)+INDEX(AQ:AQ,MATCH(AQ22,$AA:$AA,0)+6)+INDEX(AQ:AQ,MATCH(AQ22,$AA:$AA,0)+7))</f>
        <v>184</v>
      </c>
      <c r="AR25" s="369"/>
      <c r="AS25" s="368">
        <f>ABS(INDEX(AS:AS,MATCH(AS22,$AA:$AA,0)+5)+INDEX(AS:AS,MATCH(AS22,$AA:$AA,0)+6)+INDEX(AS:AS,MATCH(AS22,$AA:$AA,0)+7))</f>
        <v>164</v>
      </c>
      <c r="AT25" s="369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4" t="str">
        <f t="shared" si="33"/>
        <v>Spieler 2</v>
      </c>
      <c r="C26" s="375" t="str">
        <f t="shared" si="33"/>
        <v/>
      </c>
      <c r="D26" s="362">
        <f>IF(AC26=301,"",AC26)</f>
        <v>169</v>
      </c>
      <c r="E26" s="362" t="str">
        <f>IF(AD26=0,"",AD26)</f>
        <v/>
      </c>
      <c r="F26" s="362">
        <f>IF(AE26=301,"",AE26)</f>
        <v>223</v>
      </c>
      <c r="G26" s="362" t="str">
        <f>IF(AF26=0,"",AF26)</f>
        <v/>
      </c>
      <c r="H26" s="362">
        <f>IF(AG26=301,"",AG26)</f>
        <v>223</v>
      </c>
      <c r="I26" s="362" t="str">
        <f>IF(AH26=0,"",AH26)</f>
        <v/>
      </c>
      <c r="J26" s="362">
        <f>IF(AI26=301,"",AI26)</f>
        <v>176</v>
      </c>
      <c r="K26" s="362" t="str">
        <f>IF(AJ26=0,"",AJ26)</f>
        <v/>
      </c>
      <c r="L26" s="362">
        <f>IF(AK26=301,"",AK26)</f>
        <v>154</v>
      </c>
      <c r="M26" s="362" t="str">
        <f>IF(AL26=0,"",AL26)</f>
        <v/>
      </c>
      <c r="N26" s="362">
        <f>IF(AM26=301,"",AM26)</f>
        <v>157</v>
      </c>
      <c r="O26" s="362" t="str">
        <f>IF(AN26=0,"",AN26)</f>
        <v/>
      </c>
      <c r="P26" s="362">
        <f>IF(AO26=301,"",AO26)</f>
        <v>235</v>
      </c>
      <c r="Q26" s="362" t="str">
        <f>IF(AP26=0,"",AP26)</f>
        <v/>
      </c>
      <c r="R26" s="362">
        <f>IF(AQ26=301,"",AQ26)</f>
        <v>178</v>
      </c>
      <c r="S26" s="362" t="str">
        <f>IF(AR26=0,"",AR26)</f>
        <v/>
      </c>
      <c r="T26" s="362">
        <f>IF(AS26=301,"",AS26)</f>
        <v>158</v>
      </c>
      <c r="U26" s="362" t="str">
        <f>IF(AT26=0,"",AT26)</f>
        <v/>
      </c>
      <c r="V26" s="364"/>
      <c r="W26" s="364"/>
      <c r="AA26" s="91" t="s">
        <v>2</v>
      </c>
      <c r="AB26" s="92"/>
      <c r="AC26" s="366">
        <f>ABS(INDEX(AC:AC,MATCH(AC22,$AA:$AA,0)+8)+INDEX(AC:AC,MATCH(AC22,$AA:$AA,0)+9)+INDEX(AC:AC,MATCH(AC22,$AA:$AA,0)+10))</f>
        <v>169</v>
      </c>
      <c r="AD26" s="367"/>
      <c r="AE26" s="366">
        <f>ABS(INDEX(AE:AE,MATCH(AE22,$AA:$AA,0)+8)+INDEX(AE:AE,MATCH(AE22,$AA:$AA,0)+9)+INDEX(AE:AE,MATCH(AE22,$AA:$AA,0)+10))</f>
        <v>223</v>
      </c>
      <c r="AF26" s="367"/>
      <c r="AG26" s="366">
        <f>ABS(INDEX(AG:AG,MATCH(AG22,$AA:$AA,0)+8)+INDEX(AG:AG,MATCH(AG22,$AA:$AA,0)+9)+INDEX(AG:AG,MATCH(AG22,$AA:$AA,0)+10))</f>
        <v>223</v>
      </c>
      <c r="AH26" s="367"/>
      <c r="AI26" s="366">
        <f>ABS(INDEX(AI:AI,MATCH(AI22,$AA:$AA,0)+8)+INDEX(AI:AI,MATCH(AI22,$AA:$AA,0)+9)+INDEX(AI:AI,MATCH(AI22,$AA:$AA,0)+10))</f>
        <v>176</v>
      </c>
      <c r="AJ26" s="367"/>
      <c r="AK26" s="366">
        <f>ABS(INDEX(AK:AK,MATCH(AK22,$AA:$AA,0)+8)+INDEX(AK:AK,MATCH(AK22,$AA:$AA,0)+9)+INDEX(AK:AK,MATCH(AK22,$AA:$AA,0)+10))</f>
        <v>154</v>
      </c>
      <c r="AL26" s="367"/>
      <c r="AM26" s="366">
        <f>ABS(INDEX(AM:AM,MATCH(AM22,$AA:$AA,0)+8)+INDEX(AM:AM,MATCH(AM22,$AA:$AA,0)+9)+INDEX(AM:AM,MATCH(AM22,$AA:$AA,0)+10))</f>
        <v>157</v>
      </c>
      <c r="AN26" s="367"/>
      <c r="AO26" s="366">
        <f>ABS(INDEX(AO:AO,MATCH(AO22,$AA:$AA,0)+8)+INDEX(AO:AO,MATCH(AO22,$AA:$AA,0)+9)+INDEX(AO:AO,MATCH(AO22,$AA:$AA,0)+10))</f>
        <v>235</v>
      </c>
      <c r="AP26" s="367"/>
      <c r="AQ26" s="366">
        <f>ABS(INDEX(AQ:AQ,MATCH(AQ22,$AA:$AA,0)+8)+INDEX(AQ:AQ,MATCH(AQ22,$AA:$AA,0)+9)+INDEX(AQ:AQ,MATCH(AQ22,$AA:$AA,0)+10))</f>
        <v>178</v>
      </c>
      <c r="AR26" s="367"/>
      <c r="AS26" s="366">
        <f>ABS(INDEX(AS:AS,MATCH(AS22,$AA:$AA,0)+8)+INDEX(AS:AS,MATCH(AS22,$AA:$AA,0)+9)+INDEX(AS:AS,MATCH(AS22,$AA:$AA,0)+10))</f>
        <v>158</v>
      </c>
      <c r="AT26" s="367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4" t="str">
        <f t="shared" si="33"/>
        <v>Spieler 3</v>
      </c>
      <c r="C27" s="375" t="str">
        <f t="shared" si="33"/>
        <v/>
      </c>
      <c r="D27" s="362">
        <f>IF(AC27=301,"",AC27)</f>
        <v>236</v>
      </c>
      <c r="E27" s="362" t="str">
        <f>IF(AD27=0,"",AD27)</f>
        <v/>
      </c>
      <c r="F27" s="362">
        <f>IF(AE27=301,"",AE27)</f>
        <v>189</v>
      </c>
      <c r="G27" s="362" t="str">
        <f>IF(AF27=0,"",AF27)</f>
        <v/>
      </c>
      <c r="H27" s="362">
        <f>IF(AG27=301,"",AG27)</f>
        <v>225</v>
      </c>
      <c r="I27" s="362" t="str">
        <f>IF(AH27=0,"",AH27)</f>
        <v/>
      </c>
      <c r="J27" s="362">
        <f>IF(AI27=301,"",AI27)</f>
        <v>224</v>
      </c>
      <c r="K27" s="362" t="str">
        <f>IF(AJ27=0,"",AJ27)</f>
        <v/>
      </c>
      <c r="L27" s="362">
        <f>IF(AK27=301,"",AK27)</f>
        <v>173</v>
      </c>
      <c r="M27" s="362" t="str">
        <f>IF(AL27=0,"",AL27)</f>
        <v/>
      </c>
      <c r="N27" s="362">
        <f>IF(AM27=301,"",AM27)</f>
        <v>180</v>
      </c>
      <c r="O27" s="362" t="str">
        <f>IF(AN27=0,"",AN27)</f>
        <v/>
      </c>
      <c r="P27" s="362">
        <f>IF(AO27=301,"",AO27)</f>
        <v>175</v>
      </c>
      <c r="Q27" s="362" t="str">
        <f>IF(AP27=0,"",AP27)</f>
        <v/>
      </c>
      <c r="R27" s="362">
        <f>IF(AQ27=301,"",AQ27)</f>
        <v>170</v>
      </c>
      <c r="S27" s="362" t="str">
        <f>IF(AR27=0,"",AR27)</f>
        <v/>
      </c>
      <c r="T27" s="362">
        <f>IF(AS27=301,"",AS27)</f>
        <v>166</v>
      </c>
      <c r="U27" s="362" t="str">
        <f>IF(AT27=0,"",AT27)</f>
        <v/>
      </c>
      <c r="V27" s="364"/>
      <c r="W27" s="364"/>
      <c r="AA27" s="91" t="s">
        <v>3</v>
      </c>
      <c r="AB27" s="92"/>
      <c r="AC27" s="366">
        <f>ABS(INDEX(AC:AC,MATCH(AC22,$AA:$AA,0)+11)+INDEX(AC:AC,MATCH(AC22,$AA:$AA,0)+12)+INDEX(AC:AC,MATCH(AC22,$AA:$AA,0)+13))</f>
        <v>236</v>
      </c>
      <c r="AD27" s="367"/>
      <c r="AE27" s="366">
        <f>ABS(INDEX(AE:AE,MATCH(AE22,$AA:$AA,0)+11)+INDEX(AE:AE,MATCH(AE22,$AA:$AA,0)+12)+INDEX(AE:AE,MATCH(AE22,$AA:$AA,0)+13))</f>
        <v>189</v>
      </c>
      <c r="AF27" s="367"/>
      <c r="AG27" s="366">
        <f>ABS(INDEX(AG:AG,MATCH(AG22,$AA:$AA,0)+11)+INDEX(AG:AG,MATCH(AG22,$AA:$AA,0)+12)+INDEX(AG:AG,MATCH(AG22,$AA:$AA,0)+13))</f>
        <v>225</v>
      </c>
      <c r="AH27" s="367"/>
      <c r="AI27" s="366">
        <f>ABS(INDEX(AI:AI,MATCH(AI22,$AA:$AA,0)+11)+INDEX(AI:AI,MATCH(AI22,$AA:$AA,0)+12)+INDEX(AI:AI,MATCH(AI22,$AA:$AA,0)+13))</f>
        <v>224</v>
      </c>
      <c r="AJ27" s="367"/>
      <c r="AK27" s="366">
        <f>ABS(INDEX(AK:AK,MATCH(AK22,$AA:$AA,0)+11)+INDEX(AK:AK,MATCH(AK22,$AA:$AA,0)+12)+INDEX(AK:AK,MATCH(AK22,$AA:$AA,0)+13))</f>
        <v>173</v>
      </c>
      <c r="AL27" s="367"/>
      <c r="AM27" s="366">
        <f>ABS(INDEX(AM:AM,MATCH(AM22,$AA:$AA,0)+11)+INDEX(AM:AM,MATCH(AM22,$AA:$AA,0)+12)+INDEX(AM:AM,MATCH(AM22,$AA:$AA,0)+13))</f>
        <v>180</v>
      </c>
      <c r="AN27" s="367"/>
      <c r="AO27" s="366">
        <f>ABS(INDEX(AO:AO,MATCH(AO22,$AA:$AA,0)+11)+INDEX(AO:AO,MATCH(AO22,$AA:$AA,0)+12)+INDEX(AO:AO,MATCH(AO22,$AA:$AA,0)+13))</f>
        <v>175</v>
      </c>
      <c r="AP27" s="367"/>
      <c r="AQ27" s="366">
        <f>ABS(INDEX(AQ:AQ,MATCH(AQ22,$AA:$AA,0)+11)+INDEX(AQ:AQ,MATCH(AQ22,$AA:$AA,0)+12)+INDEX(AQ:AQ,MATCH(AQ22,$AA:$AA,0)+13))</f>
        <v>170</v>
      </c>
      <c r="AR27" s="367"/>
      <c r="AS27" s="366">
        <f>ABS(INDEX(AS:AS,MATCH(AS22,$AA:$AA,0)+11)+INDEX(AS:AS,MATCH(AS22,$AA:$AA,0)+12)+INDEX(AS:AS,MATCH(AS22,$AA:$AA,0)+13))</f>
        <v>166</v>
      </c>
      <c r="AT27" s="367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4" t="str">
        <f t="shared" si="33"/>
        <v>Spieler 4</v>
      </c>
      <c r="C28" s="375" t="str">
        <f t="shared" si="33"/>
        <v/>
      </c>
      <c r="D28" s="362">
        <f>IF(AC28=301,"",AC28)</f>
        <v>170</v>
      </c>
      <c r="E28" s="362" t="str">
        <f>IF(AD28=0,"",AD28)</f>
        <v/>
      </c>
      <c r="F28" s="362">
        <f>IF(AE28=301,"",AE28)</f>
        <v>167</v>
      </c>
      <c r="G28" s="362" t="str">
        <f>IF(AF28=0,"",AF28)</f>
        <v/>
      </c>
      <c r="H28" s="362">
        <f>IF(AG28=301,"",AG28)</f>
        <v>215</v>
      </c>
      <c r="I28" s="362" t="str">
        <f>IF(AH28=0,"",AH28)</f>
        <v/>
      </c>
      <c r="J28" s="362">
        <f>IF(AI28=301,"",AI28)</f>
        <v>220</v>
      </c>
      <c r="K28" s="362" t="str">
        <f>IF(AJ28=0,"",AJ28)</f>
        <v/>
      </c>
      <c r="L28" s="362">
        <f>IF(AK28=301,"",AK28)</f>
        <v>221</v>
      </c>
      <c r="M28" s="362" t="str">
        <f>IF(AL28=0,"",AL28)</f>
        <v/>
      </c>
      <c r="N28" s="362">
        <f>IF(AM28=301,"",AM28)</f>
        <v>195</v>
      </c>
      <c r="O28" s="362" t="str">
        <f>IF(AN28=0,"",AN28)</f>
        <v/>
      </c>
      <c r="P28" s="362">
        <f>IF(AO28=301,"",AO28)</f>
        <v>219</v>
      </c>
      <c r="Q28" s="362" t="str">
        <f>IF(AP28=0,"",AP28)</f>
        <v/>
      </c>
      <c r="R28" s="362">
        <f>IF(AQ28=301,"",AQ28)</f>
        <v>268</v>
      </c>
      <c r="S28" s="362" t="str">
        <f>IF(AR28=0,"",AR28)</f>
        <v/>
      </c>
      <c r="T28" s="362">
        <f>IF(AS28=301,"",AS28)</f>
        <v>202</v>
      </c>
      <c r="U28" s="362" t="str">
        <f>IF(AT28=0,"",AT28)</f>
        <v/>
      </c>
      <c r="V28" s="364"/>
      <c r="W28" s="364"/>
      <c r="AA28" s="91" t="s">
        <v>11</v>
      </c>
      <c r="AB28" s="92"/>
      <c r="AC28" s="366">
        <f>ABS(INDEX(AC:AC,MATCH(AC22,$AA:$AA,0)+14)+INDEX(AC:AC,MATCH(AC22,$AA:$AA,0)+15)+INDEX(AC:AC,MATCH(AC22,$AA:$AA,0)+16))</f>
        <v>170</v>
      </c>
      <c r="AD28" s="367"/>
      <c r="AE28" s="366">
        <f>ABS(INDEX(AE:AE,MATCH(AE22,$AA:$AA,0)+14)+INDEX(AE:AE,MATCH(AE22,$AA:$AA,0)+15)+INDEX(AE:AE,MATCH(AE22,$AA:$AA,0)+16))</f>
        <v>167</v>
      </c>
      <c r="AF28" s="367"/>
      <c r="AG28" s="366">
        <f>ABS(INDEX(AG:AG,MATCH(AG22,$AA:$AA,0)+14)+INDEX(AG:AG,MATCH(AG22,$AA:$AA,0)+15)+INDEX(AG:AG,MATCH(AG22,$AA:$AA,0)+16))</f>
        <v>215</v>
      </c>
      <c r="AH28" s="367"/>
      <c r="AI28" s="366">
        <f>ABS(INDEX(AI:AI,MATCH(AI22,$AA:$AA,0)+14)+INDEX(AI:AI,MATCH(AI22,$AA:$AA,0)+15)+INDEX(AI:AI,MATCH(AI22,$AA:$AA,0)+16))</f>
        <v>220</v>
      </c>
      <c r="AJ28" s="367"/>
      <c r="AK28" s="366">
        <f>ABS(INDEX(AK:AK,MATCH(AK22,$AA:$AA,0)+14)+INDEX(AK:AK,MATCH(AK22,$AA:$AA,0)+15)+INDEX(AK:AK,MATCH(AK22,$AA:$AA,0)+16))</f>
        <v>221</v>
      </c>
      <c r="AL28" s="367"/>
      <c r="AM28" s="366">
        <f>ABS(INDEX(AM:AM,MATCH(AM22,$AA:$AA,0)+14)+INDEX(AM:AM,MATCH(AM22,$AA:$AA,0)+15)+INDEX(AM:AM,MATCH(AM22,$AA:$AA,0)+16))</f>
        <v>195</v>
      </c>
      <c r="AN28" s="367"/>
      <c r="AO28" s="366">
        <f>ABS(INDEX(AO:AO,MATCH(AO22,$AA:$AA,0)+14)+INDEX(AO:AO,MATCH(AO22,$AA:$AA,0)+15)+INDEX(AO:AO,MATCH(AO22,$AA:$AA,0)+16))</f>
        <v>219</v>
      </c>
      <c r="AP28" s="367"/>
      <c r="AQ28" s="366">
        <f>ABS(INDEX(AQ:AQ,MATCH(AQ22,$AA:$AA,0)+14)+INDEX(AQ:AQ,MATCH(AQ22,$AA:$AA,0)+15)+INDEX(AQ:AQ,MATCH(AQ22,$AA:$AA,0)+16))</f>
        <v>268</v>
      </c>
      <c r="AR28" s="367"/>
      <c r="AS28" s="366">
        <f>ABS(INDEX(AS:AS,MATCH(AS22,$AA:$AA,0)+14)+INDEX(AS:AS,MATCH(AS22,$AA:$AA,0)+15)+INDEX(AS:AS,MATCH(AS22,$AA:$AA,0)+16))</f>
        <v>202</v>
      </c>
      <c r="AT28" s="367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6" t="str">
        <f t="shared" si="33"/>
        <v>Gesamt</v>
      </c>
      <c r="C29" s="347" t="str">
        <f t="shared" si="33"/>
        <v/>
      </c>
      <c r="D29" s="365">
        <f>IF(AC29=1505,"",AC29)</f>
        <v>728</v>
      </c>
      <c r="E29" s="365" t="str">
        <f>IF(AD29=0,"",AD29)</f>
        <v/>
      </c>
      <c r="F29" s="365">
        <f>IF(AE29=1505,"",AE29)</f>
        <v>784</v>
      </c>
      <c r="G29" s="365" t="str">
        <f>IF(AF29=0,"",AF29)</f>
        <v/>
      </c>
      <c r="H29" s="365">
        <f>IF(AG29=1505,"",AG29)</f>
        <v>843</v>
      </c>
      <c r="I29" s="365" t="str">
        <f>IF(AH29=0,"",AH29)</f>
        <v/>
      </c>
      <c r="J29" s="365">
        <f>IF(AI29=1505,"",AI29)</f>
        <v>791</v>
      </c>
      <c r="K29" s="365" t="str">
        <f>IF(AJ29=0,"",AJ29)</f>
        <v/>
      </c>
      <c r="L29" s="365">
        <f>IF(AK29=1505,"",AK29)</f>
        <v>740</v>
      </c>
      <c r="M29" s="365" t="str">
        <f>IF(AL29=0,"",AL29)</f>
        <v/>
      </c>
      <c r="N29" s="365">
        <f>IF(AM29=1505,"",AM29)</f>
        <v>719</v>
      </c>
      <c r="O29" s="365" t="str">
        <f>IF(AN29=0,"",AN29)</f>
        <v/>
      </c>
      <c r="P29" s="365">
        <f>IF(AO29=1505,"",AO29)</f>
        <v>778</v>
      </c>
      <c r="Q29" s="365" t="str">
        <f>IF(AP29=0,"",AP29)</f>
        <v/>
      </c>
      <c r="R29" s="365">
        <f>IF(AQ29=1505,"",AQ29)</f>
        <v>800</v>
      </c>
      <c r="S29" s="365" t="str">
        <f>IF(AR29=0,"",AR29)</f>
        <v/>
      </c>
      <c r="T29" s="365">
        <f>IF(AS29=1505,"",AS29)</f>
        <v>690</v>
      </c>
      <c r="U29" s="365" t="str">
        <f>IF(AT29=0,"",AT29)</f>
        <v/>
      </c>
      <c r="V29" s="301"/>
      <c r="W29" s="301"/>
      <c r="AA29" s="93" t="s">
        <v>1799</v>
      </c>
      <c r="AB29" s="94"/>
      <c r="AC29" s="346">
        <f>SUM(AC25:AC28)</f>
        <v>728</v>
      </c>
      <c r="AD29" s="347"/>
      <c r="AE29" s="346">
        <f>SUM(AE25:AE28)</f>
        <v>784</v>
      </c>
      <c r="AF29" s="347"/>
      <c r="AG29" s="346">
        <f>SUM(AG25:AG28)</f>
        <v>843</v>
      </c>
      <c r="AH29" s="347"/>
      <c r="AI29" s="346">
        <f>SUM(AI25:AI28)</f>
        <v>791</v>
      </c>
      <c r="AJ29" s="347"/>
      <c r="AK29" s="346">
        <f>SUM(AK25:AK28)</f>
        <v>740</v>
      </c>
      <c r="AL29" s="347"/>
      <c r="AM29" s="346">
        <f>SUM(AM25:AM28)</f>
        <v>719</v>
      </c>
      <c r="AN29" s="347"/>
      <c r="AO29" s="346">
        <f>SUM(AO25:AO28)</f>
        <v>778</v>
      </c>
      <c r="AP29" s="347"/>
      <c r="AQ29" s="346">
        <f>SUM(AQ25:AQ28)</f>
        <v>800</v>
      </c>
      <c r="AR29" s="347"/>
      <c r="AS29" s="346">
        <f>SUM(AS25:AS28)</f>
        <v>690</v>
      </c>
      <c r="AT29" s="347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5" t="str">
        <f>AE31</f>
        <v>Bayernliga Herren</v>
      </c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48"/>
      <c r="S31" s="49" t="s">
        <v>1794</v>
      </c>
      <c r="T31" s="50"/>
      <c r="U31" s="341" t="str">
        <f>AT31</f>
        <v>02.11./03.11.</v>
      </c>
      <c r="V31" s="342"/>
      <c r="W31" s="343"/>
      <c r="X31" s="372"/>
      <c r="Y31" s="373"/>
      <c r="Z31" s="373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41" t="str">
        <f>VLOOKUP(AS32,Spielorte!$A$1:$C$6,2)</f>
        <v>02.11./03.11.</v>
      </c>
      <c r="AU31" s="342"/>
      <c r="AV31" s="34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4" t="str">
        <f>AE32</f>
        <v>Nürnberg West Bowling</v>
      </c>
      <c r="G32" s="344"/>
      <c r="H32" s="344"/>
      <c r="I32" s="344"/>
      <c r="J32" s="344"/>
      <c r="K32" s="344"/>
      <c r="L32" s="344"/>
      <c r="M32" s="344"/>
      <c r="N32" s="344"/>
      <c r="O32" s="344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8</v>
      </c>
      <c r="AE34" s="65" t="s">
        <v>10</v>
      </c>
      <c r="AF34" s="44">
        <f>VLOOKUP(AA32,Schlüssel!$A$5:$DZ$14,34)</f>
        <v>10</v>
      </c>
      <c r="AG34" s="65" t="s">
        <v>10</v>
      </c>
      <c r="AH34" s="44">
        <f>VLOOKUP(AA32,Schlüssel!$A$5:$DZ$14,35)</f>
        <v>2</v>
      </c>
      <c r="AI34" s="65" t="s">
        <v>10</v>
      </c>
      <c r="AJ34" s="44">
        <f>VLOOKUP(AA32,Schlüssel!$A$5:$DZ$14,36)</f>
        <v>3</v>
      </c>
      <c r="AK34" s="65" t="s">
        <v>10</v>
      </c>
      <c r="AL34" s="44">
        <f>VLOOKUP(AA32,Schlüssel!$A$5:$DZ$14,37)</f>
        <v>9</v>
      </c>
      <c r="AM34" s="65" t="s">
        <v>10</v>
      </c>
      <c r="AN34" s="44">
        <f>VLOOKUP(AA32,Schlüssel!$A$5:$DZ$14,38)</f>
        <v>7</v>
      </c>
      <c r="AO34" s="65" t="s">
        <v>10</v>
      </c>
      <c r="AP34" s="44">
        <f>VLOOKUP(AA32,Schlüssel!$A$5:$DZ$14,39)</f>
        <v>1</v>
      </c>
      <c r="AQ34" s="65" t="s">
        <v>10</v>
      </c>
      <c r="AR34" s="44">
        <f>VLOOKUP(AA32,Schlüssel!$A$5:$DZ$14,40)</f>
        <v>6</v>
      </c>
      <c r="AS34" s="65" t="s">
        <v>10</v>
      </c>
      <c r="AT34" s="44">
        <f>VLOOKUP(AA32,Schlüssel!$A$5:$DZ$14,41)</f>
        <v>4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6" t="s">
        <v>1800</v>
      </c>
      <c r="E35" s="347"/>
      <c r="F35" s="346" t="s">
        <v>1801</v>
      </c>
      <c r="G35" s="347"/>
      <c r="H35" s="346" t="s">
        <v>1802</v>
      </c>
      <c r="I35" s="347"/>
      <c r="J35" s="346" t="s">
        <v>1803</v>
      </c>
      <c r="K35" s="347"/>
      <c r="L35" s="346" t="s">
        <v>1804</v>
      </c>
      <c r="M35" s="347"/>
      <c r="N35" s="346" t="s">
        <v>1805</v>
      </c>
      <c r="O35" s="347"/>
      <c r="P35" s="346" t="s">
        <v>1806</v>
      </c>
      <c r="Q35" s="347"/>
      <c r="R35" s="346" t="s">
        <v>1807</v>
      </c>
      <c r="S35" s="347"/>
      <c r="T35" s="346" t="s">
        <v>1808</v>
      </c>
      <c r="U35" s="347"/>
      <c r="V35" s="354" t="s">
        <v>1799</v>
      </c>
      <c r="W35" s="355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6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220</v>
      </c>
      <c r="E37" s="348">
        <f>IF(AD37="","",AD37)</f>
        <v>0</v>
      </c>
      <c r="F37" s="75">
        <f t="shared" ref="F37:F50" si="34">IF(AE37=0,"",AE37)</f>
        <v>205</v>
      </c>
      <c r="G37" s="348">
        <f>IF(AF37="","",AF37)</f>
        <v>1</v>
      </c>
      <c r="H37" s="75">
        <f t="shared" ref="H37:H50" si="35">IF(AG37=0,"",AG37)</f>
        <v>215</v>
      </c>
      <c r="I37" s="348">
        <f>IF(AH37="","",AH37)</f>
        <v>0</v>
      </c>
      <c r="J37" s="75">
        <f t="shared" ref="J37:J50" si="36">IF(AI37=0,"",AI37)</f>
        <v>166</v>
      </c>
      <c r="K37" s="348">
        <f>IF(AJ37="","",AJ37)</f>
        <v>0</v>
      </c>
      <c r="L37" s="75">
        <f t="shared" ref="L37:L50" si="37">IF(AK37=0,"",AK37)</f>
        <v>201</v>
      </c>
      <c r="M37" s="348">
        <f>IF(AL37="","",AL37)</f>
        <v>1</v>
      </c>
      <c r="N37" s="75">
        <f>IF(AM37=0,"",AM37)</f>
        <v>211</v>
      </c>
      <c r="O37" s="348">
        <f>IF(AN37="","",AN37)</f>
        <v>0</v>
      </c>
      <c r="P37" s="75">
        <f t="shared" ref="P37:P50" si="38">IF(AO37=0,"",AO37)</f>
        <v>140</v>
      </c>
      <c r="Q37" s="348">
        <f>IF(AP37="","",AP37)</f>
        <v>0</v>
      </c>
      <c r="R37" s="75">
        <f t="shared" ref="R37:R50" si="39">IF(AQ37=0,"",AQ37)</f>
        <v>179</v>
      </c>
      <c r="S37" s="348">
        <f>IF(AR37="","",AR37)</f>
        <v>0</v>
      </c>
      <c r="T37" s="75">
        <f t="shared" ref="T37:T50" si="40">IF(AS37=0,"",AS37)</f>
        <v>171</v>
      </c>
      <c r="U37" s="348">
        <f>IF(AT37="","",AT37)</f>
        <v>0</v>
      </c>
      <c r="V37" s="75">
        <f t="shared" ref="V37:V50" si="41">IF(AU37=0,"",AU37)</f>
        <v>1708</v>
      </c>
      <c r="W37" s="348">
        <f>IF(AV37="","",AV37)</f>
        <v>2</v>
      </c>
      <c r="Z37" s="351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220</v>
      </c>
      <c r="AD37" s="109">
        <f>IF(SUM(AC37:AC39)+AC55=0,0,IF(SUM(AC37:AC39)=AC55,0.5,IF(SUM(AC37:AC39)&gt;AC55,1,0)))</f>
        <v>0</v>
      </c>
      <c r="AE37" s="185">
        <v>205</v>
      </c>
      <c r="AF37" s="109">
        <f>IF(SUM(AE37:AE39)+AE55=0,0,IF(SUM(AE37:AE39)=AE55,0.5,IF(SUM(AE37:AE39)&gt;AE55,1,0)))</f>
        <v>1</v>
      </c>
      <c r="AG37" s="185">
        <v>215</v>
      </c>
      <c r="AH37" s="109">
        <f>IF(SUM(AG37:AG39)+AG55=0,0,IF(SUM(AG37:AG39)=AG55,0.5,IF(SUM(AG37:AG39)&gt;AG55,1,0)))</f>
        <v>0</v>
      </c>
      <c r="AI37" s="185">
        <v>166</v>
      </c>
      <c r="AJ37" s="109">
        <f>IF(SUM(AI37:AI39)+AI55=0,0,IF(SUM(AI37:AI39)=AI55,0.5,IF(SUM(AI37:AI39)&gt;AI55,1,0)))</f>
        <v>0</v>
      </c>
      <c r="AK37" s="185">
        <v>201</v>
      </c>
      <c r="AL37" s="109">
        <f>IF(SUM(AK37:AK39)+AK55=0,0,IF(SUM(AK37:AK39)=AK55,0.5,IF(SUM(AK37:AK39)&gt;AK55,1,0)))</f>
        <v>1</v>
      </c>
      <c r="AM37" s="185">
        <v>211</v>
      </c>
      <c r="AN37" s="109">
        <f>IF(SUM(AM37:AM39)+AM55=0,0,IF(SUM(AM37:AM39)=AM55,0.5,IF(SUM(AM37:AM39)&gt;AM55,1,0)))</f>
        <v>0</v>
      </c>
      <c r="AO37" s="185">
        <v>140</v>
      </c>
      <c r="AP37" s="109">
        <f>IF(SUM(AO37:AO39)+AO55=0,0,IF(SUM(AO37:AO39)=AO55,0.5,IF(SUM(AO37:AO39)&gt;AO55,1,0)))</f>
        <v>0</v>
      </c>
      <c r="AQ37" s="185">
        <v>179</v>
      </c>
      <c r="AR37" s="109">
        <f>IF(SUM(AQ37:AQ39)+AQ55=0,0,IF(SUM(AQ37:AQ39)=AQ55,0.5,IF(SUM(AQ37:AQ39)&gt;AQ55,1,0)))</f>
        <v>0</v>
      </c>
      <c r="AS37" s="185">
        <v>171</v>
      </c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1708</v>
      </c>
      <c r="AV37" s="111">
        <f>SUM(AD37+AF37+AH37+AJ37+AL37+AN37+AP37+AR37+AT37)</f>
        <v>2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1708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220</v>
      </c>
      <c r="BI37" s="215">
        <f t="shared" ref="BI37:BI48" si="44">IF(AE37=0,"",AE37)</f>
        <v>205</v>
      </c>
      <c r="BJ37" s="215">
        <f t="shared" ref="BJ37:BJ48" si="45">IF(AG37=0,"",AG37)</f>
        <v>215</v>
      </c>
      <c r="BK37" s="215">
        <f t="shared" ref="BK37:BK48" si="46">IF(AI37=0,"",AI37)</f>
        <v>166</v>
      </c>
      <c r="BL37" s="215">
        <f t="shared" ref="BL37:BL48" si="47">IF(AK37=0,"",AK37)</f>
        <v>201</v>
      </c>
      <c r="BM37" s="215">
        <f t="shared" ref="BM37:BM48" si="48">IF(AM37=0,"",AM37)</f>
        <v>211</v>
      </c>
      <c r="BN37" s="215">
        <f t="shared" ref="BN37:BN48" si="49">IF(AO37=0,"",AO37)</f>
        <v>140</v>
      </c>
      <c r="BO37" s="215">
        <f t="shared" ref="BO37:BO48" si="50">IF(AQ37=0,"",AQ37)</f>
        <v>179</v>
      </c>
      <c r="BP37" s="215">
        <f t="shared" ref="BP37:BP48" si="51">IF(AS37=0,"",AS37)</f>
        <v>171</v>
      </c>
      <c r="BQ37" s="216"/>
      <c r="BR37" s="214"/>
      <c r="BS37" s="215">
        <f>MAX(BH37:BP37)</f>
        <v>220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1708</v>
      </c>
      <c r="BX37" s="215">
        <f>IF(COUNTIF(BH37:BP37,"&gt;0")&lt;Spielorte!$A$23,0,BE37/Spielorte!$A$23)</f>
        <v>189.77777777777777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77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9"/>
      <c r="F38" s="78" t="str">
        <f t="shared" si="34"/>
        <v/>
      </c>
      <c r="G38" s="349"/>
      <c r="H38" s="78" t="str">
        <f t="shared" si="35"/>
        <v/>
      </c>
      <c r="I38" s="349"/>
      <c r="J38" s="78" t="str">
        <f t="shared" si="36"/>
        <v/>
      </c>
      <c r="K38" s="349"/>
      <c r="L38" s="78" t="str">
        <f t="shared" si="37"/>
        <v/>
      </c>
      <c r="M38" s="349"/>
      <c r="N38" s="78" t="str">
        <f t="shared" ref="N38:N50" si="54">IF(AM38=0,"",AM38)</f>
        <v/>
      </c>
      <c r="O38" s="349"/>
      <c r="P38" s="78" t="str">
        <f t="shared" si="38"/>
        <v/>
      </c>
      <c r="Q38" s="349"/>
      <c r="R38" s="78" t="str">
        <f t="shared" si="39"/>
        <v/>
      </c>
      <c r="S38" s="349"/>
      <c r="T38" s="78" t="str">
        <f t="shared" si="40"/>
        <v/>
      </c>
      <c r="U38" s="349"/>
      <c r="V38" s="78" t="str">
        <f t="shared" si="41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8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0"/>
      <c r="F39" s="69" t="str">
        <f t="shared" si="34"/>
        <v/>
      </c>
      <c r="G39" s="350"/>
      <c r="H39" s="69" t="str">
        <f t="shared" si="35"/>
        <v/>
      </c>
      <c r="I39" s="350"/>
      <c r="J39" s="69" t="str">
        <f t="shared" si="36"/>
        <v/>
      </c>
      <c r="K39" s="350"/>
      <c r="L39" s="69" t="str">
        <f t="shared" si="37"/>
        <v/>
      </c>
      <c r="M39" s="350"/>
      <c r="N39" s="69" t="str">
        <f t="shared" si="54"/>
        <v/>
      </c>
      <c r="O39" s="350"/>
      <c r="P39" s="69" t="str">
        <f t="shared" si="38"/>
        <v/>
      </c>
      <c r="Q39" s="350"/>
      <c r="R39" s="69" t="str">
        <f t="shared" si="39"/>
        <v/>
      </c>
      <c r="S39" s="350"/>
      <c r="T39" s="69" t="str">
        <f t="shared" si="40"/>
        <v/>
      </c>
      <c r="U39" s="350"/>
      <c r="V39" s="69" t="str">
        <f t="shared" si="41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76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121</v>
      </c>
      <c r="E40" s="348">
        <f>IF(AD40="","",AD40)</f>
        <v>0</v>
      </c>
      <c r="F40" s="75" t="str">
        <f t="shared" si="34"/>
        <v/>
      </c>
      <c r="G40" s="348">
        <f>IF(AF40="","",AF40)</f>
        <v>1</v>
      </c>
      <c r="H40" s="75" t="str">
        <f t="shared" si="35"/>
        <v/>
      </c>
      <c r="I40" s="348">
        <f>IF(AH40="","",AH40)</f>
        <v>0</v>
      </c>
      <c r="J40" s="75" t="str">
        <f t="shared" si="36"/>
        <v/>
      </c>
      <c r="K40" s="348">
        <f>IF(AJ40="","",AJ40)</f>
        <v>1</v>
      </c>
      <c r="L40" s="75" t="str">
        <f t="shared" si="37"/>
        <v/>
      </c>
      <c r="M40" s="348">
        <f>IF(AL40="","",AL40)</f>
        <v>1</v>
      </c>
      <c r="N40" s="75" t="str">
        <f t="shared" si="54"/>
        <v/>
      </c>
      <c r="O40" s="348">
        <f>IF(AN40="","",AN40)</f>
        <v>1</v>
      </c>
      <c r="P40" s="75">
        <f t="shared" si="38"/>
        <v>150</v>
      </c>
      <c r="Q40" s="348">
        <f>IF(AP40="","",AP40)</f>
        <v>1</v>
      </c>
      <c r="R40" s="75">
        <f t="shared" si="39"/>
        <v>138</v>
      </c>
      <c r="S40" s="348">
        <f>IF(AR40="","",AR40)</f>
        <v>0</v>
      </c>
      <c r="T40" s="75" t="str">
        <f t="shared" si="40"/>
        <v/>
      </c>
      <c r="U40" s="348">
        <f>IF(AT40="","",AT40)</f>
        <v>0</v>
      </c>
      <c r="V40" s="75">
        <f t="shared" si="41"/>
        <v>409</v>
      </c>
      <c r="W40" s="348">
        <f>IF(AV40="","",AV40)</f>
        <v>5</v>
      </c>
      <c r="Z40" s="351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121</v>
      </c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1</v>
      </c>
      <c r="AK40" s="188"/>
      <c r="AL40" s="109">
        <f>IF(SUM(AK40:AK42)+AK56=0,0,IF(SUM(AK40:AK42)=AK56,0.5,IF(SUM(AK40:AK42)&gt;AK56,1,0)))</f>
        <v>1</v>
      </c>
      <c r="AM40" s="188"/>
      <c r="AN40" s="109">
        <f>IF(SUM(AM40:AM42)+AM56=0,0,IF(SUM(AM40:AM42)=AM56,0.5,IF(SUM(AM40:AM42)&gt;AM56,1,0)))</f>
        <v>1</v>
      </c>
      <c r="AO40" s="188">
        <v>150</v>
      </c>
      <c r="AP40" s="109">
        <f>IF(SUM(AO40:AO42)+AO56=0,0,IF(SUM(AO40:AO42)=AO56,0.5,IF(SUM(AO40:AO42)&gt;AO56,1,0)))</f>
        <v>1</v>
      </c>
      <c r="AQ40" s="188">
        <v>138</v>
      </c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409</v>
      </c>
      <c r="AV40" s="111">
        <f>SUM(AD40+AF40+AH40+AJ40+AL40+AN40+AP40+AR40+AT40)</f>
        <v>5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409</v>
      </c>
      <c r="BF40" s="215">
        <f t="shared" si="57"/>
        <v>3</v>
      </c>
      <c r="BG40" s="215">
        <f t="shared" si="58"/>
        <v>3</v>
      </c>
      <c r="BH40" s="215">
        <f t="shared" si="43"/>
        <v>121</v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>
        <f t="shared" si="49"/>
        <v>150</v>
      </c>
      <c r="BO40" s="215">
        <f t="shared" si="50"/>
        <v>138</v>
      </c>
      <c r="BP40" s="215" t="str">
        <f t="shared" si="51"/>
        <v/>
      </c>
      <c r="BQ40" s="216"/>
      <c r="BR40" s="214"/>
      <c r="BS40" s="215">
        <f t="shared" si="59"/>
        <v>150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2</v>
      </c>
      <c r="BW40" s="215">
        <f t="shared" si="63"/>
        <v>409</v>
      </c>
      <c r="BX40" s="215">
        <f>IF(COUNTIF(BH40:BP40,"&gt;0")&lt;Spielorte!$A$23,0,BE40/Spielorte!$A$23)</f>
        <v>0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77"/>
      <c r="B41" s="76" t="str">
        <f t="shared" si="53"/>
        <v>Lüthje, Volker</v>
      </c>
      <c r="C41" s="77">
        <f t="shared" si="53"/>
        <v>7601</v>
      </c>
      <c r="D41" s="78" t="str">
        <f t="shared" si="53"/>
        <v/>
      </c>
      <c r="E41" s="349"/>
      <c r="F41" s="78">
        <f t="shared" si="34"/>
        <v>223</v>
      </c>
      <c r="G41" s="349"/>
      <c r="H41" s="78">
        <f t="shared" si="35"/>
        <v>171</v>
      </c>
      <c r="I41" s="349"/>
      <c r="J41" s="78">
        <f t="shared" si="36"/>
        <v>150</v>
      </c>
      <c r="K41" s="349"/>
      <c r="L41" s="78">
        <f t="shared" si="37"/>
        <v>169</v>
      </c>
      <c r="M41" s="349"/>
      <c r="N41" s="78">
        <f t="shared" si="54"/>
        <v>160</v>
      </c>
      <c r="O41" s="349"/>
      <c r="P41" s="78" t="str">
        <f t="shared" si="38"/>
        <v/>
      </c>
      <c r="Q41" s="349"/>
      <c r="R41" s="78" t="str">
        <f t="shared" si="39"/>
        <v/>
      </c>
      <c r="S41" s="349"/>
      <c r="T41" s="78">
        <f t="shared" si="40"/>
        <v>199</v>
      </c>
      <c r="U41" s="349"/>
      <c r="V41" s="78">
        <f t="shared" si="41"/>
        <v>1072</v>
      </c>
      <c r="W41" s="349"/>
      <c r="Z41" s="352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>
        <v>223</v>
      </c>
      <c r="AF41" s="112"/>
      <c r="AG41" s="186">
        <v>171</v>
      </c>
      <c r="AH41" s="112"/>
      <c r="AI41" s="186">
        <v>150</v>
      </c>
      <c r="AJ41" s="112"/>
      <c r="AK41" s="186">
        <v>169</v>
      </c>
      <c r="AL41" s="112"/>
      <c r="AM41" s="186">
        <v>160</v>
      </c>
      <c r="AN41" s="112"/>
      <c r="AO41" s="190"/>
      <c r="AP41" s="112"/>
      <c r="AQ41" s="190"/>
      <c r="AR41" s="112"/>
      <c r="AS41" s="190">
        <v>199</v>
      </c>
      <c r="AT41" s="112"/>
      <c r="AU41" s="113">
        <f t="shared" si="42"/>
        <v>1072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7601</v>
      </c>
      <c r="BE41" s="213">
        <f t="shared" si="56"/>
        <v>1072</v>
      </c>
      <c r="BF41" s="215">
        <f t="shared" si="57"/>
        <v>6</v>
      </c>
      <c r="BG41" s="215">
        <f t="shared" si="58"/>
        <v>6</v>
      </c>
      <c r="BH41" s="215" t="str">
        <f t="shared" si="43"/>
        <v/>
      </c>
      <c r="BI41" s="215">
        <f t="shared" si="44"/>
        <v>223</v>
      </c>
      <c r="BJ41" s="215">
        <f t="shared" si="45"/>
        <v>171</v>
      </c>
      <c r="BK41" s="215">
        <f t="shared" si="46"/>
        <v>150</v>
      </c>
      <c r="BL41" s="215">
        <f t="shared" si="47"/>
        <v>169</v>
      </c>
      <c r="BM41" s="215">
        <f t="shared" si="48"/>
        <v>160</v>
      </c>
      <c r="BN41" s="215" t="str">
        <f t="shared" si="49"/>
        <v/>
      </c>
      <c r="BO41" s="215" t="str">
        <f t="shared" si="50"/>
        <v/>
      </c>
      <c r="BP41" s="215">
        <f t="shared" si="51"/>
        <v>199</v>
      </c>
      <c r="BQ41" s="216"/>
      <c r="BR41" s="214"/>
      <c r="BS41" s="215">
        <f t="shared" si="59"/>
        <v>223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2</v>
      </c>
      <c r="BW41" s="215">
        <f t="shared" si="63"/>
        <v>1072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8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0"/>
      <c r="F42" s="69" t="str">
        <f t="shared" si="34"/>
        <v/>
      </c>
      <c r="G42" s="350"/>
      <c r="H42" s="69" t="str">
        <f t="shared" si="35"/>
        <v/>
      </c>
      <c r="I42" s="350"/>
      <c r="J42" s="69" t="str">
        <f t="shared" si="36"/>
        <v/>
      </c>
      <c r="K42" s="350"/>
      <c r="L42" s="69" t="str">
        <f t="shared" si="37"/>
        <v/>
      </c>
      <c r="M42" s="350"/>
      <c r="N42" s="69" t="str">
        <f t="shared" si="54"/>
        <v/>
      </c>
      <c r="O42" s="350"/>
      <c r="P42" s="69" t="str">
        <f t="shared" si="38"/>
        <v/>
      </c>
      <c r="Q42" s="350"/>
      <c r="R42" s="69" t="str">
        <f t="shared" si="39"/>
        <v/>
      </c>
      <c r="S42" s="350"/>
      <c r="T42" s="69" t="str">
        <f t="shared" si="40"/>
        <v/>
      </c>
      <c r="U42" s="350"/>
      <c r="V42" s="69" t="str">
        <f t="shared" si="41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76" t="s">
        <v>3</v>
      </c>
      <c r="B43" s="73" t="str">
        <f t="shared" si="53"/>
        <v>Reichert, Ralph</v>
      </c>
      <c r="C43" s="74">
        <f t="shared" si="53"/>
        <v>7416</v>
      </c>
      <c r="D43" s="75">
        <f t="shared" si="53"/>
        <v>242</v>
      </c>
      <c r="E43" s="348">
        <f>IF(AD43="","",AD43)</f>
        <v>1</v>
      </c>
      <c r="F43" s="75">
        <f t="shared" si="34"/>
        <v>189</v>
      </c>
      <c r="G43" s="348">
        <f>IF(AF43="","",AF43)</f>
        <v>0</v>
      </c>
      <c r="H43" s="75">
        <f t="shared" si="35"/>
        <v>235</v>
      </c>
      <c r="I43" s="348">
        <f>IF(AH43="","",AH43)</f>
        <v>1</v>
      </c>
      <c r="J43" s="75">
        <f t="shared" si="36"/>
        <v>203</v>
      </c>
      <c r="K43" s="348">
        <f>IF(AJ43="","",AJ43)</f>
        <v>1</v>
      </c>
      <c r="L43" s="75">
        <f t="shared" si="37"/>
        <v>213</v>
      </c>
      <c r="M43" s="348">
        <f>IF(AL43="","",AL43)</f>
        <v>0</v>
      </c>
      <c r="N43" s="75">
        <f t="shared" si="54"/>
        <v>161</v>
      </c>
      <c r="O43" s="348">
        <f>IF(AN43="","",AN43)</f>
        <v>0</v>
      </c>
      <c r="P43" s="75">
        <f t="shared" si="38"/>
        <v>237</v>
      </c>
      <c r="Q43" s="348">
        <f>IF(AP43="","",AP43)</f>
        <v>1</v>
      </c>
      <c r="R43" s="75">
        <f t="shared" si="39"/>
        <v>169</v>
      </c>
      <c r="S43" s="348">
        <f>IF(AR43="","",AR43)</f>
        <v>0</v>
      </c>
      <c r="T43" s="75">
        <f t="shared" si="40"/>
        <v>209</v>
      </c>
      <c r="U43" s="348">
        <f>IF(AT43="","",AT43)</f>
        <v>1</v>
      </c>
      <c r="V43" s="75">
        <f t="shared" si="41"/>
        <v>1858</v>
      </c>
      <c r="W43" s="348">
        <f>IF(AV43="","",AV43)</f>
        <v>5</v>
      </c>
      <c r="Z43" s="351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242</v>
      </c>
      <c r="AD43" s="109">
        <f>IF(SUM(AC43:AC45)+AC57=0,0,IF(SUM(AC43:AC45)=AC57,0.5,IF(SUM(AC43:AC45)&gt;AC57,1,0)))</f>
        <v>1</v>
      </c>
      <c r="AE43" s="188">
        <v>189</v>
      </c>
      <c r="AF43" s="109">
        <f>IF(SUM(AE43:AE45)+AE57=0,0,IF(SUM(AE43:AE45)=AE57,0.5,IF(SUM(AE43:AE45)&gt;AE57,1,0)))</f>
        <v>0</v>
      </c>
      <c r="AG43" s="188">
        <v>235</v>
      </c>
      <c r="AH43" s="109">
        <f>IF(SUM(AG43:AG45)+AG57=0,0,IF(SUM(AG43:AG45)=AG57,0.5,IF(SUM(AG43:AG45)&gt;AG57,1,0)))</f>
        <v>1</v>
      </c>
      <c r="AI43" s="188">
        <v>203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0</v>
      </c>
      <c r="AM43" s="188">
        <v>161</v>
      </c>
      <c r="AN43" s="109">
        <f>IF(SUM(AM43:AM45)+AM57=0,0,IF(SUM(AM43:AM45)=AM57,0.5,IF(SUM(AM43:AM45)&gt;AM57,1,0)))</f>
        <v>0</v>
      </c>
      <c r="AO43" s="188">
        <v>237</v>
      </c>
      <c r="AP43" s="109">
        <f>IF(SUM(AO43:AO45)+AO57=0,0,IF(SUM(AO43:AO45)=AO57,0.5,IF(SUM(AO43:AO45)&gt;AO57,1,0)))</f>
        <v>1</v>
      </c>
      <c r="AQ43" s="188">
        <v>169</v>
      </c>
      <c r="AR43" s="109">
        <f>IF(SUM(AQ43:AQ45)+AQ57=0,0,IF(SUM(AQ43:AQ45)=AQ57,0.5,IF(SUM(AQ43:AQ45)&gt;AQ57,1,0)))</f>
        <v>0</v>
      </c>
      <c r="AS43" s="188">
        <v>209</v>
      </c>
      <c r="AT43" s="109">
        <f>IF(SUM(AS43:AS45)+AS57=0,0,IF(SUM(AS43:AS45)=AS57,0.5,IF(SUM(AS43:AS45)&gt;AS57,1,0)))</f>
        <v>1</v>
      </c>
      <c r="AU43" s="110">
        <f t="shared" si="42"/>
        <v>1858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7416</v>
      </c>
      <c r="BE43" s="213">
        <f t="shared" si="56"/>
        <v>1858</v>
      </c>
      <c r="BF43" s="215">
        <f t="shared" si="57"/>
        <v>9</v>
      </c>
      <c r="BG43" s="215">
        <f t="shared" si="58"/>
        <v>9</v>
      </c>
      <c r="BH43" s="215">
        <f t="shared" si="43"/>
        <v>242</v>
      </c>
      <c r="BI43" s="215">
        <f t="shared" si="44"/>
        <v>189</v>
      </c>
      <c r="BJ43" s="215">
        <f t="shared" si="45"/>
        <v>235</v>
      </c>
      <c r="BK43" s="215">
        <f t="shared" si="46"/>
        <v>203</v>
      </c>
      <c r="BL43" s="215">
        <f t="shared" si="47"/>
        <v>213</v>
      </c>
      <c r="BM43" s="215">
        <f t="shared" si="48"/>
        <v>161</v>
      </c>
      <c r="BN43" s="215">
        <f t="shared" si="49"/>
        <v>237</v>
      </c>
      <c r="BO43" s="215">
        <f t="shared" si="50"/>
        <v>169</v>
      </c>
      <c r="BP43" s="215">
        <f t="shared" si="51"/>
        <v>209</v>
      </c>
      <c r="BQ43" s="216"/>
      <c r="BR43" s="214"/>
      <c r="BS43" s="215">
        <f t="shared" si="59"/>
        <v>242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2</v>
      </c>
      <c r="BW43" s="215">
        <f t="shared" si="63"/>
        <v>1858</v>
      </c>
      <c r="BX43" s="215">
        <f>IF(COUNTIF(BH43:BP43,"&gt;0")&lt;Spielorte!$A$23,0,BE43/Spielorte!$A$23)</f>
        <v>206.44444444444446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77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9"/>
      <c r="F44" s="78" t="str">
        <f t="shared" si="34"/>
        <v/>
      </c>
      <c r="G44" s="349"/>
      <c r="H44" s="78" t="str">
        <f t="shared" si="35"/>
        <v/>
      </c>
      <c r="I44" s="349"/>
      <c r="J44" s="78" t="str">
        <f t="shared" si="36"/>
        <v/>
      </c>
      <c r="K44" s="349"/>
      <c r="L44" s="78" t="str">
        <f t="shared" si="37"/>
        <v/>
      </c>
      <c r="M44" s="349"/>
      <c r="N44" s="78" t="str">
        <f t="shared" si="54"/>
        <v/>
      </c>
      <c r="O44" s="349"/>
      <c r="P44" s="78" t="str">
        <f t="shared" si="38"/>
        <v/>
      </c>
      <c r="Q44" s="349"/>
      <c r="R44" s="78" t="str">
        <f t="shared" si="39"/>
        <v/>
      </c>
      <c r="S44" s="349"/>
      <c r="T44" s="78" t="str">
        <f t="shared" si="40"/>
        <v/>
      </c>
      <c r="U44" s="349"/>
      <c r="V44" s="78" t="str">
        <f t="shared" si="41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8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0"/>
      <c r="F45" s="69" t="str">
        <f t="shared" si="34"/>
        <v/>
      </c>
      <c r="G45" s="350"/>
      <c r="H45" s="69" t="str">
        <f t="shared" si="35"/>
        <v/>
      </c>
      <c r="I45" s="350"/>
      <c r="J45" s="69" t="str">
        <f t="shared" si="36"/>
        <v/>
      </c>
      <c r="K45" s="350"/>
      <c r="L45" s="69" t="str">
        <f t="shared" si="37"/>
        <v/>
      </c>
      <c r="M45" s="350"/>
      <c r="N45" s="69" t="str">
        <f t="shared" si="54"/>
        <v/>
      </c>
      <c r="O45" s="350"/>
      <c r="P45" s="69" t="str">
        <f t="shared" si="38"/>
        <v/>
      </c>
      <c r="Q45" s="350"/>
      <c r="R45" s="69" t="str">
        <f t="shared" si="39"/>
        <v/>
      </c>
      <c r="S45" s="350"/>
      <c r="T45" s="69" t="str">
        <f t="shared" si="40"/>
        <v/>
      </c>
      <c r="U45" s="350"/>
      <c r="V45" s="69" t="str">
        <f t="shared" si="41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76" t="s">
        <v>11</v>
      </c>
      <c r="B46" s="73" t="str">
        <f>IF(AA46=0,"",AA46)</f>
        <v>Glasl sen., Hans</v>
      </c>
      <c r="C46" s="74">
        <f t="shared" si="53"/>
        <v>16762</v>
      </c>
      <c r="D46" s="75">
        <f t="shared" si="53"/>
        <v>196</v>
      </c>
      <c r="E46" s="348">
        <f>IF(AD46="","",AD46)</f>
        <v>1</v>
      </c>
      <c r="F46" s="75">
        <f t="shared" si="34"/>
        <v>167</v>
      </c>
      <c r="G46" s="348">
        <f>IF(AF46="","",AF46)</f>
        <v>0</v>
      </c>
      <c r="H46" s="75">
        <f t="shared" si="35"/>
        <v>175</v>
      </c>
      <c r="I46" s="348">
        <f>IF(AH46="","",AH46)</f>
        <v>0</v>
      </c>
      <c r="J46" s="75">
        <f t="shared" si="36"/>
        <v>155</v>
      </c>
      <c r="K46" s="348">
        <f>IF(AJ46="","",AJ46)</f>
        <v>0</v>
      </c>
      <c r="L46" s="75">
        <f t="shared" si="37"/>
        <v>266</v>
      </c>
      <c r="M46" s="348">
        <f>IF(AL46="","",AL46)</f>
        <v>1</v>
      </c>
      <c r="N46" s="75">
        <f t="shared" si="54"/>
        <v>213</v>
      </c>
      <c r="O46" s="348">
        <f>IF(AN46="","",AN46)</f>
        <v>1</v>
      </c>
      <c r="P46" s="75">
        <f t="shared" si="38"/>
        <v>165</v>
      </c>
      <c r="Q46" s="348">
        <f>IF(AP46="","",AP46)</f>
        <v>1</v>
      </c>
      <c r="R46" s="75">
        <f t="shared" si="39"/>
        <v>174</v>
      </c>
      <c r="S46" s="348">
        <f>IF(AR46="","",AR46)</f>
        <v>0</v>
      </c>
      <c r="T46" s="75">
        <f t="shared" si="40"/>
        <v>146</v>
      </c>
      <c r="U46" s="348">
        <f>IF(AT46="","",AT46)</f>
        <v>0</v>
      </c>
      <c r="V46" s="75">
        <f t="shared" si="41"/>
        <v>1657</v>
      </c>
      <c r="W46" s="348">
        <f>IF(AV46="","",AV46)</f>
        <v>4</v>
      </c>
      <c r="Z46" s="351" t="s">
        <v>11</v>
      </c>
      <c r="AA46" s="108" t="str">
        <f>IF(AB46=0,"",VLOOKUP(AB46,Starter!$A$1:$D$199,2,FALSE))</f>
        <v>Glasl sen., Hans</v>
      </c>
      <c r="AB46" s="99">
        <v>16762</v>
      </c>
      <c r="AC46" s="188">
        <v>196</v>
      </c>
      <c r="AD46" s="109">
        <f>IF(SUM(AC46:AC48)+AC58=0,0,IF(SUM(AC46:AC48)=AC58,0.5,IF(SUM(AC46:AC48)&gt;AC58,1,0)))</f>
        <v>1</v>
      </c>
      <c r="AE46" s="188">
        <v>167</v>
      </c>
      <c r="AF46" s="109">
        <f>IF(SUM(AE46:AE48)+AE58=0,0,IF(SUM(AE46:AE48)=AE58,0.5,IF(SUM(AE46:AE48)&gt;AE58,1,0)))</f>
        <v>0</v>
      </c>
      <c r="AG46" s="188">
        <v>175</v>
      </c>
      <c r="AH46" s="109">
        <f>IF(SUM(AG46:AG48)+AG58=0,0,IF(SUM(AG46:AG48)=AG58,0.5,IF(SUM(AG46:AG48)&gt;AG58,1,0)))</f>
        <v>0</v>
      </c>
      <c r="AI46" s="188">
        <v>155</v>
      </c>
      <c r="AJ46" s="109">
        <f>IF(SUM(AI46:AI48)+AI58=0,0,IF(SUM(AI46:AI48)=AI58,0.5,IF(SUM(AI46:AI48)&gt;AI58,1,0)))</f>
        <v>0</v>
      </c>
      <c r="AK46" s="188">
        <v>266</v>
      </c>
      <c r="AL46" s="109">
        <f>IF(SUM(AK46:AK48)+AK58=0,0,IF(SUM(AK46:AK48)=AK58,0.5,IF(SUM(AK46:AK48)&gt;AK58,1,0)))</f>
        <v>1</v>
      </c>
      <c r="AM46" s="188">
        <v>213</v>
      </c>
      <c r="AN46" s="109">
        <f>IF(SUM(AM46:AM48)+AM58=0,0,IF(SUM(AM46:AM48)=AM58,0.5,IF(SUM(AM46:AM48)&gt;AM58,1,0)))</f>
        <v>1</v>
      </c>
      <c r="AO46" s="188">
        <v>165</v>
      </c>
      <c r="AP46" s="109">
        <f>IF(SUM(AO46:AO48)+AO58=0,0,IF(SUM(AO46:AO48)=AO58,0.5,IF(SUM(AO46:AO48)&gt;AO58,1,0)))</f>
        <v>1</v>
      </c>
      <c r="AQ46" s="188">
        <v>174</v>
      </c>
      <c r="AR46" s="109">
        <f>IF(SUM(AQ46:AQ48)+AQ58=0,0,IF(SUM(AQ46:AQ48)=AQ58,0.5,IF(SUM(AQ46:AQ48)&gt;AQ58,1,0)))</f>
        <v>0</v>
      </c>
      <c r="AS46" s="188">
        <v>146</v>
      </c>
      <c r="AT46" s="109">
        <f>IF(SUM(AS46:AS48)+AS58=0,0,IF(SUM(AS46:AS48)=AS58,0.5,IF(SUM(AS46:AS48)&gt;AS58,1,0)))</f>
        <v>0</v>
      </c>
      <c r="AU46" s="110">
        <f t="shared" si="42"/>
        <v>1657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5"/>
        <v>16762</v>
      </c>
      <c r="BE46" s="213">
        <f t="shared" si="56"/>
        <v>1657</v>
      </c>
      <c r="BF46" s="215">
        <f t="shared" si="57"/>
        <v>9</v>
      </c>
      <c r="BG46" s="215">
        <f t="shared" si="58"/>
        <v>9</v>
      </c>
      <c r="BH46" s="215">
        <f t="shared" si="43"/>
        <v>196</v>
      </c>
      <c r="BI46" s="215">
        <f t="shared" si="44"/>
        <v>167</v>
      </c>
      <c r="BJ46" s="215">
        <f t="shared" si="45"/>
        <v>175</v>
      </c>
      <c r="BK46" s="215">
        <f t="shared" si="46"/>
        <v>155</v>
      </c>
      <c r="BL46" s="215">
        <f t="shared" si="47"/>
        <v>266</v>
      </c>
      <c r="BM46" s="215">
        <f t="shared" si="48"/>
        <v>213</v>
      </c>
      <c r="BN46" s="215">
        <f t="shared" si="49"/>
        <v>165</v>
      </c>
      <c r="BO46" s="215">
        <f t="shared" si="50"/>
        <v>174</v>
      </c>
      <c r="BP46" s="215">
        <f t="shared" si="51"/>
        <v>146</v>
      </c>
      <c r="BQ46" s="216"/>
      <c r="BR46" s="214"/>
      <c r="BS46" s="215">
        <f t="shared" si="59"/>
        <v>266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2</v>
      </c>
      <c r="BW46" s="215">
        <f t="shared" si="63"/>
        <v>1657</v>
      </c>
      <c r="BX46" s="215">
        <f>IF(COUNTIF(BH46:BP46,"&gt;0")&lt;Spielorte!$A$23,0,BE46/Spielorte!$A$23)</f>
        <v>184.11111111111111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77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9"/>
      <c r="F47" s="78" t="str">
        <f t="shared" si="34"/>
        <v/>
      </c>
      <c r="G47" s="349"/>
      <c r="H47" s="78" t="str">
        <f t="shared" si="35"/>
        <v/>
      </c>
      <c r="I47" s="349"/>
      <c r="J47" s="78" t="str">
        <f t="shared" si="36"/>
        <v/>
      </c>
      <c r="K47" s="349"/>
      <c r="L47" s="78" t="str">
        <f t="shared" si="37"/>
        <v/>
      </c>
      <c r="M47" s="349"/>
      <c r="N47" s="78" t="str">
        <f t="shared" si="54"/>
        <v/>
      </c>
      <c r="O47" s="349"/>
      <c r="P47" s="78" t="str">
        <f t="shared" si="38"/>
        <v/>
      </c>
      <c r="Q47" s="349"/>
      <c r="R47" s="78" t="str">
        <f t="shared" si="39"/>
        <v/>
      </c>
      <c r="S47" s="349"/>
      <c r="T47" s="78" t="str">
        <f t="shared" si="40"/>
        <v/>
      </c>
      <c r="U47" s="349"/>
      <c r="V47" s="78" t="str">
        <f t="shared" si="41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8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0"/>
      <c r="F48" s="69" t="str">
        <f t="shared" si="34"/>
        <v/>
      </c>
      <c r="G48" s="350"/>
      <c r="H48" s="69" t="str">
        <f t="shared" si="35"/>
        <v/>
      </c>
      <c r="I48" s="350"/>
      <c r="J48" s="69" t="str">
        <f t="shared" si="36"/>
        <v/>
      </c>
      <c r="K48" s="350"/>
      <c r="L48" s="69" t="str">
        <f t="shared" si="37"/>
        <v/>
      </c>
      <c r="M48" s="350"/>
      <c r="N48" s="69" t="str">
        <f t="shared" si="54"/>
        <v/>
      </c>
      <c r="O48" s="350"/>
      <c r="P48" s="69" t="str">
        <f t="shared" si="38"/>
        <v/>
      </c>
      <c r="Q48" s="350"/>
      <c r="R48" s="69" t="str">
        <f t="shared" si="39"/>
        <v/>
      </c>
      <c r="S48" s="350"/>
      <c r="T48" s="69" t="str">
        <f t="shared" si="40"/>
        <v/>
      </c>
      <c r="U48" s="350"/>
      <c r="V48" s="69" t="str">
        <f t="shared" si="41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779</v>
      </c>
      <c r="E49" s="84">
        <f>IF(AD49="","",AD49)</f>
        <v>0</v>
      </c>
      <c r="F49" s="83">
        <f t="shared" si="34"/>
        <v>784</v>
      </c>
      <c r="G49" s="84">
        <f>IF(AF49="","",AF49)</f>
        <v>0</v>
      </c>
      <c r="H49" s="83">
        <f t="shared" si="35"/>
        <v>796</v>
      </c>
      <c r="I49" s="84">
        <f>IF(AH49="","",AH49)</f>
        <v>2</v>
      </c>
      <c r="J49" s="83">
        <f t="shared" si="36"/>
        <v>674</v>
      </c>
      <c r="K49" s="84">
        <f>IF(AJ49="","",AJ49)</f>
        <v>2</v>
      </c>
      <c r="L49" s="83">
        <f t="shared" si="37"/>
        <v>849</v>
      </c>
      <c r="M49" s="84">
        <f>IF(AL49="","",AL49)</f>
        <v>2</v>
      </c>
      <c r="N49" s="83">
        <f t="shared" si="54"/>
        <v>745</v>
      </c>
      <c r="O49" s="84">
        <f>IF(AN49="","",AN49)</f>
        <v>2</v>
      </c>
      <c r="P49" s="83">
        <f t="shared" si="38"/>
        <v>692</v>
      </c>
      <c r="Q49" s="84">
        <f>IF(AP49="","",AP49)</f>
        <v>2</v>
      </c>
      <c r="R49" s="83">
        <f t="shared" si="39"/>
        <v>660</v>
      </c>
      <c r="S49" s="84">
        <f>IF(AR49="","",AR49)</f>
        <v>0</v>
      </c>
      <c r="T49" s="83">
        <f t="shared" si="40"/>
        <v>725</v>
      </c>
      <c r="U49" s="84">
        <f>IF(AT49="","",AT49)</f>
        <v>0</v>
      </c>
      <c r="V49" s="83">
        <f t="shared" si="41"/>
        <v>6704</v>
      </c>
      <c r="W49" s="84">
        <f>IF(AV49="","",AV49)</f>
        <v>10</v>
      </c>
      <c r="AA49" s="81" t="s">
        <v>1799</v>
      </c>
      <c r="AB49" s="120"/>
      <c r="AC49" s="211">
        <f>ABS(SUM(AC37:AC39))+ABS(SUM(AC40:AC42))+ABS(SUM(AC43:AC45))+ABS(SUM(AC46:AC48))</f>
        <v>779</v>
      </c>
      <c r="AD49" s="121">
        <f>IF(AC49+AC59=0,0,IF(AC49=AC59,1,IF(AC49&gt;AC59,2,0)))</f>
        <v>0</v>
      </c>
      <c r="AE49" s="211">
        <f>ABS(SUM(AE37:AE39))+ABS(SUM(AE40:AE42))+ABS(SUM(AE43:AE45))+ABS(SUM(AE46:AE48))</f>
        <v>784</v>
      </c>
      <c r="AF49" s="121">
        <f>IF(AE49+AE59=0,0,IF(AE49=AE59,1,IF(AE49&gt;AE59,2,0)))</f>
        <v>0</v>
      </c>
      <c r="AG49" s="211">
        <f>ABS(SUM(AG37:AG39))+ABS(SUM(AG40:AG42))+ABS(SUM(AG43:AG45))+ABS(SUM(AG46:AG48))</f>
        <v>796</v>
      </c>
      <c r="AH49" s="121">
        <f>IF(AG49+AG59=0,0,IF(AG49=AG59,1,IF(AG49&gt;AG59,2,0)))</f>
        <v>2</v>
      </c>
      <c r="AI49" s="211">
        <f>ABS(SUM(AI37:AI39))+ABS(SUM(AI40:AI42))+ABS(SUM(AI43:AI45))+ABS(SUM(AI46:AI48))</f>
        <v>674</v>
      </c>
      <c r="AJ49" s="121">
        <f>IF(AI49+AI59=0,0,IF(AI49=AI59,1,IF(AI49&gt;AI59,2,0)))</f>
        <v>2</v>
      </c>
      <c r="AK49" s="211">
        <f>ABS(SUM(AK37:AK39))+ABS(SUM(AK40:AK42))+ABS(SUM(AK43:AK45))+ABS(SUM(AK46:AK48))</f>
        <v>849</v>
      </c>
      <c r="AL49" s="121">
        <f>IF(AK49+AK59=0,0,IF(AK49=AK59,1,IF(AK49&gt;AK59,2,0)))</f>
        <v>2</v>
      </c>
      <c r="AM49" s="211">
        <f>ABS(SUM(AM37:AM39))+ABS(SUM(AM40:AM42))+ABS(SUM(AM43:AM45))+ABS(SUM(AM46:AM48))</f>
        <v>745</v>
      </c>
      <c r="AN49" s="121">
        <f>IF(AM49+AM59=0,0,IF(AM49=AM59,1,IF(AM49&gt;AM59,2,0)))</f>
        <v>2</v>
      </c>
      <c r="AO49" s="211">
        <f>ABS(SUM(AO37:AO39))+ABS(SUM(AO40:AO42))+ABS(SUM(AO43:AO45))+ABS(SUM(AO46:AO48))</f>
        <v>692</v>
      </c>
      <c r="AP49" s="121">
        <f>IF(AO49+AO59=0,0,IF(AO49=AO59,1,IF(AO49&gt;AO59,2,0)))</f>
        <v>2</v>
      </c>
      <c r="AQ49" s="211">
        <f>ABS(SUM(AQ37:AQ39))+ABS(SUM(AQ40:AQ42))+ABS(SUM(AQ43:AQ45))+ABS(SUM(AQ46:AQ48))</f>
        <v>660</v>
      </c>
      <c r="AR49" s="121">
        <f>IF(AQ49+AQ59=0,0,IF(AQ49=AQ59,1,IF(AQ49&gt;AQ59,2,0)))</f>
        <v>0</v>
      </c>
      <c r="AS49" s="211">
        <f>ABS(SUM(AS37:AS39))+ABS(SUM(AS40:AS42))+ABS(SUM(AS43:AS45))+ABS(SUM(AS46:AS48))</f>
        <v>725</v>
      </c>
      <c r="AT49" s="121">
        <f>IF(AS49+AS59=0,0,IF(AS49=AS59,1,IF(AS49&gt;AS59,2,0)))</f>
        <v>0</v>
      </c>
      <c r="AU49" s="122">
        <f>SUM(AC49+AE49+AG49+AI49+AK49+AM49+AO49+AQ49+AS49)</f>
        <v>6704</v>
      </c>
      <c r="AV49" s="123">
        <f>SUM(AD49+AF49+AH49+AJ49+AL49+AN49+AP49+AR49+AT49)</f>
        <v>10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2</v>
      </c>
      <c r="F50" s="86" t="str">
        <f t="shared" si="34"/>
        <v/>
      </c>
      <c r="G50" s="87">
        <f>IF(AF50="","",AF50)</f>
        <v>2</v>
      </c>
      <c r="H50" s="86" t="str">
        <f t="shared" si="35"/>
        <v/>
      </c>
      <c r="I50" s="87">
        <f>IF(AH50="","",AH50)</f>
        <v>3</v>
      </c>
      <c r="J50" s="86" t="str">
        <f t="shared" si="36"/>
        <v/>
      </c>
      <c r="K50" s="87">
        <f>IF(AJ50="","",AJ50)</f>
        <v>4</v>
      </c>
      <c r="L50" s="86" t="str">
        <f t="shared" si="37"/>
        <v/>
      </c>
      <c r="M50" s="87">
        <f>IF(AL50="","",AL50)</f>
        <v>5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5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1</v>
      </c>
      <c r="V50" s="86" t="str">
        <f t="shared" si="41"/>
        <v/>
      </c>
      <c r="W50" s="87">
        <f>IF(AV50="","",AV50)</f>
        <v>26</v>
      </c>
      <c r="AA50" s="85" t="s">
        <v>1814</v>
      </c>
      <c r="AB50" s="86"/>
      <c r="AC50" s="86"/>
      <c r="AD50" s="124">
        <f>SUM(AD37:AD49)</f>
        <v>2</v>
      </c>
      <c r="AE50" s="86"/>
      <c r="AF50" s="124">
        <f>SUM(AF37:AF49)</f>
        <v>2</v>
      </c>
      <c r="AG50" s="86"/>
      <c r="AH50" s="124">
        <f>SUM(AH37:AH49)</f>
        <v>3</v>
      </c>
      <c r="AI50" s="86"/>
      <c r="AJ50" s="124">
        <f>SUM(AJ37:AJ49)</f>
        <v>4</v>
      </c>
      <c r="AK50" s="86"/>
      <c r="AL50" s="124">
        <f>SUM(AL37:AL49)</f>
        <v>5</v>
      </c>
      <c r="AM50" s="86"/>
      <c r="AN50" s="124">
        <f>SUM(AN37:AN49)</f>
        <v>4</v>
      </c>
      <c r="AO50" s="86"/>
      <c r="AP50" s="124">
        <f>SUM(AP37:AP49)</f>
        <v>5</v>
      </c>
      <c r="AQ50" s="86"/>
      <c r="AR50" s="124">
        <f>SUM(AR37:AR49)</f>
        <v>0</v>
      </c>
      <c r="AS50" s="86"/>
      <c r="AT50" s="124">
        <f>SUM(AT37:AT49)</f>
        <v>1</v>
      </c>
      <c r="AU50" s="86"/>
      <c r="AV50" s="125">
        <f>SUM(AV37:AV49)</f>
        <v>26</v>
      </c>
      <c r="AW50" s="101"/>
      <c r="AX50" s="102"/>
      <c r="BA50" s="212">
        <f>+AV50</f>
        <v>26</v>
      </c>
      <c r="BB50" s="213">
        <f>+AU49</f>
        <v>6704</v>
      </c>
      <c r="BC50" s="214">
        <f>+AA32</f>
        <v>2</v>
      </c>
      <c r="BF50" s="215">
        <f>SUM(BF31:BF49)</f>
        <v>36</v>
      </c>
      <c r="BQ50" s="212">
        <f>+BB50/1000000+BA50</f>
        <v>26.006703999999999</v>
      </c>
      <c r="BR50" s="214">
        <f>RANK(BQ50,BQ:BQ)</f>
        <v>5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6">
        <f t="shared" si="65"/>
        <v>9</v>
      </c>
      <c r="E52" s="356" t="str">
        <f t="shared" si="65"/>
        <v/>
      </c>
      <c r="F52" s="356">
        <f t="shared" si="65"/>
        <v>1</v>
      </c>
      <c r="G52" s="356" t="str">
        <f t="shared" si="65"/>
        <v/>
      </c>
      <c r="H52" s="356">
        <f t="shared" si="65"/>
        <v>10</v>
      </c>
      <c r="I52" s="356" t="str">
        <f t="shared" si="65"/>
        <v/>
      </c>
      <c r="J52" s="356">
        <f t="shared" si="65"/>
        <v>5</v>
      </c>
      <c r="K52" s="356" t="str">
        <f t="shared" si="65"/>
        <v/>
      </c>
      <c r="L52" s="356">
        <f t="shared" si="65"/>
        <v>3</v>
      </c>
      <c r="M52" s="356" t="str">
        <f t="shared" si="65"/>
        <v/>
      </c>
      <c r="N52" s="356">
        <f t="shared" si="65"/>
        <v>7</v>
      </c>
      <c r="O52" s="356" t="str">
        <f t="shared" si="65"/>
        <v/>
      </c>
      <c r="P52" s="356">
        <f t="shared" si="65"/>
        <v>8</v>
      </c>
      <c r="Q52" s="356" t="str">
        <f t="shared" si="65"/>
        <v/>
      </c>
      <c r="R52" s="356">
        <f t="shared" ref="N52:U54" si="66">IF(AQ52=0,"",AQ52)</f>
        <v>4</v>
      </c>
      <c r="S52" s="356" t="str">
        <f t="shared" si="66"/>
        <v/>
      </c>
      <c r="T52" s="356">
        <f t="shared" si="66"/>
        <v>6</v>
      </c>
      <c r="U52" s="356" t="str">
        <f t="shared" si="66"/>
        <v/>
      </c>
      <c r="V52" s="357"/>
      <c r="W52" s="357"/>
      <c r="AA52" s="88" t="s">
        <v>1797</v>
      </c>
      <c r="AB52" s="89" t="s">
        <v>1798</v>
      </c>
      <c r="AC52" s="370">
        <f>VLOOKUP($AA32,Schlüssel!$A$5:$DG$14,23)</f>
        <v>9</v>
      </c>
      <c r="AD52" s="371"/>
      <c r="AE52" s="370">
        <f>VLOOKUP($AA32,Schlüssel!$A$5:$EK$14,24)</f>
        <v>1</v>
      </c>
      <c r="AF52" s="371"/>
      <c r="AG52" s="370">
        <f>VLOOKUP($AA32,Schlüssel!$A$5:$EK$14,25)</f>
        <v>10</v>
      </c>
      <c r="AH52" s="371"/>
      <c r="AI52" s="370">
        <f>VLOOKUP($AA32,Schlüssel!$A$5:$EK$14,26)</f>
        <v>5</v>
      </c>
      <c r="AJ52" s="371"/>
      <c r="AK52" s="370">
        <f>VLOOKUP($AA32,Schlüssel!$A$5:$EK$14,27)</f>
        <v>3</v>
      </c>
      <c r="AL52" s="371"/>
      <c r="AM52" s="370">
        <f>VLOOKUP($AA32,Schlüssel!$A$5:$EK$14,28)</f>
        <v>7</v>
      </c>
      <c r="AN52" s="371"/>
      <c r="AO52" s="370">
        <f>VLOOKUP($AA32,Schlüssel!$A$5:$EK$14,29)</f>
        <v>8</v>
      </c>
      <c r="AP52" s="371"/>
      <c r="AQ52" s="370">
        <f>VLOOKUP($AA32,Schlüssel!$A$5:$EK$14,30)</f>
        <v>4</v>
      </c>
      <c r="AR52" s="371"/>
      <c r="AS52" s="370">
        <f>VLOOKUP($AA32,Schlüssel!$A$5:$EK$14,31)</f>
        <v>6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M54" si="67">IF(AA53=0,"",AA53)</f>
        <v/>
      </c>
      <c r="C53" s="86" t="str">
        <f t="shared" si="67"/>
        <v/>
      </c>
      <c r="D53" s="358" t="str">
        <f t="shared" si="67"/>
        <v>Bowlinghaus Bamberg 1</v>
      </c>
      <c r="E53" s="359" t="str">
        <f t="shared" si="67"/>
        <v/>
      </c>
      <c r="F53" s="358" t="str">
        <f t="shared" si="67"/>
        <v>BC Comet Nürnberg</v>
      </c>
      <c r="G53" s="359" t="str">
        <f t="shared" si="67"/>
        <v/>
      </c>
      <c r="H53" s="358" t="str">
        <f t="shared" si="67"/>
        <v>High Roller Rosenheim 1</v>
      </c>
      <c r="I53" s="359" t="str">
        <f t="shared" si="67"/>
        <v/>
      </c>
      <c r="J53" s="358" t="str">
        <f t="shared" si="67"/>
        <v>RW Lichtenhof Stein 1</v>
      </c>
      <c r="K53" s="359" t="str">
        <f t="shared" si="67"/>
        <v/>
      </c>
      <c r="L53" s="358" t="str">
        <f t="shared" si="67"/>
        <v>BK München 3</v>
      </c>
      <c r="M53" s="359" t="str">
        <f t="shared" si="67"/>
        <v/>
      </c>
      <c r="N53" s="358" t="str">
        <f t="shared" si="66"/>
        <v>Schanzer Ingolstadt 1</v>
      </c>
      <c r="O53" s="359" t="str">
        <f t="shared" si="66"/>
        <v/>
      </c>
      <c r="P53" s="358" t="str">
        <f t="shared" si="66"/>
        <v>BC EMAX Unterföhring 2</v>
      </c>
      <c r="Q53" s="359" t="str">
        <f t="shared" si="66"/>
        <v/>
      </c>
      <c r="R53" s="358" t="str">
        <f t="shared" si="66"/>
        <v>SG DJK Rimpar</v>
      </c>
      <c r="S53" s="359" t="str">
        <f t="shared" si="66"/>
        <v/>
      </c>
      <c r="T53" s="358" t="str">
        <f t="shared" si="66"/>
        <v>SG Rottendorf 1</v>
      </c>
      <c r="U53" s="359" t="str">
        <f t="shared" si="66"/>
        <v/>
      </c>
      <c r="V53" s="363"/>
      <c r="W53" s="363"/>
      <c r="AA53" s="90"/>
      <c r="AB53" s="86"/>
      <c r="AC53" s="358" t="str">
        <f>VLOOKUP(AC52,Schlüssel!$A$5:$K$14,2)</f>
        <v>Bowlinghaus Bamberg 1</v>
      </c>
      <c r="AD53" s="359"/>
      <c r="AE53" s="358" t="str">
        <f>VLOOKUP(AE52,Schlüssel!$A$5:$K$14,2)</f>
        <v>BC Comet Nürnberg</v>
      </c>
      <c r="AF53" s="359"/>
      <c r="AG53" s="358" t="str">
        <f>VLOOKUP(AG52,Schlüssel!$A$5:$K$14,2)</f>
        <v>High Roller Rosenheim 1</v>
      </c>
      <c r="AH53" s="359"/>
      <c r="AI53" s="358" t="str">
        <f>VLOOKUP(AI52,Schlüssel!$A$5:$K$14,2)</f>
        <v>RW Lichtenhof Stein 1</v>
      </c>
      <c r="AJ53" s="359"/>
      <c r="AK53" s="358" t="str">
        <f>VLOOKUP(AK52,Schlüssel!$A$5:$K$14,2)</f>
        <v>BK München 3</v>
      </c>
      <c r="AL53" s="359"/>
      <c r="AM53" s="358" t="str">
        <f>VLOOKUP(AM52,Schlüssel!$A$5:$K$14,2)</f>
        <v>Schanzer Ingolstadt 1</v>
      </c>
      <c r="AN53" s="359"/>
      <c r="AO53" s="358" t="str">
        <f>VLOOKUP(AO52,Schlüssel!$A$5:$K$14,2)</f>
        <v>BC EMAX Unterföhring 2</v>
      </c>
      <c r="AP53" s="359"/>
      <c r="AQ53" s="358" t="str">
        <f>VLOOKUP(AQ52,Schlüssel!$A$5:$K$14,2)</f>
        <v>SG DJK Rimpar</v>
      </c>
      <c r="AR53" s="359"/>
      <c r="AS53" s="358" t="str">
        <f>VLOOKUP(AS52,Schlüssel!$A$5:$K$14,2)</f>
        <v>SG Rottendorf 1</v>
      </c>
      <c r="AT53" s="359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60" t="str">
        <f t="shared" si="67"/>
        <v/>
      </c>
      <c r="E54" s="360" t="str">
        <f t="shared" si="67"/>
        <v/>
      </c>
      <c r="F54" s="360" t="str">
        <f t="shared" si="67"/>
        <v/>
      </c>
      <c r="G54" s="360" t="str">
        <f t="shared" si="67"/>
        <v/>
      </c>
      <c r="H54" s="360" t="str">
        <f t="shared" si="67"/>
        <v/>
      </c>
      <c r="I54" s="360" t="str">
        <f t="shared" si="67"/>
        <v/>
      </c>
      <c r="J54" s="360" t="str">
        <f t="shared" si="67"/>
        <v/>
      </c>
      <c r="K54" s="360" t="str">
        <f t="shared" si="67"/>
        <v/>
      </c>
      <c r="L54" s="360" t="str">
        <f t="shared" si="67"/>
        <v/>
      </c>
      <c r="M54" s="360" t="str">
        <f t="shared" si="67"/>
        <v/>
      </c>
      <c r="N54" s="360" t="str">
        <f t="shared" si="66"/>
        <v/>
      </c>
      <c r="O54" s="360" t="str">
        <f t="shared" si="66"/>
        <v/>
      </c>
      <c r="P54" s="360" t="str">
        <f t="shared" si="66"/>
        <v/>
      </c>
      <c r="Q54" s="360" t="str">
        <f t="shared" si="66"/>
        <v/>
      </c>
      <c r="R54" s="360" t="str">
        <f t="shared" si="66"/>
        <v/>
      </c>
      <c r="S54" s="360" t="str">
        <f t="shared" si="66"/>
        <v/>
      </c>
      <c r="T54" s="360" t="str">
        <f t="shared" si="66"/>
        <v/>
      </c>
      <c r="U54" s="361" t="str">
        <f t="shared" si="66"/>
        <v/>
      </c>
      <c r="V54" s="298"/>
      <c r="W54" s="298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4" t="str">
        <f t="shared" ref="B55:C59" si="68">IF(AA55=0,"",AA55)</f>
        <v>Spieler 1</v>
      </c>
      <c r="C55" s="375" t="str">
        <f t="shared" si="68"/>
        <v/>
      </c>
      <c r="D55" s="362">
        <f>IF(AC55=301,"",AC55)</f>
        <v>221</v>
      </c>
      <c r="E55" s="362" t="str">
        <f>IF(AD55=0,"",AD55)</f>
        <v/>
      </c>
      <c r="F55" s="362">
        <f>IF(AE55=301,"",AE55)</f>
        <v>186</v>
      </c>
      <c r="G55" s="362" t="str">
        <f>IF(AF55=0,"",AF55)</f>
        <v/>
      </c>
      <c r="H55" s="362">
        <f>IF(AG55=301,"",AG55)</f>
        <v>220</v>
      </c>
      <c r="I55" s="362" t="str">
        <f>IF(AH55=0,"",AH55)</f>
        <v/>
      </c>
      <c r="J55" s="362">
        <f>IF(AI55=301,"",AI55)</f>
        <v>181</v>
      </c>
      <c r="K55" s="362" t="str">
        <f>IF(AJ55=0,"",AJ55)</f>
        <v/>
      </c>
      <c r="L55" s="362">
        <f>IF(AK55=301,"",AK55)</f>
        <v>192</v>
      </c>
      <c r="M55" s="362" t="str">
        <f>IF(AL55=0,"",AL55)</f>
        <v/>
      </c>
      <c r="N55" s="362">
        <f>IF(AM55=301,"",AM55)</f>
        <v>220</v>
      </c>
      <c r="O55" s="362" t="str">
        <f>IF(AN55=0,"",AN55)</f>
        <v/>
      </c>
      <c r="P55" s="362">
        <f>IF(AO55=301,"",AO55)</f>
        <v>198</v>
      </c>
      <c r="Q55" s="362" t="str">
        <f>IF(AP55=0,"",AP55)</f>
        <v/>
      </c>
      <c r="R55" s="362">
        <f>IF(AQ55=301,"",AQ55)</f>
        <v>227</v>
      </c>
      <c r="S55" s="362" t="str">
        <f>IF(AR55=0,"",AR55)</f>
        <v/>
      </c>
      <c r="T55" s="362">
        <f>IF(AS55=301,"",AS55)</f>
        <v>222</v>
      </c>
      <c r="U55" s="362" t="str">
        <f>IF(AT55=0,"",AT55)</f>
        <v/>
      </c>
      <c r="V55" s="364"/>
      <c r="W55" s="364"/>
      <c r="AA55" s="91" t="s">
        <v>0</v>
      </c>
      <c r="AB55" s="92"/>
      <c r="AC55" s="368">
        <f>ABS(INDEX(AC:AC,MATCH(AC52,$AA:$AA,0)+5)+INDEX(AC:AC,MATCH(AC52,$AA:$AA,0)+6)+INDEX(AC:AC,MATCH(AC52,$AA:$AA,0)+7))</f>
        <v>221</v>
      </c>
      <c r="AD55" s="369"/>
      <c r="AE55" s="368">
        <f>ABS(INDEX(AE:AE,MATCH(AE52,$AA:$AA,0)+5)+INDEX(AE:AE,MATCH(AE52,$AA:$AA,0)+6)+INDEX(AE:AE,MATCH(AE52,$AA:$AA,0)+7))</f>
        <v>186</v>
      </c>
      <c r="AF55" s="369"/>
      <c r="AG55" s="368">
        <f>ABS(INDEX(AG:AG,MATCH(AG52,$AA:$AA,0)+5)+INDEX(AG:AG,MATCH(AG52,$AA:$AA,0)+6)+INDEX(AG:AG,MATCH(AG52,$AA:$AA,0)+7))</f>
        <v>220</v>
      </c>
      <c r="AH55" s="369"/>
      <c r="AI55" s="368">
        <f>ABS(INDEX(AI:AI,MATCH(AI52,$AA:$AA,0)+5)+INDEX(AI:AI,MATCH(AI52,$AA:$AA,0)+6)+INDEX(AI:AI,MATCH(AI52,$AA:$AA,0)+7))</f>
        <v>181</v>
      </c>
      <c r="AJ55" s="369"/>
      <c r="AK55" s="368">
        <f>ABS(INDEX(AK:AK,MATCH(AK52,$AA:$AA,0)+5)+INDEX(AK:AK,MATCH(AK52,$AA:$AA,0)+6)+INDEX(AK:AK,MATCH(AK52,$AA:$AA,0)+7))</f>
        <v>192</v>
      </c>
      <c r="AL55" s="369"/>
      <c r="AM55" s="368">
        <f>ABS(INDEX(AM:AM,MATCH(AM52,$AA:$AA,0)+5)+INDEX(AM:AM,MATCH(AM52,$AA:$AA,0)+6)+INDEX(AM:AM,MATCH(AM52,$AA:$AA,0)+7))</f>
        <v>220</v>
      </c>
      <c r="AN55" s="369"/>
      <c r="AO55" s="368">
        <f>ABS(INDEX(AO:AO,MATCH(AO52,$AA:$AA,0)+5)+INDEX(AO:AO,MATCH(AO52,$AA:$AA,0)+6)+INDEX(AO:AO,MATCH(AO52,$AA:$AA,0)+7))</f>
        <v>198</v>
      </c>
      <c r="AP55" s="369"/>
      <c r="AQ55" s="368">
        <f>ABS(INDEX(AQ:AQ,MATCH(AQ52,$AA:$AA,0)+5)+INDEX(AQ:AQ,MATCH(AQ52,$AA:$AA,0)+6)+INDEX(AQ:AQ,MATCH(AQ52,$AA:$AA,0)+7))</f>
        <v>227</v>
      </c>
      <c r="AR55" s="369"/>
      <c r="AS55" s="368">
        <f>ABS(INDEX(AS:AS,MATCH(AS52,$AA:$AA,0)+5)+INDEX(AS:AS,MATCH(AS52,$AA:$AA,0)+6)+INDEX(AS:AS,MATCH(AS52,$AA:$AA,0)+7))</f>
        <v>222</v>
      </c>
      <c r="AT55" s="369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4" t="str">
        <f t="shared" si="68"/>
        <v>Spieler 2</v>
      </c>
      <c r="C56" s="375" t="str">
        <f t="shared" si="68"/>
        <v/>
      </c>
      <c r="D56" s="362">
        <f>IF(AC56=301,"",AC56)</f>
        <v>214</v>
      </c>
      <c r="E56" s="362" t="str">
        <f>IF(AD56=0,"",AD56)</f>
        <v/>
      </c>
      <c r="F56" s="362">
        <f>IF(AE56=301,"",AE56)</f>
        <v>214</v>
      </c>
      <c r="G56" s="362" t="str">
        <f>IF(AF56=0,"",AF56)</f>
        <v/>
      </c>
      <c r="H56" s="362">
        <f>IF(AG56=301,"",AG56)</f>
        <v>178</v>
      </c>
      <c r="I56" s="362" t="str">
        <f>IF(AH56=0,"",AH56)</f>
        <v/>
      </c>
      <c r="J56" s="362">
        <f>IF(AI56=301,"",AI56)</f>
        <v>137</v>
      </c>
      <c r="K56" s="362" t="str">
        <f>IF(AJ56=0,"",AJ56)</f>
        <v/>
      </c>
      <c r="L56" s="362">
        <f>IF(AK56=301,"",AK56)</f>
        <v>163</v>
      </c>
      <c r="M56" s="362" t="str">
        <f>IF(AL56=0,"",AL56)</f>
        <v/>
      </c>
      <c r="N56" s="362">
        <f>IF(AM56=301,"",AM56)</f>
        <v>154</v>
      </c>
      <c r="O56" s="362" t="str">
        <f>IF(AN56=0,"",AN56)</f>
        <v/>
      </c>
      <c r="P56" s="362">
        <f>IF(AO56=301,"",AO56)</f>
        <v>146</v>
      </c>
      <c r="Q56" s="362" t="str">
        <f>IF(AP56=0,"",AP56)</f>
        <v/>
      </c>
      <c r="R56" s="362">
        <f>IF(AQ56=301,"",AQ56)</f>
        <v>190</v>
      </c>
      <c r="S56" s="362" t="str">
        <f>IF(AR56=0,"",AR56)</f>
        <v/>
      </c>
      <c r="T56" s="362">
        <f>IF(AS56=301,"",AS56)</f>
        <v>214</v>
      </c>
      <c r="U56" s="362" t="str">
        <f>IF(AT56=0,"",AT56)</f>
        <v/>
      </c>
      <c r="V56" s="364"/>
      <c r="W56" s="364"/>
      <c r="AA56" s="91" t="s">
        <v>2</v>
      </c>
      <c r="AB56" s="92"/>
      <c r="AC56" s="366">
        <f>ABS(INDEX(AC:AC,MATCH(AC52,$AA:$AA,0)+8)+INDEX(AC:AC,MATCH(AC52,$AA:$AA,0)+9)+INDEX(AC:AC,MATCH(AC52,$AA:$AA,0)+10))</f>
        <v>214</v>
      </c>
      <c r="AD56" s="367"/>
      <c r="AE56" s="366">
        <f>ABS(INDEX(AE:AE,MATCH(AE52,$AA:$AA,0)+8)+INDEX(AE:AE,MATCH(AE52,$AA:$AA,0)+9)+INDEX(AE:AE,MATCH(AE52,$AA:$AA,0)+10))</f>
        <v>214</v>
      </c>
      <c r="AF56" s="367"/>
      <c r="AG56" s="366">
        <f>ABS(INDEX(AG:AG,MATCH(AG52,$AA:$AA,0)+8)+INDEX(AG:AG,MATCH(AG52,$AA:$AA,0)+9)+INDEX(AG:AG,MATCH(AG52,$AA:$AA,0)+10))</f>
        <v>178</v>
      </c>
      <c r="AH56" s="367"/>
      <c r="AI56" s="366">
        <f>ABS(INDEX(AI:AI,MATCH(AI52,$AA:$AA,0)+8)+INDEX(AI:AI,MATCH(AI52,$AA:$AA,0)+9)+INDEX(AI:AI,MATCH(AI52,$AA:$AA,0)+10))</f>
        <v>137</v>
      </c>
      <c r="AJ56" s="367"/>
      <c r="AK56" s="366">
        <f>ABS(INDEX(AK:AK,MATCH(AK52,$AA:$AA,0)+8)+INDEX(AK:AK,MATCH(AK52,$AA:$AA,0)+9)+INDEX(AK:AK,MATCH(AK52,$AA:$AA,0)+10))</f>
        <v>163</v>
      </c>
      <c r="AL56" s="367"/>
      <c r="AM56" s="366">
        <f>ABS(INDEX(AM:AM,MATCH(AM52,$AA:$AA,0)+8)+INDEX(AM:AM,MATCH(AM52,$AA:$AA,0)+9)+INDEX(AM:AM,MATCH(AM52,$AA:$AA,0)+10))</f>
        <v>154</v>
      </c>
      <c r="AN56" s="367"/>
      <c r="AO56" s="366">
        <f>ABS(INDEX(AO:AO,MATCH(AO52,$AA:$AA,0)+8)+INDEX(AO:AO,MATCH(AO52,$AA:$AA,0)+9)+INDEX(AO:AO,MATCH(AO52,$AA:$AA,0)+10))</f>
        <v>146</v>
      </c>
      <c r="AP56" s="367"/>
      <c r="AQ56" s="366">
        <f>ABS(INDEX(AQ:AQ,MATCH(AQ52,$AA:$AA,0)+8)+INDEX(AQ:AQ,MATCH(AQ52,$AA:$AA,0)+9)+INDEX(AQ:AQ,MATCH(AQ52,$AA:$AA,0)+10))</f>
        <v>190</v>
      </c>
      <c r="AR56" s="367"/>
      <c r="AS56" s="366">
        <f>ABS(INDEX(AS:AS,MATCH(AS52,$AA:$AA,0)+8)+INDEX(AS:AS,MATCH(AS52,$AA:$AA,0)+9)+INDEX(AS:AS,MATCH(AS52,$AA:$AA,0)+10))</f>
        <v>214</v>
      </c>
      <c r="AT56" s="367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4" t="str">
        <f t="shared" si="68"/>
        <v>Spieler 3</v>
      </c>
      <c r="C57" s="375" t="str">
        <f t="shared" si="68"/>
        <v/>
      </c>
      <c r="D57" s="362">
        <f>IF(AC57=301,"",AC57)</f>
        <v>204</v>
      </c>
      <c r="E57" s="362" t="str">
        <f>IF(AD57=0,"",AD57)</f>
        <v/>
      </c>
      <c r="F57" s="362">
        <f>IF(AE57=301,"",AE57)</f>
        <v>209</v>
      </c>
      <c r="G57" s="362" t="str">
        <f>IF(AF57=0,"",AF57)</f>
        <v/>
      </c>
      <c r="H57" s="362">
        <f>IF(AG57=301,"",AG57)</f>
        <v>171</v>
      </c>
      <c r="I57" s="362" t="str">
        <f>IF(AH57=0,"",AH57)</f>
        <v/>
      </c>
      <c r="J57" s="362">
        <f>IF(AI57=301,"",AI57)</f>
        <v>141</v>
      </c>
      <c r="K57" s="362" t="str">
        <f>IF(AJ57=0,"",AJ57)</f>
        <v/>
      </c>
      <c r="L57" s="362">
        <f>IF(AK57=301,"",AK57)</f>
        <v>226</v>
      </c>
      <c r="M57" s="362" t="str">
        <f>IF(AL57=0,"",AL57)</f>
        <v/>
      </c>
      <c r="N57" s="362">
        <f>IF(AM57=301,"",AM57)</f>
        <v>181</v>
      </c>
      <c r="O57" s="362" t="str">
        <f>IF(AN57=0,"",AN57)</f>
        <v/>
      </c>
      <c r="P57" s="362">
        <f>IF(AO57=301,"",AO57)</f>
        <v>172</v>
      </c>
      <c r="Q57" s="362" t="str">
        <f>IF(AP57=0,"",AP57)</f>
        <v/>
      </c>
      <c r="R57" s="362">
        <f>IF(AQ57=301,"",AQ57)</f>
        <v>203</v>
      </c>
      <c r="S57" s="362" t="str">
        <f>IF(AR57=0,"",AR57)</f>
        <v/>
      </c>
      <c r="T57" s="362">
        <f>IF(AS57=301,"",AS57)</f>
        <v>178</v>
      </c>
      <c r="U57" s="362" t="str">
        <f>IF(AT57=0,"",AT57)</f>
        <v/>
      </c>
      <c r="V57" s="364"/>
      <c r="W57" s="364"/>
      <c r="AA57" s="91" t="s">
        <v>3</v>
      </c>
      <c r="AB57" s="92"/>
      <c r="AC57" s="366">
        <f>ABS(INDEX(AC:AC,MATCH(AC52,$AA:$AA,0)+11)+INDEX(AC:AC,MATCH(AC52,$AA:$AA,0)+12)+INDEX(AC:AC,MATCH(AC52,$AA:$AA,0)+13))</f>
        <v>204</v>
      </c>
      <c r="AD57" s="367"/>
      <c r="AE57" s="366">
        <f>ABS(INDEX(AE:AE,MATCH(AE52,$AA:$AA,0)+11)+INDEX(AE:AE,MATCH(AE52,$AA:$AA,0)+12)+INDEX(AE:AE,MATCH(AE52,$AA:$AA,0)+13))</f>
        <v>209</v>
      </c>
      <c r="AF57" s="367"/>
      <c r="AG57" s="366">
        <f>ABS(INDEX(AG:AG,MATCH(AG52,$AA:$AA,0)+11)+INDEX(AG:AG,MATCH(AG52,$AA:$AA,0)+12)+INDEX(AG:AG,MATCH(AG52,$AA:$AA,0)+13))</f>
        <v>171</v>
      </c>
      <c r="AH57" s="367"/>
      <c r="AI57" s="366">
        <f>ABS(INDEX(AI:AI,MATCH(AI52,$AA:$AA,0)+11)+INDEX(AI:AI,MATCH(AI52,$AA:$AA,0)+12)+INDEX(AI:AI,MATCH(AI52,$AA:$AA,0)+13))</f>
        <v>141</v>
      </c>
      <c r="AJ57" s="367"/>
      <c r="AK57" s="366">
        <f>ABS(INDEX(AK:AK,MATCH(AK52,$AA:$AA,0)+11)+INDEX(AK:AK,MATCH(AK52,$AA:$AA,0)+12)+INDEX(AK:AK,MATCH(AK52,$AA:$AA,0)+13))</f>
        <v>226</v>
      </c>
      <c r="AL57" s="367"/>
      <c r="AM57" s="366">
        <f>ABS(INDEX(AM:AM,MATCH(AM52,$AA:$AA,0)+11)+INDEX(AM:AM,MATCH(AM52,$AA:$AA,0)+12)+INDEX(AM:AM,MATCH(AM52,$AA:$AA,0)+13))</f>
        <v>181</v>
      </c>
      <c r="AN57" s="367"/>
      <c r="AO57" s="366">
        <f>ABS(INDEX(AO:AO,MATCH(AO52,$AA:$AA,0)+11)+INDEX(AO:AO,MATCH(AO52,$AA:$AA,0)+12)+INDEX(AO:AO,MATCH(AO52,$AA:$AA,0)+13))</f>
        <v>172</v>
      </c>
      <c r="AP57" s="367"/>
      <c r="AQ57" s="366">
        <f>ABS(INDEX(AQ:AQ,MATCH(AQ52,$AA:$AA,0)+11)+INDEX(AQ:AQ,MATCH(AQ52,$AA:$AA,0)+12)+INDEX(AQ:AQ,MATCH(AQ52,$AA:$AA,0)+13))</f>
        <v>203</v>
      </c>
      <c r="AR57" s="367"/>
      <c r="AS57" s="366">
        <f>ABS(INDEX(AS:AS,MATCH(AS52,$AA:$AA,0)+11)+INDEX(AS:AS,MATCH(AS52,$AA:$AA,0)+12)+INDEX(AS:AS,MATCH(AS52,$AA:$AA,0)+13))</f>
        <v>178</v>
      </c>
      <c r="AT57" s="367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4" t="str">
        <f t="shared" si="68"/>
        <v>Spieler 4</v>
      </c>
      <c r="C58" s="375" t="str">
        <f t="shared" si="68"/>
        <v/>
      </c>
      <c r="D58" s="362">
        <f>IF(AC58=301,"",AC58)</f>
        <v>164</v>
      </c>
      <c r="E58" s="362" t="str">
        <f>IF(AD58=0,"",AD58)</f>
        <v/>
      </c>
      <c r="F58" s="362">
        <f>IF(AE58=301,"",AE58)</f>
        <v>206</v>
      </c>
      <c r="G58" s="362" t="str">
        <f>IF(AF58=0,"",AF58)</f>
        <v/>
      </c>
      <c r="H58" s="362">
        <f>IF(AG58=301,"",AG58)</f>
        <v>191</v>
      </c>
      <c r="I58" s="362" t="str">
        <f>IF(AH58=0,"",AH58)</f>
        <v/>
      </c>
      <c r="J58" s="362">
        <f>IF(AI58=301,"",AI58)</f>
        <v>186</v>
      </c>
      <c r="K58" s="362" t="str">
        <f>IF(AJ58=0,"",AJ58)</f>
        <v/>
      </c>
      <c r="L58" s="362">
        <f>IF(AK58=301,"",AK58)</f>
        <v>224</v>
      </c>
      <c r="M58" s="362" t="str">
        <f>IF(AL58=0,"",AL58)</f>
        <v/>
      </c>
      <c r="N58" s="362">
        <f>IF(AM58=301,"",AM58)</f>
        <v>152</v>
      </c>
      <c r="O58" s="362" t="str">
        <f>IF(AN58=0,"",AN58)</f>
        <v/>
      </c>
      <c r="P58" s="362">
        <f>IF(AO58=301,"",AO58)</f>
        <v>158</v>
      </c>
      <c r="Q58" s="362" t="str">
        <f>IF(AP58=0,"",AP58)</f>
        <v/>
      </c>
      <c r="R58" s="362">
        <f>IF(AQ58=301,"",AQ58)</f>
        <v>226</v>
      </c>
      <c r="S58" s="362" t="str">
        <f>IF(AR58=0,"",AR58)</f>
        <v/>
      </c>
      <c r="T58" s="362">
        <f>IF(AS58=301,"",AS58)</f>
        <v>223</v>
      </c>
      <c r="U58" s="362" t="str">
        <f>IF(AT58=0,"",AT58)</f>
        <v/>
      </c>
      <c r="V58" s="364"/>
      <c r="W58" s="364"/>
      <c r="AA58" s="91" t="s">
        <v>11</v>
      </c>
      <c r="AB58" s="92"/>
      <c r="AC58" s="366">
        <f>ABS(INDEX(AC:AC,MATCH(AC52,$AA:$AA,0)+14)+INDEX(AC:AC,MATCH(AC52,$AA:$AA,0)+15)+INDEX(AC:AC,MATCH(AC52,$AA:$AA,0)+16))</f>
        <v>164</v>
      </c>
      <c r="AD58" s="367"/>
      <c r="AE58" s="366">
        <f>ABS(INDEX(AE:AE,MATCH(AE52,$AA:$AA,0)+14)+INDEX(AE:AE,MATCH(AE52,$AA:$AA,0)+15)+INDEX(AE:AE,MATCH(AE52,$AA:$AA,0)+16))</f>
        <v>206</v>
      </c>
      <c r="AF58" s="367"/>
      <c r="AG58" s="366">
        <f>ABS(INDEX(AG:AG,MATCH(AG52,$AA:$AA,0)+14)+INDEX(AG:AG,MATCH(AG52,$AA:$AA,0)+15)+INDEX(AG:AG,MATCH(AG52,$AA:$AA,0)+16))</f>
        <v>191</v>
      </c>
      <c r="AH58" s="367"/>
      <c r="AI58" s="366">
        <f>ABS(INDEX(AI:AI,MATCH(AI52,$AA:$AA,0)+14)+INDEX(AI:AI,MATCH(AI52,$AA:$AA,0)+15)+INDEX(AI:AI,MATCH(AI52,$AA:$AA,0)+16))</f>
        <v>186</v>
      </c>
      <c r="AJ58" s="367"/>
      <c r="AK58" s="366">
        <f>ABS(INDEX(AK:AK,MATCH(AK52,$AA:$AA,0)+14)+INDEX(AK:AK,MATCH(AK52,$AA:$AA,0)+15)+INDEX(AK:AK,MATCH(AK52,$AA:$AA,0)+16))</f>
        <v>224</v>
      </c>
      <c r="AL58" s="367"/>
      <c r="AM58" s="366">
        <f>ABS(INDEX(AM:AM,MATCH(AM52,$AA:$AA,0)+14)+INDEX(AM:AM,MATCH(AM52,$AA:$AA,0)+15)+INDEX(AM:AM,MATCH(AM52,$AA:$AA,0)+16))</f>
        <v>152</v>
      </c>
      <c r="AN58" s="367"/>
      <c r="AO58" s="366">
        <f>ABS(INDEX(AO:AO,MATCH(AO52,$AA:$AA,0)+14)+INDEX(AO:AO,MATCH(AO52,$AA:$AA,0)+15)+INDEX(AO:AO,MATCH(AO52,$AA:$AA,0)+16))</f>
        <v>158</v>
      </c>
      <c r="AP58" s="367"/>
      <c r="AQ58" s="366">
        <f>ABS(INDEX(AQ:AQ,MATCH(AQ52,$AA:$AA,0)+14)+INDEX(AQ:AQ,MATCH(AQ52,$AA:$AA,0)+15)+INDEX(AQ:AQ,MATCH(AQ52,$AA:$AA,0)+16))</f>
        <v>226</v>
      </c>
      <c r="AR58" s="367"/>
      <c r="AS58" s="366">
        <f>ABS(INDEX(AS:AS,MATCH(AS52,$AA:$AA,0)+14)+INDEX(AS:AS,MATCH(AS52,$AA:$AA,0)+15)+INDEX(AS:AS,MATCH(AS52,$AA:$AA,0)+16))</f>
        <v>223</v>
      </c>
      <c r="AT58" s="367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6" t="str">
        <f t="shared" si="68"/>
        <v>Gesamt</v>
      </c>
      <c r="C59" s="347" t="str">
        <f t="shared" si="68"/>
        <v/>
      </c>
      <c r="D59" s="365">
        <f>IF(AC59=1505,"",AC59)</f>
        <v>803</v>
      </c>
      <c r="E59" s="365" t="str">
        <f>IF(AD59=0,"",AD59)</f>
        <v/>
      </c>
      <c r="F59" s="365">
        <f>IF(AE59=1505,"",AE59)</f>
        <v>815</v>
      </c>
      <c r="G59" s="365" t="str">
        <f>IF(AF59=0,"",AF59)</f>
        <v/>
      </c>
      <c r="H59" s="365">
        <f>IF(AG59=1505,"",AG59)</f>
        <v>760</v>
      </c>
      <c r="I59" s="365" t="str">
        <f>IF(AH59=0,"",AH59)</f>
        <v/>
      </c>
      <c r="J59" s="365">
        <f>IF(AI59=1505,"",AI59)</f>
        <v>645</v>
      </c>
      <c r="K59" s="365" t="str">
        <f>IF(AJ59=0,"",AJ59)</f>
        <v/>
      </c>
      <c r="L59" s="365">
        <f>IF(AK59=1505,"",AK59)</f>
        <v>805</v>
      </c>
      <c r="M59" s="365" t="str">
        <f>IF(AL59=0,"",AL59)</f>
        <v/>
      </c>
      <c r="N59" s="365">
        <f>IF(AM59=1505,"",AM59)</f>
        <v>707</v>
      </c>
      <c r="O59" s="365" t="str">
        <f>IF(AN59=0,"",AN59)</f>
        <v/>
      </c>
      <c r="P59" s="365">
        <f>IF(AO59=1505,"",AO59)</f>
        <v>674</v>
      </c>
      <c r="Q59" s="365" t="str">
        <f>IF(AP59=0,"",AP59)</f>
        <v/>
      </c>
      <c r="R59" s="365">
        <f>IF(AQ59=1505,"",AQ59)</f>
        <v>846</v>
      </c>
      <c r="S59" s="365" t="str">
        <f>IF(AR59=0,"",AR59)</f>
        <v/>
      </c>
      <c r="T59" s="365">
        <f>IF(AS59=1505,"",AS59)</f>
        <v>837</v>
      </c>
      <c r="U59" s="365" t="str">
        <f>IF(AT59=0,"",AT59)</f>
        <v/>
      </c>
      <c r="V59" s="301"/>
      <c r="W59" s="301"/>
      <c r="AA59" s="93" t="s">
        <v>1799</v>
      </c>
      <c r="AB59" s="94"/>
      <c r="AC59" s="346">
        <f>SUM(AC55:AC58)</f>
        <v>803</v>
      </c>
      <c r="AD59" s="347"/>
      <c r="AE59" s="346">
        <f>SUM(AE55:AE58)</f>
        <v>815</v>
      </c>
      <c r="AF59" s="347"/>
      <c r="AG59" s="346">
        <f>SUM(AG55:AG58)</f>
        <v>760</v>
      </c>
      <c r="AH59" s="347"/>
      <c r="AI59" s="346">
        <f>SUM(AI55:AI58)</f>
        <v>645</v>
      </c>
      <c r="AJ59" s="347"/>
      <c r="AK59" s="346">
        <f>SUM(AK55:AK58)</f>
        <v>805</v>
      </c>
      <c r="AL59" s="347"/>
      <c r="AM59" s="346">
        <f>SUM(AM55:AM58)</f>
        <v>707</v>
      </c>
      <c r="AN59" s="347"/>
      <c r="AO59" s="346">
        <f>SUM(AO55:AO58)</f>
        <v>674</v>
      </c>
      <c r="AP59" s="347"/>
      <c r="AQ59" s="346">
        <f>SUM(AQ55:AQ58)</f>
        <v>846</v>
      </c>
      <c r="AR59" s="347"/>
      <c r="AS59" s="346">
        <f>SUM(AS55:AS58)</f>
        <v>837</v>
      </c>
      <c r="AT59" s="347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5" t="str">
        <f>AE61</f>
        <v>Bayernliga Herren</v>
      </c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48"/>
      <c r="S61" s="49" t="s">
        <v>1794</v>
      </c>
      <c r="T61" s="50"/>
      <c r="U61" s="341" t="str">
        <f>AT61</f>
        <v>02.11./03.11.</v>
      </c>
      <c r="V61" s="342"/>
      <c r="W61" s="343"/>
      <c r="X61" s="372"/>
      <c r="Y61" s="373"/>
      <c r="Z61" s="373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41" t="str">
        <f>VLOOKUP(AS62,Spielorte!$A$1:$C$6,2)</f>
        <v>02.11./03.11.</v>
      </c>
      <c r="AU61" s="342"/>
      <c r="AV61" s="34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4" t="str">
        <f>AE62</f>
        <v>Nürnberg West Bowling</v>
      </c>
      <c r="G62" s="344"/>
      <c r="H62" s="344"/>
      <c r="I62" s="344"/>
      <c r="J62" s="344"/>
      <c r="K62" s="344"/>
      <c r="L62" s="344"/>
      <c r="M62" s="344"/>
      <c r="N62" s="344"/>
      <c r="O62" s="344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6" t="s">
        <v>1800</v>
      </c>
      <c r="E65" s="347"/>
      <c r="F65" s="346" t="s">
        <v>1801</v>
      </c>
      <c r="G65" s="347"/>
      <c r="H65" s="346" t="s">
        <v>1802</v>
      </c>
      <c r="I65" s="347"/>
      <c r="J65" s="346" t="s">
        <v>1803</v>
      </c>
      <c r="K65" s="347"/>
      <c r="L65" s="346" t="s">
        <v>1804</v>
      </c>
      <c r="M65" s="347"/>
      <c r="N65" s="346" t="s">
        <v>1805</v>
      </c>
      <c r="O65" s="347"/>
      <c r="P65" s="346" t="s">
        <v>1806</v>
      </c>
      <c r="Q65" s="347"/>
      <c r="R65" s="346" t="s">
        <v>1807</v>
      </c>
      <c r="S65" s="347"/>
      <c r="T65" s="346" t="s">
        <v>1808</v>
      </c>
      <c r="U65" s="347"/>
      <c r="V65" s="354" t="s">
        <v>1799</v>
      </c>
      <c r="W65" s="355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6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181</v>
      </c>
      <c r="E67" s="348">
        <f>IF(AD67="","",AD67)</f>
        <v>1</v>
      </c>
      <c r="F67" s="75">
        <f t="shared" ref="F67:F80" si="69">IF(AE67=0,"",AE67)</f>
        <v>223</v>
      </c>
      <c r="G67" s="348">
        <f>IF(AF67="","",AF67)</f>
        <v>0</v>
      </c>
      <c r="H67" s="75">
        <f t="shared" ref="H67:H80" si="70">IF(AG67=0,"",AG67)</f>
        <v>163</v>
      </c>
      <c r="I67" s="348">
        <f>IF(AH67="","",AH67)</f>
        <v>0</v>
      </c>
      <c r="J67" s="75">
        <f t="shared" ref="J67:J80" si="71">IF(AI67=0,"",AI67)</f>
        <v>202</v>
      </c>
      <c r="K67" s="348">
        <f>IF(AJ67="","",AJ67)</f>
        <v>1</v>
      </c>
      <c r="L67" s="75">
        <f t="shared" ref="L67:L80" si="72">IF(AK67=0,"",AK67)</f>
        <v>192</v>
      </c>
      <c r="M67" s="348">
        <f>IF(AL67="","",AL67)</f>
        <v>0</v>
      </c>
      <c r="N67" s="75">
        <f>IF(AM67=0,"",AM67)</f>
        <v>228</v>
      </c>
      <c r="O67" s="348">
        <f>IF(AN67="","",AN67)</f>
        <v>1</v>
      </c>
      <c r="P67" s="75">
        <f t="shared" ref="P67:P80" si="73">IF(AO67=0,"",AO67)</f>
        <v>242</v>
      </c>
      <c r="Q67" s="348">
        <f>IF(AP67="","",AP67)</f>
        <v>1</v>
      </c>
      <c r="R67" s="75">
        <f t="shared" ref="R67:R80" si="74">IF(AQ67=0,"",AQ67)</f>
        <v>173</v>
      </c>
      <c r="S67" s="348">
        <f>IF(AR67="","",AR67)</f>
        <v>0</v>
      </c>
      <c r="T67" s="75">
        <f t="shared" ref="T67:T80" si="75">IF(AS67=0,"",AS67)</f>
        <v>164</v>
      </c>
      <c r="U67" s="348">
        <f>IF(AT67="","",AT67)</f>
        <v>0</v>
      </c>
      <c r="V67" s="75">
        <f t="shared" ref="V67:V80" si="76">IF(AU67=0,"",AU67)</f>
        <v>1768</v>
      </c>
      <c r="W67" s="348">
        <f>IF(AV67="","",AV67)</f>
        <v>4</v>
      </c>
      <c r="Z67" s="351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181</v>
      </c>
      <c r="AD67" s="109">
        <f>IF(SUM(AC67:AC69)+AC85=0,0,IF(SUM(AC67:AC69)=AC85,0.5,IF(SUM(AC67:AC69)&gt;AC85,1,0)))</f>
        <v>1</v>
      </c>
      <c r="AE67" s="185">
        <v>223</v>
      </c>
      <c r="AF67" s="109">
        <f>IF(SUM(AE67:AE69)+AE85=0,0,IF(SUM(AE67:AE69)=AE85,0.5,IF(SUM(AE67:AE69)&gt;AE85,1,0)))</f>
        <v>0</v>
      </c>
      <c r="AG67" s="185">
        <v>163</v>
      </c>
      <c r="AH67" s="109">
        <f>IF(SUM(AG67:AG69)+AG85=0,0,IF(SUM(AG67:AG69)=AG85,0.5,IF(SUM(AG67:AG69)&gt;AG85,1,0)))</f>
        <v>0</v>
      </c>
      <c r="AI67" s="185">
        <v>202</v>
      </c>
      <c r="AJ67" s="109">
        <f>IF(SUM(AI67:AI69)+AI85=0,0,IF(SUM(AI67:AI69)=AI85,0.5,IF(SUM(AI67:AI69)&gt;AI85,1,0)))</f>
        <v>1</v>
      </c>
      <c r="AK67" s="185">
        <v>192</v>
      </c>
      <c r="AL67" s="109">
        <f>IF(SUM(AK67:AK69)+AK85=0,0,IF(SUM(AK67:AK69)=AK85,0.5,IF(SUM(AK67:AK69)&gt;AK85,1,0)))</f>
        <v>0</v>
      </c>
      <c r="AM67" s="185">
        <v>228</v>
      </c>
      <c r="AN67" s="109">
        <f>IF(SUM(AM67:AM69)+AM85=0,0,IF(SUM(AM67:AM69)=AM85,0.5,IF(SUM(AM67:AM69)&gt;AM85,1,0)))</f>
        <v>1</v>
      </c>
      <c r="AO67" s="185">
        <v>242</v>
      </c>
      <c r="AP67" s="109">
        <f>IF(SUM(AO67:AO69)+AO85=0,0,IF(SUM(AO67:AO69)=AO85,0.5,IF(SUM(AO67:AO69)&gt;AO85,1,0)))</f>
        <v>1</v>
      </c>
      <c r="AQ67" s="185">
        <v>173</v>
      </c>
      <c r="AR67" s="109">
        <f>IF(SUM(AQ67:AQ69)+AQ85=0,0,IF(SUM(AQ67:AQ69)=AQ85,0.5,IF(SUM(AQ67:AQ69)&gt;AQ85,1,0)))</f>
        <v>0</v>
      </c>
      <c r="AS67" s="185">
        <v>164</v>
      </c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1768</v>
      </c>
      <c r="AV67" s="111">
        <f>SUM(AD67+AF67+AH67+AJ67+AL67+AN67+AP67+AR67+AT67)</f>
        <v>4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1768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181</v>
      </c>
      <c r="BI67" s="215">
        <f t="shared" ref="BI67:BI78" si="79">IF(AE67=0,"",AE67)</f>
        <v>223</v>
      </c>
      <c r="BJ67" s="215">
        <f t="shared" ref="BJ67:BJ78" si="80">IF(AG67=0,"",AG67)</f>
        <v>163</v>
      </c>
      <c r="BK67" s="215">
        <f t="shared" ref="BK67:BK78" si="81">IF(AI67=0,"",AI67)</f>
        <v>202</v>
      </c>
      <c r="BL67" s="215">
        <f t="shared" ref="BL67:BL78" si="82">IF(AK67=0,"",AK67)</f>
        <v>192</v>
      </c>
      <c r="BM67" s="215">
        <f t="shared" ref="BM67:BM78" si="83">IF(AM67=0,"",AM67)</f>
        <v>228</v>
      </c>
      <c r="BN67" s="215">
        <f t="shared" ref="BN67:BN78" si="84">IF(AO67=0,"",AO67)</f>
        <v>242</v>
      </c>
      <c r="BO67" s="215">
        <f t="shared" ref="BO67:BO78" si="85">IF(AQ67=0,"",AQ67)</f>
        <v>173</v>
      </c>
      <c r="BP67" s="215">
        <f t="shared" ref="BP67:BP78" si="86">IF(AS67=0,"",AS67)</f>
        <v>164</v>
      </c>
      <c r="BQ67" s="216"/>
      <c r="BR67" s="214"/>
      <c r="BS67" s="215">
        <f>MAX(BH67:BP67)</f>
        <v>242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1768</v>
      </c>
      <c r="BX67" s="215">
        <f>IF(COUNTIF(BH67:BP67,"&gt;0")&lt;Spielorte!$A$23,0,BE67/Spielorte!$A$23)</f>
        <v>196.44444444444446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7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8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6" t="s">
        <v>2</v>
      </c>
      <c r="B70" s="73" t="str">
        <f t="shared" si="88"/>
        <v>Singer, Michael</v>
      </c>
      <c r="C70" s="74">
        <f t="shared" si="88"/>
        <v>7485</v>
      </c>
      <c r="D70" s="75">
        <f t="shared" si="88"/>
        <v>187</v>
      </c>
      <c r="E70" s="348">
        <f>IF(AD70="","",AD70)</f>
        <v>0</v>
      </c>
      <c r="F70" s="75">
        <f t="shared" si="69"/>
        <v>178</v>
      </c>
      <c r="G70" s="348">
        <f>IF(AF70="","",AF70)</f>
        <v>0</v>
      </c>
      <c r="H70" s="75">
        <f t="shared" si="70"/>
        <v>153</v>
      </c>
      <c r="I70" s="348">
        <f>IF(AH70="","",AH70)</f>
        <v>0</v>
      </c>
      <c r="J70" s="75">
        <f t="shared" si="71"/>
        <v>181</v>
      </c>
      <c r="K70" s="348">
        <f>IF(AJ70="","",AJ70)</f>
        <v>0</v>
      </c>
      <c r="L70" s="75">
        <f t="shared" si="72"/>
        <v>163</v>
      </c>
      <c r="M70" s="348">
        <f>IF(AL70="","",AL70)</f>
        <v>0</v>
      </c>
      <c r="N70" s="75" t="str">
        <f t="shared" si="89"/>
        <v/>
      </c>
      <c r="O70" s="348">
        <f>IF(AN70="","",AN70)</f>
        <v>0</v>
      </c>
      <c r="P70" s="75" t="str">
        <f t="shared" si="73"/>
        <v/>
      </c>
      <c r="Q70" s="348">
        <f>IF(AP70="","",AP70)</f>
        <v>1</v>
      </c>
      <c r="R70" s="75" t="str">
        <f t="shared" si="74"/>
        <v/>
      </c>
      <c r="S70" s="348">
        <f>IF(AR70="","",AR70)</f>
        <v>0</v>
      </c>
      <c r="T70" s="75" t="str">
        <f t="shared" si="75"/>
        <v/>
      </c>
      <c r="U70" s="348">
        <f>IF(AT70="","",AT70)</f>
        <v>1</v>
      </c>
      <c r="V70" s="75">
        <f t="shared" si="76"/>
        <v>862</v>
      </c>
      <c r="W70" s="348">
        <f>IF(AV70="","",AV70)</f>
        <v>2</v>
      </c>
      <c r="Z70" s="351" t="s">
        <v>2</v>
      </c>
      <c r="AA70" s="108" t="str">
        <f>IF(AB70=0,"",VLOOKUP(AB70,Starter!$A$1:$D$199,2,FALSE))</f>
        <v>Singer, Michael</v>
      </c>
      <c r="AB70" s="99">
        <v>7485</v>
      </c>
      <c r="AC70" s="188">
        <v>187</v>
      </c>
      <c r="AD70" s="109">
        <f>IF(SUM(AC70:AC72)+AC86=0,0,IF(SUM(AC70:AC72)=AC86,0.5,IF(SUM(AC70:AC72)&gt;AC86,1,0)))</f>
        <v>0</v>
      </c>
      <c r="AE70" s="188">
        <v>178</v>
      </c>
      <c r="AF70" s="109">
        <f>IF(SUM(AE70:AE72)+AE86=0,0,IF(SUM(AE70:AE72)=AE86,0.5,IF(SUM(AE70:AE72)&gt;AE86,1,0)))</f>
        <v>0</v>
      </c>
      <c r="AG70" s="188">
        <v>153</v>
      </c>
      <c r="AH70" s="109">
        <f>IF(SUM(AG70:AG72)+AG86=0,0,IF(SUM(AG70:AG72)=AG86,0.5,IF(SUM(AG70:AG72)&gt;AG86,1,0)))</f>
        <v>0</v>
      </c>
      <c r="AI70" s="188">
        <v>181</v>
      </c>
      <c r="AJ70" s="109">
        <f>IF(SUM(AI70:AI72)+AI86=0,0,IF(SUM(AI70:AI72)=AI86,0.5,IF(SUM(AI70:AI72)&gt;AI86,1,0)))</f>
        <v>0</v>
      </c>
      <c r="AK70" s="188">
        <v>163</v>
      </c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1</v>
      </c>
      <c r="AU70" s="110">
        <f t="shared" si="77"/>
        <v>862</v>
      </c>
      <c r="AV70" s="111">
        <f>SUM(AD70+AF70+AH70+AJ70+AL70+AN70+AP70+AR70+AT70)</f>
        <v>2</v>
      </c>
      <c r="AW70" s="101"/>
      <c r="AX70" s="102"/>
      <c r="AZ70" s="63"/>
      <c r="BA70" s="212"/>
      <c r="BB70" s="213"/>
      <c r="BC70" s="214"/>
      <c r="BD70" s="217">
        <f t="shared" si="90"/>
        <v>7485</v>
      </c>
      <c r="BE70" s="213">
        <f t="shared" si="91"/>
        <v>862</v>
      </c>
      <c r="BF70" s="215">
        <f t="shared" si="92"/>
        <v>5</v>
      </c>
      <c r="BG70" s="215">
        <f t="shared" si="93"/>
        <v>5</v>
      </c>
      <c r="BH70" s="215">
        <f t="shared" si="78"/>
        <v>187</v>
      </c>
      <c r="BI70" s="215">
        <f t="shared" si="79"/>
        <v>178</v>
      </c>
      <c r="BJ70" s="215">
        <f t="shared" si="80"/>
        <v>153</v>
      </c>
      <c r="BK70" s="215">
        <f t="shared" si="81"/>
        <v>181</v>
      </c>
      <c r="BL70" s="215">
        <f t="shared" si="82"/>
        <v>163</v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187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862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7"/>
      <c r="B71" s="76" t="str">
        <f t="shared" si="88"/>
        <v>Laub, Harald</v>
      </c>
      <c r="C71" s="77">
        <f t="shared" si="88"/>
        <v>7597</v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>
        <f t="shared" si="89"/>
        <v>184</v>
      </c>
      <c r="O71" s="349"/>
      <c r="P71" s="78">
        <f t="shared" si="73"/>
        <v>180</v>
      </c>
      <c r="Q71" s="349"/>
      <c r="R71" s="78">
        <f t="shared" si="74"/>
        <v>150</v>
      </c>
      <c r="S71" s="349"/>
      <c r="T71" s="78">
        <f t="shared" si="75"/>
        <v>158</v>
      </c>
      <c r="U71" s="349"/>
      <c r="V71" s="78">
        <f t="shared" si="76"/>
        <v>672</v>
      </c>
      <c r="W71" s="349"/>
      <c r="Z71" s="352"/>
      <c r="AA71" s="108" t="str">
        <f>IF(AB71=0,"",VLOOKUP(AB71,Starter!$A$1:$D$199,2,FALSE))</f>
        <v>Laub, Harald</v>
      </c>
      <c r="AB71" s="98">
        <v>7597</v>
      </c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>
        <v>184</v>
      </c>
      <c r="AN71" s="112"/>
      <c r="AO71" s="190">
        <v>180</v>
      </c>
      <c r="AP71" s="112"/>
      <c r="AQ71" s="190">
        <v>150</v>
      </c>
      <c r="AR71" s="112"/>
      <c r="AS71" s="190">
        <v>158</v>
      </c>
      <c r="AT71" s="112"/>
      <c r="AU71" s="113">
        <f t="shared" si="77"/>
        <v>672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7597</v>
      </c>
      <c r="BE71" s="213">
        <f t="shared" si="91"/>
        <v>672</v>
      </c>
      <c r="BF71" s="215">
        <f t="shared" si="92"/>
        <v>4</v>
      </c>
      <c r="BG71" s="215">
        <f t="shared" si="93"/>
        <v>4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>
        <f t="shared" si="83"/>
        <v>184</v>
      </c>
      <c r="BN71" s="215">
        <f t="shared" si="84"/>
        <v>180</v>
      </c>
      <c r="BO71" s="215">
        <f t="shared" si="85"/>
        <v>150</v>
      </c>
      <c r="BP71" s="215">
        <f t="shared" si="86"/>
        <v>158</v>
      </c>
      <c r="BQ71" s="216"/>
      <c r="BR71" s="214"/>
      <c r="BS71" s="215">
        <f t="shared" si="94"/>
        <v>184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672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8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6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173</v>
      </c>
      <c r="E73" s="348">
        <f>IF(AD73="","",AD73)</f>
        <v>0</v>
      </c>
      <c r="F73" s="75">
        <f t="shared" si="69"/>
        <v>201</v>
      </c>
      <c r="G73" s="348">
        <f>IF(AF73="","",AF73)</f>
        <v>1</v>
      </c>
      <c r="H73" s="75">
        <f t="shared" si="70"/>
        <v>167</v>
      </c>
      <c r="I73" s="348">
        <f>IF(AH73="","",AH73)</f>
        <v>0</v>
      </c>
      <c r="J73" s="75">
        <f t="shared" si="71"/>
        <v>128</v>
      </c>
      <c r="K73" s="348">
        <f>IF(AJ73="","",AJ73)</f>
        <v>0</v>
      </c>
      <c r="L73" s="75" t="str">
        <f t="shared" si="72"/>
        <v/>
      </c>
      <c r="M73" s="348">
        <f>IF(AL73="","",AL73)</f>
        <v>1</v>
      </c>
      <c r="N73" s="75" t="str">
        <f t="shared" si="89"/>
        <v/>
      </c>
      <c r="O73" s="348">
        <f>IF(AN73="","",AN73)</f>
        <v>1</v>
      </c>
      <c r="P73" s="75" t="str">
        <f t="shared" si="73"/>
        <v/>
      </c>
      <c r="Q73" s="348">
        <f>IF(AP73="","",AP73)</f>
        <v>1</v>
      </c>
      <c r="R73" s="75" t="str">
        <f t="shared" si="74"/>
        <v/>
      </c>
      <c r="S73" s="348">
        <f>IF(AR73="","",AR73)</f>
        <v>1</v>
      </c>
      <c r="T73" s="75" t="str">
        <f t="shared" si="75"/>
        <v/>
      </c>
      <c r="U73" s="348">
        <f>IF(AT73="","",AT73)</f>
        <v>0</v>
      </c>
      <c r="V73" s="75">
        <f t="shared" si="76"/>
        <v>669</v>
      </c>
      <c r="W73" s="348">
        <f>IF(AV73="","",AV73)</f>
        <v>5</v>
      </c>
      <c r="Z73" s="351" t="s">
        <v>3</v>
      </c>
      <c r="AA73" s="108" t="str">
        <f>IF(AB73=0,"",VLOOKUP(AB73,Starter!$A$1:$D$199,2,FALSE))</f>
        <v>Laub, Harald</v>
      </c>
      <c r="AB73" s="99">
        <v>7597</v>
      </c>
      <c r="AC73" s="188">
        <v>173</v>
      </c>
      <c r="AD73" s="109">
        <f>IF(SUM(AC73:AC75)+AC87=0,0,IF(SUM(AC73:AC75)=AC87,0.5,IF(SUM(AC73:AC75)&gt;AC87,1,0)))</f>
        <v>0</v>
      </c>
      <c r="AE73" s="188">
        <v>201</v>
      </c>
      <c r="AF73" s="109">
        <f>IF(SUM(AE73:AE75)+AE87=0,0,IF(SUM(AE73:AE75)=AE87,0.5,IF(SUM(AE73:AE75)&gt;AE87,1,0)))</f>
        <v>1</v>
      </c>
      <c r="AG73" s="188">
        <v>167</v>
      </c>
      <c r="AH73" s="109">
        <f>IF(SUM(AG73:AG75)+AG87=0,0,IF(SUM(AG73:AG75)=AG87,0.5,IF(SUM(AG73:AG75)&gt;AG87,1,0)))</f>
        <v>0</v>
      </c>
      <c r="AI73" s="188">
        <v>128</v>
      </c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1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669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669</v>
      </c>
      <c r="BF73" s="215">
        <f t="shared" si="92"/>
        <v>4</v>
      </c>
      <c r="BG73" s="215">
        <f t="shared" si="93"/>
        <v>4</v>
      </c>
      <c r="BH73" s="215">
        <f t="shared" si="78"/>
        <v>173</v>
      </c>
      <c r="BI73" s="215">
        <f t="shared" si="79"/>
        <v>201</v>
      </c>
      <c r="BJ73" s="215">
        <f t="shared" si="80"/>
        <v>167</v>
      </c>
      <c r="BK73" s="215">
        <f t="shared" si="81"/>
        <v>128</v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201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669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7"/>
      <c r="B74" s="76" t="str">
        <f t="shared" si="88"/>
        <v>Hellmessen, Maximilian</v>
      </c>
      <c r="C74" s="77">
        <f t="shared" si="88"/>
        <v>16912</v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>
        <f t="shared" si="72"/>
        <v>226</v>
      </c>
      <c r="M74" s="349"/>
      <c r="N74" s="78">
        <f t="shared" si="89"/>
        <v>188</v>
      </c>
      <c r="O74" s="349"/>
      <c r="P74" s="78">
        <f t="shared" si="73"/>
        <v>217</v>
      </c>
      <c r="Q74" s="349"/>
      <c r="R74" s="78">
        <f t="shared" si="74"/>
        <v>213</v>
      </c>
      <c r="S74" s="349"/>
      <c r="T74" s="78">
        <f t="shared" si="75"/>
        <v>166</v>
      </c>
      <c r="U74" s="349"/>
      <c r="V74" s="78">
        <f t="shared" si="76"/>
        <v>1010</v>
      </c>
      <c r="W74" s="349"/>
      <c r="Z74" s="352"/>
      <c r="AA74" s="108" t="str">
        <f>IF(AB74=0,"",VLOOKUP(AB74,Starter!$A$1:$D$199,2,FALSE))</f>
        <v>Hellmessen, Maximilian</v>
      </c>
      <c r="AB74" s="98">
        <v>16912</v>
      </c>
      <c r="AC74" s="186"/>
      <c r="AD74" s="112"/>
      <c r="AE74" s="186"/>
      <c r="AF74" s="112"/>
      <c r="AG74" s="186"/>
      <c r="AH74" s="112"/>
      <c r="AI74" s="186"/>
      <c r="AJ74" s="112"/>
      <c r="AK74" s="186">
        <v>226</v>
      </c>
      <c r="AL74" s="112"/>
      <c r="AM74" s="186">
        <v>188</v>
      </c>
      <c r="AN74" s="112"/>
      <c r="AO74" s="186">
        <v>217</v>
      </c>
      <c r="AP74" s="112"/>
      <c r="AQ74" s="186">
        <v>213</v>
      </c>
      <c r="AR74" s="112"/>
      <c r="AS74" s="186">
        <v>166</v>
      </c>
      <c r="AT74" s="112"/>
      <c r="AU74" s="113">
        <f t="shared" si="77"/>
        <v>1010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16912</v>
      </c>
      <c r="BE74" s="213">
        <f t="shared" si="91"/>
        <v>1010</v>
      </c>
      <c r="BF74" s="215">
        <f t="shared" si="92"/>
        <v>5</v>
      </c>
      <c r="BG74" s="215">
        <f t="shared" si="93"/>
        <v>5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>
        <f t="shared" si="82"/>
        <v>226</v>
      </c>
      <c r="BM74" s="215">
        <f t="shared" si="83"/>
        <v>188</v>
      </c>
      <c r="BN74" s="215">
        <f t="shared" si="84"/>
        <v>217</v>
      </c>
      <c r="BO74" s="215">
        <f t="shared" si="85"/>
        <v>213</v>
      </c>
      <c r="BP74" s="215">
        <f t="shared" si="86"/>
        <v>166</v>
      </c>
      <c r="BQ74" s="216"/>
      <c r="BR74" s="214"/>
      <c r="BS74" s="215">
        <f t="shared" si="94"/>
        <v>226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1010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8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6" t="s">
        <v>11</v>
      </c>
      <c r="B76" s="73" t="str">
        <f>IF(AA76=0,"",AA76)</f>
        <v>Börding, Daniel</v>
      </c>
      <c r="C76" s="74">
        <f t="shared" si="88"/>
        <v>7591</v>
      </c>
      <c r="D76" s="75">
        <f t="shared" si="88"/>
        <v>220</v>
      </c>
      <c r="E76" s="348">
        <f>IF(AD76="","",AD76)</f>
        <v>1</v>
      </c>
      <c r="F76" s="75">
        <f t="shared" si="69"/>
        <v>149</v>
      </c>
      <c r="G76" s="348">
        <f>IF(AF76="","",AF76)</f>
        <v>0</v>
      </c>
      <c r="H76" s="75">
        <f t="shared" si="70"/>
        <v>237</v>
      </c>
      <c r="I76" s="348">
        <f>IF(AH76="","",AH76)</f>
        <v>1</v>
      </c>
      <c r="J76" s="75">
        <f t="shared" si="71"/>
        <v>244</v>
      </c>
      <c r="K76" s="348">
        <f>IF(AJ76="","",AJ76)</f>
        <v>1</v>
      </c>
      <c r="L76" s="75">
        <f t="shared" si="72"/>
        <v>224</v>
      </c>
      <c r="M76" s="348">
        <f>IF(AL76="","",AL76)</f>
        <v>0</v>
      </c>
      <c r="N76" s="75">
        <f t="shared" si="89"/>
        <v>166</v>
      </c>
      <c r="O76" s="348">
        <f>IF(AN76="","",AN76)</f>
        <v>0</v>
      </c>
      <c r="P76" s="75">
        <f t="shared" si="73"/>
        <v>180</v>
      </c>
      <c r="Q76" s="348">
        <f>IF(AP76="","",AP76)</f>
        <v>1</v>
      </c>
      <c r="R76" s="75">
        <f t="shared" si="74"/>
        <v>263</v>
      </c>
      <c r="S76" s="348">
        <f>IF(AR76="","",AR76)</f>
        <v>1</v>
      </c>
      <c r="T76" s="75">
        <f t="shared" si="75"/>
        <v>202</v>
      </c>
      <c r="U76" s="348">
        <f>IF(AT76="","",AT76)</f>
        <v>1</v>
      </c>
      <c r="V76" s="75">
        <f t="shared" si="76"/>
        <v>1885</v>
      </c>
      <c r="W76" s="348">
        <f>IF(AV76="","",AV76)</f>
        <v>6</v>
      </c>
      <c r="Z76" s="351" t="s">
        <v>11</v>
      </c>
      <c r="AA76" s="108" t="str">
        <f>IF(AB76=0,"",VLOOKUP(AB76,Starter!$A$1:$D$199,2,FALSE))</f>
        <v>Börding, Daniel</v>
      </c>
      <c r="AB76" s="99">
        <v>7591</v>
      </c>
      <c r="AC76" s="188">
        <v>220</v>
      </c>
      <c r="AD76" s="109">
        <f>IF(SUM(AC76:AC78)+AC88=0,0,IF(SUM(AC76:AC78)=AC88,0.5,IF(SUM(AC76:AC78)&gt;AC88,1,0)))</f>
        <v>1</v>
      </c>
      <c r="AE76" s="188">
        <v>149</v>
      </c>
      <c r="AF76" s="109">
        <f>IF(SUM(AE76:AE78)+AE88=0,0,IF(SUM(AE76:AE78)=AE88,0.5,IF(SUM(AE76:AE78)&gt;AE88,1,0)))</f>
        <v>0</v>
      </c>
      <c r="AG76" s="188">
        <v>237</v>
      </c>
      <c r="AH76" s="109">
        <f>IF(SUM(AG76:AG78)+AG88=0,0,IF(SUM(AG76:AG78)=AG88,0.5,IF(SUM(AG76:AG78)&gt;AG88,1,0)))</f>
        <v>1</v>
      </c>
      <c r="AI76" s="188">
        <v>244</v>
      </c>
      <c r="AJ76" s="109">
        <f>IF(SUM(AI76:AI78)+AI88=0,0,IF(SUM(AI76:AI78)=AI88,0.5,IF(SUM(AI76:AI78)&gt;AI88,1,0)))</f>
        <v>1</v>
      </c>
      <c r="AK76" s="188">
        <v>224</v>
      </c>
      <c r="AL76" s="109">
        <f>IF(SUM(AK76:AK78)+AK88=0,0,IF(SUM(AK76:AK78)=AK88,0.5,IF(SUM(AK76:AK78)&gt;AK88,1,0)))</f>
        <v>0</v>
      </c>
      <c r="AM76" s="188">
        <v>166</v>
      </c>
      <c r="AN76" s="109">
        <f>IF(SUM(AM76:AM78)+AM88=0,0,IF(SUM(AM76:AM78)=AM88,0.5,IF(SUM(AM76:AM78)&gt;AM88,1,0)))</f>
        <v>0</v>
      </c>
      <c r="AO76" s="188">
        <v>180</v>
      </c>
      <c r="AP76" s="109">
        <f>IF(SUM(AO76:AO78)+AO88=0,0,IF(SUM(AO76:AO78)=AO88,0.5,IF(SUM(AO76:AO78)&gt;AO88,1,0)))</f>
        <v>1</v>
      </c>
      <c r="AQ76" s="188">
        <v>263</v>
      </c>
      <c r="AR76" s="109">
        <f>IF(SUM(AQ76:AQ78)+AQ88=0,0,IF(SUM(AQ76:AQ78)=AQ88,0.5,IF(SUM(AQ76:AQ78)&gt;AQ88,1,0)))</f>
        <v>1</v>
      </c>
      <c r="AS76" s="188">
        <v>202</v>
      </c>
      <c r="AT76" s="109">
        <f>IF(SUM(AS76:AS78)+AS88=0,0,IF(SUM(AS76:AS78)=AS88,0.5,IF(SUM(AS76:AS78)&gt;AS88,1,0)))</f>
        <v>1</v>
      </c>
      <c r="AU76" s="110">
        <f t="shared" si="77"/>
        <v>1885</v>
      </c>
      <c r="AV76" s="111">
        <f>SUM(AD76+AF76+AH76+AJ76+AL76+AN76+AP76+AR76+AT76)</f>
        <v>6</v>
      </c>
      <c r="AW76" s="101"/>
      <c r="AX76" s="102"/>
      <c r="AZ76" s="63"/>
      <c r="BA76" s="212"/>
      <c r="BB76" s="213"/>
      <c r="BC76" s="214"/>
      <c r="BD76" s="217">
        <f t="shared" si="90"/>
        <v>7591</v>
      </c>
      <c r="BE76" s="213">
        <f t="shared" si="91"/>
        <v>1885</v>
      </c>
      <c r="BF76" s="215">
        <f t="shared" si="92"/>
        <v>9</v>
      </c>
      <c r="BG76" s="215">
        <f t="shared" si="93"/>
        <v>9</v>
      </c>
      <c r="BH76" s="215">
        <f t="shared" si="78"/>
        <v>220</v>
      </c>
      <c r="BI76" s="215">
        <f t="shared" si="79"/>
        <v>149</v>
      </c>
      <c r="BJ76" s="215">
        <f t="shared" si="80"/>
        <v>237</v>
      </c>
      <c r="BK76" s="215">
        <f t="shared" si="81"/>
        <v>244</v>
      </c>
      <c r="BL76" s="215">
        <f t="shared" si="82"/>
        <v>224</v>
      </c>
      <c r="BM76" s="215">
        <f t="shared" si="83"/>
        <v>166</v>
      </c>
      <c r="BN76" s="215">
        <f t="shared" si="84"/>
        <v>180</v>
      </c>
      <c r="BO76" s="215">
        <f t="shared" si="85"/>
        <v>263</v>
      </c>
      <c r="BP76" s="215">
        <f t="shared" si="86"/>
        <v>202</v>
      </c>
      <c r="BQ76" s="216"/>
      <c r="BR76" s="214"/>
      <c r="BS76" s="215">
        <f t="shared" si="94"/>
        <v>263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1885</v>
      </c>
      <c r="BX76" s="215">
        <f>IF(COUNTIF(BH76:BP76,"&gt;0")&lt;Spielorte!$A$23,0,BE76/Spielorte!$A$23)</f>
        <v>209.44444444444446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7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8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761</v>
      </c>
      <c r="E79" s="84">
        <f>IF(AD79="","",AD79)</f>
        <v>2</v>
      </c>
      <c r="F79" s="83">
        <f t="shared" si="69"/>
        <v>751</v>
      </c>
      <c r="G79" s="84">
        <f>IF(AF79="","",AF79)</f>
        <v>0</v>
      </c>
      <c r="H79" s="83">
        <f t="shared" si="70"/>
        <v>720</v>
      </c>
      <c r="I79" s="84">
        <f>IF(AH79="","",AH79)</f>
        <v>0</v>
      </c>
      <c r="J79" s="83">
        <f t="shared" si="71"/>
        <v>755</v>
      </c>
      <c r="K79" s="84">
        <f>IF(AJ79="","",AJ79)</f>
        <v>0</v>
      </c>
      <c r="L79" s="83">
        <f t="shared" si="72"/>
        <v>805</v>
      </c>
      <c r="M79" s="84">
        <f>IF(AL79="","",AL79)</f>
        <v>0</v>
      </c>
      <c r="N79" s="83">
        <f t="shared" si="89"/>
        <v>766</v>
      </c>
      <c r="O79" s="84">
        <f>IF(AN79="","",AN79)</f>
        <v>2</v>
      </c>
      <c r="P79" s="83">
        <f t="shared" si="73"/>
        <v>819</v>
      </c>
      <c r="Q79" s="84">
        <f>IF(AP79="","",AP79)</f>
        <v>2</v>
      </c>
      <c r="R79" s="83">
        <f t="shared" si="74"/>
        <v>799</v>
      </c>
      <c r="S79" s="84">
        <f>IF(AR79="","",AR79)</f>
        <v>2</v>
      </c>
      <c r="T79" s="83">
        <f t="shared" si="75"/>
        <v>690</v>
      </c>
      <c r="U79" s="84">
        <f>IF(AT79="","",AT79)</f>
        <v>0</v>
      </c>
      <c r="V79" s="83">
        <f t="shared" si="76"/>
        <v>6866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761</v>
      </c>
      <c r="AD79" s="121">
        <f>IF(AC79+AC89=0,0,IF(AC79=AC89,1,IF(AC79&gt;AC89,2,0)))</f>
        <v>2</v>
      </c>
      <c r="AE79" s="211">
        <f>ABS(SUM(AE67:AE69))+ABS(SUM(AE70:AE72))+ABS(SUM(AE73:AE75))+ABS(SUM(AE76:AE78))</f>
        <v>751</v>
      </c>
      <c r="AF79" s="121">
        <f>IF(AE79+AE89=0,0,IF(AE79=AE89,1,IF(AE79&gt;AE89,2,0)))</f>
        <v>0</v>
      </c>
      <c r="AG79" s="211">
        <f>ABS(SUM(AG67:AG69))+ABS(SUM(AG70:AG72))+ABS(SUM(AG73:AG75))+ABS(SUM(AG76:AG78))</f>
        <v>720</v>
      </c>
      <c r="AH79" s="121">
        <f>IF(AG79+AG89=0,0,IF(AG79=AG89,1,IF(AG79&gt;AG89,2,0)))</f>
        <v>0</v>
      </c>
      <c r="AI79" s="211">
        <f>ABS(SUM(AI67:AI69))+ABS(SUM(AI70:AI72))+ABS(SUM(AI73:AI75))+ABS(SUM(AI76:AI78))</f>
        <v>755</v>
      </c>
      <c r="AJ79" s="121">
        <f>IF(AI79+AI89=0,0,IF(AI79=AI89,1,IF(AI79&gt;AI89,2,0)))</f>
        <v>0</v>
      </c>
      <c r="AK79" s="211">
        <f>ABS(SUM(AK67:AK69))+ABS(SUM(AK70:AK72))+ABS(SUM(AK73:AK75))+ABS(SUM(AK76:AK78))</f>
        <v>805</v>
      </c>
      <c r="AL79" s="121">
        <f>IF(AK79+AK89=0,0,IF(AK79=AK89,1,IF(AK79&gt;AK89,2,0)))</f>
        <v>0</v>
      </c>
      <c r="AM79" s="211">
        <f>ABS(SUM(AM67:AM69))+ABS(SUM(AM70:AM72))+ABS(SUM(AM73:AM75))+ABS(SUM(AM76:AM78))</f>
        <v>766</v>
      </c>
      <c r="AN79" s="121">
        <f>IF(AM79+AM89=0,0,IF(AM79=AM89,1,IF(AM79&gt;AM89,2,0)))</f>
        <v>2</v>
      </c>
      <c r="AO79" s="211">
        <f>ABS(SUM(AO67:AO69))+ABS(SUM(AO70:AO72))+ABS(SUM(AO73:AO75))+ABS(SUM(AO76:AO78))</f>
        <v>819</v>
      </c>
      <c r="AP79" s="121">
        <f>IF(AO79+AO89=0,0,IF(AO79=AO89,1,IF(AO79&gt;AO89,2,0)))</f>
        <v>2</v>
      </c>
      <c r="AQ79" s="211">
        <f>ABS(SUM(AQ67:AQ69))+ABS(SUM(AQ70:AQ72))+ABS(SUM(AQ73:AQ75))+ABS(SUM(AQ76:AQ78))</f>
        <v>799</v>
      </c>
      <c r="AR79" s="121">
        <f>IF(AQ79+AQ89=0,0,IF(AQ79=AQ89,1,IF(AQ79&gt;AQ89,2,0)))</f>
        <v>2</v>
      </c>
      <c r="AS79" s="211">
        <f>ABS(SUM(AS67:AS69))+ABS(SUM(AS70:AS72))+ABS(SUM(AS73:AS75))+ABS(SUM(AS76:AS78))</f>
        <v>690</v>
      </c>
      <c r="AT79" s="121">
        <f>IF(AS79+AS89=0,0,IF(AS79=AS89,1,IF(AS79&gt;AS89,2,0)))</f>
        <v>0</v>
      </c>
      <c r="AU79" s="122">
        <f>SUM(AC79+AE79+AG79+AI79+AK79+AM79+AO79+AQ79+AS79)</f>
        <v>6866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1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2</v>
      </c>
      <c r="L80" s="86" t="str">
        <f t="shared" si="72"/>
        <v/>
      </c>
      <c r="M80" s="87">
        <f>IF(AL80="","",AL80)</f>
        <v>1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4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25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1</v>
      </c>
      <c r="AG80" s="86"/>
      <c r="AH80" s="124">
        <f>SUM(AH67:AH79)</f>
        <v>1</v>
      </c>
      <c r="AI80" s="86"/>
      <c r="AJ80" s="124">
        <f>SUM(AJ67:AJ79)</f>
        <v>2</v>
      </c>
      <c r="AK80" s="86"/>
      <c r="AL80" s="124">
        <f>SUM(AL67:AL79)</f>
        <v>1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4</v>
      </c>
      <c r="AS80" s="86"/>
      <c r="AT80" s="124">
        <f>SUM(AT67:AT79)</f>
        <v>2</v>
      </c>
      <c r="AU80" s="86"/>
      <c r="AV80" s="125">
        <f>SUM(AV67:AV79)</f>
        <v>25</v>
      </c>
      <c r="AW80" s="101"/>
      <c r="AX80" s="102"/>
      <c r="BA80" s="212">
        <f>+AV80</f>
        <v>25</v>
      </c>
      <c r="BB80" s="213">
        <f>+AU79</f>
        <v>6866</v>
      </c>
      <c r="BC80" s="214">
        <f>+AA62</f>
        <v>3</v>
      </c>
      <c r="BF80" s="215">
        <f>SUM(BF61:BF79)</f>
        <v>36</v>
      </c>
      <c r="BQ80" s="212">
        <f>+BB80/1000000+BA80</f>
        <v>25.006865999999999</v>
      </c>
      <c r="BR80" s="214">
        <f>RANK(BQ80,BQ:BQ)</f>
        <v>6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6">
        <f t="shared" si="100"/>
        <v>7</v>
      </c>
      <c r="E82" s="356" t="str">
        <f t="shared" si="100"/>
        <v/>
      </c>
      <c r="F82" s="356">
        <f t="shared" si="100"/>
        <v>4</v>
      </c>
      <c r="G82" s="356" t="str">
        <f t="shared" si="100"/>
        <v/>
      </c>
      <c r="H82" s="356">
        <f t="shared" si="100"/>
        <v>8</v>
      </c>
      <c r="I82" s="356" t="str">
        <f t="shared" si="100"/>
        <v/>
      </c>
      <c r="J82" s="356">
        <f t="shared" si="100"/>
        <v>6</v>
      </c>
      <c r="K82" s="356" t="str">
        <f t="shared" si="100"/>
        <v/>
      </c>
      <c r="L82" s="356">
        <f t="shared" si="100"/>
        <v>2</v>
      </c>
      <c r="M82" s="356" t="str">
        <f t="shared" si="100"/>
        <v/>
      </c>
      <c r="N82" s="356">
        <f t="shared" si="100"/>
        <v>9</v>
      </c>
      <c r="O82" s="356" t="str">
        <f t="shared" si="100"/>
        <v/>
      </c>
      <c r="P82" s="356">
        <f t="shared" si="100"/>
        <v>5</v>
      </c>
      <c r="Q82" s="356" t="str">
        <f t="shared" si="100"/>
        <v/>
      </c>
      <c r="R82" s="356">
        <f t="shared" ref="N82:U84" si="101">IF(AQ82=0,"",AQ82)</f>
        <v>10</v>
      </c>
      <c r="S82" s="356" t="str">
        <f t="shared" si="101"/>
        <v/>
      </c>
      <c r="T82" s="356">
        <f t="shared" si="101"/>
        <v>1</v>
      </c>
      <c r="U82" s="356" t="str">
        <f t="shared" si="101"/>
        <v/>
      </c>
      <c r="V82" s="357"/>
      <c r="W82" s="357"/>
      <c r="AA82" s="88" t="s">
        <v>1797</v>
      </c>
      <c r="AB82" s="89" t="s">
        <v>1798</v>
      </c>
      <c r="AC82" s="370">
        <f>VLOOKUP($AA62,Schlüssel!$A$5:$DG$14,23)</f>
        <v>7</v>
      </c>
      <c r="AD82" s="371"/>
      <c r="AE82" s="370">
        <f>VLOOKUP($AA62,Schlüssel!$A$5:$EK$14,24)</f>
        <v>4</v>
      </c>
      <c r="AF82" s="371"/>
      <c r="AG82" s="370">
        <f>VLOOKUP($AA62,Schlüssel!$A$5:$EK$14,25)</f>
        <v>8</v>
      </c>
      <c r="AH82" s="371"/>
      <c r="AI82" s="370">
        <f>VLOOKUP($AA62,Schlüssel!$A$5:$EK$14,26)</f>
        <v>6</v>
      </c>
      <c r="AJ82" s="371"/>
      <c r="AK82" s="370">
        <f>VLOOKUP($AA62,Schlüssel!$A$5:$EK$14,27)</f>
        <v>2</v>
      </c>
      <c r="AL82" s="371"/>
      <c r="AM82" s="370">
        <f>VLOOKUP($AA62,Schlüssel!$A$5:$EK$14,28)</f>
        <v>9</v>
      </c>
      <c r="AN82" s="371"/>
      <c r="AO82" s="370">
        <f>VLOOKUP($AA62,Schlüssel!$A$5:$EK$14,29)</f>
        <v>5</v>
      </c>
      <c r="AP82" s="371"/>
      <c r="AQ82" s="370">
        <f>VLOOKUP($AA62,Schlüssel!$A$5:$EK$14,30)</f>
        <v>10</v>
      </c>
      <c r="AR82" s="371"/>
      <c r="AS82" s="370">
        <f>VLOOKUP($AA62,Schlüssel!$A$5:$EK$14,31)</f>
        <v>1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M84" si="102">IF(AA83=0,"",AA83)</f>
        <v/>
      </c>
      <c r="C83" s="86" t="str">
        <f t="shared" si="102"/>
        <v/>
      </c>
      <c r="D83" s="358" t="str">
        <f t="shared" si="102"/>
        <v>Schanzer Ingolstadt 1</v>
      </c>
      <c r="E83" s="359" t="str">
        <f t="shared" si="102"/>
        <v/>
      </c>
      <c r="F83" s="358" t="str">
        <f t="shared" si="102"/>
        <v>SG DJK Rimpar</v>
      </c>
      <c r="G83" s="359" t="str">
        <f t="shared" si="102"/>
        <v/>
      </c>
      <c r="H83" s="358" t="str">
        <f t="shared" si="102"/>
        <v>BC EMAX Unterföhring 2</v>
      </c>
      <c r="I83" s="359" t="str">
        <f t="shared" si="102"/>
        <v/>
      </c>
      <c r="J83" s="358" t="str">
        <f t="shared" si="102"/>
        <v>SG Rottendorf 1</v>
      </c>
      <c r="K83" s="359" t="str">
        <f t="shared" si="102"/>
        <v/>
      </c>
      <c r="L83" s="358" t="str">
        <f t="shared" si="102"/>
        <v>Bajuwaren München 1</v>
      </c>
      <c r="M83" s="359" t="str">
        <f t="shared" si="102"/>
        <v/>
      </c>
      <c r="N83" s="358" t="str">
        <f t="shared" si="101"/>
        <v>Bowlinghaus Bamberg 1</v>
      </c>
      <c r="O83" s="359" t="str">
        <f t="shared" si="101"/>
        <v/>
      </c>
      <c r="P83" s="358" t="str">
        <f t="shared" si="101"/>
        <v>RW Lichtenhof Stein 1</v>
      </c>
      <c r="Q83" s="359" t="str">
        <f t="shared" si="101"/>
        <v/>
      </c>
      <c r="R83" s="358" t="str">
        <f t="shared" si="101"/>
        <v>High Roller Rosenheim 1</v>
      </c>
      <c r="S83" s="359" t="str">
        <f t="shared" si="101"/>
        <v/>
      </c>
      <c r="T83" s="358" t="str">
        <f t="shared" si="101"/>
        <v>BC Comet Nürnberg</v>
      </c>
      <c r="U83" s="359" t="str">
        <f t="shared" si="101"/>
        <v/>
      </c>
      <c r="V83" s="363"/>
      <c r="W83" s="363"/>
      <c r="AA83" s="90"/>
      <c r="AB83" s="86"/>
      <c r="AC83" s="358" t="str">
        <f>VLOOKUP(AC82,Schlüssel!$A$5:$K$14,2)</f>
        <v>Schanzer Ingolstadt 1</v>
      </c>
      <c r="AD83" s="359"/>
      <c r="AE83" s="358" t="str">
        <f>VLOOKUP(AE82,Schlüssel!$A$5:$K$14,2)</f>
        <v>SG DJK Rimpar</v>
      </c>
      <c r="AF83" s="359"/>
      <c r="AG83" s="358" t="str">
        <f>VLOOKUP(AG82,Schlüssel!$A$5:$K$14,2)</f>
        <v>BC EMAX Unterföhring 2</v>
      </c>
      <c r="AH83" s="359"/>
      <c r="AI83" s="358" t="str">
        <f>VLOOKUP(AI82,Schlüssel!$A$5:$K$14,2)</f>
        <v>SG Rottendorf 1</v>
      </c>
      <c r="AJ83" s="359"/>
      <c r="AK83" s="358" t="str">
        <f>VLOOKUP(AK82,Schlüssel!$A$5:$K$14,2)</f>
        <v>Bajuwaren München 1</v>
      </c>
      <c r="AL83" s="359"/>
      <c r="AM83" s="358" t="str">
        <f>VLOOKUP(AM82,Schlüssel!$A$5:$K$14,2)</f>
        <v>Bowlinghaus Bamberg 1</v>
      </c>
      <c r="AN83" s="359"/>
      <c r="AO83" s="358" t="str">
        <f>VLOOKUP(AO82,Schlüssel!$A$5:$K$14,2)</f>
        <v>RW Lichtenhof Stein 1</v>
      </c>
      <c r="AP83" s="359"/>
      <c r="AQ83" s="358" t="str">
        <f>VLOOKUP(AQ82,Schlüssel!$A$5:$K$14,2)</f>
        <v>High Roller Rosenheim 1</v>
      </c>
      <c r="AR83" s="359"/>
      <c r="AS83" s="358" t="str">
        <f>VLOOKUP(AS82,Schlüssel!$A$5:$K$14,2)</f>
        <v>BC Comet Nürnberg</v>
      </c>
      <c r="AT83" s="359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60" t="str">
        <f t="shared" si="102"/>
        <v/>
      </c>
      <c r="E84" s="360" t="str">
        <f t="shared" si="102"/>
        <v/>
      </c>
      <c r="F84" s="360" t="str">
        <f t="shared" si="102"/>
        <v/>
      </c>
      <c r="G84" s="360" t="str">
        <f t="shared" si="102"/>
        <v/>
      </c>
      <c r="H84" s="360" t="str">
        <f t="shared" si="102"/>
        <v/>
      </c>
      <c r="I84" s="360" t="str">
        <f t="shared" si="102"/>
        <v/>
      </c>
      <c r="J84" s="360" t="str">
        <f t="shared" si="102"/>
        <v/>
      </c>
      <c r="K84" s="360" t="str">
        <f t="shared" si="102"/>
        <v/>
      </c>
      <c r="L84" s="360" t="str">
        <f t="shared" si="102"/>
        <v/>
      </c>
      <c r="M84" s="360" t="str">
        <f t="shared" si="102"/>
        <v/>
      </c>
      <c r="N84" s="360" t="str">
        <f t="shared" si="101"/>
        <v/>
      </c>
      <c r="O84" s="360" t="str">
        <f t="shared" si="101"/>
        <v/>
      </c>
      <c r="P84" s="360" t="str">
        <f t="shared" si="101"/>
        <v/>
      </c>
      <c r="Q84" s="360" t="str">
        <f t="shared" si="101"/>
        <v/>
      </c>
      <c r="R84" s="360" t="str">
        <f t="shared" si="101"/>
        <v/>
      </c>
      <c r="S84" s="360" t="str">
        <f t="shared" si="101"/>
        <v/>
      </c>
      <c r="T84" s="360" t="str">
        <f t="shared" si="101"/>
        <v/>
      </c>
      <c r="U84" s="361" t="str">
        <f t="shared" si="101"/>
        <v/>
      </c>
      <c r="V84" s="298"/>
      <c r="W84" s="298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4" t="str">
        <f t="shared" ref="B85:C89" si="103">IF(AA85=0,"",AA85)</f>
        <v>Spieler 1</v>
      </c>
      <c r="C85" s="375" t="str">
        <f t="shared" si="103"/>
        <v/>
      </c>
      <c r="D85" s="362">
        <f>IF(AC85=301,"",AC85)</f>
        <v>144</v>
      </c>
      <c r="E85" s="362" t="str">
        <f>IF(AD85=0,"",AD85)</f>
        <v/>
      </c>
      <c r="F85" s="362">
        <f>IF(AE85=301,"",AE85)</f>
        <v>228</v>
      </c>
      <c r="G85" s="362" t="str">
        <f>IF(AF85=0,"",AF85)</f>
        <v/>
      </c>
      <c r="H85" s="362">
        <f>IF(AG85=301,"",AG85)</f>
        <v>164</v>
      </c>
      <c r="I85" s="362" t="str">
        <f>IF(AH85=0,"",AH85)</f>
        <v/>
      </c>
      <c r="J85" s="362">
        <f>IF(AI85=301,"",AI85)</f>
        <v>175</v>
      </c>
      <c r="K85" s="362" t="str">
        <f>IF(AJ85=0,"",AJ85)</f>
        <v/>
      </c>
      <c r="L85" s="362">
        <f>IF(AK85=301,"",AK85)</f>
        <v>201</v>
      </c>
      <c r="M85" s="362" t="str">
        <f>IF(AL85=0,"",AL85)</f>
        <v/>
      </c>
      <c r="N85" s="362">
        <f>IF(AM85=301,"",AM85)</f>
        <v>154</v>
      </c>
      <c r="O85" s="362" t="str">
        <f>IF(AN85=0,"",AN85)</f>
        <v/>
      </c>
      <c r="P85" s="362">
        <f>IF(AO85=301,"",AO85)</f>
        <v>203</v>
      </c>
      <c r="Q85" s="362" t="str">
        <f>IF(AP85=0,"",AP85)</f>
        <v/>
      </c>
      <c r="R85" s="362">
        <f>IF(AQ85=301,"",AQ85)</f>
        <v>217</v>
      </c>
      <c r="S85" s="362" t="str">
        <f>IF(AR85=0,"",AR85)</f>
        <v/>
      </c>
      <c r="T85" s="362">
        <f>IF(AS85=301,"",AS85)</f>
        <v>222</v>
      </c>
      <c r="U85" s="362" t="str">
        <f>IF(AT85=0,"",AT85)</f>
        <v/>
      </c>
      <c r="V85" s="364"/>
      <c r="W85" s="364"/>
      <c r="AA85" s="91" t="s">
        <v>0</v>
      </c>
      <c r="AB85" s="92"/>
      <c r="AC85" s="368">
        <f>ABS(INDEX(AC:AC,MATCH(AC82,$AA:$AA,0)+5)+INDEX(AC:AC,MATCH(AC82,$AA:$AA,0)+6)+INDEX(AC:AC,MATCH(AC82,$AA:$AA,0)+7))</f>
        <v>144</v>
      </c>
      <c r="AD85" s="369"/>
      <c r="AE85" s="368">
        <f>ABS(INDEX(AE:AE,MATCH(AE82,$AA:$AA,0)+5)+INDEX(AE:AE,MATCH(AE82,$AA:$AA,0)+6)+INDEX(AE:AE,MATCH(AE82,$AA:$AA,0)+7))</f>
        <v>228</v>
      </c>
      <c r="AF85" s="369"/>
      <c r="AG85" s="368">
        <f>ABS(INDEX(AG:AG,MATCH(AG82,$AA:$AA,0)+5)+INDEX(AG:AG,MATCH(AG82,$AA:$AA,0)+6)+INDEX(AG:AG,MATCH(AG82,$AA:$AA,0)+7))</f>
        <v>164</v>
      </c>
      <c r="AH85" s="369"/>
      <c r="AI85" s="368">
        <f>ABS(INDEX(AI:AI,MATCH(AI82,$AA:$AA,0)+5)+INDEX(AI:AI,MATCH(AI82,$AA:$AA,0)+6)+INDEX(AI:AI,MATCH(AI82,$AA:$AA,0)+7))</f>
        <v>175</v>
      </c>
      <c r="AJ85" s="369"/>
      <c r="AK85" s="368">
        <f>ABS(INDEX(AK:AK,MATCH(AK82,$AA:$AA,0)+5)+INDEX(AK:AK,MATCH(AK82,$AA:$AA,0)+6)+INDEX(AK:AK,MATCH(AK82,$AA:$AA,0)+7))</f>
        <v>201</v>
      </c>
      <c r="AL85" s="369"/>
      <c r="AM85" s="368">
        <f>ABS(INDEX(AM:AM,MATCH(AM82,$AA:$AA,0)+5)+INDEX(AM:AM,MATCH(AM82,$AA:$AA,0)+6)+INDEX(AM:AM,MATCH(AM82,$AA:$AA,0)+7))</f>
        <v>154</v>
      </c>
      <c r="AN85" s="369"/>
      <c r="AO85" s="368">
        <f>ABS(INDEX(AO:AO,MATCH(AO82,$AA:$AA,0)+5)+INDEX(AO:AO,MATCH(AO82,$AA:$AA,0)+6)+INDEX(AO:AO,MATCH(AO82,$AA:$AA,0)+7))</f>
        <v>203</v>
      </c>
      <c r="AP85" s="369"/>
      <c r="AQ85" s="368">
        <f>ABS(INDEX(AQ:AQ,MATCH(AQ82,$AA:$AA,0)+5)+INDEX(AQ:AQ,MATCH(AQ82,$AA:$AA,0)+6)+INDEX(AQ:AQ,MATCH(AQ82,$AA:$AA,0)+7))</f>
        <v>217</v>
      </c>
      <c r="AR85" s="369"/>
      <c r="AS85" s="368">
        <f>ABS(INDEX(AS:AS,MATCH(AS82,$AA:$AA,0)+5)+INDEX(AS:AS,MATCH(AS82,$AA:$AA,0)+6)+INDEX(AS:AS,MATCH(AS82,$AA:$AA,0)+7))</f>
        <v>222</v>
      </c>
      <c r="AT85" s="369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4" t="str">
        <f t="shared" si="103"/>
        <v>Spieler 2</v>
      </c>
      <c r="C86" s="375" t="str">
        <f t="shared" si="103"/>
        <v/>
      </c>
      <c r="D86" s="362">
        <f>IF(AC86=301,"",AC86)</f>
        <v>205</v>
      </c>
      <c r="E86" s="362" t="str">
        <f>IF(AD86=0,"",AD86)</f>
        <v/>
      </c>
      <c r="F86" s="362">
        <f>IF(AE86=301,"",AE86)</f>
        <v>205</v>
      </c>
      <c r="G86" s="362" t="str">
        <f>IF(AF86=0,"",AF86)</f>
        <v/>
      </c>
      <c r="H86" s="362">
        <f>IF(AG86=301,"",AG86)</f>
        <v>172</v>
      </c>
      <c r="I86" s="362" t="str">
        <f>IF(AH86=0,"",AH86)</f>
        <v/>
      </c>
      <c r="J86" s="362">
        <f>IF(AI86=301,"",AI86)</f>
        <v>208</v>
      </c>
      <c r="K86" s="362" t="str">
        <f>IF(AJ86=0,"",AJ86)</f>
        <v/>
      </c>
      <c r="L86" s="362">
        <f>IF(AK86=301,"",AK86)</f>
        <v>169</v>
      </c>
      <c r="M86" s="362" t="str">
        <f>IF(AL86=0,"",AL86)</f>
        <v/>
      </c>
      <c r="N86" s="362">
        <f>IF(AM86=301,"",AM86)</f>
        <v>203</v>
      </c>
      <c r="O86" s="362" t="str">
        <f>IF(AN86=0,"",AN86)</f>
        <v/>
      </c>
      <c r="P86" s="362">
        <f>IF(AO86=301,"",AO86)</f>
        <v>159</v>
      </c>
      <c r="Q86" s="362" t="str">
        <f>IF(AP86=0,"",AP86)</f>
        <v/>
      </c>
      <c r="R86" s="362">
        <f>IF(AQ86=301,"",AQ86)</f>
        <v>175</v>
      </c>
      <c r="S86" s="362" t="str">
        <f>IF(AR86=0,"",AR86)</f>
        <v/>
      </c>
      <c r="T86" s="362">
        <f>IF(AS86=301,"",AS86)</f>
        <v>155</v>
      </c>
      <c r="U86" s="362" t="str">
        <f>IF(AT86=0,"",AT86)</f>
        <v/>
      </c>
      <c r="V86" s="364"/>
      <c r="W86" s="364"/>
      <c r="AA86" s="91" t="s">
        <v>2</v>
      </c>
      <c r="AB86" s="92"/>
      <c r="AC86" s="366">
        <f>ABS(INDEX(AC:AC,MATCH(AC82,$AA:$AA,0)+8)+INDEX(AC:AC,MATCH(AC82,$AA:$AA,0)+9)+INDEX(AC:AC,MATCH(AC82,$AA:$AA,0)+10))</f>
        <v>205</v>
      </c>
      <c r="AD86" s="367"/>
      <c r="AE86" s="366">
        <f>ABS(INDEX(AE:AE,MATCH(AE82,$AA:$AA,0)+8)+INDEX(AE:AE,MATCH(AE82,$AA:$AA,0)+9)+INDEX(AE:AE,MATCH(AE82,$AA:$AA,0)+10))</f>
        <v>205</v>
      </c>
      <c r="AF86" s="367"/>
      <c r="AG86" s="366">
        <f>ABS(INDEX(AG:AG,MATCH(AG82,$AA:$AA,0)+8)+INDEX(AG:AG,MATCH(AG82,$AA:$AA,0)+9)+INDEX(AG:AG,MATCH(AG82,$AA:$AA,0)+10))</f>
        <v>172</v>
      </c>
      <c r="AH86" s="367"/>
      <c r="AI86" s="366">
        <f>ABS(INDEX(AI:AI,MATCH(AI82,$AA:$AA,0)+8)+INDEX(AI:AI,MATCH(AI82,$AA:$AA,0)+9)+INDEX(AI:AI,MATCH(AI82,$AA:$AA,0)+10))</f>
        <v>208</v>
      </c>
      <c r="AJ86" s="367"/>
      <c r="AK86" s="366">
        <f>ABS(INDEX(AK:AK,MATCH(AK82,$AA:$AA,0)+8)+INDEX(AK:AK,MATCH(AK82,$AA:$AA,0)+9)+INDEX(AK:AK,MATCH(AK82,$AA:$AA,0)+10))</f>
        <v>169</v>
      </c>
      <c r="AL86" s="367"/>
      <c r="AM86" s="366">
        <f>ABS(INDEX(AM:AM,MATCH(AM82,$AA:$AA,0)+8)+INDEX(AM:AM,MATCH(AM82,$AA:$AA,0)+9)+INDEX(AM:AM,MATCH(AM82,$AA:$AA,0)+10))</f>
        <v>203</v>
      </c>
      <c r="AN86" s="367"/>
      <c r="AO86" s="366">
        <f>ABS(INDEX(AO:AO,MATCH(AO82,$AA:$AA,0)+8)+INDEX(AO:AO,MATCH(AO82,$AA:$AA,0)+9)+INDEX(AO:AO,MATCH(AO82,$AA:$AA,0)+10))</f>
        <v>159</v>
      </c>
      <c r="AP86" s="367"/>
      <c r="AQ86" s="366">
        <f>ABS(INDEX(AQ:AQ,MATCH(AQ82,$AA:$AA,0)+8)+INDEX(AQ:AQ,MATCH(AQ82,$AA:$AA,0)+9)+INDEX(AQ:AQ,MATCH(AQ82,$AA:$AA,0)+10))</f>
        <v>175</v>
      </c>
      <c r="AR86" s="367"/>
      <c r="AS86" s="366">
        <f>ABS(INDEX(AS:AS,MATCH(AS82,$AA:$AA,0)+8)+INDEX(AS:AS,MATCH(AS82,$AA:$AA,0)+9)+INDEX(AS:AS,MATCH(AS82,$AA:$AA,0)+10))</f>
        <v>155</v>
      </c>
      <c r="AT86" s="367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4" t="str">
        <f t="shared" si="103"/>
        <v>Spieler 3</v>
      </c>
      <c r="C87" s="375" t="str">
        <f t="shared" si="103"/>
        <v/>
      </c>
      <c r="D87" s="362">
        <f>IF(AC87=301,"",AC87)</f>
        <v>192</v>
      </c>
      <c r="E87" s="362" t="str">
        <f>IF(AD87=0,"",AD87)</f>
        <v/>
      </c>
      <c r="F87" s="362">
        <f>IF(AE87=301,"",AE87)</f>
        <v>198</v>
      </c>
      <c r="G87" s="362" t="str">
        <f>IF(AF87=0,"",AF87)</f>
        <v/>
      </c>
      <c r="H87" s="362">
        <f>IF(AG87=301,"",AG87)</f>
        <v>218</v>
      </c>
      <c r="I87" s="362" t="str">
        <f>IF(AH87=0,"",AH87)</f>
        <v/>
      </c>
      <c r="J87" s="362">
        <f>IF(AI87=301,"",AI87)</f>
        <v>203</v>
      </c>
      <c r="K87" s="362" t="str">
        <f>IF(AJ87=0,"",AJ87)</f>
        <v/>
      </c>
      <c r="L87" s="362">
        <f>IF(AK87=301,"",AK87)</f>
        <v>213</v>
      </c>
      <c r="M87" s="362" t="str">
        <f>IF(AL87=0,"",AL87)</f>
        <v/>
      </c>
      <c r="N87" s="362">
        <f>IF(AM87=301,"",AM87)</f>
        <v>154</v>
      </c>
      <c r="O87" s="362" t="str">
        <f>IF(AN87=0,"",AN87)</f>
        <v/>
      </c>
      <c r="P87" s="362">
        <f>IF(AO87=301,"",AO87)</f>
        <v>174</v>
      </c>
      <c r="Q87" s="362" t="str">
        <f>IF(AP87=0,"",AP87)</f>
        <v/>
      </c>
      <c r="R87" s="362">
        <f>IF(AQ87=301,"",AQ87)</f>
        <v>190</v>
      </c>
      <c r="S87" s="362" t="str">
        <f>IF(AR87=0,"",AR87)</f>
        <v/>
      </c>
      <c r="T87" s="362">
        <f>IF(AS87=301,"",AS87)</f>
        <v>170</v>
      </c>
      <c r="U87" s="362" t="str">
        <f>IF(AT87=0,"",AT87)</f>
        <v/>
      </c>
      <c r="V87" s="364"/>
      <c r="W87" s="364"/>
      <c r="AA87" s="91" t="s">
        <v>3</v>
      </c>
      <c r="AB87" s="92"/>
      <c r="AC87" s="366">
        <f>ABS(INDEX(AC:AC,MATCH(AC82,$AA:$AA,0)+11)+INDEX(AC:AC,MATCH(AC82,$AA:$AA,0)+12)+INDEX(AC:AC,MATCH(AC82,$AA:$AA,0)+13))</f>
        <v>192</v>
      </c>
      <c r="AD87" s="367"/>
      <c r="AE87" s="366">
        <f>ABS(INDEX(AE:AE,MATCH(AE82,$AA:$AA,0)+11)+INDEX(AE:AE,MATCH(AE82,$AA:$AA,0)+12)+INDEX(AE:AE,MATCH(AE82,$AA:$AA,0)+13))</f>
        <v>198</v>
      </c>
      <c r="AF87" s="367"/>
      <c r="AG87" s="366">
        <f>ABS(INDEX(AG:AG,MATCH(AG82,$AA:$AA,0)+11)+INDEX(AG:AG,MATCH(AG82,$AA:$AA,0)+12)+INDEX(AG:AG,MATCH(AG82,$AA:$AA,0)+13))</f>
        <v>218</v>
      </c>
      <c r="AH87" s="367"/>
      <c r="AI87" s="366">
        <f>ABS(INDEX(AI:AI,MATCH(AI82,$AA:$AA,0)+11)+INDEX(AI:AI,MATCH(AI82,$AA:$AA,0)+12)+INDEX(AI:AI,MATCH(AI82,$AA:$AA,0)+13))</f>
        <v>203</v>
      </c>
      <c r="AJ87" s="367"/>
      <c r="AK87" s="366">
        <f>ABS(INDEX(AK:AK,MATCH(AK82,$AA:$AA,0)+11)+INDEX(AK:AK,MATCH(AK82,$AA:$AA,0)+12)+INDEX(AK:AK,MATCH(AK82,$AA:$AA,0)+13))</f>
        <v>213</v>
      </c>
      <c r="AL87" s="367"/>
      <c r="AM87" s="366">
        <f>ABS(INDEX(AM:AM,MATCH(AM82,$AA:$AA,0)+11)+INDEX(AM:AM,MATCH(AM82,$AA:$AA,0)+12)+INDEX(AM:AM,MATCH(AM82,$AA:$AA,0)+13))</f>
        <v>154</v>
      </c>
      <c r="AN87" s="367"/>
      <c r="AO87" s="366">
        <f>ABS(INDEX(AO:AO,MATCH(AO82,$AA:$AA,0)+11)+INDEX(AO:AO,MATCH(AO82,$AA:$AA,0)+12)+INDEX(AO:AO,MATCH(AO82,$AA:$AA,0)+13))</f>
        <v>174</v>
      </c>
      <c r="AP87" s="367"/>
      <c r="AQ87" s="366">
        <f>ABS(INDEX(AQ:AQ,MATCH(AQ82,$AA:$AA,0)+11)+INDEX(AQ:AQ,MATCH(AQ82,$AA:$AA,0)+12)+INDEX(AQ:AQ,MATCH(AQ82,$AA:$AA,0)+13))</f>
        <v>190</v>
      </c>
      <c r="AR87" s="367"/>
      <c r="AS87" s="366">
        <f>ABS(INDEX(AS:AS,MATCH(AS82,$AA:$AA,0)+11)+INDEX(AS:AS,MATCH(AS82,$AA:$AA,0)+12)+INDEX(AS:AS,MATCH(AS82,$AA:$AA,0)+13))</f>
        <v>170</v>
      </c>
      <c r="AT87" s="367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4" t="str">
        <f t="shared" si="103"/>
        <v>Spieler 4</v>
      </c>
      <c r="C88" s="375" t="str">
        <f t="shared" si="103"/>
        <v/>
      </c>
      <c r="D88" s="362">
        <f>IF(AC88=301,"",AC88)</f>
        <v>188</v>
      </c>
      <c r="E88" s="362" t="str">
        <f>IF(AD88=0,"",AD88)</f>
        <v/>
      </c>
      <c r="F88" s="362">
        <f>IF(AE88=301,"",AE88)</f>
        <v>173</v>
      </c>
      <c r="G88" s="362" t="str">
        <f>IF(AF88=0,"",AF88)</f>
        <v/>
      </c>
      <c r="H88" s="362">
        <f>IF(AG88=301,"",AG88)</f>
        <v>180</v>
      </c>
      <c r="I88" s="362" t="str">
        <f>IF(AH88=0,"",AH88)</f>
        <v/>
      </c>
      <c r="J88" s="362">
        <f>IF(AI88=301,"",AI88)</f>
        <v>201</v>
      </c>
      <c r="K88" s="362" t="str">
        <f>IF(AJ88=0,"",AJ88)</f>
        <v/>
      </c>
      <c r="L88" s="362">
        <f>IF(AK88=301,"",AK88)</f>
        <v>266</v>
      </c>
      <c r="M88" s="362" t="str">
        <f>IF(AL88=0,"",AL88)</f>
        <v/>
      </c>
      <c r="N88" s="362">
        <f>IF(AM88=301,"",AM88)</f>
        <v>212</v>
      </c>
      <c r="O88" s="362" t="str">
        <f>IF(AN88=0,"",AN88)</f>
        <v/>
      </c>
      <c r="P88" s="362">
        <f>IF(AO88=301,"",AO88)</f>
        <v>165</v>
      </c>
      <c r="Q88" s="362" t="str">
        <f>IF(AP88=0,"",AP88)</f>
        <v/>
      </c>
      <c r="R88" s="362">
        <f>IF(AQ88=301,"",AQ88)</f>
        <v>147</v>
      </c>
      <c r="S88" s="362" t="str">
        <f>IF(AR88=0,"",AR88)</f>
        <v/>
      </c>
      <c r="T88" s="362">
        <f>IF(AS88=301,"",AS88)</f>
        <v>181</v>
      </c>
      <c r="U88" s="362" t="str">
        <f>IF(AT88=0,"",AT88)</f>
        <v/>
      </c>
      <c r="V88" s="364"/>
      <c r="W88" s="364"/>
      <c r="AA88" s="91" t="s">
        <v>11</v>
      </c>
      <c r="AB88" s="92"/>
      <c r="AC88" s="366">
        <f>ABS(INDEX(AC:AC,MATCH(AC82,$AA:$AA,0)+14)+INDEX(AC:AC,MATCH(AC82,$AA:$AA,0)+15)+INDEX(AC:AC,MATCH(AC82,$AA:$AA,0)+16))</f>
        <v>188</v>
      </c>
      <c r="AD88" s="367"/>
      <c r="AE88" s="366">
        <f>ABS(INDEX(AE:AE,MATCH(AE82,$AA:$AA,0)+14)+INDEX(AE:AE,MATCH(AE82,$AA:$AA,0)+15)+INDEX(AE:AE,MATCH(AE82,$AA:$AA,0)+16))</f>
        <v>173</v>
      </c>
      <c r="AF88" s="367"/>
      <c r="AG88" s="366">
        <f>ABS(INDEX(AG:AG,MATCH(AG82,$AA:$AA,0)+14)+INDEX(AG:AG,MATCH(AG82,$AA:$AA,0)+15)+INDEX(AG:AG,MATCH(AG82,$AA:$AA,0)+16))</f>
        <v>180</v>
      </c>
      <c r="AH88" s="367"/>
      <c r="AI88" s="366">
        <f>ABS(INDEX(AI:AI,MATCH(AI82,$AA:$AA,0)+14)+INDEX(AI:AI,MATCH(AI82,$AA:$AA,0)+15)+INDEX(AI:AI,MATCH(AI82,$AA:$AA,0)+16))</f>
        <v>201</v>
      </c>
      <c r="AJ88" s="367"/>
      <c r="AK88" s="366">
        <f>ABS(INDEX(AK:AK,MATCH(AK82,$AA:$AA,0)+14)+INDEX(AK:AK,MATCH(AK82,$AA:$AA,0)+15)+INDEX(AK:AK,MATCH(AK82,$AA:$AA,0)+16))</f>
        <v>266</v>
      </c>
      <c r="AL88" s="367"/>
      <c r="AM88" s="366">
        <f>ABS(INDEX(AM:AM,MATCH(AM82,$AA:$AA,0)+14)+INDEX(AM:AM,MATCH(AM82,$AA:$AA,0)+15)+INDEX(AM:AM,MATCH(AM82,$AA:$AA,0)+16))</f>
        <v>212</v>
      </c>
      <c r="AN88" s="367"/>
      <c r="AO88" s="366">
        <f>ABS(INDEX(AO:AO,MATCH(AO82,$AA:$AA,0)+14)+INDEX(AO:AO,MATCH(AO82,$AA:$AA,0)+15)+INDEX(AO:AO,MATCH(AO82,$AA:$AA,0)+16))</f>
        <v>165</v>
      </c>
      <c r="AP88" s="367"/>
      <c r="AQ88" s="366">
        <f>ABS(INDEX(AQ:AQ,MATCH(AQ82,$AA:$AA,0)+14)+INDEX(AQ:AQ,MATCH(AQ82,$AA:$AA,0)+15)+INDEX(AQ:AQ,MATCH(AQ82,$AA:$AA,0)+16))</f>
        <v>147</v>
      </c>
      <c r="AR88" s="367"/>
      <c r="AS88" s="366">
        <f>ABS(INDEX(AS:AS,MATCH(AS82,$AA:$AA,0)+14)+INDEX(AS:AS,MATCH(AS82,$AA:$AA,0)+15)+INDEX(AS:AS,MATCH(AS82,$AA:$AA,0)+16))</f>
        <v>181</v>
      </c>
      <c r="AT88" s="367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6" t="str">
        <f t="shared" si="103"/>
        <v>Gesamt</v>
      </c>
      <c r="C89" s="347" t="str">
        <f t="shared" si="103"/>
        <v/>
      </c>
      <c r="D89" s="365">
        <f>IF(AC89=1505,"",AC89)</f>
        <v>729</v>
      </c>
      <c r="E89" s="365" t="str">
        <f>IF(AD89=0,"",AD89)</f>
        <v/>
      </c>
      <c r="F89" s="365">
        <f>IF(AE89=1505,"",AE89)</f>
        <v>804</v>
      </c>
      <c r="G89" s="365" t="str">
        <f>IF(AF89=0,"",AF89)</f>
        <v/>
      </c>
      <c r="H89" s="365">
        <f>IF(AG89=1505,"",AG89)</f>
        <v>734</v>
      </c>
      <c r="I89" s="365" t="str">
        <f>IF(AH89=0,"",AH89)</f>
        <v/>
      </c>
      <c r="J89" s="365">
        <f>IF(AI89=1505,"",AI89)</f>
        <v>787</v>
      </c>
      <c r="K89" s="365" t="str">
        <f>IF(AJ89=0,"",AJ89)</f>
        <v/>
      </c>
      <c r="L89" s="365">
        <f>IF(AK89=1505,"",AK89)</f>
        <v>849</v>
      </c>
      <c r="M89" s="365" t="str">
        <f>IF(AL89=0,"",AL89)</f>
        <v/>
      </c>
      <c r="N89" s="365">
        <f>IF(AM89=1505,"",AM89)</f>
        <v>723</v>
      </c>
      <c r="O89" s="365" t="str">
        <f>IF(AN89=0,"",AN89)</f>
        <v/>
      </c>
      <c r="P89" s="365">
        <f>IF(AO89=1505,"",AO89)</f>
        <v>701</v>
      </c>
      <c r="Q89" s="365" t="str">
        <f>IF(AP89=0,"",AP89)</f>
        <v/>
      </c>
      <c r="R89" s="365">
        <f>IF(AQ89=1505,"",AQ89)</f>
        <v>729</v>
      </c>
      <c r="S89" s="365" t="str">
        <f>IF(AR89=0,"",AR89)</f>
        <v/>
      </c>
      <c r="T89" s="365">
        <f>IF(AS89=1505,"",AS89)</f>
        <v>728</v>
      </c>
      <c r="U89" s="365" t="str">
        <f>IF(AT89=0,"",AT89)</f>
        <v/>
      </c>
      <c r="V89" s="301"/>
      <c r="W89" s="301"/>
      <c r="AA89" s="93" t="s">
        <v>1799</v>
      </c>
      <c r="AB89" s="94"/>
      <c r="AC89" s="346">
        <f>SUM(AC85:AC88)</f>
        <v>729</v>
      </c>
      <c r="AD89" s="347"/>
      <c r="AE89" s="346">
        <f>SUM(AE85:AE88)</f>
        <v>804</v>
      </c>
      <c r="AF89" s="347"/>
      <c r="AG89" s="346">
        <f>SUM(AG85:AG88)</f>
        <v>734</v>
      </c>
      <c r="AH89" s="347"/>
      <c r="AI89" s="346">
        <f>SUM(AI85:AI88)</f>
        <v>787</v>
      </c>
      <c r="AJ89" s="347"/>
      <c r="AK89" s="346">
        <f>SUM(AK85:AK88)</f>
        <v>849</v>
      </c>
      <c r="AL89" s="347"/>
      <c r="AM89" s="346">
        <f>SUM(AM85:AM88)</f>
        <v>723</v>
      </c>
      <c r="AN89" s="347"/>
      <c r="AO89" s="346">
        <f>SUM(AO85:AO88)</f>
        <v>701</v>
      </c>
      <c r="AP89" s="347"/>
      <c r="AQ89" s="346">
        <f>SUM(AQ85:AQ88)</f>
        <v>729</v>
      </c>
      <c r="AR89" s="347"/>
      <c r="AS89" s="346">
        <f>SUM(AS85:AS88)</f>
        <v>728</v>
      </c>
      <c r="AT89" s="347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5" t="str">
        <f>AE91</f>
        <v>Bayernliga Herren</v>
      </c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48"/>
      <c r="S91" s="49" t="s">
        <v>1794</v>
      </c>
      <c r="T91" s="50"/>
      <c r="U91" s="341" t="str">
        <f>AT91</f>
        <v>02.11./03.11.</v>
      </c>
      <c r="V91" s="342"/>
      <c r="W91" s="343"/>
      <c r="X91" s="372"/>
      <c r="Y91" s="373"/>
      <c r="Z91" s="373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41" t="str">
        <f>VLOOKUP(AS92,Spielorte!$A$1:$C$6,2)</f>
        <v>02.11./03.11.</v>
      </c>
      <c r="AU91" s="342"/>
      <c r="AV91" s="34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4" t="str">
        <f>AE92</f>
        <v>Nürnberg West Bowling</v>
      </c>
      <c r="G92" s="344"/>
      <c r="H92" s="344"/>
      <c r="I92" s="344"/>
      <c r="J92" s="344"/>
      <c r="K92" s="344"/>
      <c r="L92" s="344"/>
      <c r="M92" s="344"/>
      <c r="N92" s="344"/>
      <c r="O92" s="344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6" t="s">
        <v>1800</v>
      </c>
      <c r="E95" s="347"/>
      <c r="F95" s="346" t="s">
        <v>1801</v>
      </c>
      <c r="G95" s="347"/>
      <c r="H95" s="346" t="s">
        <v>1802</v>
      </c>
      <c r="I95" s="347"/>
      <c r="J95" s="346" t="s">
        <v>1803</v>
      </c>
      <c r="K95" s="347"/>
      <c r="L95" s="346" t="s">
        <v>1804</v>
      </c>
      <c r="M95" s="347"/>
      <c r="N95" s="346" t="s">
        <v>1805</v>
      </c>
      <c r="O95" s="347"/>
      <c r="P95" s="346" t="s">
        <v>1806</v>
      </c>
      <c r="Q95" s="347"/>
      <c r="R95" s="346" t="s">
        <v>1807</v>
      </c>
      <c r="S95" s="347"/>
      <c r="T95" s="346" t="s">
        <v>1808</v>
      </c>
      <c r="U95" s="347"/>
      <c r="V95" s="354" t="s">
        <v>1799</v>
      </c>
      <c r="W95" s="355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6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258</v>
      </c>
      <c r="E97" s="348">
        <f>IF(AD97="","",AD97)</f>
        <v>1</v>
      </c>
      <c r="F97" s="75">
        <f t="shared" ref="F97:F110" si="104">IF(AE97=0,"",AE97)</f>
        <v>228</v>
      </c>
      <c r="G97" s="348">
        <f>IF(AF97="","",AF97)</f>
        <v>1</v>
      </c>
      <c r="H97" s="75">
        <f t="shared" ref="H97:H110" si="105">IF(AG97=0,"",AG97)</f>
        <v>180</v>
      </c>
      <c r="I97" s="348">
        <f>IF(AH97="","",AH97)</f>
        <v>0</v>
      </c>
      <c r="J97" s="75">
        <f t="shared" ref="J97:J110" si="106">IF(AI97=0,"",AI97)</f>
        <v>174</v>
      </c>
      <c r="K97" s="348">
        <f>IF(AJ97="","",AJ97)</f>
        <v>0</v>
      </c>
      <c r="L97" s="75">
        <f t="shared" ref="L97:L110" si="107">IF(AK97=0,"",AK97)</f>
        <v>187</v>
      </c>
      <c r="M97" s="348">
        <f>IF(AL97="","",AL97)</f>
        <v>1</v>
      </c>
      <c r="N97" s="75">
        <f>IF(AM97=0,"",AM97)</f>
        <v>207</v>
      </c>
      <c r="O97" s="348">
        <f>IF(AN97="","",AN97)</f>
        <v>1</v>
      </c>
      <c r="P97" s="75">
        <f t="shared" ref="P97:P110" si="108">IF(AO97=0,"",AO97)</f>
        <v>193</v>
      </c>
      <c r="Q97" s="348">
        <f>IF(AP97="","",AP97)</f>
        <v>0</v>
      </c>
      <c r="R97" s="75">
        <f t="shared" ref="R97:R110" si="109">IF(AQ97=0,"",AQ97)</f>
        <v>227</v>
      </c>
      <c r="S97" s="348">
        <f>IF(AR97="","",AR97)</f>
        <v>1</v>
      </c>
      <c r="T97" s="75">
        <f t="shared" ref="T97:T110" si="110">IF(AS97=0,"",AS97)</f>
        <v>202</v>
      </c>
      <c r="U97" s="348">
        <f>IF(AT97="","",AT97)</f>
        <v>1</v>
      </c>
      <c r="V97" s="75">
        <f t="shared" ref="V97:V110" si="111">IF(AU97=0,"",AU97)</f>
        <v>1856</v>
      </c>
      <c r="W97" s="348">
        <f>IF(AV97="","",AV97)</f>
        <v>6</v>
      </c>
      <c r="Z97" s="351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258</v>
      </c>
      <c r="AD97" s="109">
        <f>IF(SUM(AC97:AC99)+AC115=0,0,IF(SUM(AC97:AC99)=AC115,0.5,IF(SUM(AC97:AC99)&gt;AC115,1,0)))</f>
        <v>1</v>
      </c>
      <c r="AE97" s="185">
        <v>228</v>
      </c>
      <c r="AF97" s="109">
        <f>IF(SUM(AE97:AE99)+AE115=0,0,IF(SUM(AE97:AE99)=AE115,0.5,IF(SUM(AE97:AE99)&gt;AE115,1,0)))</f>
        <v>1</v>
      </c>
      <c r="AG97" s="185">
        <v>180</v>
      </c>
      <c r="AH97" s="109">
        <f>IF(SUM(AG97:AG99)+AG115=0,0,IF(SUM(AG97:AG99)=AG115,0.5,IF(SUM(AG97:AG99)&gt;AG115,1,0)))</f>
        <v>0</v>
      </c>
      <c r="AI97" s="185">
        <v>174</v>
      </c>
      <c r="AJ97" s="109">
        <f>IF(SUM(AI97:AI99)+AI115=0,0,IF(SUM(AI97:AI99)=AI115,0.5,IF(SUM(AI97:AI99)&gt;AI115,1,0)))</f>
        <v>0</v>
      </c>
      <c r="AK97" s="185">
        <v>187</v>
      </c>
      <c r="AL97" s="109">
        <f>IF(SUM(AK97:AK99)+AK115=0,0,IF(SUM(AK97:AK99)=AK115,0.5,IF(SUM(AK97:AK99)&gt;AK115,1,0)))</f>
        <v>1</v>
      </c>
      <c r="AM97" s="185">
        <v>207</v>
      </c>
      <c r="AN97" s="109">
        <f>IF(SUM(AM97:AM99)+AM115=0,0,IF(SUM(AM97:AM99)=AM115,0.5,IF(SUM(AM97:AM99)&gt;AM115,1,0)))</f>
        <v>1</v>
      </c>
      <c r="AO97" s="185">
        <v>193</v>
      </c>
      <c r="AP97" s="109">
        <f>IF(SUM(AO97:AO99)+AO115=0,0,IF(SUM(AO97:AO99)=AO115,0.5,IF(SUM(AO97:AO99)&gt;AO115,1,0)))</f>
        <v>0</v>
      </c>
      <c r="AQ97" s="185">
        <v>227</v>
      </c>
      <c r="AR97" s="109">
        <f>IF(SUM(AQ97:AQ99)+AQ115=0,0,IF(SUM(AQ97:AQ99)=AQ115,0.5,IF(SUM(AQ97:AQ99)&gt;AQ115,1,0)))</f>
        <v>1</v>
      </c>
      <c r="AS97" s="185">
        <v>202</v>
      </c>
      <c r="AT97" s="109">
        <f>IF(SUM(AS97:AS99)+AS115=0,0,IF(SUM(AS97:AS99)=AS115,0.5,IF(SUM(AS97:AS99)&gt;AS115,1,0)))</f>
        <v>1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1856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1856</v>
      </c>
      <c r="BF97" s="215">
        <f>COUNT(BH97:BP97)</f>
        <v>9</v>
      </c>
      <c r="BG97" s="215">
        <f>COUNTIF(BH97:BP97,"&gt;0")</f>
        <v>9</v>
      </c>
      <c r="BH97" s="215">
        <f t="shared" ref="BH97:BH108" si="113">IF(AC97=0,"",AC97)</f>
        <v>258</v>
      </c>
      <c r="BI97" s="215">
        <f t="shared" ref="BI97:BI108" si="114">IF(AE97=0,"",AE97)</f>
        <v>228</v>
      </c>
      <c r="BJ97" s="215">
        <f t="shared" ref="BJ97:BJ108" si="115">IF(AG97=0,"",AG97)</f>
        <v>180</v>
      </c>
      <c r="BK97" s="215">
        <f t="shared" ref="BK97:BK108" si="116">IF(AI97=0,"",AI97)</f>
        <v>174</v>
      </c>
      <c r="BL97" s="215">
        <f t="shared" ref="BL97:BL108" si="117">IF(AK97=0,"",AK97)</f>
        <v>187</v>
      </c>
      <c r="BM97" s="215">
        <f t="shared" ref="BM97:BM108" si="118">IF(AM97=0,"",AM97)</f>
        <v>207</v>
      </c>
      <c r="BN97" s="215">
        <f t="shared" ref="BN97:BN108" si="119">IF(AO97=0,"",AO97)</f>
        <v>193</v>
      </c>
      <c r="BO97" s="215">
        <f t="shared" ref="BO97:BO108" si="120">IF(AQ97=0,"",AQ97)</f>
        <v>227</v>
      </c>
      <c r="BP97" s="215">
        <f t="shared" ref="BP97:BP108" si="121">IF(AS97=0,"",AS97)</f>
        <v>202</v>
      </c>
      <c r="BQ97" s="216"/>
      <c r="BR97" s="214"/>
      <c r="BS97" s="215">
        <f>MAX(BH97:BP97)</f>
        <v>258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1856</v>
      </c>
      <c r="BX97" s="215">
        <f>IF(COUNTIF(BH97:BP97,"&gt;0")&lt;Spielorte!$A$23,0,BE97/Spielorte!$A$23)</f>
        <v>206.22222222222223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77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9"/>
      <c r="F98" s="78" t="str">
        <f t="shared" si="104"/>
        <v/>
      </c>
      <c r="G98" s="349"/>
      <c r="H98" s="78" t="str">
        <f t="shared" si="105"/>
        <v/>
      </c>
      <c r="I98" s="349"/>
      <c r="J98" s="78" t="str">
        <f t="shared" si="106"/>
        <v/>
      </c>
      <c r="K98" s="349"/>
      <c r="L98" s="78" t="str">
        <f t="shared" si="107"/>
        <v/>
      </c>
      <c r="M98" s="349"/>
      <c r="N98" s="78" t="str">
        <f t="shared" ref="N98:N110" si="124">IF(AM98=0,"",AM98)</f>
        <v/>
      </c>
      <c r="O98" s="349"/>
      <c r="P98" s="78" t="str">
        <f t="shared" si="108"/>
        <v/>
      </c>
      <c r="Q98" s="349"/>
      <c r="R98" s="78" t="str">
        <f t="shared" si="109"/>
        <v/>
      </c>
      <c r="S98" s="349"/>
      <c r="T98" s="78" t="str">
        <f t="shared" si="110"/>
        <v/>
      </c>
      <c r="U98" s="349"/>
      <c r="V98" s="78" t="str">
        <f t="shared" si="111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8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0"/>
      <c r="F99" s="69" t="str">
        <f t="shared" si="104"/>
        <v/>
      </c>
      <c r="G99" s="350"/>
      <c r="H99" s="69" t="str">
        <f t="shared" si="105"/>
        <v/>
      </c>
      <c r="I99" s="350"/>
      <c r="J99" s="69" t="str">
        <f t="shared" si="106"/>
        <v/>
      </c>
      <c r="K99" s="350"/>
      <c r="L99" s="69" t="str">
        <f t="shared" si="107"/>
        <v/>
      </c>
      <c r="M99" s="350"/>
      <c r="N99" s="69" t="str">
        <f t="shared" si="124"/>
        <v/>
      </c>
      <c r="O99" s="350"/>
      <c r="P99" s="69" t="str">
        <f t="shared" si="108"/>
        <v/>
      </c>
      <c r="Q99" s="350"/>
      <c r="R99" s="69" t="str">
        <f t="shared" si="109"/>
        <v/>
      </c>
      <c r="S99" s="350"/>
      <c r="T99" s="69" t="str">
        <f t="shared" si="110"/>
        <v/>
      </c>
      <c r="U99" s="350"/>
      <c r="V99" s="69" t="str">
        <f t="shared" si="111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76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190</v>
      </c>
      <c r="E100" s="348">
        <f>IF(AD100="","",AD100)</f>
        <v>1</v>
      </c>
      <c r="F100" s="75">
        <f t="shared" si="104"/>
        <v>205</v>
      </c>
      <c r="G100" s="348">
        <f>IF(AF100="","",AF100)</f>
        <v>1</v>
      </c>
      <c r="H100" s="75">
        <f t="shared" si="105"/>
        <v>223</v>
      </c>
      <c r="I100" s="348">
        <f>IF(AH100="","",AH100)</f>
        <v>0</v>
      </c>
      <c r="J100" s="75">
        <f t="shared" si="106"/>
        <v>192</v>
      </c>
      <c r="K100" s="348">
        <f>IF(AJ100="","",AJ100)</f>
        <v>0</v>
      </c>
      <c r="L100" s="75">
        <f t="shared" si="107"/>
        <v>197</v>
      </c>
      <c r="M100" s="348">
        <f>IF(AL100="","",AL100)</f>
        <v>1</v>
      </c>
      <c r="N100" s="75">
        <f t="shared" si="124"/>
        <v>231</v>
      </c>
      <c r="O100" s="348">
        <f>IF(AN100="","",AN100)</f>
        <v>1</v>
      </c>
      <c r="P100" s="75">
        <f t="shared" si="108"/>
        <v>180</v>
      </c>
      <c r="Q100" s="348">
        <f>IF(AP100="","",AP100)</f>
        <v>0.5</v>
      </c>
      <c r="R100" s="75">
        <f t="shared" si="109"/>
        <v>190</v>
      </c>
      <c r="S100" s="348">
        <f>IF(AR100="","",AR100)</f>
        <v>1</v>
      </c>
      <c r="T100" s="75">
        <f t="shared" si="110"/>
        <v>216</v>
      </c>
      <c r="U100" s="348">
        <f>IF(AT100="","",AT100)</f>
        <v>1</v>
      </c>
      <c r="V100" s="75">
        <f t="shared" si="111"/>
        <v>1824</v>
      </c>
      <c r="W100" s="348">
        <f>IF(AV100="","",AV100)</f>
        <v>6.5</v>
      </c>
      <c r="Z100" s="351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190</v>
      </c>
      <c r="AD100" s="109">
        <f>IF(SUM(AC100:AC102)+AC116=0,0,IF(SUM(AC100:AC102)=AC116,0.5,IF(SUM(AC100:AC102)&gt;AC116,1,0)))</f>
        <v>1</v>
      </c>
      <c r="AE100" s="188">
        <v>205</v>
      </c>
      <c r="AF100" s="109">
        <f>IF(SUM(AE100:AE102)+AE116=0,0,IF(SUM(AE100:AE102)=AE116,0.5,IF(SUM(AE100:AE102)&gt;AE116,1,0)))</f>
        <v>1</v>
      </c>
      <c r="AG100" s="188">
        <v>223</v>
      </c>
      <c r="AH100" s="109">
        <f>IF(SUM(AG100:AG102)+AG116=0,0,IF(SUM(AG100:AG102)=AG116,0.5,IF(SUM(AG100:AG102)&gt;AG116,1,0)))</f>
        <v>0</v>
      </c>
      <c r="AI100" s="188">
        <v>192</v>
      </c>
      <c r="AJ100" s="109">
        <f>IF(SUM(AI100:AI102)+AI116=0,0,IF(SUM(AI100:AI102)=AI116,0.5,IF(SUM(AI100:AI102)&gt;AI116,1,0)))</f>
        <v>0</v>
      </c>
      <c r="AK100" s="188">
        <v>197</v>
      </c>
      <c r="AL100" s="109">
        <f>IF(SUM(AK100:AK102)+AK116=0,0,IF(SUM(AK100:AK102)=AK116,0.5,IF(SUM(AK100:AK102)&gt;AK116,1,0)))</f>
        <v>1</v>
      </c>
      <c r="AM100" s="188">
        <v>231</v>
      </c>
      <c r="AN100" s="109">
        <f>IF(SUM(AM100:AM102)+AM116=0,0,IF(SUM(AM100:AM102)=AM116,0.5,IF(SUM(AM100:AM102)&gt;AM116,1,0)))</f>
        <v>1</v>
      </c>
      <c r="AO100" s="188">
        <v>180</v>
      </c>
      <c r="AP100" s="109">
        <f>IF(SUM(AO100:AO102)+AO116=0,0,IF(SUM(AO100:AO102)=AO116,0.5,IF(SUM(AO100:AO102)&gt;AO116,1,0)))</f>
        <v>0.5</v>
      </c>
      <c r="AQ100" s="188">
        <v>190</v>
      </c>
      <c r="AR100" s="109">
        <f>IF(SUM(AQ100:AQ102)+AQ116=0,0,IF(SUM(AQ100:AQ102)=AQ116,0.5,IF(SUM(AQ100:AQ102)&gt;AQ116,1,0)))</f>
        <v>1</v>
      </c>
      <c r="AS100" s="188">
        <v>216</v>
      </c>
      <c r="AT100" s="109">
        <f>IF(SUM(AS100:AS102)+AS116=0,0,IF(SUM(AS100:AS102)=AS116,0.5,IF(SUM(AS100:AS102)&gt;AS116,1,0)))</f>
        <v>1</v>
      </c>
      <c r="AU100" s="110">
        <f t="shared" si="112"/>
        <v>1824</v>
      </c>
      <c r="AV100" s="111">
        <f>SUM(AD100+AF100+AH100+AJ100+AL100+AN100+AP100+AR100+AT100)</f>
        <v>6.5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1824</v>
      </c>
      <c r="BF100" s="215">
        <f t="shared" si="127"/>
        <v>9</v>
      </c>
      <c r="BG100" s="215">
        <f t="shared" si="128"/>
        <v>9</v>
      </c>
      <c r="BH100" s="215">
        <f t="shared" si="113"/>
        <v>190</v>
      </c>
      <c r="BI100" s="215">
        <f t="shared" si="114"/>
        <v>205</v>
      </c>
      <c r="BJ100" s="215">
        <f t="shared" si="115"/>
        <v>223</v>
      </c>
      <c r="BK100" s="215">
        <f t="shared" si="116"/>
        <v>192</v>
      </c>
      <c r="BL100" s="215">
        <f t="shared" si="117"/>
        <v>197</v>
      </c>
      <c r="BM100" s="215">
        <f t="shared" si="118"/>
        <v>231</v>
      </c>
      <c r="BN100" s="215">
        <f t="shared" si="119"/>
        <v>180</v>
      </c>
      <c r="BO100" s="215">
        <f t="shared" si="120"/>
        <v>190</v>
      </c>
      <c r="BP100" s="215">
        <f t="shared" si="121"/>
        <v>216</v>
      </c>
      <c r="BQ100" s="216"/>
      <c r="BR100" s="214"/>
      <c r="BS100" s="215">
        <f t="shared" si="129"/>
        <v>231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2</v>
      </c>
      <c r="BW100" s="215">
        <f t="shared" si="133"/>
        <v>1824</v>
      </c>
      <c r="BX100" s="215">
        <f>IF(COUNTIF(BH100:BP100,"&gt;0")&lt;Spielorte!$A$23,0,BE100/Spielorte!$A$23)</f>
        <v>202.66666666666666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77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9"/>
      <c r="F101" s="78" t="str">
        <f t="shared" si="104"/>
        <v/>
      </c>
      <c r="G101" s="349"/>
      <c r="H101" s="78" t="str">
        <f t="shared" si="105"/>
        <v/>
      </c>
      <c r="I101" s="349"/>
      <c r="J101" s="78" t="str">
        <f t="shared" si="106"/>
        <v/>
      </c>
      <c r="K101" s="349"/>
      <c r="L101" s="78" t="str">
        <f t="shared" si="107"/>
        <v/>
      </c>
      <c r="M101" s="349"/>
      <c r="N101" s="78" t="str">
        <f t="shared" si="124"/>
        <v/>
      </c>
      <c r="O101" s="349"/>
      <c r="P101" s="78" t="str">
        <f t="shared" si="108"/>
        <v/>
      </c>
      <c r="Q101" s="349"/>
      <c r="R101" s="78" t="str">
        <f t="shared" si="109"/>
        <v/>
      </c>
      <c r="S101" s="349"/>
      <c r="T101" s="78" t="str">
        <f t="shared" si="110"/>
        <v/>
      </c>
      <c r="U101" s="349"/>
      <c r="V101" s="78" t="str">
        <f t="shared" si="111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8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0"/>
      <c r="F102" s="69" t="str">
        <f t="shared" si="104"/>
        <v/>
      </c>
      <c r="G102" s="350"/>
      <c r="H102" s="69" t="str">
        <f t="shared" si="105"/>
        <v/>
      </c>
      <c r="I102" s="350"/>
      <c r="J102" s="69" t="str">
        <f t="shared" si="106"/>
        <v/>
      </c>
      <c r="K102" s="350"/>
      <c r="L102" s="69" t="str">
        <f t="shared" si="107"/>
        <v/>
      </c>
      <c r="M102" s="350"/>
      <c r="N102" s="69" t="str">
        <f t="shared" si="124"/>
        <v/>
      </c>
      <c r="O102" s="350"/>
      <c r="P102" s="69" t="str">
        <f t="shared" si="108"/>
        <v/>
      </c>
      <c r="Q102" s="350"/>
      <c r="R102" s="69" t="str">
        <f t="shared" si="109"/>
        <v/>
      </c>
      <c r="S102" s="350"/>
      <c r="T102" s="69" t="str">
        <f t="shared" si="110"/>
        <v/>
      </c>
      <c r="U102" s="350"/>
      <c r="V102" s="69" t="str">
        <f t="shared" si="111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76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184</v>
      </c>
      <c r="E103" s="348">
        <f>IF(AD103="","",AD103)</f>
        <v>0</v>
      </c>
      <c r="F103" s="75">
        <f t="shared" si="104"/>
        <v>198</v>
      </c>
      <c r="G103" s="348">
        <f>IF(AF103="","",AF103)</f>
        <v>0</v>
      </c>
      <c r="H103" s="75">
        <f t="shared" si="105"/>
        <v>225</v>
      </c>
      <c r="I103" s="348">
        <f>IF(AH103="","",AH103)</f>
        <v>1</v>
      </c>
      <c r="J103" s="75">
        <f t="shared" si="106"/>
        <v>184</v>
      </c>
      <c r="K103" s="348">
        <f>IF(AJ103="","",AJ103)</f>
        <v>0</v>
      </c>
      <c r="L103" s="75">
        <f t="shared" si="107"/>
        <v>145</v>
      </c>
      <c r="M103" s="348">
        <f>IF(AL103="","",AL103)</f>
        <v>0</v>
      </c>
      <c r="N103" s="75">
        <f t="shared" si="124"/>
        <v>258</v>
      </c>
      <c r="O103" s="348">
        <f>IF(AN103="","",AN103)</f>
        <v>1</v>
      </c>
      <c r="P103" s="75">
        <f t="shared" si="108"/>
        <v>215</v>
      </c>
      <c r="Q103" s="348">
        <f>IF(AP103="","",AP103)</f>
        <v>1</v>
      </c>
      <c r="R103" s="75">
        <f t="shared" si="109"/>
        <v>203</v>
      </c>
      <c r="S103" s="348">
        <f>IF(AR103="","",AR103)</f>
        <v>1</v>
      </c>
      <c r="T103" s="75">
        <f t="shared" si="110"/>
        <v>196</v>
      </c>
      <c r="U103" s="348">
        <f>IF(AT103="","",AT103)</f>
        <v>1</v>
      </c>
      <c r="V103" s="75">
        <f t="shared" si="111"/>
        <v>1808</v>
      </c>
      <c r="W103" s="348">
        <f>IF(AV103="","",AV103)</f>
        <v>5</v>
      </c>
      <c r="Z103" s="351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184</v>
      </c>
      <c r="AD103" s="109">
        <f>IF(SUM(AC103:AC105)+AC117=0,0,IF(SUM(AC103:AC105)=AC117,0.5,IF(SUM(AC103:AC105)&gt;AC117,1,0)))</f>
        <v>0</v>
      </c>
      <c r="AE103" s="188">
        <v>198</v>
      </c>
      <c r="AF103" s="109">
        <f>IF(SUM(AE103:AE105)+AE117=0,0,IF(SUM(AE103:AE105)=AE117,0.5,IF(SUM(AE103:AE105)&gt;AE117,1,0)))</f>
        <v>0</v>
      </c>
      <c r="AG103" s="188">
        <v>225</v>
      </c>
      <c r="AH103" s="109">
        <f>IF(SUM(AG103:AG105)+AG117=0,0,IF(SUM(AG103:AG105)=AG117,0.5,IF(SUM(AG103:AG105)&gt;AG117,1,0)))</f>
        <v>1</v>
      </c>
      <c r="AI103" s="188">
        <v>184</v>
      </c>
      <c r="AJ103" s="109">
        <f>IF(SUM(AI103:AI105)+AI117=0,0,IF(SUM(AI103:AI105)=AI117,0.5,IF(SUM(AI103:AI105)&gt;AI117,1,0)))</f>
        <v>0</v>
      </c>
      <c r="AK103" s="188">
        <v>145</v>
      </c>
      <c r="AL103" s="109">
        <f>IF(SUM(AK103:AK105)+AK117=0,0,IF(SUM(AK103:AK105)=AK117,0.5,IF(SUM(AK103:AK105)&gt;AK117,1,0)))</f>
        <v>0</v>
      </c>
      <c r="AM103" s="188">
        <v>258</v>
      </c>
      <c r="AN103" s="109">
        <f>IF(SUM(AM103:AM105)+AM117=0,0,IF(SUM(AM103:AM105)=AM117,0.5,IF(SUM(AM103:AM105)&gt;AM117,1,0)))</f>
        <v>1</v>
      </c>
      <c r="AO103" s="188">
        <v>215</v>
      </c>
      <c r="AP103" s="109">
        <f>IF(SUM(AO103:AO105)+AO117=0,0,IF(SUM(AO103:AO105)=AO117,0.5,IF(SUM(AO103:AO105)&gt;AO117,1,0)))</f>
        <v>1</v>
      </c>
      <c r="AQ103" s="188">
        <v>203</v>
      </c>
      <c r="AR103" s="109">
        <f>IF(SUM(AQ103:AQ105)+AQ117=0,0,IF(SUM(AQ103:AQ105)=AQ117,0.5,IF(SUM(AQ103:AQ105)&gt;AQ117,1,0)))</f>
        <v>1</v>
      </c>
      <c r="AS103" s="188">
        <v>196</v>
      </c>
      <c r="AT103" s="109">
        <f>IF(SUM(AS103:AS105)+AS117=0,0,IF(SUM(AS103:AS105)=AS117,0.5,IF(SUM(AS103:AS105)&gt;AS117,1,0)))</f>
        <v>1</v>
      </c>
      <c r="AU103" s="110">
        <f t="shared" si="112"/>
        <v>1808</v>
      </c>
      <c r="AV103" s="111">
        <f>SUM(AD103+AF103+AH103+AJ103+AL103+AN103+AP103+AR103+AT103)</f>
        <v>5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1808</v>
      </c>
      <c r="BF103" s="215">
        <f t="shared" si="127"/>
        <v>9</v>
      </c>
      <c r="BG103" s="215">
        <f t="shared" si="128"/>
        <v>9</v>
      </c>
      <c r="BH103" s="215">
        <f t="shared" si="113"/>
        <v>184</v>
      </c>
      <c r="BI103" s="215">
        <f t="shared" si="114"/>
        <v>198</v>
      </c>
      <c r="BJ103" s="215">
        <f t="shared" si="115"/>
        <v>225</v>
      </c>
      <c r="BK103" s="215">
        <f t="shared" si="116"/>
        <v>184</v>
      </c>
      <c r="BL103" s="215">
        <f t="shared" si="117"/>
        <v>145</v>
      </c>
      <c r="BM103" s="215">
        <f t="shared" si="118"/>
        <v>258</v>
      </c>
      <c r="BN103" s="215">
        <f t="shared" si="119"/>
        <v>215</v>
      </c>
      <c r="BO103" s="215">
        <f t="shared" si="120"/>
        <v>203</v>
      </c>
      <c r="BP103" s="215">
        <f t="shared" si="121"/>
        <v>196</v>
      </c>
      <c r="BQ103" s="216"/>
      <c r="BR103" s="214"/>
      <c r="BS103" s="215">
        <f t="shared" si="129"/>
        <v>258</v>
      </c>
      <c r="BT103" s="215">
        <f t="shared" si="130"/>
        <v>0</v>
      </c>
      <c r="BU103" s="215" t="str">
        <f t="shared" si="131"/>
        <v>SG DJK Rimpar</v>
      </c>
      <c r="BV103" s="214">
        <f t="shared" si="132"/>
        <v>2</v>
      </c>
      <c r="BW103" s="215">
        <f t="shared" si="133"/>
        <v>1808</v>
      </c>
      <c r="BX103" s="215">
        <f>IF(COUNTIF(BH103:BP103,"&gt;0")&lt;Spielorte!$A$23,0,BE103/Spielorte!$A$23)</f>
        <v>200.88888888888889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77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9"/>
      <c r="F104" s="78" t="str">
        <f t="shared" si="104"/>
        <v/>
      </c>
      <c r="G104" s="349"/>
      <c r="H104" s="78" t="str">
        <f t="shared" si="105"/>
        <v/>
      </c>
      <c r="I104" s="349"/>
      <c r="J104" s="78" t="str">
        <f t="shared" si="106"/>
        <v/>
      </c>
      <c r="K104" s="349"/>
      <c r="L104" s="78" t="str">
        <f t="shared" si="107"/>
        <v/>
      </c>
      <c r="M104" s="349"/>
      <c r="N104" s="78" t="str">
        <f t="shared" si="124"/>
        <v/>
      </c>
      <c r="O104" s="349"/>
      <c r="P104" s="78" t="str">
        <f t="shared" si="108"/>
        <v/>
      </c>
      <c r="Q104" s="349"/>
      <c r="R104" s="78" t="str">
        <f t="shared" si="109"/>
        <v/>
      </c>
      <c r="S104" s="349"/>
      <c r="T104" s="78" t="str">
        <f t="shared" si="110"/>
        <v/>
      </c>
      <c r="U104" s="349"/>
      <c r="V104" s="78" t="str">
        <f t="shared" si="111"/>
        <v/>
      </c>
      <c r="W104" s="349"/>
      <c r="Z104" s="352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8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0"/>
      <c r="F105" s="69" t="str">
        <f t="shared" si="104"/>
        <v/>
      </c>
      <c r="G105" s="350"/>
      <c r="H105" s="69" t="str">
        <f t="shared" si="105"/>
        <v/>
      </c>
      <c r="I105" s="350"/>
      <c r="J105" s="69" t="str">
        <f t="shared" si="106"/>
        <v/>
      </c>
      <c r="K105" s="350"/>
      <c r="L105" s="69" t="str">
        <f t="shared" si="107"/>
        <v/>
      </c>
      <c r="M105" s="350"/>
      <c r="N105" s="69" t="str">
        <f t="shared" si="124"/>
        <v/>
      </c>
      <c r="O105" s="350"/>
      <c r="P105" s="69" t="str">
        <f t="shared" si="108"/>
        <v/>
      </c>
      <c r="Q105" s="350"/>
      <c r="R105" s="69" t="str">
        <f t="shared" si="109"/>
        <v/>
      </c>
      <c r="S105" s="350"/>
      <c r="T105" s="69" t="str">
        <f t="shared" si="110"/>
        <v/>
      </c>
      <c r="U105" s="350"/>
      <c r="V105" s="69" t="str">
        <f t="shared" si="111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76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150</v>
      </c>
      <c r="E106" s="348">
        <f>IF(AD106="","",AD106)</f>
        <v>0</v>
      </c>
      <c r="F106" s="75">
        <f t="shared" si="104"/>
        <v>173</v>
      </c>
      <c r="G106" s="348">
        <f>IF(AF106="","",AF106)</f>
        <v>1</v>
      </c>
      <c r="H106" s="75">
        <f t="shared" si="105"/>
        <v>215</v>
      </c>
      <c r="I106" s="348">
        <f>IF(AH106="","",AH106)</f>
        <v>1</v>
      </c>
      <c r="J106" s="75">
        <f t="shared" si="106"/>
        <v>203</v>
      </c>
      <c r="K106" s="348">
        <f>IF(AJ106="","",AJ106)</f>
        <v>1</v>
      </c>
      <c r="L106" s="75">
        <f t="shared" si="107"/>
        <v>211</v>
      </c>
      <c r="M106" s="348">
        <f>IF(AL106="","",AL106)</f>
        <v>1</v>
      </c>
      <c r="N106" s="75">
        <f t="shared" si="124"/>
        <v>181</v>
      </c>
      <c r="O106" s="348">
        <f>IF(AN106="","",AN106)</f>
        <v>1</v>
      </c>
      <c r="P106" s="75">
        <f t="shared" si="108"/>
        <v>169</v>
      </c>
      <c r="Q106" s="348">
        <f>IF(AP106="","",AP106)</f>
        <v>0</v>
      </c>
      <c r="R106" s="75">
        <f t="shared" si="109"/>
        <v>226</v>
      </c>
      <c r="S106" s="348">
        <f>IF(AR106="","",AR106)</f>
        <v>1</v>
      </c>
      <c r="T106" s="75">
        <f t="shared" si="110"/>
        <v>258</v>
      </c>
      <c r="U106" s="348">
        <f>IF(AT106="","",AT106)</f>
        <v>1</v>
      </c>
      <c r="V106" s="75">
        <f t="shared" si="111"/>
        <v>1786</v>
      </c>
      <c r="W106" s="348">
        <f>IF(AV106="","",AV106)</f>
        <v>7</v>
      </c>
      <c r="Z106" s="351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150</v>
      </c>
      <c r="AD106" s="109">
        <f>IF(SUM(AC106:AC108)+AC118=0,0,IF(SUM(AC106:AC108)=AC118,0.5,IF(SUM(AC106:AC108)&gt;AC118,1,0)))</f>
        <v>0</v>
      </c>
      <c r="AE106" s="188">
        <v>173</v>
      </c>
      <c r="AF106" s="109">
        <f>IF(SUM(AE106:AE108)+AE118=0,0,IF(SUM(AE106:AE108)=AE118,0.5,IF(SUM(AE106:AE108)&gt;AE118,1,0)))</f>
        <v>1</v>
      </c>
      <c r="AG106" s="188">
        <v>215</v>
      </c>
      <c r="AH106" s="109">
        <f>IF(SUM(AG106:AG108)+AG118=0,0,IF(SUM(AG106:AG108)=AG118,0.5,IF(SUM(AG106:AG108)&gt;AG118,1,0)))</f>
        <v>1</v>
      </c>
      <c r="AI106" s="188">
        <v>203</v>
      </c>
      <c r="AJ106" s="109">
        <f>IF(SUM(AI106:AI108)+AI118=0,0,IF(SUM(AI106:AI108)=AI118,0.5,IF(SUM(AI106:AI108)&gt;AI118,1,0)))</f>
        <v>1</v>
      </c>
      <c r="AK106" s="188">
        <v>211</v>
      </c>
      <c r="AL106" s="109">
        <f>IF(SUM(AK106:AK108)+AK118=0,0,IF(SUM(AK106:AK108)=AK118,0.5,IF(SUM(AK106:AK108)&gt;AK118,1,0)))</f>
        <v>1</v>
      </c>
      <c r="AM106" s="188">
        <v>181</v>
      </c>
      <c r="AN106" s="109">
        <f>IF(SUM(AM106:AM108)+AM118=0,0,IF(SUM(AM106:AM108)=AM118,0.5,IF(SUM(AM106:AM108)&gt;AM118,1,0)))</f>
        <v>1</v>
      </c>
      <c r="AO106" s="188">
        <v>169</v>
      </c>
      <c r="AP106" s="109">
        <f>IF(SUM(AO106:AO108)+AO118=0,0,IF(SUM(AO106:AO108)=AO118,0.5,IF(SUM(AO106:AO108)&gt;AO118,1,0)))</f>
        <v>0</v>
      </c>
      <c r="AQ106" s="188">
        <v>226</v>
      </c>
      <c r="AR106" s="109">
        <f>IF(SUM(AQ106:AQ108)+AQ118=0,0,IF(SUM(AQ106:AQ108)=AQ118,0.5,IF(SUM(AQ106:AQ108)&gt;AQ118,1,0)))</f>
        <v>1</v>
      </c>
      <c r="AS106" s="188">
        <v>258</v>
      </c>
      <c r="AT106" s="109">
        <f>IF(SUM(AS106:AS108)+AS118=0,0,IF(SUM(AS106:AS108)=AS118,0.5,IF(SUM(AS106:AS108)&gt;AS118,1,0)))</f>
        <v>1</v>
      </c>
      <c r="AU106" s="110">
        <f t="shared" si="112"/>
        <v>1786</v>
      </c>
      <c r="AV106" s="111">
        <f>SUM(AD106+AF106+AH106+AJ106+AL106+AN106+AP106+AR106+AT106)</f>
        <v>7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1786</v>
      </c>
      <c r="BF106" s="215">
        <f t="shared" si="127"/>
        <v>9</v>
      </c>
      <c r="BG106" s="215">
        <f t="shared" si="128"/>
        <v>9</v>
      </c>
      <c r="BH106" s="215">
        <f t="shared" si="113"/>
        <v>150</v>
      </c>
      <c r="BI106" s="215">
        <f t="shared" si="114"/>
        <v>173</v>
      </c>
      <c r="BJ106" s="215">
        <f t="shared" si="115"/>
        <v>215</v>
      </c>
      <c r="BK106" s="215">
        <f t="shared" si="116"/>
        <v>203</v>
      </c>
      <c r="BL106" s="215">
        <f t="shared" si="117"/>
        <v>211</v>
      </c>
      <c r="BM106" s="215">
        <f t="shared" si="118"/>
        <v>181</v>
      </c>
      <c r="BN106" s="215">
        <f t="shared" si="119"/>
        <v>169</v>
      </c>
      <c r="BO106" s="215">
        <f t="shared" si="120"/>
        <v>226</v>
      </c>
      <c r="BP106" s="215">
        <f t="shared" si="121"/>
        <v>258</v>
      </c>
      <c r="BQ106" s="216"/>
      <c r="BR106" s="214"/>
      <c r="BS106" s="215">
        <f t="shared" si="129"/>
        <v>258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2</v>
      </c>
      <c r="BW106" s="215">
        <f t="shared" si="133"/>
        <v>1786</v>
      </c>
      <c r="BX106" s="215">
        <f>IF(COUNTIF(BH106:BP106,"&gt;0")&lt;Spielorte!$A$23,0,BE106/Spielorte!$A$23)</f>
        <v>198.44444444444446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77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9"/>
      <c r="F107" s="78" t="str">
        <f t="shared" si="104"/>
        <v/>
      </c>
      <c r="G107" s="349"/>
      <c r="H107" s="78" t="str">
        <f t="shared" si="105"/>
        <v/>
      </c>
      <c r="I107" s="349"/>
      <c r="J107" s="78" t="str">
        <f t="shared" si="106"/>
        <v/>
      </c>
      <c r="K107" s="349"/>
      <c r="L107" s="78" t="str">
        <f t="shared" si="107"/>
        <v/>
      </c>
      <c r="M107" s="349"/>
      <c r="N107" s="78" t="str">
        <f t="shared" si="124"/>
        <v/>
      </c>
      <c r="O107" s="349"/>
      <c r="P107" s="78" t="str">
        <f t="shared" si="108"/>
        <v/>
      </c>
      <c r="Q107" s="349"/>
      <c r="R107" s="78" t="str">
        <f t="shared" si="109"/>
        <v/>
      </c>
      <c r="S107" s="349"/>
      <c r="T107" s="78" t="str">
        <f t="shared" si="110"/>
        <v/>
      </c>
      <c r="U107" s="349"/>
      <c r="V107" s="78" t="str">
        <f t="shared" si="111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8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0"/>
      <c r="F108" s="69" t="str">
        <f t="shared" si="104"/>
        <v/>
      </c>
      <c r="G108" s="350"/>
      <c r="H108" s="69" t="str">
        <f t="shared" si="105"/>
        <v/>
      </c>
      <c r="I108" s="350"/>
      <c r="J108" s="69" t="str">
        <f t="shared" si="106"/>
        <v/>
      </c>
      <c r="K108" s="350"/>
      <c r="L108" s="69" t="str">
        <f t="shared" si="107"/>
        <v/>
      </c>
      <c r="M108" s="350"/>
      <c r="N108" s="69" t="str">
        <f t="shared" si="124"/>
        <v/>
      </c>
      <c r="O108" s="350"/>
      <c r="P108" s="69" t="str">
        <f t="shared" si="108"/>
        <v/>
      </c>
      <c r="Q108" s="350"/>
      <c r="R108" s="69" t="str">
        <f t="shared" si="109"/>
        <v/>
      </c>
      <c r="S108" s="350"/>
      <c r="T108" s="69" t="str">
        <f t="shared" si="110"/>
        <v/>
      </c>
      <c r="U108" s="350"/>
      <c r="V108" s="69" t="str">
        <f t="shared" si="111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>
        <f t="shared" si="123"/>
        <v>782</v>
      </c>
      <c r="E109" s="84">
        <f>IF(AD109="","",AD109)</f>
        <v>2</v>
      </c>
      <c r="F109" s="83">
        <f t="shared" si="104"/>
        <v>804</v>
      </c>
      <c r="G109" s="84">
        <f>IF(AF109="","",AF109)</f>
        <v>2</v>
      </c>
      <c r="H109" s="83">
        <f t="shared" si="105"/>
        <v>843</v>
      </c>
      <c r="I109" s="84">
        <f>IF(AH109="","",AH109)</f>
        <v>2</v>
      </c>
      <c r="J109" s="83">
        <f t="shared" si="106"/>
        <v>753</v>
      </c>
      <c r="K109" s="84">
        <f>IF(AJ109="","",AJ109)</f>
        <v>0</v>
      </c>
      <c r="L109" s="83">
        <f t="shared" si="107"/>
        <v>740</v>
      </c>
      <c r="M109" s="84">
        <f>IF(AL109="","",AL109)</f>
        <v>2</v>
      </c>
      <c r="N109" s="83">
        <f t="shared" si="124"/>
        <v>877</v>
      </c>
      <c r="O109" s="84">
        <f>IF(AN109="","",AN109)</f>
        <v>2</v>
      </c>
      <c r="P109" s="83">
        <f t="shared" si="108"/>
        <v>757</v>
      </c>
      <c r="Q109" s="84">
        <f>IF(AP109="","",AP109)</f>
        <v>2</v>
      </c>
      <c r="R109" s="83">
        <f t="shared" si="109"/>
        <v>846</v>
      </c>
      <c r="S109" s="84">
        <f>IF(AR109="","",AR109)</f>
        <v>2</v>
      </c>
      <c r="T109" s="83">
        <f t="shared" si="110"/>
        <v>872</v>
      </c>
      <c r="U109" s="84">
        <f>IF(AT109="","",AT109)</f>
        <v>2</v>
      </c>
      <c r="V109" s="83">
        <f t="shared" si="111"/>
        <v>7274</v>
      </c>
      <c r="W109" s="84">
        <f>IF(AV109="","",AV109)</f>
        <v>16</v>
      </c>
      <c r="AA109" s="81" t="s">
        <v>1799</v>
      </c>
      <c r="AB109" s="120"/>
      <c r="AC109" s="211">
        <f>ABS(SUM(AC97:AC99))+ABS(SUM(AC100:AC102))+ABS(SUM(AC103:AC105))+ABS(SUM(AC106:AC108))</f>
        <v>782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804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843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753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740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877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757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846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872</v>
      </c>
      <c r="AT109" s="121">
        <f>IF(AS109+AS119=0,0,IF(AS109=AS119,1,IF(AS109&gt;AS119,2,0)))</f>
        <v>2</v>
      </c>
      <c r="AU109" s="122">
        <f>SUM(AC109+AE109+AG109+AI109+AK109+AM109+AO109+AQ109+AS109)</f>
        <v>7274</v>
      </c>
      <c r="AV109" s="123">
        <f>SUM(AD109+AF109+AH109+AJ109+AL109+AN109+AP109+AR109+AT109)</f>
        <v>16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4</v>
      </c>
      <c r="F110" s="86" t="str">
        <f t="shared" si="104"/>
        <v/>
      </c>
      <c r="G110" s="87">
        <f>IF(AF110="","",AF110)</f>
        <v>5</v>
      </c>
      <c r="H110" s="86" t="str">
        <f t="shared" si="105"/>
        <v/>
      </c>
      <c r="I110" s="87">
        <f>IF(AH110="","",AH110)</f>
        <v>4</v>
      </c>
      <c r="J110" s="86" t="str">
        <f t="shared" si="106"/>
        <v/>
      </c>
      <c r="K110" s="87">
        <f>IF(AJ110="","",AJ110)</f>
        <v>1</v>
      </c>
      <c r="L110" s="86" t="str">
        <f t="shared" si="107"/>
        <v/>
      </c>
      <c r="M110" s="87">
        <f>IF(AL110="","",AL110)</f>
        <v>5</v>
      </c>
      <c r="N110" s="86" t="str">
        <f t="shared" si="124"/>
        <v/>
      </c>
      <c r="O110" s="87">
        <f>IF(AN110="","",AN110)</f>
        <v>6</v>
      </c>
      <c r="P110" s="86" t="str">
        <f t="shared" si="108"/>
        <v/>
      </c>
      <c r="Q110" s="87">
        <f>IF(AP110="","",AP110)</f>
        <v>3.5</v>
      </c>
      <c r="R110" s="86" t="str">
        <f t="shared" si="109"/>
        <v/>
      </c>
      <c r="S110" s="87">
        <f>IF(AR110="","",AR110)</f>
        <v>6</v>
      </c>
      <c r="T110" s="86" t="str">
        <f t="shared" si="110"/>
        <v/>
      </c>
      <c r="U110" s="87">
        <f>IF(AT110="","",AT110)</f>
        <v>6</v>
      </c>
      <c r="V110" s="86" t="str">
        <f t="shared" si="111"/>
        <v/>
      </c>
      <c r="W110" s="87">
        <f>IF(AV110="","",AV110)</f>
        <v>40.5</v>
      </c>
      <c r="AA110" s="85" t="s">
        <v>1814</v>
      </c>
      <c r="AB110" s="86"/>
      <c r="AC110" s="86"/>
      <c r="AD110" s="124">
        <f>SUM(AD97:AD109)</f>
        <v>4</v>
      </c>
      <c r="AE110" s="86"/>
      <c r="AF110" s="124">
        <f>SUM(AF97:AF109)</f>
        <v>5</v>
      </c>
      <c r="AG110" s="86"/>
      <c r="AH110" s="124">
        <f>SUM(AH97:AH109)</f>
        <v>4</v>
      </c>
      <c r="AI110" s="86"/>
      <c r="AJ110" s="124">
        <f>SUM(AJ97:AJ109)</f>
        <v>1</v>
      </c>
      <c r="AK110" s="86"/>
      <c r="AL110" s="124">
        <f>SUM(AL97:AL109)</f>
        <v>5</v>
      </c>
      <c r="AM110" s="86"/>
      <c r="AN110" s="124">
        <f>SUM(AN97:AN109)</f>
        <v>6</v>
      </c>
      <c r="AO110" s="86"/>
      <c r="AP110" s="124">
        <f>SUM(AP97:AP109)</f>
        <v>3.5</v>
      </c>
      <c r="AQ110" s="86"/>
      <c r="AR110" s="124">
        <f>SUM(AR97:AR109)</f>
        <v>6</v>
      </c>
      <c r="AS110" s="86"/>
      <c r="AT110" s="124">
        <f>SUM(AT97:AT109)</f>
        <v>6</v>
      </c>
      <c r="AU110" s="86"/>
      <c r="AV110" s="125">
        <f>SUM(AV97:AV109)</f>
        <v>40.5</v>
      </c>
      <c r="AW110" s="101"/>
      <c r="AX110" s="102"/>
      <c r="BA110" s="212">
        <f>+AV110</f>
        <v>40.5</v>
      </c>
      <c r="BB110" s="213">
        <f>+AU109</f>
        <v>7274</v>
      </c>
      <c r="BC110" s="214">
        <f>+AA92</f>
        <v>4</v>
      </c>
      <c r="BF110" s="215">
        <f>SUM(BF91:BF109)</f>
        <v>36</v>
      </c>
      <c r="BQ110" s="212">
        <f>+BB110/1000000+BA110</f>
        <v>40.507274000000002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6">
        <f t="shared" si="135"/>
        <v>5</v>
      </c>
      <c r="E112" s="356" t="str">
        <f t="shared" si="135"/>
        <v/>
      </c>
      <c r="F112" s="356">
        <f t="shared" si="135"/>
        <v>3</v>
      </c>
      <c r="G112" s="356" t="str">
        <f t="shared" si="135"/>
        <v/>
      </c>
      <c r="H112" s="356">
        <f t="shared" si="135"/>
        <v>1</v>
      </c>
      <c r="I112" s="356" t="str">
        <f t="shared" si="135"/>
        <v/>
      </c>
      <c r="J112" s="356">
        <f t="shared" si="135"/>
        <v>8</v>
      </c>
      <c r="K112" s="356" t="str">
        <f t="shared" si="135"/>
        <v/>
      </c>
      <c r="L112" s="356">
        <f t="shared" si="135"/>
        <v>6</v>
      </c>
      <c r="M112" s="356" t="str">
        <f t="shared" si="135"/>
        <v/>
      </c>
      <c r="N112" s="356">
        <f t="shared" si="135"/>
        <v>10</v>
      </c>
      <c r="O112" s="356" t="str">
        <f t="shared" si="135"/>
        <v/>
      </c>
      <c r="P112" s="356">
        <f t="shared" si="135"/>
        <v>9</v>
      </c>
      <c r="Q112" s="356" t="str">
        <f t="shared" si="135"/>
        <v/>
      </c>
      <c r="R112" s="356">
        <f t="shared" ref="N112:U114" si="136">IF(AQ112=0,"",AQ112)</f>
        <v>2</v>
      </c>
      <c r="S112" s="356" t="str">
        <f t="shared" si="136"/>
        <v/>
      </c>
      <c r="T112" s="356">
        <f t="shared" si="136"/>
        <v>7</v>
      </c>
      <c r="U112" s="356" t="str">
        <f t="shared" si="136"/>
        <v/>
      </c>
      <c r="V112" s="357"/>
      <c r="W112" s="357"/>
      <c r="AA112" s="88" t="s">
        <v>1797</v>
      </c>
      <c r="AB112" s="89" t="s">
        <v>1798</v>
      </c>
      <c r="AC112" s="370">
        <f>VLOOKUP($AA92,Schlüssel!$A$5:$DG$14,23)</f>
        <v>5</v>
      </c>
      <c r="AD112" s="371"/>
      <c r="AE112" s="370">
        <f>VLOOKUP($AA92,Schlüssel!$A$5:$EK$14,24)</f>
        <v>3</v>
      </c>
      <c r="AF112" s="371"/>
      <c r="AG112" s="370">
        <f>VLOOKUP($AA92,Schlüssel!$A$5:$EK$14,25)</f>
        <v>1</v>
      </c>
      <c r="AH112" s="371"/>
      <c r="AI112" s="370">
        <f>VLOOKUP($AA92,Schlüssel!$A$5:$EK$14,26)</f>
        <v>8</v>
      </c>
      <c r="AJ112" s="371"/>
      <c r="AK112" s="370">
        <f>VLOOKUP($AA92,Schlüssel!$A$5:$EK$14,27)</f>
        <v>6</v>
      </c>
      <c r="AL112" s="371"/>
      <c r="AM112" s="370">
        <f>VLOOKUP($AA92,Schlüssel!$A$5:$EK$14,28)</f>
        <v>10</v>
      </c>
      <c r="AN112" s="371"/>
      <c r="AO112" s="370">
        <f>VLOOKUP($AA92,Schlüssel!$A$5:$EK$14,29)</f>
        <v>9</v>
      </c>
      <c r="AP112" s="371"/>
      <c r="AQ112" s="370">
        <f>VLOOKUP($AA92,Schlüssel!$A$5:$EK$14,30)</f>
        <v>2</v>
      </c>
      <c r="AR112" s="371"/>
      <c r="AS112" s="370">
        <f>VLOOKUP($AA92,Schlüssel!$A$5:$EK$14,31)</f>
        <v>7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M114" si="137">IF(AA113=0,"",AA113)</f>
        <v/>
      </c>
      <c r="C113" s="86" t="str">
        <f t="shared" si="137"/>
        <v/>
      </c>
      <c r="D113" s="358" t="str">
        <f t="shared" si="137"/>
        <v>RW Lichtenhof Stein 1</v>
      </c>
      <c r="E113" s="359" t="str">
        <f t="shared" si="137"/>
        <v/>
      </c>
      <c r="F113" s="358" t="str">
        <f t="shared" si="137"/>
        <v>BK München 3</v>
      </c>
      <c r="G113" s="359" t="str">
        <f t="shared" si="137"/>
        <v/>
      </c>
      <c r="H113" s="358" t="str">
        <f t="shared" si="137"/>
        <v>BC Comet Nürnberg</v>
      </c>
      <c r="I113" s="359" t="str">
        <f t="shared" si="137"/>
        <v/>
      </c>
      <c r="J113" s="358" t="str">
        <f t="shared" si="137"/>
        <v>BC EMAX Unterföhring 2</v>
      </c>
      <c r="K113" s="359" t="str">
        <f t="shared" si="137"/>
        <v/>
      </c>
      <c r="L113" s="358" t="str">
        <f t="shared" si="137"/>
        <v>SG Rottendorf 1</v>
      </c>
      <c r="M113" s="359" t="str">
        <f t="shared" si="137"/>
        <v/>
      </c>
      <c r="N113" s="358" t="str">
        <f t="shared" si="136"/>
        <v>High Roller Rosenheim 1</v>
      </c>
      <c r="O113" s="359" t="str">
        <f t="shared" si="136"/>
        <v/>
      </c>
      <c r="P113" s="358" t="str">
        <f t="shared" si="136"/>
        <v>Bowlinghaus Bamberg 1</v>
      </c>
      <c r="Q113" s="359" t="str">
        <f t="shared" si="136"/>
        <v/>
      </c>
      <c r="R113" s="358" t="str">
        <f t="shared" si="136"/>
        <v>Bajuwaren München 1</v>
      </c>
      <c r="S113" s="359" t="str">
        <f t="shared" si="136"/>
        <v/>
      </c>
      <c r="T113" s="358" t="str">
        <f t="shared" si="136"/>
        <v>Schanzer Ingolstadt 1</v>
      </c>
      <c r="U113" s="359" t="str">
        <f t="shared" si="136"/>
        <v/>
      </c>
      <c r="V113" s="363"/>
      <c r="W113" s="363"/>
      <c r="AA113" s="90"/>
      <c r="AB113" s="86"/>
      <c r="AC113" s="358" t="str">
        <f>VLOOKUP(AC112,Schlüssel!$A$5:$K$14,2)</f>
        <v>RW Lichtenhof Stein 1</v>
      </c>
      <c r="AD113" s="359"/>
      <c r="AE113" s="358" t="str">
        <f>VLOOKUP(AE112,Schlüssel!$A$5:$K$14,2)</f>
        <v>BK München 3</v>
      </c>
      <c r="AF113" s="359"/>
      <c r="AG113" s="358" t="str">
        <f>VLOOKUP(AG112,Schlüssel!$A$5:$K$14,2)</f>
        <v>BC Comet Nürnberg</v>
      </c>
      <c r="AH113" s="359"/>
      <c r="AI113" s="358" t="str">
        <f>VLOOKUP(AI112,Schlüssel!$A$5:$K$14,2)</f>
        <v>BC EMAX Unterföhring 2</v>
      </c>
      <c r="AJ113" s="359"/>
      <c r="AK113" s="358" t="str">
        <f>VLOOKUP(AK112,Schlüssel!$A$5:$K$14,2)</f>
        <v>SG Rottendorf 1</v>
      </c>
      <c r="AL113" s="359"/>
      <c r="AM113" s="358" t="str">
        <f>VLOOKUP(AM112,Schlüssel!$A$5:$K$14,2)</f>
        <v>High Roller Rosenheim 1</v>
      </c>
      <c r="AN113" s="359"/>
      <c r="AO113" s="358" t="str">
        <f>VLOOKUP(AO112,Schlüssel!$A$5:$K$14,2)</f>
        <v>Bowlinghaus Bamberg 1</v>
      </c>
      <c r="AP113" s="359"/>
      <c r="AQ113" s="358" t="str">
        <f>VLOOKUP(AQ112,Schlüssel!$A$5:$K$14,2)</f>
        <v>Bajuwaren München 1</v>
      </c>
      <c r="AR113" s="359"/>
      <c r="AS113" s="358" t="str">
        <f>VLOOKUP(AS112,Schlüssel!$A$5:$K$14,2)</f>
        <v>Schanzer Ingolstadt 1</v>
      </c>
      <c r="AT113" s="359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60" t="str">
        <f t="shared" si="137"/>
        <v/>
      </c>
      <c r="E114" s="360" t="str">
        <f t="shared" si="137"/>
        <v/>
      </c>
      <c r="F114" s="360" t="str">
        <f t="shared" si="137"/>
        <v/>
      </c>
      <c r="G114" s="360" t="str">
        <f t="shared" si="137"/>
        <v/>
      </c>
      <c r="H114" s="360" t="str">
        <f t="shared" si="137"/>
        <v/>
      </c>
      <c r="I114" s="360" t="str">
        <f t="shared" si="137"/>
        <v/>
      </c>
      <c r="J114" s="360" t="str">
        <f t="shared" si="137"/>
        <v/>
      </c>
      <c r="K114" s="360" t="str">
        <f t="shared" si="137"/>
        <v/>
      </c>
      <c r="L114" s="360" t="str">
        <f t="shared" si="137"/>
        <v/>
      </c>
      <c r="M114" s="360" t="str">
        <f t="shared" si="137"/>
        <v/>
      </c>
      <c r="N114" s="360" t="str">
        <f t="shared" si="136"/>
        <v/>
      </c>
      <c r="O114" s="360" t="str">
        <f t="shared" si="136"/>
        <v/>
      </c>
      <c r="P114" s="360" t="str">
        <f t="shared" si="136"/>
        <v/>
      </c>
      <c r="Q114" s="360" t="str">
        <f t="shared" si="136"/>
        <v/>
      </c>
      <c r="R114" s="360" t="str">
        <f t="shared" si="136"/>
        <v/>
      </c>
      <c r="S114" s="360" t="str">
        <f t="shared" si="136"/>
        <v/>
      </c>
      <c r="T114" s="360" t="str">
        <f t="shared" si="136"/>
        <v/>
      </c>
      <c r="U114" s="361" t="str">
        <f t="shared" si="136"/>
        <v/>
      </c>
      <c r="V114" s="298"/>
      <c r="W114" s="298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4" t="str">
        <f t="shared" ref="B115:C119" si="138">IF(AA115=0,"",AA115)</f>
        <v>Spieler 1</v>
      </c>
      <c r="C115" s="375" t="str">
        <f t="shared" si="138"/>
        <v/>
      </c>
      <c r="D115" s="362">
        <f>IF(AC115=301,"",AC115)</f>
        <v>207</v>
      </c>
      <c r="E115" s="362" t="str">
        <f>IF(AD115=0,"",AD115)</f>
        <v/>
      </c>
      <c r="F115" s="362">
        <f>IF(AE115=301,"",AE115)</f>
        <v>223</v>
      </c>
      <c r="G115" s="362" t="str">
        <f>IF(AF115=0,"",AF115)</f>
        <v/>
      </c>
      <c r="H115" s="362">
        <f>IF(AG115=301,"",AG115)</f>
        <v>191</v>
      </c>
      <c r="I115" s="362" t="str">
        <f>IF(AH115=0,"",AH115)</f>
        <v/>
      </c>
      <c r="J115" s="362">
        <f>IF(AI115=301,"",AI115)</f>
        <v>187</v>
      </c>
      <c r="K115" s="362" t="str">
        <f>IF(AJ115=0,"",AJ115)</f>
        <v/>
      </c>
      <c r="L115" s="362">
        <f>IF(AK115=301,"",AK115)</f>
        <v>162</v>
      </c>
      <c r="M115" s="362" t="str">
        <f>IF(AL115=0,"",AL115)</f>
        <v/>
      </c>
      <c r="N115" s="362">
        <f>IF(AM115=301,"",AM115)</f>
        <v>165</v>
      </c>
      <c r="O115" s="362" t="str">
        <f>IF(AN115=0,"",AN115)</f>
        <v/>
      </c>
      <c r="P115" s="362">
        <f>IF(AO115=301,"",AO115)</f>
        <v>215</v>
      </c>
      <c r="Q115" s="362" t="str">
        <f>IF(AP115=0,"",AP115)</f>
        <v/>
      </c>
      <c r="R115" s="362">
        <f>IF(AQ115=301,"",AQ115)</f>
        <v>179</v>
      </c>
      <c r="S115" s="362" t="str">
        <f>IF(AR115=0,"",AR115)</f>
        <v/>
      </c>
      <c r="T115" s="362">
        <f>IF(AS115=301,"",AS115)</f>
        <v>141</v>
      </c>
      <c r="U115" s="362" t="str">
        <f>IF(AT115=0,"",AT115)</f>
        <v/>
      </c>
      <c r="V115" s="364"/>
      <c r="W115" s="364"/>
      <c r="AA115" s="91" t="s">
        <v>0</v>
      </c>
      <c r="AB115" s="92"/>
      <c r="AC115" s="368">
        <f>ABS(INDEX(AC:AC,MATCH(AC112,$AA:$AA,0)+5)+INDEX(AC:AC,MATCH(AC112,$AA:$AA,0)+6)+INDEX(AC:AC,MATCH(AC112,$AA:$AA,0)+7))</f>
        <v>207</v>
      </c>
      <c r="AD115" s="369"/>
      <c r="AE115" s="368">
        <f>ABS(INDEX(AE:AE,MATCH(AE112,$AA:$AA,0)+5)+INDEX(AE:AE,MATCH(AE112,$AA:$AA,0)+6)+INDEX(AE:AE,MATCH(AE112,$AA:$AA,0)+7))</f>
        <v>223</v>
      </c>
      <c r="AF115" s="369"/>
      <c r="AG115" s="368">
        <f>ABS(INDEX(AG:AG,MATCH(AG112,$AA:$AA,0)+5)+INDEX(AG:AG,MATCH(AG112,$AA:$AA,0)+6)+INDEX(AG:AG,MATCH(AG112,$AA:$AA,0)+7))</f>
        <v>191</v>
      </c>
      <c r="AH115" s="369"/>
      <c r="AI115" s="368">
        <f>ABS(INDEX(AI:AI,MATCH(AI112,$AA:$AA,0)+5)+INDEX(AI:AI,MATCH(AI112,$AA:$AA,0)+6)+INDEX(AI:AI,MATCH(AI112,$AA:$AA,0)+7))</f>
        <v>187</v>
      </c>
      <c r="AJ115" s="369"/>
      <c r="AK115" s="368">
        <f>ABS(INDEX(AK:AK,MATCH(AK112,$AA:$AA,0)+5)+INDEX(AK:AK,MATCH(AK112,$AA:$AA,0)+6)+INDEX(AK:AK,MATCH(AK112,$AA:$AA,0)+7))</f>
        <v>162</v>
      </c>
      <c r="AL115" s="369"/>
      <c r="AM115" s="368">
        <f>ABS(INDEX(AM:AM,MATCH(AM112,$AA:$AA,0)+5)+INDEX(AM:AM,MATCH(AM112,$AA:$AA,0)+6)+INDEX(AM:AM,MATCH(AM112,$AA:$AA,0)+7))</f>
        <v>165</v>
      </c>
      <c r="AN115" s="369"/>
      <c r="AO115" s="368">
        <f>ABS(INDEX(AO:AO,MATCH(AO112,$AA:$AA,0)+5)+INDEX(AO:AO,MATCH(AO112,$AA:$AA,0)+6)+INDEX(AO:AO,MATCH(AO112,$AA:$AA,0)+7))</f>
        <v>215</v>
      </c>
      <c r="AP115" s="369"/>
      <c r="AQ115" s="368">
        <f>ABS(INDEX(AQ:AQ,MATCH(AQ112,$AA:$AA,0)+5)+INDEX(AQ:AQ,MATCH(AQ112,$AA:$AA,0)+6)+INDEX(AQ:AQ,MATCH(AQ112,$AA:$AA,0)+7))</f>
        <v>179</v>
      </c>
      <c r="AR115" s="369"/>
      <c r="AS115" s="368">
        <f>ABS(INDEX(AS:AS,MATCH(AS112,$AA:$AA,0)+5)+INDEX(AS:AS,MATCH(AS112,$AA:$AA,0)+6)+INDEX(AS:AS,MATCH(AS112,$AA:$AA,0)+7))</f>
        <v>141</v>
      </c>
      <c r="AT115" s="369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4" t="str">
        <f t="shared" si="138"/>
        <v>Spieler 2</v>
      </c>
      <c r="C116" s="375" t="str">
        <f t="shared" si="138"/>
        <v/>
      </c>
      <c r="D116" s="362">
        <f>IF(AC116=301,"",AC116)</f>
        <v>144</v>
      </c>
      <c r="E116" s="362" t="str">
        <f>IF(AD116=0,"",AD116)</f>
        <v/>
      </c>
      <c r="F116" s="362">
        <f>IF(AE116=301,"",AE116)</f>
        <v>178</v>
      </c>
      <c r="G116" s="362" t="str">
        <f>IF(AF116=0,"",AF116)</f>
        <v/>
      </c>
      <c r="H116" s="362">
        <f>IF(AG116=301,"",AG116)</f>
        <v>225</v>
      </c>
      <c r="I116" s="362" t="str">
        <f>IF(AH116=0,"",AH116)</f>
        <v/>
      </c>
      <c r="J116" s="362">
        <f>IF(AI116=301,"",AI116)</f>
        <v>215</v>
      </c>
      <c r="K116" s="362" t="str">
        <f>IF(AJ116=0,"",AJ116)</f>
        <v/>
      </c>
      <c r="L116" s="362">
        <f>IF(AK116=301,"",AK116)</f>
        <v>181</v>
      </c>
      <c r="M116" s="362" t="str">
        <f>IF(AL116=0,"",AL116)</f>
        <v/>
      </c>
      <c r="N116" s="362">
        <f>IF(AM116=301,"",AM116)</f>
        <v>169</v>
      </c>
      <c r="O116" s="362" t="str">
        <f>IF(AN116=0,"",AN116)</f>
        <v/>
      </c>
      <c r="P116" s="362">
        <f>IF(AO116=301,"",AO116)</f>
        <v>180</v>
      </c>
      <c r="Q116" s="362" t="str">
        <f>IF(AP116=0,"",AP116)</f>
        <v/>
      </c>
      <c r="R116" s="362">
        <f>IF(AQ116=301,"",AQ116)</f>
        <v>138</v>
      </c>
      <c r="S116" s="362" t="str">
        <f>IF(AR116=0,"",AR116)</f>
        <v/>
      </c>
      <c r="T116" s="362">
        <f>IF(AS116=301,"",AS116)</f>
        <v>135</v>
      </c>
      <c r="U116" s="362" t="str">
        <f>IF(AT116=0,"",AT116)</f>
        <v/>
      </c>
      <c r="V116" s="364"/>
      <c r="W116" s="364"/>
      <c r="AA116" s="91" t="s">
        <v>2</v>
      </c>
      <c r="AB116" s="92"/>
      <c r="AC116" s="366">
        <f>ABS(INDEX(AC:AC,MATCH(AC112,$AA:$AA,0)+8)+INDEX(AC:AC,MATCH(AC112,$AA:$AA,0)+9)+INDEX(AC:AC,MATCH(AC112,$AA:$AA,0)+10))</f>
        <v>144</v>
      </c>
      <c r="AD116" s="367"/>
      <c r="AE116" s="366">
        <f>ABS(INDEX(AE:AE,MATCH(AE112,$AA:$AA,0)+8)+INDEX(AE:AE,MATCH(AE112,$AA:$AA,0)+9)+INDEX(AE:AE,MATCH(AE112,$AA:$AA,0)+10))</f>
        <v>178</v>
      </c>
      <c r="AF116" s="367"/>
      <c r="AG116" s="366">
        <f>ABS(INDEX(AG:AG,MATCH(AG112,$AA:$AA,0)+8)+INDEX(AG:AG,MATCH(AG112,$AA:$AA,0)+9)+INDEX(AG:AG,MATCH(AG112,$AA:$AA,0)+10))</f>
        <v>225</v>
      </c>
      <c r="AH116" s="367"/>
      <c r="AI116" s="366">
        <f>ABS(INDEX(AI:AI,MATCH(AI112,$AA:$AA,0)+8)+INDEX(AI:AI,MATCH(AI112,$AA:$AA,0)+9)+INDEX(AI:AI,MATCH(AI112,$AA:$AA,0)+10))</f>
        <v>215</v>
      </c>
      <c r="AJ116" s="367"/>
      <c r="AK116" s="366">
        <f>ABS(INDEX(AK:AK,MATCH(AK112,$AA:$AA,0)+8)+INDEX(AK:AK,MATCH(AK112,$AA:$AA,0)+9)+INDEX(AK:AK,MATCH(AK112,$AA:$AA,0)+10))</f>
        <v>181</v>
      </c>
      <c r="AL116" s="367"/>
      <c r="AM116" s="366">
        <f>ABS(INDEX(AM:AM,MATCH(AM112,$AA:$AA,0)+8)+INDEX(AM:AM,MATCH(AM112,$AA:$AA,0)+9)+INDEX(AM:AM,MATCH(AM112,$AA:$AA,0)+10))</f>
        <v>169</v>
      </c>
      <c r="AN116" s="367"/>
      <c r="AO116" s="366">
        <f>ABS(INDEX(AO:AO,MATCH(AO112,$AA:$AA,0)+8)+INDEX(AO:AO,MATCH(AO112,$AA:$AA,0)+9)+INDEX(AO:AO,MATCH(AO112,$AA:$AA,0)+10))</f>
        <v>180</v>
      </c>
      <c r="AP116" s="367"/>
      <c r="AQ116" s="366">
        <f>ABS(INDEX(AQ:AQ,MATCH(AQ112,$AA:$AA,0)+8)+INDEX(AQ:AQ,MATCH(AQ112,$AA:$AA,0)+9)+INDEX(AQ:AQ,MATCH(AQ112,$AA:$AA,0)+10))</f>
        <v>138</v>
      </c>
      <c r="AR116" s="367"/>
      <c r="AS116" s="366">
        <f>ABS(INDEX(AS:AS,MATCH(AS112,$AA:$AA,0)+8)+INDEX(AS:AS,MATCH(AS112,$AA:$AA,0)+9)+INDEX(AS:AS,MATCH(AS112,$AA:$AA,0)+10))</f>
        <v>135</v>
      </c>
      <c r="AT116" s="367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4" t="str">
        <f t="shared" si="138"/>
        <v>Spieler 3</v>
      </c>
      <c r="C117" s="375" t="str">
        <f t="shared" si="138"/>
        <v/>
      </c>
      <c r="D117" s="362">
        <f>IF(AC117=301,"",AC117)</f>
        <v>201</v>
      </c>
      <c r="E117" s="362" t="str">
        <f>IF(AD117=0,"",AD117)</f>
        <v/>
      </c>
      <c r="F117" s="362">
        <f>IF(AE117=301,"",AE117)</f>
        <v>201</v>
      </c>
      <c r="G117" s="362" t="str">
        <f>IF(AF117=0,"",AF117)</f>
        <v/>
      </c>
      <c r="H117" s="362">
        <f>IF(AG117=301,"",AG117)</f>
        <v>175</v>
      </c>
      <c r="I117" s="362" t="str">
        <f>IF(AH117=0,"",AH117)</f>
        <v/>
      </c>
      <c r="J117" s="362">
        <f>IF(AI117=301,"",AI117)</f>
        <v>213</v>
      </c>
      <c r="K117" s="362" t="str">
        <f>IF(AJ117=0,"",AJ117)</f>
        <v/>
      </c>
      <c r="L117" s="362">
        <f>IF(AK117=301,"",AK117)</f>
        <v>155</v>
      </c>
      <c r="M117" s="362" t="str">
        <f>IF(AL117=0,"",AL117)</f>
        <v/>
      </c>
      <c r="N117" s="362">
        <f>IF(AM117=301,"",AM117)</f>
        <v>159</v>
      </c>
      <c r="O117" s="362" t="str">
        <f>IF(AN117=0,"",AN117)</f>
        <v/>
      </c>
      <c r="P117" s="362">
        <f>IF(AO117=301,"",AO117)</f>
        <v>159</v>
      </c>
      <c r="Q117" s="362" t="str">
        <f>IF(AP117=0,"",AP117)</f>
        <v/>
      </c>
      <c r="R117" s="362">
        <f>IF(AQ117=301,"",AQ117)</f>
        <v>169</v>
      </c>
      <c r="S117" s="362" t="str">
        <f>IF(AR117=0,"",AR117)</f>
        <v/>
      </c>
      <c r="T117" s="362">
        <f>IF(AS117=301,"",AS117)</f>
        <v>178</v>
      </c>
      <c r="U117" s="362" t="str">
        <f>IF(AT117=0,"",AT117)</f>
        <v/>
      </c>
      <c r="V117" s="364"/>
      <c r="W117" s="364"/>
      <c r="AA117" s="91" t="s">
        <v>3</v>
      </c>
      <c r="AB117" s="92"/>
      <c r="AC117" s="366">
        <f>ABS(INDEX(AC:AC,MATCH(AC112,$AA:$AA,0)+11)+INDEX(AC:AC,MATCH(AC112,$AA:$AA,0)+12)+INDEX(AC:AC,MATCH(AC112,$AA:$AA,0)+13))</f>
        <v>201</v>
      </c>
      <c r="AD117" s="367"/>
      <c r="AE117" s="366">
        <f>ABS(INDEX(AE:AE,MATCH(AE112,$AA:$AA,0)+11)+INDEX(AE:AE,MATCH(AE112,$AA:$AA,0)+12)+INDEX(AE:AE,MATCH(AE112,$AA:$AA,0)+13))</f>
        <v>201</v>
      </c>
      <c r="AF117" s="367"/>
      <c r="AG117" s="366">
        <f>ABS(INDEX(AG:AG,MATCH(AG112,$AA:$AA,0)+11)+INDEX(AG:AG,MATCH(AG112,$AA:$AA,0)+12)+INDEX(AG:AG,MATCH(AG112,$AA:$AA,0)+13))</f>
        <v>175</v>
      </c>
      <c r="AH117" s="367"/>
      <c r="AI117" s="366">
        <f>ABS(INDEX(AI:AI,MATCH(AI112,$AA:$AA,0)+11)+INDEX(AI:AI,MATCH(AI112,$AA:$AA,0)+12)+INDEX(AI:AI,MATCH(AI112,$AA:$AA,0)+13))</f>
        <v>213</v>
      </c>
      <c r="AJ117" s="367"/>
      <c r="AK117" s="366">
        <f>ABS(INDEX(AK:AK,MATCH(AK112,$AA:$AA,0)+11)+INDEX(AK:AK,MATCH(AK112,$AA:$AA,0)+12)+INDEX(AK:AK,MATCH(AK112,$AA:$AA,0)+13))</f>
        <v>155</v>
      </c>
      <c r="AL117" s="367"/>
      <c r="AM117" s="366">
        <f>ABS(INDEX(AM:AM,MATCH(AM112,$AA:$AA,0)+11)+INDEX(AM:AM,MATCH(AM112,$AA:$AA,0)+12)+INDEX(AM:AM,MATCH(AM112,$AA:$AA,0)+13))</f>
        <v>159</v>
      </c>
      <c r="AN117" s="367"/>
      <c r="AO117" s="366">
        <f>ABS(INDEX(AO:AO,MATCH(AO112,$AA:$AA,0)+11)+INDEX(AO:AO,MATCH(AO112,$AA:$AA,0)+12)+INDEX(AO:AO,MATCH(AO112,$AA:$AA,0)+13))</f>
        <v>159</v>
      </c>
      <c r="AP117" s="367"/>
      <c r="AQ117" s="366">
        <f>ABS(INDEX(AQ:AQ,MATCH(AQ112,$AA:$AA,0)+11)+INDEX(AQ:AQ,MATCH(AQ112,$AA:$AA,0)+12)+INDEX(AQ:AQ,MATCH(AQ112,$AA:$AA,0)+13))</f>
        <v>169</v>
      </c>
      <c r="AR117" s="367"/>
      <c r="AS117" s="366">
        <f>ABS(INDEX(AS:AS,MATCH(AS112,$AA:$AA,0)+11)+INDEX(AS:AS,MATCH(AS112,$AA:$AA,0)+12)+INDEX(AS:AS,MATCH(AS112,$AA:$AA,0)+13))</f>
        <v>178</v>
      </c>
      <c r="AT117" s="367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4" t="str">
        <f t="shared" si="138"/>
        <v>Spieler 4</v>
      </c>
      <c r="C118" s="375" t="str">
        <f t="shared" si="138"/>
        <v/>
      </c>
      <c r="D118" s="362">
        <f>IF(AC118=301,"",AC118)</f>
        <v>204</v>
      </c>
      <c r="E118" s="362" t="str">
        <f>IF(AD118=0,"",AD118)</f>
        <v/>
      </c>
      <c r="F118" s="362">
        <f>IF(AE118=301,"",AE118)</f>
        <v>149</v>
      </c>
      <c r="G118" s="362" t="str">
        <f>IF(AF118=0,"",AF118)</f>
        <v/>
      </c>
      <c r="H118" s="362">
        <f>IF(AG118=301,"",AG118)</f>
        <v>171</v>
      </c>
      <c r="I118" s="362" t="str">
        <f>IF(AH118=0,"",AH118)</f>
        <v/>
      </c>
      <c r="J118" s="362">
        <f>IF(AI118=301,"",AI118)</f>
        <v>178</v>
      </c>
      <c r="K118" s="362" t="str">
        <f>IF(AJ118=0,"",AJ118)</f>
        <v/>
      </c>
      <c r="L118" s="362">
        <f>IF(AK118=301,"",AK118)</f>
        <v>171</v>
      </c>
      <c r="M118" s="362" t="str">
        <f>IF(AL118=0,"",AL118)</f>
        <v/>
      </c>
      <c r="N118" s="362">
        <f>IF(AM118=301,"",AM118)</f>
        <v>179</v>
      </c>
      <c r="O118" s="362" t="str">
        <f>IF(AN118=0,"",AN118)</f>
        <v/>
      </c>
      <c r="P118" s="362">
        <f>IF(AO118=301,"",AO118)</f>
        <v>174</v>
      </c>
      <c r="Q118" s="362" t="str">
        <f>IF(AP118=0,"",AP118)</f>
        <v/>
      </c>
      <c r="R118" s="362">
        <f>IF(AQ118=301,"",AQ118)</f>
        <v>174</v>
      </c>
      <c r="S118" s="362" t="str">
        <f>IF(AR118=0,"",AR118)</f>
        <v/>
      </c>
      <c r="T118" s="362">
        <f>IF(AS118=301,"",AS118)</f>
        <v>177</v>
      </c>
      <c r="U118" s="362" t="str">
        <f>IF(AT118=0,"",AT118)</f>
        <v/>
      </c>
      <c r="V118" s="364"/>
      <c r="W118" s="364"/>
      <c r="AA118" s="91" t="s">
        <v>11</v>
      </c>
      <c r="AB118" s="92"/>
      <c r="AC118" s="366">
        <f>ABS(INDEX(AC:AC,MATCH(AC112,$AA:$AA,0)+14)+INDEX(AC:AC,MATCH(AC112,$AA:$AA,0)+15)+INDEX(AC:AC,MATCH(AC112,$AA:$AA,0)+16))</f>
        <v>204</v>
      </c>
      <c r="AD118" s="367"/>
      <c r="AE118" s="366">
        <f>ABS(INDEX(AE:AE,MATCH(AE112,$AA:$AA,0)+14)+INDEX(AE:AE,MATCH(AE112,$AA:$AA,0)+15)+INDEX(AE:AE,MATCH(AE112,$AA:$AA,0)+16))</f>
        <v>149</v>
      </c>
      <c r="AF118" s="367"/>
      <c r="AG118" s="366">
        <f>ABS(INDEX(AG:AG,MATCH(AG112,$AA:$AA,0)+14)+INDEX(AG:AG,MATCH(AG112,$AA:$AA,0)+15)+INDEX(AG:AG,MATCH(AG112,$AA:$AA,0)+16))</f>
        <v>171</v>
      </c>
      <c r="AH118" s="367"/>
      <c r="AI118" s="366">
        <f>ABS(INDEX(AI:AI,MATCH(AI112,$AA:$AA,0)+14)+INDEX(AI:AI,MATCH(AI112,$AA:$AA,0)+15)+INDEX(AI:AI,MATCH(AI112,$AA:$AA,0)+16))</f>
        <v>178</v>
      </c>
      <c r="AJ118" s="367"/>
      <c r="AK118" s="366">
        <f>ABS(INDEX(AK:AK,MATCH(AK112,$AA:$AA,0)+14)+INDEX(AK:AK,MATCH(AK112,$AA:$AA,0)+15)+INDEX(AK:AK,MATCH(AK112,$AA:$AA,0)+16))</f>
        <v>171</v>
      </c>
      <c r="AL118" s="367"/>
      <c r="AM118" s="366">
        <f>ABS(INDEX(AM:AM,MATCH(AM112,$AA:$AA,0)+14)+INDEX(AM:AM,MATCH(AM112,$AA:$AA,0)+15)+INDEX(AM:AM,MATCH(AM112,$AA:$AA,0)+16))</f>
        <v>179</v>
      </c>
      <c r="AN118" s="367"/>
      <c r="AO118" s="366">
        <f>ABS(INDEX(AO:AO,MATCH(AO112,$AA:$AA,0)+14)+INDEX(AO:AO,MATCH(AO112,$AA:$AA,0)+15)+INDEX(AO:AO,MATCH(AO112,$AA:$AA,0)+16))</f>
        <v>174</v>
      </c>
      <c r="AP118" s="367"/>
      <c r="AQ118" s="366">
        <f>ABS(INDEX(AQ:AQ,MATCH(AQ112,$AA:$AA,0)+14)+INDEX(AQ:AQ,MATCH(AQ112,$AA:$AA,0)+15)+INDEX(AQ:AQ,MATCH(AQ112,$AA:$AA,0)+16))</f>
        <v>174</v>
      </c>
      <c r="AR118" s="367"/>
      <c r="AS118" s="366">
        <f>ABS(INDEX(AS:AS,MATCH(AS112,$AA:$AA,0)+14)+INDEX(AS:AS,MATCH(AS112,$AA:$AA,0)+15)+INDEX(AS:AS,MATCH(AS112,$AA:$AA,0)+16))</f>
        <v>177</v>
      </c>
      <c r="AT118" s="367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6" t="str">
        <f t="shared" si="138"/>
        <v>Gesamt</v>
      </c>
      <c r="C119" s="347" t="str">
        <f t="shared" si="138"/>
        <v/>
      </c>
      <c r="D119" s="365">
        <f>IF(AC119=1505,"",AC119)</f>
        <v>756</v>
      </c>
      <c r="E119" s="365" t="str">
        <f>IF(AD119=0,"",AD119)</f>
        <v/>
      </c>
      <c r="F119" s="365">
        <f>IF(AE119=1505,"",AE119)</f>
        <v>751</v>
      </c>
      <c r="G119" s="365" t="str">
        <f>IF(AF119=0,"",AF119)</f>
        <v/>
      </c>
      <c r="H119" s="365">
        <f>IF(AG119=1505,"",AG119)</f>
        <v>762</v>
      </c>
      <c r="I119" s="365" t="str">
        <f>IF(AH119=0,"",AH119)</f>
        <v/>
      </c>
      <c r="J119" s="365">
        <f>IF(AI119=1505,"",AI119)</f>
        <v>793</v>
      </c>
      <c r="K119" s="365" t="str">
        <f>IF(AJ119=0,"",AJ119)</f>
        <v/>
      </c>
      <c r="L119" s="365">
        <f>IF(AK119=1505,"",AK119)</f>
        <v>669</v>
      </c>
      <c r="M119" s="365" t="str">
        <f>IF(AL119=0,"",AL119)</f>
        <v/>
      </c>
      <c r="N119" s="365">
        <f>IF(AM119=1505,"",AM119)</f>
        <v>672</v>
      </c>
      <c r="O119" s="365" t="str">
        <f>IF(AN119=0,"",AN119)</f>
        <v/>
      </c>
      <c r="P119" s="365">
        <f>IF(AO119=1505,"",AO119)</f>
        <v>728</v>
      </c>
      <c r="Q119" s="365" t="str">
        <f>IF(AP119=0,"",AP119)</f>
        <v/>
      </c>
      <c r="R119" s="365">
        <f>IF(AQ119=1505,"",AQ119)</f>
        <v>660</v>
      </c>
      <c r="S119" s="365" t="str">
        <f>IF(AR119=0,"",AR119)</f>
        <v/>
      </c>
      <c r="T119" s="365">
        <f>IF(AS119=1505,"",AS119)</f>
        <v>631</v>
      </c>
      <c r="U119" s="365" t="str">
        <f>IF(AT119=0,"",AT119)</f>
        <v/>
      </c>
      <c r="V119" s="301"/>
      <c r="W119" s="301"/>
      <c r="AA119" s="93" t="s">
        <v>1799</v>
      </c>
      <c r="AB119" s="94"/>
      <c r="AC119" s="346">
        <f>SUM(AC115:AC118)</f>
        <v>756</v>
      </c>
      <c r="AD119" s="347"/>
      <c r="AE119" s="346">
        <f>SUM(AE115:AE118)</f>
        <v>751</v>
      </c>
      <c r="AF119" s="347"/>
      <c r="AG119" s="346">
        <f>SUM(AG115:AG118)</f>
        <v>762</v>
      </c>
      <c r="AH119" s="347"/>
      <c r="AI119" s="346">
        <f>SUM(AI115:AI118)</f>
        <v>793</v>
      </c>
      <c r="AJ119" s="347"/>
      <c r="AK119" s="346">
        <f>SUM(AK115:AK118)</f>
        <v>669</v>
      </c>
      <c r="AL119" s="347"/>
      <c r="AM119" s="346">
        <f>SUM(AM115:AM118)</f>
        <v>672</v>
      </c>
      <c r="AN119" s="347"/>
      <c r="AO119" s="346">
        <f>SUM(AO115:AO118)</f>
        <v>728</v>
      </c>
      <c r="AP119" s="347"/>
      <c r="AQ119" s="346">
        <f>SUM(AQ115:AQ118)</f>
        <v>660</v>
      </c>
      <c r="AR119" s="347"/>
      <c r="AS119" s="346">
        <f>SUM(AS115:AS118)</f>
        <v>631</v>
      </c>
      <c r="AT119" s="347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5" t="str">
        <f>AE121</f>
        <v>Bayernliga Herren</v>
      </c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48"/>
      <c r="S121" s="49" t="s">
        <v>1794</v>
      </c>
      <c r="T121" s="50"/>
      <c r="U121" s="341" t="str">
        <f>AT121</f>
        <v>02.11./03.11.</v>
      </c>
      <c r="V121" s="342"/>
      <c r="W121" s="343"/>
      <c r="X121" s="372"/>
      <c r="Y121" s="373"/>
      <c r="Z121" s="373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41" t="str">
        <f>VLOOKUP(AS122,Spielorte!$A$1:$C$6,2)</f>
        <v>02.11./03.11.</v>
      </c>
      <c r="AU121" s="342"/>
      <c r="AV121" s="34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4" t="str">
        <f>AE122</f>
        <v>Nürnberg West Bowling</v>
      </c>
      <c r="G122" s="344"/>
      <c r="H122" s="344"/>
      <c r="I122" s="344"/>
      <c r="J122" s="344"/>
      <c r="K122" s="344"/>
      <c r="L122" s="344"/>
      <c r="M122" s="344"/>
      <c r="N122" s="344"/>
      <c r="O122" s="344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6" t="s">
        <v>1800</v>
      </c>
      <c r="E125" s="347"/>
      <c r="F125" s="346" t="s">
        <v>1801</v>
      </c>
      <c r="G125" s="347"/>
      <c r="H125" s="346" t="s">
        <v>1802</v>
      </c>
      <c r="I125" s="347"/>
      <c r="J125" s="346" t="s">
        <v>1803</v>
      </c>
      <c r="K125" s="347"/>
      <c r="L125" s="346" t="s">
        <v>1804</v>
      </c>
      <c r="M125" s="347"/>
      <c r="N125" s="346" t="s">
        <v>1805</v>
      </c>
      <c r="O125" s="347"/>
      <c r="P125" s="346" t="s">
        <v>1806</v>
      </c>
      <c r="Q125" s="347"/>
      <c r="R125" s="346" t="s">
        <v>1807</v>
      </c>
      <c r="S125" s="347"/>
      <c r="T125" s="346" t="s">
        <v>1808</v>
      </c>
      <c r="U125" s="347"/>
      <c r="V125" s="354" t="s">
        <v>1799</v>
      </c>
      <c r="W125" s="355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6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207</v>
      </c>
      <c r="E127" s="348">
        <f>IF(AD127="","",AD127)</f>
        <v>0</v>
      </c>
      <c r="F127" s="75">
        <f t="shared" ref="F127:F140" si="139">IF(AE127=0,"",AE127)</f>
        <v>153</v>
      </c>
      <c r="G127" s="348">
        <f>IF(AF127="","",AF127)</f>
        <v>0</v>
      </c>
      <c r="H127" s="75">
        <f t="shared" ref="H127:H140" si="140">IF(AG127=0,"",AG127)</f>
        <v>185</v>
      </c>
      <c r="I127" s="348">
        <f>IF(AH127="","",AH127)</f>
        <v>0</v>
      </c>
      <c r="J127" s="75">
        <f t="shared" ref="J127:J140" si="141">IF(AI127=0,"",AI127)</f>
        <v>181</v>
      </c>
      <c r="K127" s="348">
        <f>IF(AJ127="","",AJ127)</f>
        <v>1</v>
      </c>
      <c r="L127" s="75">
        <f t="shared" ref="L127:L140" si="142">IF(AK127=0,"",AK127)</f>
        <v>146</v>
      </c>
      <c r="M127" s="348">
        <f>IF(AL127="","",AL127)</f>
        <v>0</v>
      </c>
      <c r="N127" s="75">
        <f>IF(AM127=0,"",AM127)</f>
        <v>187</v>
      </c>
      <c r="O127" s="348">
        <f>IF(AN127="","",AN127)</f>
        <v>1</v>
      </c>
      <c r="P127" s="75">
        <f t="shared" ref="P127:P140" si="143">IF(AO127=0,"",AO127)</f>
        <v>203</v>
      </c>
      <c r="Q127" s="348">
        <f>IF(AP127="","",AP127)</f>
        <v>0</v>
      </c>
      <c r="R127" s="75">
        <f t="shared" ref="R127:R140" si="144">IF(AQ127=0,"",AQ127)</f>
        <v>190</v>
      </c>
      <c r="S127" s="348">
        <f>IF(AR127="","",AR127)</f>
        <v>1</v>
      </c>
      <c r="T127" s="75">
        <f t="shared" ref="T127:T140" si="145">IF(AS127=0,"",AS127)</f>
        <v>179</v>
      </c>
      <c r="U127" s="348">
        <f>IF(AT127="","",AT127)</f>
        <v>0</v>
      </c>
      <c r="V127" s="75">
        <f t="shared" ref="V127:V140" si="146">IF(AU127=0,"",AU127)</f>
        <v>1631</v>
      </c>
      <c r="W127" s="348">
        <f>IF(AV127="","",AV127)</f>
        <v>3</v>
      </c>
      <c r="Z127" s="351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207</v>
      </c>
      <c r="AD127" s="109">
        <f>IF(SUM(AC127:AC129)+AC145=0,0,IF(SUM(AC127:AC129)=AC145,0.5,IF(SUM(AC127:AC129)&gt;AC145,1,0)))</f>
        <v>0</v>
      </c>
      <c r="AE127" s="185">
        <v>153</v>
      </c>
      <c r="AF127" s="109">
        <f>IF(SUM(AE127:AE129)+AE145=0,0,IF(SUM(AE127:AE129)=AE145,0.5,IF(SUM(AE127:AE129)&gt;AE145,1,0)))</f>
        <v>0</v>
      </c>
      <c r="AG127" s="185">
        <v>185</v>
      </c>
      <c r="AH127" s="109">
        <f>IF(SUM(AG127:AG129)+AG145=0,0,IF(SUM(AG127:AG129)=AG145,0.5,IF(SUM(AG127:AG129)&gt;AG145,1,0)))</f>
        <v>0</v>
      </c>
      <c r="AI127" s="185">
        <v>181</v>
      </c>
      <c r="AJ127" s="109">
        <f>IF(SUM(AI127:AI129)+AI145=0,0,IF(SUM(AI127:AI129)=AI145,0.5,IF(SUM(AI127:AI129)&gt;AI145,1,0)))</f>
        <v>1</v>
      </c>
      <c r="AK127" s="185">
        <v>146</v>
      </c>
      <c r="AL127" s="109">
        <f>IF(SUM(AK127:AK129)+AK145=0,0,IF(SUM(AK127:AK129)=AK145,0.5,IF(SUM(AK127:AK129)&gt;AK145,1,0)))</f>
        <v>0</v>
      </c>
      <c r="AM127" s="185">
        <v>187</v>
      </c>
      <c r="AN127" s="109">
        <f>IF(SUM(AM127:AM129)+AM145=0,0,IF(SUM(AM127:AM129)=AM145,0.5,IF(SUM(AM127:AM129)&gt;AM145,1,0)))</f>
        <v>1</v>
      </c>
      <c r="AO127" s="185">
        <v>203</v>
      </c>
      <c r="AP127" s="109">
        <f>IF(SUM(AO127:AO129)+AO145=0,0,IF(SUM(AO127:AO129)=AO145,0.5,IF(SUM(AO127:AO129)&gt;AO145,1,0)))</f>
        <v>0</v>
      </c>
      <c r="AQ127" s="185">
        <v>190</v>
      </c>
      <c r="AR127" s="109">
        <f>IF(SUM(AQ127:AQ129)+AQ145=0,0,IF(SUM(AQ127:AQ129)=AQ145,0.5,IF(SUM(AQ127:AQ129)&gt;AQ145,1,0)))</f>
        <v>1</v>
      </c>
      <c r="AS127" s="185">
        <v>179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1631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1631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207</v>
      </c>
      <c r="BI127" s="215">
        <f t="shared" ref="BI127:BI138" si="149">IF(AE127=0,"",AE127)</f>
        <v>153</v>
      </c>
      <c r="BJ127" s="215">
        <f t="shared" ref="BJ127:BJ138" si="150">IF(AG127=0,"",AG127)</f>
        <v>185</v>
      </c>
      <c r="BK127" s="215">
        <f t="shared" ref="BK127:BK138" si="151">IF(AI127=0,"",AI127)</f>
        <v>181</v>
      </c>
      <c r="BL127" s="215">
        <f t="shared" ref="BL127:BL138" si="152">IF(AK127=0,"",AK127)</f>
        <v>146</v>
      </c>
      <c r="BM127" s="215">
        <f t="shared" ref="BM127:BM138" si="153">IF(AM127=0,"",AM127)</f>
        <v>187</v>
      </c>
      <c r="BN127" s="215">
        <f t="shared" ref="BN127:BN138" si="154">IF(AO127=0,"",AO127)</f>
        <v>203</v>
      </c>
      <c r="BO127" s="215">
        <f t="shared" ref="BO127:BO138" si="155">IF(AQ127=0,"",AQ127)</f>
        <v>190</v>
      </c>
      <c r="BP127" s="215">
        <f t="shared" ref="BP127:BP138" si="156">IF(AS127=0,"",AS127)</f>
        <v>179</v>
      </c>
      <c r="BQ127" s="216"/>
      <c r="BR127" s="214"/>
      <c r="BS127" s="215">
        <f>MAX(BH127:BP127)</f>
        <v>207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1631</v>
      </c>
      <c r="BX127" s="215">
        <f>IF(COUNTIF(BH127:BP127,"&gt;0")&lt;Spielorte!$A$23,0,BE127/Spielorte!$A$23)</f>
        <v>181.22222222222223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77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9"/>
      <c r="F128" s="78" t="str">
        <f t="shared" si="139"/>
        <v/>
      </c>
      <c r="G128" s="349"/>
      <c r="H128" s="78" t="str">
        <f t="shared" si="140"/>
        <v/>
      </c>
      <c r="I128" s="349"/>
      <c r="J128" s="78" t="str">
        <f t="shared" si="141"/>
        <v/>
      </c>
      <c r="K128" s="349"/>
      <c r="L128" s="78" t="str">
        <f t="shared" si="142"/>
        <v/>
      </c>
      <c r="M128" s="349"/>
      <c r="N128" s="78" t="str">
        <f t="shared" ref="N128:N140" si="159">IF(AM128=0,"",AM128)</f>
        <v/>
      </c>
      <c r="O128" s="349"/>
      <c r="P128" s="78" t="str">
        <f t="shared" si="143"/>
        <v/>
      </c>
      <c r="Q128" s="349"/>
      <c r="R128" s="78" t="str">
        <f t="shared" si="144"/>
        <v/>
      </c>
      <c r="S128" s="349"/>
      <c r="T128" s="78" t="str">
        <f t="shared" si="145"/>
        <v/>
      </c>
      <c r="U128" s="349"/>
      <c r="V128" s="78" t="str">
        <f t="shared" si="146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8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0"/>
      <c r="F129" s="69" t="str">
        <f t="shared" si="139"/>
        <v/>
      </c>
      <c r="G129" s="350"/>
      <c r="H129" s="69" t="str">
        <f t="shared" si="140"/>
        <v/>
      </c>
      <c r="I129" s="350"/>
      <c r="J129" s="69" t="str">
        <f t="shared" si="141"/>
        <v/>
      </c>
      <c r="K129" s="350"/>
      <c r="L129" s="69" t="str">
        <f t="shared" si="142"/>
        <v/>
      </c>
      <c r="M129" s="350"/>
      <c r="N129" s="69" t="str">
        <f t="shared" si="159"/>
        <v/>
      </c>
      <c r="O129" s="350"/>
      <c r="P129" s="69" t="str">
        <f t="shared" si="143"/>
        <v/>
      </c>
      <c r="Q129" s="350"/>
      <c r="R129" s="69" t="str">
        <f t="shared" si="144"/>
        <v/>
      </c>
      <c r="S129" s="350"/>
      <c r="T129" s="69" t="str">
        <f t="shared" si="145"/>
        <v/>
      </c>
      <c r="U129" s="350"/>
      <c r="V129" s="69" t="str">
        <f t="shared" si="146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76" t="s">
        <v>2</v>
      </c>
      <c r="B130" s="73" t="str">
        <f t="shared" si="158"/>
        <v>Netscheporenko, Marco</v>
      </c>
      <c r="C130" s="74">
        <f t="shared" si="158"/>
        <v>7959</v>
      </c>
      <c r="D130" s="75">
        <f t="shared" si="158"/>
        <v>144</v>
      </c>
      <c r="E130" s="348">
        <f>IF(AD130="","",AD130)</f>
        <v>0</v>
      </c>
      <c r="F130" s="75">
        <f t="shared" si="139"/>
        <v>194</v>
      </c>
      <c r="G130" s="348">
        <f>IF(AF130="","",AF130)</f>
        <v>1</v>
      </c>
      <c r="H130" s="75">
        <f t="shared" si="140"/>
        <v>184</v>
      </c>
      <c r="I130" s="348">
        <f>IF(AH130="","",AH130)</f>
        <v>0</v>
      </c>
      <c r="J130" s="75">
        <f t="shared" si="141"/>
        <v>137</v>
      </c>
      <c r="K130" s="348">
        <f>IF(AJ130="","",AJ130)</f>
        <v>0</v>
      </c>
      <c r="L130" s="75" t="str">
        <f t="shared" si="142"/>
        <v/>
      </c>
      <c r="M130" s="348">
        <f>IF(AL130="","",AL130)</f>
        <v>0</v>
      </c>
      <c r="N130" s="75" t="str">
        <f t="shared" si="159"/>
        <v/>
      </c>
      <c r="O130" s="348">
        <f>IF(AN130="","",AN130)</f>
        <v>0</v>
      </c>
      <c r="P130" s="75" t="str">
        <f t="shared" si="143"/>
        <v/>
      </c>
      <c r="Q130" s="348">
        <f>IF(AP130="","",AP130)</f>
        <v>0</v>
      </c>
      <c r="R130" s="75">
        <f t="shared" si="144"/>
        <v>163</v>
      </c>
      <c r="S130" s="348">
        <f>IF(AR130="","",AR130)</f>
        <v>1</v>
      </c>
      <c r="T130" s="75">
        <f t="shared" si="145"/>
        <v>191</v>
      </c>
      <c r="U130" s="348">
        <f>IF(AT130="","",AT130)</f>
        <v>1</v>
      </c>
      <c r="V130" s="75">
        <f t="shared" si="146"/>
        <v>1013</v>
      </c>
      <c r="W130" s="348">
        <f>IF(AV130="","",AV130)</f>
        <v>3</v>
      </c>
      <c r="Z130" s="351" t="s">
        <v>2</v>
      </c>
      <c r="AA130" s="108" t="str">
        <f>IF(AB130=0,"",VLOOKUP(AB130,Starter!$A$1:$D$199,2,FALSE))</f>
        <v>Netscheporenko, Marco</v>
      </c>
      <c r="AB130" s="99">
        <v>7959</v>
      </c>
      <c r="AC130" s="188">
        <v>144</v>
      </c>
      <c r="AD130" s="109">
        <f>IF(SUM(AC130:AC132)+AC146=0,0,IF(SUM(AC130:AC132)=AC146,0.5,IF(SUM(AC130:AC132)&gt;AC146,1,0)))</f>
        <v>0</v>
      </c>
      <c r="AE130" s="188">
        <v>194</v>
      </c>
      <c r="AF130" s="109">
        <f>IF(SUM(AE130:AE132)+AE146=0,0,IF(SUM(AE130:AE132)=AE146,0.5,IF(SUM(AE130:AE132)&gt;AE146,1,0)))</f>
        <v>1</v>
      </c>
      <c r="AG130" s="188">
        <v>184</v>
      </c>
      <c r="AH130" s="109">
        <f>IF(SUM(AG130:AG132)+AG146=0,0,IF(SUM(AG130:AG132)=AG146,0.5,IF(SUM(AG130:AG132)&gt;AG146,1,0)))</f>
        <v>0</v>
      </c>
      <c r="AI130" s="188">
        <v>137</v>
      </c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>
        <v>163</v>
      </c>
      <c r="AR130" s="109">
        <f>IF(SUM(AQ130:AQ132)+AQ146=0,0,IF(SUM(AQ130:AQ132)=AQ146,0.5,IF(SUM(AQ130:AQ132)&gt;AQ146,1,0)))</f>
        <v>1</v>
      </c>
      <c r="AS130" s="188">
        <v>191</v>
      </c>
      <c r="AT130" s="109">
        <f>IF(SUM(AS130:AS132)+AS146=0,0,IF(SUM(AS130:AS132)=AS146,0.5,IF(SUM(AS130:AS132)&gt;AS146,1,0)))</f>
        <v>1</v>
      </c>
      <c r="AU130" s="110">
        <f t="shared" si="147"/>
        <v>1013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60"/>
        <v>7959</v>
      </c>
      <c r="BE130" s="213">
        <f t="shared" si="161"/>
        <v>1013</v>
      </c>
      <c r="BF130" s="215">
        <f t="shared" si="162"/>
        <v>6</v>
      </c>
      <c r="BG130" s="215">
        <f t="shared" si="163"/>
        <v>6</v>
      </c>
      <c r="BH130" s="215">
        <f t="shared" si="148"/>
        <v>144</v>
      </c>
      <c r="BI130" s="215">
        <f t="shared" si="149"/>
        <v>194</v>
      </c>
      <c r="BJ130" s="215">
        <f t="shared" si="150"/>
        <v>184</v>
      </c>
      <c r="BK130" s="215">
        <f t="shared" si="151"/>
        <v>137</v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>
        <f t="shared" si="155"/>
        <v>163</v>
      </c>
      <c r="BP130" s="215">
        <f t="shared" si="156"/>
        <v>191</v>
      </c>
      <c r="BQ130" s="216"/>
      <c r="BR130" s="214"/>
      <c r="BS130" s="215">
        <f t="shared" si="164"/>
        <v>194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2</v>
      </c>
      <c r="BW130" s="215">
        <f t="shared" si="168"/>
        <v>1013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77"/>
      <c r="B131" s="76" t="str">
        <f t="shared" si="158"/>
        <v>Mesch, John</v>
      </c>
      <c r="C131" s="77">
        <f t="shared" si="158"/>
        <v>7740</v>
      </c>
      <c r="D131" s="78" t="str">
        <f t="shared" si="158"/>
        <v/>
      </c>
      <c r="E131" s="349"/>
      <c r="F131" s="78" t="str">
        <f t="shared" si="139"/>
        <v/>
      </c>
      <c r="G131" s="349"/>
      <c r="H131" s="78" t="str">
        <f t="shared" si="140"/>
        <v/>
      </c>
      <c r="I131" s="349"/>
      <c r="J131" s="78" t="str">
        <f t="shared" si="141"/>
        <v/>
      </c>
      <c r="K131" s="349"/>
      <c r="L131" s="78">
        <f t="shared" si="142"/>
        <v>143</v>
      </c>
      <c r="M131" s="349"/>
      <c r="N131" s="78">
        <f t="shared" si="159"/>
        <v>157</v>
      </c>
      <c r="O131" s="349"/>
      <c r="P131" s="78">
        <f t="shared" si="143"/>
        <v>159</v>
      </c>
      <c r="Q131" s="349"/>
      <c r="R131" s="78" t="str">
        <f t="shared" si="144"/>
        <v/>
      </c>
      <c r="S131" s="349"/>
      <c r="T131" s="78" t="str">
        <f t="shared" si="145"/>
        <v/>
      </c>
      <c r="U131" s="349"/>
      <c r="V131" s="78">
        <f t="shared" si="146"/>
        <v>459</v>
      </c>
      <c r="W131" s="349"/>
      <c r="Z131" s="352"/>
      <c r="AA131" s="108" t="str">
        <f>IF(AB131=0,"",VLOOKUP(AB131,Starter!$A$1:$D$199,2,FALSE))</f>
        <v>Mesch, John</v>
      </c>
      <c r="AB131" s="98">
        <v>7740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143</v>
      </c>
      <c r="AL131" s="112"/>
      <c r="AM131" s="186">
        <v>157</v>
      </c>
      <c r="AN131" s="112"/>
      <c r="AO131" s="190">
        <v>159</v>
      </c>
      <c r="AP131" s="112"/>
      <c r="AQ131" s="190"/>
      <c r="AR131" s="112"/>
      <c r="AS131" s="190"/>
      <c r="AT131" s="112"/>
      <c r="AU131" s="113">
        <f t="shared" si="147"/>
        <v>459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7740</v>
      </c>
      <c r="BE131" s="213">
        <f t="shared" si="161"/>
        <v>459</v>
      </c>
      <c r="BF131" s="215">
        <f t="shared" si="162"/>
        <v>3</v>
      </c>
      <c r="BG131" s="215">
        <f t="shared" si="163"/>
        <v>3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>
        <f t="shared" si="152"/>
        <v>143</v>
      </c>
      <c r="BM131" s="215">
        <f t="shared" si="153"/>
        <v>157</v>
      </c>
      <c r="BN131" s="215">
        <f t="shared" si="154"/>
        <v>159</v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159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2</v>
      </c>
      <c r="BW131" s="215">
        <f t="shared" si="168"/>
        <v>459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8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0"/>
      <c r="F132" s="69" t="str">
        <f t="shared" si="139"/>
        <v/>
      </c>
      <c r="G132" s="350"/>
      <c r="H132" s="69" t="str">
        <f t="shared" si="140"/>
        <v/>
      </c>
      <c r="I132" s="350"/>
      <c r="J132" s="69" t="str">
        <f t="shared" si="141"/>
        <v/>
      </c>
      <c r="K132" s="350"/>
      <c r="L132" s="69" t="str">
        <f t="shared" si="142"/>
        <v/>
      </c>
      <c r="M132" s="350"/>
      <c r="N132" s="69" t="str">
        <f t="shared" si="159"/>
        <v/>
      </c>
      <c r="O132" s="350"/>
      <c r="P132" s="69" t="str">
        <f t="shared" si="143"/>
        <v/>
      </c>
      <c r="Q132" s="350"/>
      <c r="R132" s="69" t="str">
        <f t="shared" si="144"/>
        <v/>
      </c>
      <c r="S132" s="350"/>
      <c r="T132" s="69" t="str">
        <f t="shared" si="145"/>
        <v/>
      </c>
      <c r="U132" s="350"/>
      <c r="V132" s="69" t="str">
        <f t="shared" si="146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76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201</v>
      </c>
      <c r="E133" s="348">
        <f>IF(AD133="","",AD133)</f>
        <v>1</v>
      </c>
      <c r="F133" s="75">
        <f t="shared" si="139"/>
        <v>183</v>
      </c>
      <c r="G133" s="348">
        <f>IF(AF133="","",AF133)</f>
        <v>0</v>
      </c>
      <c r="H133" s="75">
        <f t="shared" si="140"/>
        <v>206</v>
      </c>
      <c r="I133" s="348">
        <f>IF(AH133="","",AH133)</f>
        <v>1</v>
      </c>
      <c r="J133" s="75">
        <f t="shared" si="141"/>
        <v>141</v>
      </c>
      <c r="K133" s="348">
        <f>IF(AJ133="","",AJ133)</f>
        <v>0</v>
      </c>
      <c r="L133" s="75">
        <f t="shared" si="142"/>
        <v>213</v>
      </c>
      <c r="M133" s="348">
        <f>IF(AL133="","",AL133)</f>
        <v>1</v>
      </c>
      <c r="N133" s="75">
        <f t="shared" si="159"/>
        <v>180</v>
      </c>
      <c r="O133" s="348">
        <f>IF(AN133="","",AN133)</f>
        <v>1</v>
      </c>
      <c r="P133" s="75">
        <f t="shared" si="143"/>
        <v>174</v>
      </c>
      <c r="Q133" s="348">
        <f>IF(AP133="","",AP133)</f>
        <v>0</v>
      </c>
      <c r="R133" s="75">
        <f t="shared" si="144"/>
        <v>156</v>
      </c>
      <c r="S133" s="348">
        <f>IF(AR133="","",AR133)</f>
        <v>0</v>
      </c>
      <c r="T133" s="75">
        <f t="shared" si="145"/>
        <v>160</v>
      </c>
      <c r="U133" s="348">
        <f>IF(AT133="","",AT133)</f>
        <v>0</v>
      </c>
      <c r="V133" s="75">
        <f t="shared" si="146"/>
        <v>1614</v>
      </c>
      <c r="W133" s="348">
        <f>IF(AV133="","",AV133)</f>
        <v>4</v>
      </c>
      <c r="Z133" s="351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201</v>
      </c>
      <c r="AD133" s="109">
        <f>IF(SUM(AC133:AC135)+AC147=0,0,IF(SUM(AC133:AC135)=AC147,0.5,IF(SUM(AC133:AC135)&gt;AC147,1,0)))</f>
        <v>1</v>
      </c>
      <c r="AE133" s="188">
        <v>183</v>
      </c>
      <c r="AF133" s="109">
        <f>IF(SUM(AE133:AE135)+AE147=0,0,IF(SUM(AE133:AE135)=AE147,0.5,IF(SUM(AE133:AE135)&gt;AE147,1,0)))</f>
        <v>0</v>
      </c>
      <c r="AG133" s="188">
        <v>206</v>
      </c>
      <c r="AH133" s="109">
        <f>IF(SUM(AG133:AG135)+AG147=0,0,IF(SUM(AG133:AG135)=AG147,0.5,IF(SUM(AG133:AG135)&gt;AG147,1,0)))</f>
        <v>1</v>
      </c>
      <c r="AI133" s="188">
        <v>141</v>
      </c>
      <c r="AJ133" s="109">
        <f>IF(SUM(AI133:AI135)+AI147=0,0,IF(SUM(AI133:AI135)=AI147,0.5,IF(SUM(AI133:AI135)&gt;AI147,1,0)))</f>
        <v>0</v>
      </c>
      <c r="AK133" s="188">
        <v>213</v>
      </c>
      <c r="AL133" s="109">
        <f>IF(SUM(AK133:AK135)+AK147=0,0,IF(SUM(AK133:AK135)=AK147,0.5,IF(SUM(AK133:AK135)&gt;AK147,1,0)))</f>
        <v>1</v>
      </c>
      <c r="AM133" s="188">
        <v>180</v>
      </c>
      <c r="AN133" s="109">
        <f>IF(SUM(AM133:AM135)+AM147=0,0,IF(SUM(AM133:AM135)=AM147,0.5,IF(SUM(AM133:AM135)&gt;AM147,1,0)))</f>
        <v>1</v>
      </c>
      <c r="AO133" s="188">
        <v>174</v>
      </c>
      <c r="AP133" s="109">
        <f>IF(SUM(AO133:AO135)+AO147=0,0,IF(SUM(AO133:AO135)=AO147,0.5,IF(SUM(AO133:AO135)&gt;AO147,1,0)))</f>
        <v>0</v>
      </c>
      <c r="AQ133" s="188">
        <v>156</v>
      </c>
      <c r="AR133" s="109">
        <f>IF(SUM(AQ133:AQ135)+AQ147=0,0,IF(SUM(AQ133:AQ135)=AQ147,0.5,IF(SUM(AQ133:AQ135)&gt;AQ147,1,0)))</f>
        <v>0</v>
      </c>
      <c r="AS133" s="188">
        <v>160</v>
      </c>
      <c r="AT133" s="109">
        <f>IF(SUM(AS133:AS135)+AS147=0,0,IF(SUM(AS133:AS135)=AS147,0.5,IF(SUM(AS133:AS135)&gt;AS147,1,0)))</f>
        <v>0</v>
      </c>
      <c r="AU133" s="110">
        <f t="shared" si="147"/>
        <v>1614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1614</v>
      </c>
      <c r="BF133" s="215">
        <f t="shared" si="162"/>
        <v>9</v>
      </c>
      <c r="BG133" s="215">
        <f t="shared" si="163"/>
        <v>9</v>
      </c>
      <c r="BH133" s="215">
        <f t="shared" si="148"/>
        <v>201</v>
      </c>
      <c r="BI133" s="215">
        <f t="shared" si="149"/>
        <v>183</v>
      </c>
      <c r="BJ133" s="215">
        <f t="shared" si="150"/>
        <v>206</v>
      </c>
      <c r="BK133" s="215">
        <f t="shared" si="151"/>
        <v>141</v>
      </c>
      <c r="BL133" s="215">
        <f t="shared" si="152"/>
        <v>213</v>
      </c>
      <c r="BM133" s="215">
        <f t="shared" si="153"/>
        <v>180</v>
      </c>
      <c r="BN133" s="215">
        <f t="shared" si="154"/>
        <v>174</v>
      </c>
      <c r="BO133" s="215">
        <f t="shared" si="155"/>
        <v>156</v>
      </c>
      <c r="BP133" s="215">
        <f t="shared" si="156"/>
        <v>160</v>
      </c>
      <c r="BQ133" s="216"/>
      <c r="BR133" s="214"/>
      <c r="BS133" s="215">
        <f t="shared" si="164"/>
        <v>213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2</v>
      </c>
      <c r="BW133" s="215">
        <f t="shared" si="168"/>
        <v>1614</v>
      </c>
      <c r="BX133" s="215">
        <f>IF(COUNTIF(BH133:BP133,"&gt;0")&lt;Spielorte!$A$23,0,BE133/Spielorte!$A$23)</f>
        <v>179.33333333333334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77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9"/>
      <c r="F134" s="78" t="str">
        <f t="shared" si="139"/>
        <v/>
      </c>
      <c r="G134" s="349"/>
      <c r="H134" s="78" t="str">
        <f t="shared" si="140"/>
        <v/>
      </c>
      <c r="I134" s="349"/>
      <c r="J134" s="78" t="str">
        <f t="shared" si="141"/>
        <v/>
      </c>
      <c r="K134" s="349"/>
      <c r="L134" s="78" t="str">
        <f t="shared" si="142"/>
        <v/>
      </c>
      <c r="M134" s="349"/>
      <c r="N134" s="78" t="str">
        <f t="shared" si="159"/>
        <v/>
      </c>
      <c r="O134" s="349"/>
      <c r="P134" s="78" t="str">
        <f t="shared" si="143"/>
        <v/>
      </c>
      <c r="Q134" s="349"/>
      <c r="R134" s="78" t="str">
        <f t="shared" si="144"/>
        <v/>
      </c>
      <c r="S134" s="349"/>
      <c r="T134" s="78" t="str">
        <f t="shared" si="145"/>
        <v/>
      </c>
      <c r="U134" s="349"/>
      <c r="V134" s="78" t="str">
        <f t="shared" si="146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8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0"/>
      <c r="F135" s="69" t="str">
        <f t="shared" si="139"/>
        <v/>
      </c>
      <c r="G135" s="350"/>
      <c r="H135" s="69" t="str">
        <f t="shared" si="140"/>
        <v/>
      </c>
      <c r="I135" s="350"/>
      <c r="J135" s="69" t="str">
        <f t="shared" si="141"/>
        <v/>
      </c>
      <c r="K135" s="350"/>
      <c r="L135" s="69" t="str">
        <f t="shared" si="142"/>
        <v/>
      </c>
      <c r="M135" s="350"/>
      <c r="N135" s="69" t="str">
        <f t="shared" si="159"/>
        <v/>
      </c>
      <c r="O135" s="350"/>
      <c r="P135" s="69" t="str">
        <f t="shared" si="143"/>
        <v/>
      </c>
      <c r="Q135" s="350"/>
      <c r="R135" s="69" t="str">
        <f t="shared" si="144"/>
        <v/>
      </c>
      <c r="S135" s="350"/>
      <c r="T135" s="69" t="str">
        <f t="shared" si="145"/>
        <v/>
      </c>
      <c r="U135" s="350"/>
      <c r="V135" s="69" t="str">
        <f t="shared" si="146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76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204</v>
      </c>
      <c r="E136" s="348">
        <f>IF(AD136="","",AD136)</f>
        <v>1</v>
      </c>
      <c r="F136" s="75">
        <f t="shared" si="139"/>
        <v>191</v>
      </c>
      <c r="G136" s="348">
        <f>IF(AF136="","",AF136)</f>
        <v>0</v>
      </c>
      <c r="H136" s="75">
        <f t="shared" si="140"/>
        <v>199</v>
      </c>
      <c r="I136" s="348">
        <f>IF(AH136="","",AH136)</f>
        <v>1</v>
      </c>
      <c r="J136" s="75">
        <f t="shared" si="141"/>
        <v>186</v>
      </c>
      <c r="K136" s="348">
        <f>IF(AJ136="","",AJ136)</f>
        <v>1</v>
      </c>
      <c r="L136" s="75">
        <f t="shared" si="142"/>
        <v>219</v>
      </c>
      <c r="M136" s="348">
        <f>IF(AL136="","",AL136)</f>
        <v>1</v>
      </c>
      <c r="N136" s="75">
        <f t="shared" si="159"/>
        <v>195</v>
      </c>
      <c r="O136" s="348">
        <f>IF(AN136="","",AN136)</f>
        <v>0</v>
      </c>
      <c r="P136" s="75">
        <f t="shared" si="143"/>
        <v>165</v>
      </c>
      <c r="Q136" s="348">
        <f>IF(AP136="","",AP136)</f>
        <v>0</v>
      </c>
      <c r="R136" s="75">
        <f t="shared" si="144"/>
        <v>161</v>
      </c>
      <c r="S136" s="348">
        <f>IF(AR136="","",AR136)</f>
        <v>1</v>
      </c>
      <c r="T136" s="75">
        <f t="shared" si="145"/>
        <v>184</v>
      </c>
      <c r="U136" s="348">
        <f>IF(AT136="","",AT136)</f>
        <v>0</v>
      </c>
      <c r="V136" s="75">
        <f t="shared" si="146"/>
        <v>1704</v>
      </c>
      <c r="W136" s="348">
        <f>IF(AV136="","",AV136)</f>
        <v>5</v>
      </c>
      <c r="Z136" s="351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204</v>
      </c>
      <c r="AD136" s="109">
        <f>IF(SUM(AC136:AC138)+AC148=0,0,IF(SUM(AC136:AC138)=AC148,0.5,IF(SUM(AC136:AC138)&gt;AC148,1,0)))</f>
        <v>1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199</v>
      </c>
      <c r="AH136" s="109">
        <f>IF(SUM(AG136:AG138)+AG148=0,0,IF(SUM(AG136:AG138)=AG148,0.5,IF(SUM(AG136:AG138)&gt;AG148,1,0)))</f>
        <v>1</v>
      </c>
      <c r="AI136" s="188">
        <v>186</v>
      </c>
      <c r="AJ136" s="109">
        <f>IF(SUM(AI136:AI138)+AI148=0,0,IF(SUM(AI136:AI138)=AI148,0.5,IF(SUM(AI136:AI138)&gt;AI148,1,0)))</f>
        <v>1</v>
      </c>
      <c r="AK136" s="188">
        <v>219</v>
      </c>
      <c r="AL136" s="109">
        <f>IF(SUM(AK136:AK138)+AK148=0,0,IF(SUM(AK136:AK138)=AK148,0.5,IF(SUM(AK136:AK138)&gt;AK148,1,0)))</f>
        <v>1</v>
      </c>
      <c r="AM136" s="188">
        <v>195</v>
      </c>
      <c r="AN136" s="109">
        <f>IF(SUM(AM136:AM138)+AM148=0,0,IF(SUM(AM136:AM138)=AM148,0.5,IF(SUM(AM136:AM138)&gt;AM148,1,0)))</f>
        <v>0</v>
      </c>
      <c r="AO136" s="188">
        <v>165</v>
      </c>
      <c r="AP136" s="109">
        <f>IF(SUM(AO136:AO138)+AO148=0,0,IF(SUM(AO136:AO138)=AO148,0.5,IF(SUM(AO136:AO138)&gt;AO148,1,0)))</f>
        <v>0</v>
      </c>
      <c r="AQ136" s="188">
        <v>161</v>
      </c>
      <c r="AR136" s="109">
        <f>IF(SUM(AQ136:AQ138)+AQ148=0,0,IF(SUM(AQ136:AQ138)=AQ148,0.5,IF(SUM(AQ136:AQ138)&gt;AQ148,1,0)))</f>
        <v>1</v>
      </c>
      <c r="AS136" s="188">
        <v>184</v>
      </c>
      <c r="AT136" s="109">
        <f>IF(SUM(AS136:AS138)+AS148=0,0,IF(SUM(AS136:AS138)=AS148,0.5,IF(SUM(AS136:AS138)&gt;AS148,1,0)))</f>
        <v>0</v>
      </c>
      <c r="AU136" s="110">
        <f t="shared" si="147"/>
        <v>1704</v>
      </c>
      <c r="AV136" s="111">
        <f>SUM(AD136+AF136+AH136+AJ136+AL136+AN136+AP136+AR136+AT136)</f>
        <v>5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1704</v>
      </c>
      <c r="BF136" s="215">
        <f t="shared" si="162"/>
        <v>9</v>
      </c>
      <c r="BG136" s="215">
        <f t="shared" si="163"/>
        <v>9</v>
      </c>
      <c r="BH136" s="215">
        <f t="shared" si="148"/>
        <v>204</v>
      </c>
      <c r="BI136" s="215">
        <f t="shared" si="149"/>
        <v>191</v>
      </c>
      <c r="BJ136" s="215">
        <f t="shared" si="150"/>
        <v>199</v>
      </c>
      <c r="BK136" s="215">
        <f t="shared" si="151"/>
        <v>186</v>
      </c>
      <c r="BL136" s="215">
        <f t="shared" si="152"/>
        <v>219</v>
      </c>
      <c r="BM136" s="215">
        <f t="shared" si="153"/>
        <v>195</v>
      </c>
      <c r="BN136" s="215">
        <f t="shared" si="154"/>
        <v>165</v>
      </c>
      <c r="BO136" s="215">
        <f t="shared" si="155"/>
        <v>161</v>
      </c>
      <c r="BP136" s="215">
        <f t="shared" si="156"/>
        <v>184</v>
      </c>
      <c r="BQ136" s="216"/>
      <c r="BR136" s="214"/>
      <c r="BS136" s="215">
        <f t="shared" si="164"/>
        <v>219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2</v>
      </c>
      <c r="BW136" s="215">
        <f t="shared" si="168"/>
        <v>1704</v>
      </c>
      <c r="BX136" s="215">
        <f>IF(COUNTIF(BH136:BP136,"&gt;0")&lt;Spielorte!$A$23,0,BE136/Spielorte!$A$23)</f>
        <v>189.33333333333334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5">
      <c r="A137" s="377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9"/>
      <c r="F137" s="78" t="str">
        <f t="shared" si="139"/>
        <v/>
      </c>
      <c r="G137" s="349"/>
      <c r="H137" s="78" t="str">
        <f t="shared" si="140"/>
        <v/>
      </c>
      <c r="I137" s="349"/>
      <c r="J137" s="78" t="str">
        <f t="shared" si="141"/>
        <v/>
      </c>
      <c r="K137" s="349"/>
      <c r="L137" s="78" t="str">
        <f t="shared" si="142"/>
        <v/>
      </c>
      <c r="M137" s="349"/>
      <c r="N137" s="78" t="str">
        <f t="shared" si="159"/>
        <v/>
      </c>
      <c r="O137" s="349"/>
      <c r="P137" s="78" t="str">
        <f t="shared" si="143"/>
        <v/>
      </c>
      <c r="Q137" s="349"/>
      <c r="R137" s="78" t="str">
        <f t="shared" si="144"/>
        <v/>
      </c>
      <c r="S137" s="349"/>
      <c r="T137" s="78" t="str">
        <f t="shared" si="145"/>
        <v/>
      </c>
      <c r="U137" s="349"/>
      <c r="V137" s="78" t="str">
        <f t="shared" si="146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8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0"/>
      <c r="F138" s="69" t="str">
        <f t="shared" si="139"/>
        <v/>
      </c>
      <c r="G138" s="350"/>
      <c r="H138" s="69" t="str">
        <f t="shared" si="140"/>
        <v/>
      </c>
      <c r="I138" s="350"/>
      <c r="J138" s="69" t="str">
        <f t="shared" si="141"/>
        <v/>
      </c>
      <c r="K138" s="350"/>
      <c r="L138" s="69" t="str">
        <f t="shared" si="142"/>
        <v/>
      </c>
      <c r="M138" s="350"/>
      <c r="N138" s="69" t="str">
        <f t="shared" si="159"/>
        <v/>
      </c>
      <c r="O138" s="350"/>
      <c r="P138" s="69" t="str">
        <f t="shared" si="143"/>
        <v/>
      </c>
      <c r="Q138" s="350"/>
      <c r="R138" s="69" t="str">
        <f t="shared" si="144"/>
        <v/>
      </c>
      <c r="S138" s="350"/>
      <c r="T138" s="69" t="str">
        <f t="shared" si="145"/>
        <v/>
      </c>
      <c r="U138" s="350"/>
      <c r="V138" s="69" t="str">
        <f t="shared" si="146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756</v>
      </c>
      <c r="E139" s="84">
        <f>IF(AD139="","",AD139)</f>
        <v>0</v>
      </c>
      <c r="F139" s="83">
        <f t="shared" si="139"/>
        <v>721</v>
      </c>
      <c r="G139" s="84">
        <f>IF(AF139="","",AF139)</f>
        <v>0</v>
      </c>
      <c r="H139" s="83">
        <f t="shared" si="140"/>
        <v>774</v>
      </c>
      <c r="I139" s="84">
        <f>IF(AH139="","",AH139)</f>
        <v>1</v>
      </c>
      <c r="J139" s="83">
        <f t="shared" si="141"/>
        <v>645</v>
      </c>
      <c r="K139" s="84">
        <f>IF(AJ139="","",AJ139)</f>
        <v>0</v>
      </c>
      <c r="L139" s="83">
        <f t="shared" si="142"/>
        <v>721</v>
      </c>
      <c r="M139" s="84">
        <f>IF(AL139="","",AL139)</f>
        <v>2</v>
      </c>
      <c r="N139" s="83">
        <f t="shared" si="159"/>
        <v>719</v>
      </c>
      <c r="O139" s="84">
        <f>IF(AN139="","",AN139)</f>
        <v>0</v>
      </c>
      <c r="P139" s="83">
        <f t="shared" si="143"/>
        <v>701</v>
      </c>
      <c r="Q139" s="84">
        <f>IF(AP139="","",AP139)</f>
        <v>0</v>
      </c>
      <c r="R139" s="83">
        <f t="shared" si="144"/>
        <v>670</v>
      </c>
      <c r="S139" s="84">
        <f>IF(AR139="","",AR139)</f>
        <v>2</v>
      </c>
      <c r="T139" s="83">
        <f t="shared" si="145"/>
        <v>714</v>
      </c>
      <c r="U139" s="84">
        <f>IF(AT139="","",AT139)</f>
        <v>0</v>
      </c>
      <c r="V139" s="83">
        <f t="shared" si="146"/>
        <v>6421</v>
      </c>
      <c r="W139" s="84">
        <f>IF(AV139="","",AV139)</f>
        <v>5</v>
      </c>
      <c r="AA139" s="81" t="s">
        <v>1799</v>
      </c>
      <c r="AB139" s="120"/>
      <c r="AC139" s="211">
        <f>ABS(SUM(AC127:AC129))+ABS(SUM(AC130:AC132))+ABS(SUM(AC133:AC135))+ABS(SUM(AC136:AC138))</f>
        <v>756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721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774</v>
      </c>
      <c r="AH139" s="121">
        <f>IF(AG139+AG149=0,0,IF(AG139=AG149,1,IF(AG139&gt;AG149,2,0)))</f>
        <v>1</v>
      </c>
      <c r="AI139" s="211">
        <f>ABS(SUM(AI127:AI129))+ABS(SUM(AI130:AI132))+ABS(SUM(AI133:AI135))+ABS(SUM(AI136:AI138))</f>
        <v>645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721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719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701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670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714</v>
      </c>
      <c r="AT139" s="121">
        <f>IF(AS139+AS149=0,0,IF(AS139=AS149,1,IF(AS139&gt;AS149,2,0)))</f>
        <v>0</v>
      </c>
      <c r="AU139" s="122">
        <f>SUM(AC139+AE139+AG139+AI139+AK139+AM139+AO139+AQ139+AS139)</f>
        <v>6421</v>
      </c>
      <c r="AV139" s="123">
        <f>SUM(AD139+AF139+AH139+AJ139+AL139+AN139+AP139+AR139+AT139)</f>
        <v>5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3</v>
      </c>
      <c r="J140" s="86" t="str">
        <f t="shared" si="141"/>
        <v/>
      </c>
      <c r="K140" s="87">
        <f>IF(AJ140="","",AJ140)</f>
        <v>2</v>
      </c>
      <c r="L140" s="86" t="str">
        <f t="shared" si="142"/>
        <v/>
      </c>
      <c r="M140" s="87">
        <f>IF(AL140="","",AL140)</f>
        <v>4</v>
      </c>
      <c r="N140" s="86" t="str">
        <f t="shared" si="159"/>
        <v/>
      </c>
      <c r="O140" s="87">
        <f>IF(AN140="","",AN140)</f>
        <v>2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5</v>
      </c>
      <c r="T140" s="86" t="str">
        <f t="shared" si="145"/>
        <v/>
      </c>
      <c r="U140" s="87">
        <f>IF(AT140="","",AT140)</f>
        <v>1</v>
      </c>
      <c r="V140" s="86" t="str">
        <f t="shared" si="146"/>
        <v/>
      </c>
      <c r="W140" s="87">
        <f>IF(AV140="","",AV140)</f>
        <v>20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3</v>
      </c>
      <c r="AI140" s="86"/>
      <c r="AJ140" s="124">
        <f>SUM(AJ127:AJ139)</f>
        <v>2</v>
      </c>
      <c r="AK140" s="86"/>
      <c r="AL140" s="124">
        <f>SUM(AL127:AL139)</f>
        <v>4</v>
      </c>
      <c r="AM140" s="86"/>
      <c r="AN140" s="124">
        <f>SUM(AN127:AN139)</f>
        <v>2</v>
      </c>
      <c r="AO140" s="86"/>
      <c r="AP140" s="124">
        <f>SUM(AP127:AP139)</f>
        <v>0</v>
      </c>
      <c r="AQ140" s="86"/>
      <c r="AR140" s="124">
        <f>SUM(AR127:AR139)</f>
        <v>5</v>
      </c>
      <c r="AS140" s="86"/>
      <c r="AT140" s="124">
        <f>SUM(AT127:AT139)</f>
        <v>1</v>
      </c>
      <c r="AU140" s="86"/>
      <c r="AV140" s="125">
        <f>SUM(AV127:AV139)</f>
        <v>20</v>
      </c>
      <c r="AW140" s="101"/>
      <c r="AX140" s="102"/>
      <c r="BA140" s="212">
        <f>+AV140</f>
        <v>20</v>
      </c>
      <c r="BB140" s="213">
        <f>+AU139</f>
        <v>6421</v>
      </c>
      <c r="BC140" s="214">
        <f>+AA122</f>
        <v>5</v>
      </c>
      <c r="BF140" s="215">
        <f>SUM(BF121:BF139)</f>
        <v>36</v>
      </c>
      <c r="BQ140" s="212">
        <f>+BB140/1000000+BA140</f>
        <v>20.006421</v>
      </c>
      <c r="BR140" s="214">
        <f>RANK(BQ140,BQ:BQ)</f>
        <v>9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6">
        <f t="shared" si="170"/>
        <v>4</v>
      </c>
      <c r="E142" s="356" t="str">
        <f t="shared" si="170"/>
        <v/>
      </c>
      <c r="F142" s="356">
        <f t="shared" si="170"/>
        <v>10</v>
      </c>
      <c r="G142" s="356" t="str">
        <f t="shared" si="170"/>
        <v/>
      </c>
      <c r="H142" s="356">
        <f t="shared" si="170"/>
        <v>6</v>
      </c>
      <c r="I142" s="356" t="str">
        <f t="shared" si="170"/>
        <v/>
      </c>
      <c r="J142" s="356">
        <f t="shared" si="170"/>
        <v>2</v>
      </c>
      <c r="K142" s="356" t="str">
        <f t="shared" si="170"/>
        <v/>
      </c>
      <c r="L142" s="356">
        <f t="shared" si="170"/>
        <v>7</v>
      </c>
      <c r="M142" s="356" t="str">
        <f t="shared" si="170"/>
        <v/>
      </c>
      <c r="N142" s="356">
        <f t="shared" si="170"/>
        <v>1</v>
      </c>
      <c r="O142" s="356" t="str">
        <f t="shared" si="170"/>
        <v/>
      </c>
      <c r="P142" s="356">
        <f t="shared" si="170"/>
        <v>3</v>
      </c>
      <c r="Q142" s="356" t="str">
        <f t="shared" si="170"/>
        <v/>
      </c>
      <c r="R142" s="356">
        <f t="shared" ref="N142:U144" si="171">IF(AQ142=0,"",AQ142)</f>
        <v>8</v>
      </c>
      <c r="S142" s="356" t="str">
        <f t="shared" si="171"/>
        <v/>
      </c>
      <c r="T142" s="356">
        <f t="shared" si="171"/>
        <v>9</v>
      </c>
      <c r="U142" s="356" t="str">
        <f t="shared" si="171"/>
        <v/>
      </c>
      <c r="V142" s="357"/>
      <c r="W142" s="357"/>
      <c r="AA142" s="88" t="s">
        <v>1797</v>
      </c>
      <c r="AB142" s="89" t="s">
        <v>1798</v>
      </c>
      <c r="AC142" s="370">
        <f>VLOOKUP($AA122,Schlüssel!$A$5:$DG$14,23)</f>
        <v>4</v>
      </c>
      <c r="AD142" s="371"/>
      <c r="AE142" s="370">
        <f>VLOOKUP($AA122,Schlüssel!$A$5:$EK$14,24)</f>
        <v>10</v>
      </c>
      <c r="AF142" s="371"/>
      <c r="AG142" s="370">
        <f>VLOOKUP($AA122,Schlüssel!$A$5:$EK$14,25)</f>
        <v>6</v>
      </c>
      <c r="AH142" s="371"/>
      <c r="AI142" s="370">
        <f>VLOOKUP($AA122,Schlüssel!$A$5:$EK$14,26)</f>
        <v>2</v>
      </c>
      <c r="AJ142" s="371"/>
      <c r="AK142" s="370">
        <f>VLOOKUP($AA122,Schlüssel!$A$5:$EK$14,27)</f>
        <v>7</v>
      </c>
      <c r="AL142" s="371"/>
      <c r="AM142" s="370">
        <f>VLOOKUP($AA122,Schlüssel!$A$5:$EK$14,28)</f>
        <v>1</v>
      </c>
      <c r="AN142" s="371"/>
      <c r="AO142" s="370">
        <f>VLOOKUP($AA122,Schlüssel!$A$5:$EK$14,29)</f>
        <v>3</v>
      </c>
      <c r="AP142" s="371"/>
      <c r="AQ142" s="370">
        <f>VLOOKUP($AA122,Schlüssel!$A$5:$EK$14,30)</f>
        <v>8</v>
      </c>
      <c r="AR142" s="371"/>
      <c r="AS142" s="370">
        <f>VLOOKUP($AA122,Schlüssel!$A$5:$EK$14,31)</f>
        <v>9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M144" si="172">IF(AA143=0,"",AA143)</f>
        <v/>
      </c>
      <c r="C143" s="86" t="str">
        <f t="shared" si="172"/>
        <v/>
      </c>
      <c r="D143" s="358" t="str">
        <f t="shared" si="172"/>
        <v>SG DJK Rimpar</v>
      </c>
      <c r="E143" s="359" t="str">
        <f t="shared" si="172"/>
        <v/>
      </c>
      <c r="F143" s="358" t="str">
        <f t="shared" si="172"/>
        <v>High Roller Rosenheim 1</v>
      </c>
      <c r="G143" s="359" t="str">
        <f t="shared" si="172"/>
        <v/>
      </c>
      <c r="H143" s="358" t="str">
        <f t="shared" si="172"/>
        <v>SG Rottendorf 1</v>
      </c>
      <c r="I143" s="359" t="str">
        <f t="shared" si="172"/>
        <v/>
      </c>
      <c r="J143" s="358" t="str">
        <f t="shared" si="172"/>
        <v>Bajuwaren München 1</v>
      </c>
      <c r="K143" s="359" t="str">
        <f t="shared" si="172"/>
        <v/>
      </c>
      <c r="L143" s="358" t="str">
        <f t="shared" si="172"/>
        <v>Schanzer Ingolstadt 1</v>
      </c>
      <c r="M143" s="359" t="str">
        <f t="shared" si="172"/>
        <v/>
      </c>
      <c r="N143" s="358" t="str">
        <f t="shared" si="171"/>
        <v>BC Comet Nürnberg</v>
      </c>
      <c r="O143" s="359" t="str">
        <f t="shared" si="171"/>
        <v/>
      </c>
      <c r="P143" s="358" t="str">
        <f t="shared" si="171"/>
        <v>BK München 3</v>
      </c>
      <c r="Q143" s="359" t="str">
        <f t="shared" si="171"/>
        <v/>
      </c>
      <c r="R143" s="358" t="str">
        <f t="shared" si="171"/>
        <v>BC EMAX Unterföhring 2</v>
      </c>
      <c r="S143" s="359" t="str">
        <f t="shared" si="171"/>
        <v/>
      </c>
      <c r="T143" s="358" t="str">
        <f t="shared" si="171"/>
        <v>Bowlinghaus Bamberg 1</v>
      </c>
      <c r="U143" s="359" t="str">
        <f t="shared" si="171"/>
        <v/>
      </c>
      <c r="V143" s="363"/>
      <c r="W143" s="363"/>
      <c r="AA143" s="90"/>
      <c r="AB143" s="86"/>
      <c r="AC143" s="358" t="str">
        <f>VLOOKUP(AC142,Schlüssel!$A$5:$K$14,2)</f>
        <v>SG DJK Rimpar</v>
      </c>
      <c r="AD143" s="359"/>
      <c r="AE143" s="358" t="str">
        <f>VLOOKUP(AE142,Schlüssel!$A$5:$K$14,2)</f>
        <v>High Roller Rosenheim 1</v>
      </c>
      <c r="AF143" s="359"/>
      <c r="AG143" s="358" t="str">
        <f>VLOOKUP(AG142,Schlüssel!$A$5:$K$14,2)</f>
        <v>SG Rottendorf 1</v>
      </c>
      <c r="AH143" s="359"/>
      <c r="AI143" s="358" t="str">
        <f>VLOOKUP(AI142,Schlüssel!$A$5:$K$14,2)</f>
        <v>Bajuwaren München 1</v>
      </c>
      <c r="AJ143" s="359"/>
      <c r="AK143" s="358" t="str">
        <f>VLOOKUP(AK142,Schlüssel!$A$5:$K$14,2)</f>
        <v>Schanzer Ingolstadt 1</v>
      </c>
      <c r="AL143" s="359"/>
      <c r="AM143" s="358" t="str">
        <f>VLOOKUP(AM142,Schlüssel!$A$5:$K$14,2)</f>
        <v>BC Comet Nürnberg</v>
      </c>
      <c r="AN143" s="359"/>
      <c r="AO143" s="358" t="str">
        <f>VLOOKUP(AO142,Schlüssel!$A$5:$K$14,2)</f>
        <v>BK München 3</v>
      </c>
      <c r="AP143" s="359"/>
      <c r="AQ143" s="358" t="str">
        <f>VLOOKUP(AQ142,Schlüssel!$A$5:$K$14,2)</f>
        <v>BC EMAX Unterföhring 2</v>
      </c>
      <c r="AR143" s="359"/>
      <c r="AS143" s="358" t="str">
        <f>VLOOKUP(AS142,Schlüssel!$A$5:$K$14,2)</f>
        <v>Bowlinghaus Bamberg 1</v>
      </c>
      <c r="AT143" s="359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60" t="str">
        <f t="shared" si="172"/>
        <v/>
      </c>
      <c r="E144" s="360" t="str">
        <f t="shared" si="172"/>
        <v/>
      </c>
      <c r="F144" s="360" t="str">
        <f t="shared" si="172"/>
        <v/>
      </c>
      <c r="G144" s="360" t="str">
        <f t="shared" si="172"/>
        <v/>
      </c>
      <c r="H144" s="360" t="str">
        <f t="shared" si="172"/>
        <v/>
      </c>
      <c r="I144" s="360" t="str">
        <f t="shared" si="172"/>
        <v/>
      </c>
      <c r="J144" s="360" t="str">
        <f t="shared" si="172"/>
        <v/>
      </c>
      <c r="K144" s="360" t="str">
        <f t="shared" si="172"/>
        <v/>
      </c>
      <c r="L144" s="360" t="str">
        <f t="shared" si="172"/>
        <v/>
      </c>
      <c r="M144" s="360" t="str">
        <f t="shared" si="172"/>
        <v/>
      </c>
      <c r="N144" s="360" t="str">
        <f t="shared" si="171"/>
        <v/>
      </c>
      <c r="O144" s="360" t="str">
        <f t="shared" si="171"/>
        <v/>
      </c>
      <c r="P144" s="360" t="str">
        <f t="shared" si="171"/>
        <v/>
      </c>
      <c r="Q144" s="360" t="str">
        <f t="shared" si="171"/>
        <v/>
      </c>
      <c r="R144" s="360" t="str">
        <f t="shared" si="171"/>
        <v/>
      </c>
      <c r="S144" s="360" t="str">
        <f t="shared" si="171"/>
        <v/>
      </c>
      <c r="T144" s="360" t="str">
        <f t="shared" si="171"/>
        <v/>
      </c>
      <c r="U144" s="361" t="str">
        <f t="shared" si="171"/>
        <v/>
      </c>
      <c r="V144" s="298"/>
      <c r="W144" s="298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4" t="str">
        <f t="shared" ref="B145:C149" si="173">IF(AA145=0,"",AA145)</f>
        <v>Spieler 1</v>
      </c>
      <c r="C145" s="375" t="str">
        <f t="shared" si="173"/>
        <v/>
      </c>
      <c r="D145" s="362">
        <f>IF(AC145=301,"",AC145)</f>
        <v>258</v>
      </c>
      <c r="E145" s="362" t="str">
        <f>IF(AD145=0,"",AD145)</f>
        <v/>
      </c>
      <c r="F145" s="362">
        <f>IF(AE145=301,"",AE145)</f>
        <v>214</v>
      </c>
      <c r="G145" s="362" t="str">
        <f>IF(AF145=0,"",AF145)</f>
        <v/>
      </c>
      <c r="H145" s="362">
        <f>IF(AG145=301,"",AG145)</f>
        <v>220</v>
      </c>
      <c r="I145" s="362" t="str">
        <f>IF(AH145=0,"",AH145)</f>
        <v/>
      </c>
      <c r="J145" s="362">
        <f>IF(AI145=301,"",AI145)</f>
        <v>166</v>
      </c>
      <c r="K145" s="362" t="str">
        <f>IF(AJ145=0,"",AJ145)</f>
        <v/>
      </c>
      <c r="L145" s="362">
        <f>IF(AK145=301,"",AK145)</f>
        <v>169</v>
      </c>
      <c r="M145" s="362" t="str">
        <f>IF(AL145=0,"",AL145)</f>
        <v/>
      </c>
      <c r="N145" s="362">
        <f>IF(AM145=301,"",AM145)</f>
        <v>184</v>
      </c>
      <c r="O145" s="362" t="str">
        <f>IF(AN145=0,"",AN145)</f>
        <v/>
      </c>
      <c r="P145" s="362">
        <f>IF(AO145=301,"",AO145)</f>
        <v>242</v>
      </c>
      <c r="Q145" s="362" t="str">
        <f>IF(AP145=0,"",AP145)</f>
        <v/>
      </c>
      <c r="R145" s="362">
        <f>IF(AQ145=301,"",AQ145)</f>
        <v>147</v>
      </c>
      <c r="S145" s="362" t="str">
        <f>IF(AR145=0,"",AR145)</f>
        <v/>
      </c>
      <c r="T145" s="362">
        <f>IF(AS145=301,"",AS145)</f>
        <v>187</v>
      </c>
      <c r="U145" s="362" t="str">
        <f>IF(AT145=0,"",AT145)</f>
        <v/>
      </c>
      <c r="V145" s="364"/>
      <c r="W145" s="364"/>
      <c r="AA145" s="91" t="s">
        <v>0</v>
      </c>
      <c r="AB145" s="92"/>
      <c r="AC145" s="368">
        <f>ABS(INDEX(AC:AC,MATCH(AC142,$AA:$AA,0)+5)+INDEX(AC:AC,MATCH(AC142,$AA:$AA,0)+6)+INDEX(AC:AC,MATCH(AC142,$AA:$AA,0)+7))</f>
        <v>258</v>
      </c>
      <c r="AD145" s="369"/>
      <c r="AE145" s="368">
        <f>ABS(INDEX(AE:AE,MATCH(AE142,$AA:$AA,0)+5)+INDEX(AE:AE,MATCH(AE142,$AA:$AA,0)+6)+INDEX(AE:AE,MATCH(AE142,$AA:$AA,0)+7))</f>
        <v>214</v>
      </c>
      <c r="AF145" s="369"/>
      <c r="AG145" s="368">
        <f>ABS(INDEX(AG:AG,MATCH(AG142,$AA:$AA,0)+5)+INDEX(AG:AG,MATCH(AG142,$AA:$AA,0)+6)+INDEX(AG:AG,MATCH(AG142,$AA:$AA,0)+7))</f>
        <v>220</v>
      </c>
      <c r="AH145" s="369"/>
      <c r="AI145" s="368">
        <f>ABS(INDEX(AI:AI,MATCH(AI142,$AA:$AA,0)+5)+INDEX(AI:AI,MATCH(AI142,$AA:$AA,0)+6)+INDEX(AI:AI,MATCH(AI142,$AA:$AA,0)+7))</f>
        <v>166</v>
      </c>
      <c r="AJ145" s="369"/>
      <c r="AK145" s="368">
        <f>ABS(INDEX(AK:AK,MATCH(AK142,$AA:$AA,0)+5)+INDEX(AK:AK,MATCH(AK142,$AA:$AA,0)+6)+INDEX(AK:AK,MATCH(AK142,$AA:$AA,0)+7))</f>
        <v>169</v>
      </c>
      <c r="AL145" s="369"/>
      <c r="AM145" s="368">
        <f>ABS(INDEX(AM:AM,MATCH(AM142,$AA:$AA,0)+5)+INDEX(AM:AM,MATCH(AM142,$AA:$AA,0)+6)+INDEX(AM:AM,MATCH(AM142,$AA:$AA,0)+7))</f>
        <v>184</v>
      </c>
      <c r="AN145" s="369"/>
      <c r="AO145" s="368">
        <f>ABS(INDEX(AO:AO,MATCH(AO142,$AA:$AA,0)+5)+INDEX(AO:AO,MATCH(AO142,$AA:$AA,0)+6)+INDEX(AO:AO,MATCH(AO142,$AA:$AA,0)+7))</f>
        <v>242</v>
      </c>
      <c r="AP145" s="369"/>
      <c r="AQ145" s="368">
        <f>ABS(INDEX(AQ:AQ,MATCH(AQ142,$AA:$AA,0)+5)+INDEX(AQ:AQ,MATCH(AQ142,$AA:$AA,0)+6)+INDEX(AQ:AQ,MATCH(AQ142,$AA:$AA,0)+7))</f>
        <v>147</v>
      </c>
      <c r="AR145" s="369"/>
      <c r="AS145" s="368">
        <f>ABS(INDEX(AS:AS,MATCH(AS142,$AA:$AA,0)+5)+INDEX(AS:AS,MATCH(AS142,$AA:$AA,0)+6)+INDEX(AS:AS,MATCH(AS142,$AA:$AA,0)+7))</f>
        <v>187</v>
      </c>
      <c r="AT145" s="369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4" t="str">
        <f t="shared" si="173"/>
        <v>Spieler 2</v>
      </c>
      <c r="C146" s="375" t="str">
        <f t="shared" si="173"/>
        <v/>
      </c>
      <c r="D146" s="362">
        <f>IF(AC146=301,"",AC146)</f>
        <v>190</v>
      </c>
      <c r="E146" s="362" t="str">
        <f>IF(AD146=0,"",AD146)</f>
        <v/>
      </c>
      <c r="F146" s="362">
        <f>IF(AE146=301,"",AE146)</f>
        <v>187</v>
      </c>
      <c r="G146" s="362" t="str">
        <f>IF(AF146=0,"",AF146)</f>
        <v/>
      </c>
      <c r="H146" s="362">
        <f>IF(AG146=301,"",AG146)</f>
        <v>200</v>
      </c>
      <c r="I146" s="362" t="str">
        <f>IF(AH146=0,"",AH146)</f>
        <v/>
      </c>
      <c r="J146" s="362">
        <f>IF(AI146=301,"",AI146)</f>
        <v>150</v>
      </c>
      <c r="K146" s="362" t="str">
        <f>IF(AJ146=0,"",AJ146)</f>
        <v/>
      </c>
      <c r="L146" s="362">
        <f>IF(AK146=301,"",AK146)</f>
        <v>168</v>
      </c>
      <c r="M146" s="362" t="str">
        <f>IF(AL146=0,"",AL146)</f>
        <v/>
      </c>
      <c r="N146" s="362">
        <f>IF(AM146=301,"",AM146)</f>
        <v>211</v>
      </c>
      <c r="O146" s="362" t="str">
        <f>IF(AN146=0,"",AN146)</f>
        <v/>
      </c>
      <c r="P146" s="362">
        <f>IF(AO146=301,"",AO146)</f>
        <v>180</v>
      </c>
      <c r="Q146" s="362" t="str">
        <f>IF(AP146=0,"",AP146)</f>
        <v/>
      </c>
      <c r="R146" s="362">
        <f>IF(AQ146=301,"",AQ146)</f>
        <v>156</v>
      </c>
      <c r="S146" s="362" t="str">
        <f>IF(AR146=0,"",AR146)</f>
        <v/>
      </c>
      <c r="T146" s="362">
        <f>IF(AS146=301,"",AS146)</f>
        <v>173</v>
      </c>
      <c r="U146" s="362" t="str">
        <f>IF(AT146=0,"",AT146)</f>
        <v/>
      </c>
      <c r="V146" s="364"/>
      <c r="W146" s="364"/>
      <c r="AA146" s="91" t="s">
        <v>2</v>
      </c>
      <c r="AB146" s="92"/>
      <c r="AC146" s="366">
        <f>ABS(INDEX(AC:AC,MATCH(AC142,$AA:$AA,0)+8)+INDEX(AC:AC,MATCH(AC142,$AA:$AA,0)+9)+INDEX(AC:AC,MATCH(AC142,$AA:$AA,0)+10))</f>
        <v>190</v>
      </c>
      <c r="AD146" s="367"/>
      <c r="AE146" s="366">
        <f>ABS(INDEX(AE:AE,MATCH(AE142,$AA:$AA,0)+8)+INDEX(AE:AE,MATCH(AE142,$AA:$AA,0)+9)+INDEX(AE:AE,MATCH(AE142,$AA:$AA,0)+10))</f>
        <v>187</v>
      </c>
      <c r="AF146" s="367"/>
      <c r="AG146" s="366">
        <f>ABS(INDEX(AG:AG,MATCH(AG142,$AA:$AA,0)+8)+INDEX(AG:AG,MATCH(AG142,$AA:$AA,0)+9)+INDEX(AG:AG,MATCH(AG142,$AA:$AA,0)+10))</f>
        <v>200</v>
      </c>
      <c r="AH146" s="367"/>
      <c r="AI146" s="366">
        <f>ABS(INDEX(AI:AI,MATCH(AI142,$AA:$AA,0)+8)+INDEX(AI:AI,MATCH(AI142,$AA:$AA,0)+9)+INDEX(AI:AI,MATCH(AI142,$AA:$AA,0)+10))</f>
        <v>150</v>
      </c>
      <c r="AJ146" s="367"/>
      <c r="AK146" s="366">
        <f>ABS(INDEX(AK:AK,MATCH(AK142,$AA:$AA,0)+8)+INDEX(AK:AK,MATCH(AK142,$AA:$AA,0)+9)+INDEX(AK:AK,MATCH(AK142,$AA:$AA,0)+10))</f>
        <v>168</v>
      </c>
      <c r="AL146" s="367"/>
      <c r="AM146" s="366">
        <f>ABS(INDEX(AM:AM,MATCH(AM142,$AA:$AA,0)+8)+INDEX(AM:AM,MATCH(AM142,$AA:$AA,0)+9)+INDEX(AM:AM,MATCH(AM142,$AA:$AA,0)+10))</f>
        <v>211</v>
      </c>
      <c r="AN146" s="367"/>
      <c r="AO146" s="366">
        <f>ABS(INDEX(AO:AO,MATCH(AO142,$AA:$AA,0)+8)+INDEX(AO:AO,MATCH(AO142,$AA:$AA,0)+9)+INDEX(AO:AO,MATCH(AO142,$AA:$AA,0)+10))</f>
        <v>180</v>
      </c>
      <c r="AP146" s="367"/>
      <c r="AQ146" s="366">
        <f>ABS(INDEX(AQ:AQ,MATCH(AQ142,$AA:$AA,0)+8)+INDEX(AQ:AQ,MATCH(AQ142,$AA:$AA,0)+9)+INDEX(AQ:AQ,MATCH(AQ142,$AA:$AA,0)+10))</f>
        <v>156</v>
      </c>
      <c r="AR146" s="367"/>
      <c r="AS146" s="366">
        <f>ABS(INDEX(AS:AS,MATCH(AS142,$AA:$AA,0)+8)+INDEX(AS:AS,MATCH(AS142,$AA:$AA,0)+9)+INDEX(AS:AS,MATCH(AS142,$AA:$AA,0)+10))</f>
        <v>173</v>
      </c>
      <c r="AT146" s="367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4" t="str">
        <f t="shared" si="173"/>
        <v>Spieler 3</v>
      </c>
      <c r="C147" s="375" t="str">
        <f t="shared" si="173"/>
        <v/>
      </c>
      <c r="D147" s="362">
        <f>IF(AC147=301,"",AC147)</f>
        <v>184</v>
      </c>
      <c r="E147" s="362" t="str">
        <f>IF(AD147=0,"",AD147)</f>
        <v/>
      </c>
      <c r="F147" s="362">
        <f>IF(AE147=301,"",AE147)</f>
        <v>184</v>
      </c>
      <c r="G147" s="362" t="str">
        <f>IF(AF147=0,"",AF147)</f>
        <v/>
      </c>
      <c r="H147" s="362">
        <f>IF(AG147=301,"",AG147)</f>
        <v>183</v>
      </c>
      <c r="I147" s="362" t="str">
        <f>IF(AH147=0,"",AH147)</f>
        <v/>
      </c>
      <c r="J147" s="362">
        <f>IF(AI147=301,"",AI147)</f>
        <v>203</v>
      </c>
      <c r="K147" s="362" t="str">
        <f>IF(AJ147=0,"",AJ147)</f>
        <v/>
      </c>
      <c r="L147" s="362">
        <f>IF(AK147=301,"",AK147)</f>
        <v>139</v>
      </c>
      <c r="M147" s="362" t="str">
        <f>IF(AL147=0,"",AL147)</f>
        <v/>
      </c>
      <c r="N147" s="362">
        <f>IF(AM147=301,"",AM147)</f>
        <v>179</v>
      </c>
      <c r="O147" s="362" t="str">
        <f>IF(AN147=0,"",AN147)</f>
        <v/>
      </c>
      <c r="P147" s="362">
        <f>IF(AO147=301,"",AO147)</f>
        <v>217</v>
      </c>
      <c r="Q147" s="362" t="str">
        <f>IF(AP147=0,"",AP147)</f>
        <v/>
      </c>
      <c r="R147" s="362">
        <f>IF(AQ147=301,"",AQ147)</f>
        <v>206</v>
      </c>
      <c r="S147" s="362" t="str">
        <f>IF(AR147=0,"",AR147)</f>
        <v/>
      </c>
      <c r="T147" s="362">
        <f>IF(AS147=301,"",AS147)</f>
        <v>202</v>
      </c>
      <c r="U147" s="362" t="str">
        <f>IF(AT147=0,"",AT147)</f>
        <v/>
      </c>
      <c r="V147" s="364"/>
      <c r="W147" s="364"/>
      <c r="AA147" s="91" t="s">
        <v>3</v>
      </c>
      <c r="AB147" s="92"/>
      <c r="AC147" s="366">
        <f>ABS(INDEX(AC:AC,MATCH(AC142,$AA:$AA,0)+11)+INDEX(AC:AC,MATCH(AC142,$AA:$AA,0)+12)+INDEX(AC:AC,MATCH(AC142,$AA:$AA,0)+13))</f>
        <v>184</v>
      </c>
      <c r="AD147" s="367"/>
      <c r="AE147" s="366">
        <f>ABS(INDEX(AE:AE,MATCH(AE142,$AA:$AA,0)+11)+INDEX(AE:AE,MATCH(AE142,$AA:$AA,0)+12)+INDEX(AE:AE,MATCH(AE142,$AA:$AA,0)+13))</f>
        <v>184</v>
      </c>
      <c r="AF147" s="367"/>
      <c r="AG147" s="366">
        <f>ABS(INDEX(AG:AG,MATCH(AG142,$AA:$AA,0)+11)+INDEX(AG:AG,MATCH(AG142,$AA:$AA,0)+12)+INDEX(AG:AG,MATCH(AG142,$AA:$AA,0)+13))</f>
        <v>183</v>
      </c>
      <c r="AH147" s="367"/>
      <c r="AI147" s="366">
        <f>ABS(INDEX(AI:AI,MATCH(AI142,$AA:$AA,0)+11)+INDEX(AI:AI,MATCH(AI142,$AA:$AA,0)+12)+INDEX(AI:AI,MATCH(AI142,$AA:$AA,0)+13))</f>
        <v>203</v>
      </c>
      <c r="AJ147" s="367"/>
      <c r="AK147" s="366">
        <f>ABS(INDEX(AK:AK,MATCH(AK142,$AA:$AA,0)+11)+INDEX(AK:AK,MATCH(AK142,$AA:$AA,0)+12)+INDEX(AK:AK,MATCH(AK142,$AA:$AA,0)+13))</f>
        <v>139</v>
      </c>
      <c r="AL147" s="367"/>
      <c r="AM147" s="366">
        <f>ABS(INDEX(AM:AM,MATCH(AM142,$AA:$AA,0)+11)+INDEX(AM:AM,MATCH(AM142,$AA:$AA,0)+12)+INDEX(AM:AM,MATCH(AM142,$AA:$AA,0)+13))</f>
        <v>179</v>
      </c>
      <c r="AN147" s="367"/>
      <c r="AO147" s="366">
        <f>ABS(INDEX(AO:AO,MATCH(AO142,$AA:$AA,0)+11)+INDEX(AO:AO,MATCH(AO142,$AA:$AA,0)+12)+INDEX(AO:AO,MATCH(AO142,$AA:$AA,0)+13))</f>
        <v>217</v>
      </c>
      <c r="AP147" s="367"/>
      <c r="AQ147" s="366">
        <f>ABS(INDEX(AQ:AQ,MATCH(AQ142,$AA:$AA,0)+11)+INDEX(AQ:AQ,MATCH(AQ142,$AA:$AA,0)+12)+INDEX(AQ:AQ,MATCH(AQ142,$AA:$AA,0)+13))</f>
        <v>206</v>
      </c>
      <c r="AR147" s="367"/>
      <c r="AS147" s="366">
        <f>ABS(INDEX(AS:AS,MATCH(AS142,$AA:$AA,0)+11)+INDEX(AS:AS,MATCH(AS142,$AA:$AA,0)+12)+INDEX(AS:AS,MATCH(AS142,$AA:$AA,0)+13))</f>
        <v>202</v>
      </c>
      <c r="AT147" s="367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4" t="str">
        <f t="shared" si="173"/>
        <v>Spieler 4</v>
      </c>
      <c r="C148" s="375" t="str">
        <f t="shared" si="173"/>
        <v/>
      </c>
      <c r="D148" s="362">
        <f>IF(AC148=301,"",AC148)</f>
        <v>150</v>
      </c>
      <c r="E148" s="362" t="str">
        <f>IF(AD148=0,"",AD148)</f>
        <v/>
      </c>
      <c r="F148" s="362">
        <f>IF(AE148=301,"",AE148)</f>
        <v>199</v>
      </c>
      <c r="G148" s="362" t="str">
        <f>IF(AF148=0,"",AF148)</f>
        <v/>
      </c>
      <c r="H148" s="362">
        <f>IF(AG148=301,"",AG148)</f>
        <v>171</v>
      </c>
      <c r="I148" s="362" t="str">
        <f>IF(AH148=0,"",AH148)</f>
        <v/>
      </c>
      <c r="J148" s="362">
        <f>IF(AI148=301,"",AI148)</f>
        <v>155</v>
      </c>
      <c r="K148" s="362" t="str">
        <f>IF(AJ148=0,"",AJ148)</f>
        <v/>
      </c>
      <c r="L148" s="362">
        <f>IF(AK148=301,"",AK148)</f>
        <v>189</v>
      </c>
      <c r="M148" s="362" t="str">
        <f>IF(AL148=0,"",AL148)</f>
        <v/>
      </c>
      <c r="N148" s="362">
        <f>IF(AM148=301,"",AM148)</f>
        <v>201</v>
      </c>
      <c r="O148" s="362" t="str">
        <f>IF(AN148=0,"",AN148)</f>
        <v/>
      </c>
      <c r="P148" s="362">
        <f>IF(AO148=301,"",AO148)</f>
        <v>180</v>
      </c>
      <c r="Q148" s="362" t="str">
        <f>IF(AP148=0,"",AP148)</f>
        <v/>
      </c>
      <c r="R148" s="362">
        <f>IF(AQ148=301,"",AQ148)</f>
        <v>152</v>
      </c>
      <c r="S148" s="362" t="str">
        <f>IF(AR148=0,"",AR148)</f>
        <v/>
      </c>
      <c r="T148" s="362">
        <f>IF(AS148=301,"",AS148)</f>
        <v>258</v>
      </c>
      <c r="U148" s="362" t="str">
        <f>IF(AT148=0,"",AT148)</f>
        <v/>
      </c>
      <c r="V148" s="364"/>
      <c r="W148" s="364"/>
      <c r="AA148" s="91" t="s">
        <v>11</v>
      </c>
      <c r="AB148" s="92"/>
      <c r="AC148" s="366">
        <f>ABS(INDEX(AC:AC,MATCH(AC142,$AA:$AA,0)+14)+INDEX(AC:AC,MATCH(AC142,$AA:$AA,0)+15)+INDEX(AC:AC,MATCH(AC142,$AA:$AA,0)+16))</f>
        <v>150</v>
      </c>
      <c r="AD148" s="367"/>
      <c r="AE148" s="366">
        <f>ABS(INDEX(AE:AE,MATCH(AE142,$AA:$AA,0)+14)+INDEX(AE:AE,MATCH(AE142,$AA:$AA,0)+15)+INDEX(AE:AE,MATCH(AE142,$AA:$AA,0)+16))</f>
        <v>199</v>
      </c>
      <c r="AF148" s="367"/>
      <c r="AG148" s="366">
        <f>ABS(INDEX(AG:AG,MATCH(AG142,$AA:$AA,0)+14)+INDEX(AG:AG,MATCH(AG142,$AA:$AA,0)+15)+INDEX(AG:AG,MATCH(AG142,$AA:$AA,0)+16))</f>
        <v>171</v>
      </c>
      <c r="AH148" s="367"/>
      <c r="AI148" s="366">
        <f>ABS(INDEX(AI:AI,MATCH(AI142,$AA:$AA,0)+14)+INDEX(AI:AI,MATCH(AI142,$AA:$AA,0)+15)+INDEX(AI:AI,MATCH(AI142,$AA:$AA,0)+16))</f>
        <v>155</v>
      </c>
      <c r="AJ148" s="367"/>
      <c r="AK148" s="366">
        <f>ABS(INDEX(AK:AK,MATCH(AK142,$AA:$AA,0)+14)+INDEX(AK:AK,MATCH(AK142,$AA:$AA,0)+15)+INDEX(AK:AK,MATCH(AK142,$AA:$AA,0)+16))</f>
        <v>189</v>
      </c>
      <c r="AL148" s="367"/>
      <c r="AM148" s="366">
        <f>ABS(INDEX(AM:AM,MATCH(AM142,$AA:$AA,0)+14)+INDEX(AM:AM,MATCH(AM142,$AA:$AA,0)+15)+INDEX(AM:AM,MATCH(AM142,$AA:$AA,0)+16))</f>
        <v>201</v>
      </c>
      <c r="AN148" s="367"/>
      <c r="AO148" s="366">
        <f>ABS(INDEX(AO:AO,MATCH(AO142,$AA:$AA,0)+14)+INDEX(AO:AO,MATCH(AO142,$AA:$AA,0)+15)+INDEX(AO:AO,MATCH(AO142,$AA:$AA,0)+16))</f>
        <v>180</v>
      </c>
      <c r="AP148" s="367"/>
      <c r="AQ148" s="366">
        <f>ABS(INDEX(AQ:AQ,MATCH(AQ142,$AA:$AA,0)+14)+INDEX(AQ:AQ,MATCH(AQ142,$AA:$AA,0)+15)+INDEX(AQ:AQ,MATCH(AQ142,$AA:$AA,0)+16))</f>
        <v>152</v>
      </c>
      <c r="AR148" s="367"/>
      <c r="AS148" s="366">
        <f>ABS(INDEX(AS:AS,MATCH(AS142,$AA:$AA,0)+14)+INDEX(AS:AS,MATCH(AS142,$AA:$AA,0)+15)+INDEX(AS:AS,MATCH(AS142,$AA:$AA,0)+16))</f>
        <v>258</v>
      </c>
      <c r="AT148" s="367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6" t="str">
        <f t="shared" si="173"/>
        <v>Gesamt</v>
      </c>
      <c r="C149" s="347" t="str">
        <f t="shared" si="173"/>
        <v/>
      </c>
      <c r="D149" s="365">
        <f>IF(AC149=1505,"",AC149)</f>
        <v>782</v>
      </c>
      <c r="E149" s="365" t="str">
        <f>IF(AD149=0,"",AD149)</f>
        <v/>
      </c>
      <c r="F149" s="365">
        <f>IF(AE149=1505,"",AE149)</f>
        <v>784</v>
      </c>
      <c r="G149" s="365" t="str">
        <f>IF(AF149=0,"",AF149)</f>
        <v/>
      </c>
      <c r="H149" s="365">
        <f>IF(AG149=1505,"",AG149)</f>
        <v>774</v>
      </c>
      <c r="I149" s="365" t="str">
        <f>IF(AH149=0,"",AH149)</f>
        <v/>
      </c>
      <c r="J149" s="365">
        <f>IF(AI149=1505,"",AI149)</f>
        <v>674</v>
      </c>
      <c r="K149" s="365" t="str">
        <f>IF(AJ149=0,"",AJ149)</f>
        <v/>
      </c>
      <c r="L149" s="365">
        <f>IF(AK149=1505,"",AK149)</f>
        <v>665</v>
      </c>
      <c r="M149" s="365" t="str">
        <f>IF(AL149=0,"",AL149)</f>
        <v/>
      </c>
      <c r="N149" s="365">
        <f>IF(AM149=1505,"",AM149)</f>
        <v>775</v>
      </c>
      <c r="O149" s="365" t="str">
        <f>IF(AN149=0,"",AN149)</f>
        <v/>
      </c>
      <c r="P149" s="365">
        <f>IF(AO149=1505,"",AO149)</f>
        <v>819</v>
      </c>
      <c r="Q149" s="365" t="str">
        <f>IF(AP149=0,"",AP149)</f>
        <v/>
      </c>
      <c r="R149" s="365">
        <f>IF(AQ149=1505,"",AQ149)</f>
        <v>661</v>
      </c>
      <c r="S149" s="365" t="str">
        <f>IF(AR149=0,"",AR149)</f>
        <v/>
      </c>
      <c r="T149" s="365">
        <f>IF(AS149=1505,"",AS149)</f>
        <v>820</v>
      </c>
      <c r="U149" s="365" t="str">
        <f>IF(AT149=0,"",AT149)</f>
        <v/>
      </c>
      <c r="V149" s="301"/>
      <c r="W149" s="301"/>
      <c r="AA149" s="93" t="s">
        <v>1799</v>
      </c>
      <c r="AB149" s="94"/>
      <c r="AC149" s="346">
        <f>SUM(AC145:AC148)</f>
        <v>782</v>
      </c>
      <c r="AD149" s="347"/>
      <c r="AE149" s="346">
        <f>SUM(AE145:AE148)</f>
        <v>784</v>
      </c>
      <c r="AF149" s="347"/>
      <c r="AG149" s="346">
        <f>SUM(AG145:AG148)</f>
        <v>774</v>
      </c>
      <c r="AH149" s="347"/>
      <c r="AI149" s="346">
        <f>SUM(AI145:AI148)</f>
        <v>674</v>
      </c>
      <c r="AJ149" s="347"/>
      <c r="AK149" s="346">
        <f>SUM(AK145:AK148)</f>
        <v>665</v>
      </c>
      <c r="AL149" s="347"/>
      <c r="AM149" s="346">
        <f>SUM(AM145:AM148)</f>
        <v>775</v>
      </c>
      <c r="AN149" s="347"/>
      <c r="AO149" s="346">
        <f>SUM(AO145:AO148)</f>
        <v>819</v>
      </c>
      <c r="AP149" s="347"/>
      <c r="AQ149" s="346">
        <f>SUM(AQ145:AQ148)</f>
        <v>661</v>
      </c>
      <c r="AR149" s="347"/>
      <c r="AS149" s="346">
        <f>SUM(AS145:AS148)</f>
        <v>820</v>
      </c>
      <c r="AT149" s="347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5" t="str">
        <f>AE151</f>
        <v>Bayernliga Herren</v>
      </c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48"/>
      <c r="S151" s="49" t="s">
        <v>1794</v>
      </c>
      <c r="T151" s="50"/>
      <c r="U151" s="341" t="str">
        <f>AT151</f>
        <v>02.11./03.11.</v>
      </c>
      <c r="V151" s="342"/>
      <c r="W151" s="343"/>
      <c r="X151" s="372"/>
      <c r="Y151" s="373"/>
      <c r="Z151" s="373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41" t="str">
        <f>VLOOKUP(AS152,Spielorte!$A$1:$C$6,2)</f>
        <v>02.11./03.11.</v>
      </c>
      <c r="AU151" s="342"/>
      <c r="AV151" s="34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4" t="str">
        <f>AE152</f>
        <v>Nürnberg West Bowling</v>
      </c>
      <c r="G152" s="344"/>
      <c r="H152" s="344"/>
      <c r="I152" s="344"/>
      <c r="J152" s="344"/>
      <c r="K152" s="344"/>
      <c r="L152" s="344"/>
      <c r="M152" s="344"/>
      <c r="N152" s="344"/>
      <c r="O152" s="344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6" t="s">
        <v>1800</v>
      </c>
      <c r="E155" s="347"/>
      <c r="F155" s="346" t="s">
        <v>1801</v>
      </c>
      <c r="G155" s="347"/>
      <c r="H155" s="346" t="s">
        <v>1802</v>
      </c>
      <c r="I155" s="347"/>
      <c r="J155" s="346" t="s">
        <v>1803</v>
      </c>
      <c r="K155" s="347"/>
      <c r="L155" s="346" t="s">
        <v>1804</v>
      </c>
      <c r="M155" s="347"/>
      <c r="N155" s="346" t="s">
        <v>1805</v>
      </c>
      <c r="O155" s="347"/>
      <c r="P155" s="346" t="s">
        <v>1806</v>
      </c>
      <c r="Q155" s="347"/>
      <c r="R155" s="346" t="s">
        <v>1807</v>
      </c>
      <c r="S155" s="347"/>
      <c r="T155" s="346" t="s">
        <v>1808</v>
      </c>
      <c r="U155" s="347"/>
      <c r="V155" s="354" t="s">
        <v>1799</v>
      </c>
      <c r="W155" s="355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6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169</v>
      </c>
      <c r="E157" s="348">
        <f>IF(AD157="","",AD157)</f>
        <v>1</v>
      </c>
      <c r="F157" s="75">
        <f t="shared" ref="F157:F170" si="174">IF(AE157=0,"",AE157)</f>
        <v>146</v>
      </c>
      <c r="G157" s="348">
        <f>IF(AF157="","",AF157)</f>
        <v>0</v>
      </c>
      <c r="H157" s="75">
        <f t="shared" ref="H157:H170" si="175">IF(AG157=0,"",AG157)</f>
        <v>220</v>
      </c>
      <c r="I157" s="348">
        <f>IF(AH157="","",AH157)</f>
        <v>1</v>
      </c>
      <c r="J157" s="75">
        <f t="shared" ref="J157:J170" si="176">IF(AI157=0,"",AI157)</f>
        <v>175</v>
      </c>
      <c r="K157" s="348">
        <f>IF(AJ157="","",AJ157)</f>
        <v>0</v>
      </c>
      <c r="L157" s="75">
        <f t="shared" ref="L157:L170" si="177">IF(AK157=0,"",AK157)</f>
        <v>162</v>
      </c>
      <c r="M157" s="348">
        <f>IF(AL157="","",AL157)</f>
        <v>0</v>
      </c>
      <c r="N157" s="75">
        <f>IF(AM157=0,"",AM157)</f>
        <v>197</v>
      </c>
      <c r="O157" s="348">
        <f>IF(AN157="","",AN157)</f>
        <v>1</v>
      </c>
      <c r="P157" s="75">
        <f t="shared" ref="P157:P170" si="178">IF(AO157=0,"",AO157)</f>
        <v>149</v>
      </c>
      <c r="Q157" s="348">
        <f>IF(AP157="","",AP157)</f>
        <v>0</v>
      </c>
      <c r="R157" s="75" t="str">
        <f t="shared" ref="R157:R170" si="179">IF(AQ157=0,"",AQ157)</f>
        <v/>
      </c>
      <c r="S157" s="348">
        <f>IF(AR157="","",AR157)</f>
        <v>1</v>
      </c>
      <c r="T157" s="75" t="str">
        <f t="shared" ref="T157:T170" si="180">IF(AS157=0,"",AS157)</f>
        <v/>
      </c>
      <c r="U157" s="348">
        <f>IF(AT157="","",AT157)</f>
        <v>1</v>
      </c>
      <c r="V157" s="75">
        <f t="shared" ref="V157:V170" si="181">IF(AU157=0,"",AU157)</f>
        <v>1218</v>
      </c>
      <c r="W157" s="348">
        <f>IF(AV157="","",AV157)</f>
        <v>5</v>
      </c>
      <c r="Z157" s="351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169</v>
      </c>
      <c r="AD157" s="109">
        <f>IF(SUM(AC157:AC159)+AC175=0,0,IF(SUM(AC157:AC159)=AC175,0.5,IF(SUM(AC157:AC159)&gt;AC175,1,0)))</f>
        <v>1</v>
      </c>
      <c r="AE157" s="185">
        <v>146</v>
      </c>
      <c r="AF157" s="109">
        <f>IF(SUM(AE157:AE159)+AE175=0,0,IF(SUM(AE157:AE159)=AE175,0.5,IF(SUM(AE157:AE159)&gt;AE175,1,0)))</f>
        <v>0</v>
      </c>
      <c r="AG157" s="185">
        <v>220</v>
      </c>
      <c r="AH157" s="109">
        <f>IF(SUM(AG157:AG159)+AG175=0,0,IF(SUM(AG157:AG159)=AG175,0.5,IF(SUM(AG157:AG159)&gt;AG175,1,0)))</f>
        <v>1</v>
      </c>
      <c r="AI157" s="185">
        <v>175</v>
      </c>
      <c r="AJ157" s="109">
        <f>IF(SUM(AI157:AI159)+AI175=0,0,IF(SUM(AI157:AI159)=AI175,0.5,IF(SUM(AI157:AI159)&gt;AI175,1,0)))</f>
        <v>0</v>
      </c>
      <c r="AK157" s="185">
        <v>162</v>
      </c>
      <c r="AL157" s="109">
        <f>IF(SUM(AK157:AK159)+AK175=0,0,IF(SUM(AK157:AK159)=AK175,0.5,IF(SUM(AK157:AK159)&gt;AK175,1,0)))</f>
        <v>0</v>
      </c>
      <c r="AM157" s="185">
        <v>197</v>
      </c>
      <c r="AN157" s="109">
        <f>IF(SUM(AM157:AM159)+AM175=0,0,IF(SUM(AM157:AM159)=AM175,0.5,IF(SUM(AM157:AM159)&gt;AM175,1,0)))</f>
        <v>1</v>
      </c>
      <c r="AO157" s="185">
        <v>149</v>
      </c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1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1218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1218</v>
      </c>
      <c r="BF157" s="215">
        <f>COUNT(BH157:BP157)</f>
        <v>7</v>
      </c>
      <c r="BG157" s="215">
        <f>COUNTIF(BH157:BP157,"&gt;0")</f>
        <v>7</v>
      </c>
      <c r="BH157" s="215">
        <f t="shared" ref="BH157:BH168" si="183">IF(AC157=0,"",AC157)</f>
        <v>169</v>
      </c>
      <c r="BI157" s="215">
        <f t="shared" ref="BI157:BI168" si="184">IF(AE157=0,"",AE157)</f>
        <v>146</v>
      </c>
      <c r="BJ157" s="215">
        <f t="shared" ref="BJ157:BJ168" si="185">IF(AG157=0,"",AG157)</f>
        <v>220</v>
      </c>
      <c r="BK157" s="215">
        <f t="shared" ref="BK157:BK168" si="186">IF(AI157=0,"",AI157)</f>
        <v>175</v>
      </c>
      <c r="BL157" s="215">
        <f t="shared" ref="BL157:BL168" si="187">IF(AK157=0,"",AK157)</f>
        <v>162</v>
      </c>
      <c r="BM157" s="215">
        <f t="shared" ref="BM157:BM168" si="188">IF(AM157=0,"",AM157)</f>
        <v>197</v>
      </c>
      <c r="BN157" s="215">
        <f t="shared" ref="BN157:BN168" si="189">IF(AO157=0,"",AO157)</f>
        <v>149</v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220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1218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77"/>
      <c r="B158" s="76" t="str">
        <f t="shared" ref="B158:D170" si="193">IF(AA158=0,"",AA158)</f>
        <v>Schön, Horst</v>
      </c>
      <c r="C158" s="77">
        <f t="shared" si="193"/>
        <v>16346</v>
      </c>
      <c r="D158" s="78" t="str">
        <f t="shared" si="193"/>
        <v/>
      </c>
      <c r="E158" s="349"/>
      <c r="F158" s="78" t="str">
        <f t="shared" si="174"/>
        <v/>
      </c>
      <c r="G158" s="349"/>
      <c r="H158" s="78" t="str">
        <f t="shared" si="175"/>
        <v/>
      </c>
      <c r="I158" s="349"/>
      <c r="J158" s="78" t="str">
        <f t="shared" si="176"/>
        <v/>
      </c>
      <c r="K158" s="349"/>
      <c r="L158" s="78" t="str">
        <f t="shared" si="177"/>
        <v/>
      </c>
      <c r="M158" s="349"/>
      <c r="N158" s="78" t="str">
        <f t="shared" ref="N158:N170" si="194">IF(AM158=0,"",AM158)</f>
        <v/>
      </c>
      <c r="O158" s="349"/>
      <c r="P158" s="78" t="str">
        <f t="shared" si="178"/>
        <v/>
      </c>
      <c r="Q158" s="349"/>
      <c r="R158" s="78">
        <f t="shared" si="179"/>
        <v>200</v>
      </c>
      <c r="S158" s="349"/>
      <c r="T158" s="78">
        <f t="shared" si="180"/>
        <v>222</v>
      </c>
      <c r="U158" s="349"/>
      <c r="V158" s="78">
        <f t="shared" si="181"/>
        <v>422</v>
      </c>
      <c r="W158" s="349"/>
      <c r="Z158" s="352"/>
      <c r="AA158" s="108" t="str">
        <f>IF(AB158=0,"",VLOOKUP(AB158,Starter!$A$1:$D$199,2,FALSE))</f>
        <v>Schön, Horst</v>
      </c>
      <c r="AB158" s="98">
        <v>16346</v>
      </c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>
        <v>200</v>
      </c>
      <c r="AR158" s="112"/>
      <c r="AS158" s="186">
        <v>222</v>
      </c>
      <c r="AT158" s="112"/>
      <c r="AU158" s="113">
        <f t="shared" si="182"/>
        <v>422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16346</v>
      </c>
      <c r="BE158" s="213">
        <f t="shared" ref="BE158:BE168" si="196">+AU158</f>
        <v>422</v>
      </c>
      <c r="BF158" s="215">
        <f t="shared" ref="BF158:BF168" si="197">COUNT(BH158:BP158)</f>
        <v>2</v>
      </c>
      <c r="BG158" s="215">
        <f t="shared" ref="BG158:BG168" si="198">COUNTIF(BH158:BP158,"&gt;0")</f>
        <v>2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>
        <f t="shared" si="190"/>
        <v>200</v>
      </c>
      <c r="BP158" s="215">
        <f t="shared" si="191"/>
        <v>222</v>
      </c>
      <c r="BQ158" s="216"/>
      <c r="BR158" s="214"/>
      <c r="BS158" s="215">
        <f t="shared" ref="BS158:BS168" si="199">MAX(BH158:BP158)</f>
        <v>222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2</v>
      </c>
      <c r="BW158" s="215">
        <f t="shared" ref="BW158:BW168" si="203">SUMIF(BH158:BP158,"&gt;0")</f>
        <v>422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8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0"/>
      <c r="F159" s="69" t="str">
        <f t="shared" si="174"/>
        <v/>
      </c>
      <c r="G159" s="350"/>
      <c r="H159" s="69" t="str">
        <f t="shared" si="175"/>
        <v/>
      </c>
      <c r="I159" s="350"/>
      <c r="J159" s="69" t="str">
        <f t="shared" si="176"/>
        <v/>
      </c>
      <c r="K159" s="350"/>
      <c r="L159" s="69" t="str">
        <f t="shared" si="177"/>
        <v/>
      </c>
      <c r="M159" s="350"/>
      <c r="N159" s="69" t="str">
        <f t="shared" si="194"/>
        <v/>
      </c>
      <c r="O159" s="350"/>
      <c r="P159" s="69" t="str">
        <f t="shared" si="178"/>
        <v/>
      </c>
      <c r="Q159" s="350"/>
      <c r="R159" s="69" t="str">
        <f t="shared" si="179"/>
        <v/>
      </c>
      <c r="S159" s="350"/>
      <c r="T159" s="69" t="str">
        <f t="shared" si="180"/>
        <v/>
      </c>
      <c r="U159" s="350"/>
      <c r="V159" s="69" t="str">
        <f t="shared" si="181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76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169</v>
      </c>
      <c r="E160" s="348">
        <f>IF(AD160="","",AD160)</f>
        <v>1</v>
      </c>
      <c r="F160" s="75">
        <f t="shared" si="174"/>
        <v>203</v>
      </c>
      <c r="G160" s="348">
        <f>IF(AF160="","",AF160)</f>
        <v>0</v>
      </c>
      <c r="H160" s="75">
        <f t="shared" si="175"/>
        <v>200</v>
      </c>
      <c r="I160" s="348">
        <f>IF(AH160="","",AH160)</f>
        <v>1</v>
      </c>
      <c r="J160" s="75">
        <f t="shared" si="176"/>
        <v>208</v>
      </c>
      <c r="K160" s="348">
        <f>IF(AJ160="","",AJ160)</f>
        <v>1</v>
      </c>
      <c r="L160" s="75">
        <f t="shared" si="177"/>
        <v>181</v>
      </c>
      <c r="M160" s="348">
        <f>IF(AL160="","",AL160)</f>
        <v>0</v>
      </c>
      <c r="N160" s="75">
        <f t="shared" si="194"/>
        <v>157</v>
      </c>
      <c r="O160" s="348">
        <f>IF(AN160="","",AN160)</f>
        <v>0</v>
      </c>
      <c r="P160" s="75">
        <f t="shared" si="178"/>
        <v>235</v>
      </c>
      <c r="Q160" s="348">
        <f>IF(AP160="","",AP160)</f>
        <v>1</v>
      </c>
      <c r="R160" s="75">
        <f t="shared" si="179"/>
        <v>235</v>
      </c>
      <c r="S160" s="348">
        <f>IF(AR160="","",AR160)</f>
        <v>1</v>
      </c>
      <c r="T160" s="75">
        <f t="shared" si="180"/>
        <v>214</v>
      </c>
      <c r="U160" s="348">
        <f>IF(AT160="","",AT160)</f>
        <v>1</v>
      </c>
      <c r="V160" s="75">
        <f t="shared" si="181"/>
        <v>1802</v>
      </c>
      <c r="W160" s="348">
        <f>IF(AV160="","",AV160)</f>
        <v>6</v>
      </c>
      <c r="Z160" s="351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169</v>
      </c>
      <c r="AD160" s="109">
        <f>IF(SUM(AC160:AC162)+AC176=0,0,IF(SUM(AC160:AC162)=AC176,0.5,IF(SUM(AC160:AC162)&gt;AC176,1,0)))</f>
        <v>1</v>
      </c>
      <c r="AE160" s="188">
        <v>203</v>
      </c>
      <c r="AF160" s="109">
        <f>IF(SUM(AE160:AE162)+AE176=0,0,IF(SUM(AE160:AE162)=AE176,0.5,IF(SUM(AE160:AE162)&gt;AE176,1,0)))</f>
        <v>0</v>
      </c>
      <c r="AG160" s="188">
        <v>200</v>
      </c>
      <c r="AH160" s="109">
        <f>IF(SUM(AG160:AG162)+AG176=0,0,IF(SUM(AG160:AG162)=AG176,0.5,IF(SUM(AG160:AG162)&gt;AG176,1,0)))</f>
        <v>1</v>
      </c>
      <c r="AI160" s="188">
        <v>208</v>
      </c>
      <c r="AJ160" s="109">
        <f>IF(SUM(AI160:AI162)+AI176=0,0,IF(SUM(AI160:AI162)=AI176,0.5,IF(SUM(AI160:AI162)&gt;AI176,1,0)))</f>
        <v>1</v>
      </c>
      <c r="AK160" s="188">
        <v>181</v>
      </c>
      <c r="AL160" s="109">
        <f>IF(SUM(AK160:AK162)+AK176=0,0,IF(SUM(AK160:AK162)=AK176,0.5,IF(SUM(AK160:AK162)&gt;AK176,1,0)))</f>
        <v>0</v>
      </c>
      <c r="AM160" s="188">
        <v>157</v>
      </c>
      <c r="AN160" s="109">
        <f>IF(SUM(AM160:AM162)+AM176=0,0,IF(SUM(AM160:AM162)=AM176,0.5,IF(SUM(AM160:AM162)&gt;AM176,1,0)))</f>
        <v>0</v>
      </c>
      <c r="AO160" s="188">
        <v>235</v>
      </c>
      <c r="AP160" s="109">
        <f>IF(SUM(AO160:AO162)+AO176=0,0,IF(SUM(AO160:AO162)=AO176,0.5,IF(SUM(AO160:AO162)&gt;AO176,1,0)))</f>
        <v>1</v>
      </c>
      <c r="AQ160" s="188">
        <v>235</v>
      </c>
      <c r="AR160" s="109">
        <f>IF(SUM(AQ160:AQ162)+AQ176=0,0,IF(SUM(AQ160:AQ162)=AQ176,0.5,IF(SUM(AQ160:AQ162)&gt;AQ176,1,0)))</f>
        <v>1</v>
      </c>
      <c r="AS160" s="188">
        <v>214</v>
      </c>
      <c r="AT160" s="109">
        <f>IF(SUM(AS160:AS162)+AS176=0,0,IF(SUM(AS160:AS162)=AS176,0.5,IF(SUM(AS160:AS162)&gt;AS176,1,0)))</f>
        <v>1</v>
      </c>
      <c r="AU160" s="110">
        <f t="shared" si="182"/>
        <v>1802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1802</v>
      </c>
      <c r="BF160" s="215">
        <f t="shared" si="197"/>
        <v>9</v>
      </c>
      <c r="BG160" s="215">
        <f t="shared" si="198"/>
        <v>9</v>
      </c>
      <c r="BH160" s="215">
        <f t="shared" si="183"/>
        <v>169</v>
      </c>
      <c r="BI160" s="215">
        <f t="shared" si="184"/>
        <v>203</v>
      </c>
      <c r="BJ160" s="215">
        <f t="shared" si="185"/>
        <v>200</v>
      </c>
      <c r="BK160" s="215">
        <f t="shared" si="186"/>
        <v>208</v>
      </c>
      <c r="BL160" s="215">
        <f t="shared" si="187"/>
        <v>181</v>
      </c>
      <c r="BM160" s="215">
        <f t="shared" si="188"/>
        <v>157</v>
      </c>
      <c r="BN160" s="215">
        <f t="shared" si="189"/>
        <v>235</v>
      </c>
      <c r="BO160" s="215">
        <f t="shared" si="190"/>
        <v>235</v>
      </c>
      <c r="BP160" s="215">
        <f t="shared" si="191"/>
        <v>214</v>
      </c>
      <c r="BQ160" s="216"/>
      <c r="BR160" s="214"/>
      <c r="BS160" s="215">
        <f t="shared" si="199"/>
        <v>235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2</v>
      </c>
      <c r="BW160" s="215">
        <f t="shared" si="203"/>
        <v>1802</v>
      </c>
      <c r="BX160" s="215">
        <f>IF(COUNTIF(BH160:BP160,"&gt;0")&lt;Spielorte!$A$23,0,BE160/Spielorte!$A$23)</f>
        <v>200.22222222222223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77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9"/>
      <c r="F161" s="78" t="str">
        <f t="shared" si="174"/>
        <v/>
      </c>
      <c r="G161" s="349"/>
      <c r="H161" s="78" t="str">
        <f t="shared" si="175"/>
        <v/>
      </c>
      <c r="I161" s="349"/>
      <c r="J161" s="78" t="str">
        <f t="shared" si="176"/>
        <v/>
      </c>
      <c r="K161" s="349"/>
      <c r="L161" s="78" t="str">
        <f t="shared" si="177"/>
        <v/>
      </c>
      <c r="M161" s="349"/>
      <c r="N161" s="78" t="str">
        <f t="shared" si="194"/>
        <v/>
      </c>
      <c r="O161" s="349"/>
      <c r="P161" s="78" t="str">
        <f t="shared" si="178"/>
        <v/>
      </c>
      <c r="Q161" s="349"/>
      <c r="R161" s="78" t="str">
        <f t="shared" si="179"/>
        <v/>
      </c>
      <c r="S161" s="349"/>
      <c r="T161" s="78" t="str">
        <f t="shared" si="180"/>
        <v/>
      </c>
      <c r="U161" s="349"/>
      <c r="V161" s="78" t="str">
        <f t="shared" si="181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2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8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0"/>
      <c r="F162" s="69" t="str">
        <f t="shared" si="174"/>
        <v/>
      </c>
      <c r="G162" s="350"/>
      <c r="H162" s="69" t="str">
        <f t="shared" si="175"/>
        <v/>
      </c>
      <c r="I162" s="350"/>
      <c r="J162" s="69" t="str">
        <f t="shared" si="176"/>
        <v/>
      </c>
      <c r="K162" s="350"/>
      <c r="L162" s="69" t="str">
        <f t="shared" si="177"/>
        <v/>
      </c>
      <c r="M162" s="350"/>
      <c r="N162" s="69" t="str">
        <f t="shared" si="194"/>
        <v/>
      </c>
      <c r="O162" s="350"/>
      <c r="P162" s="69" t="str">
        <f t="shared" si="178"/>
        <v/>
      </c>
      <c r="Q162" s="350"/>
      <c r="R162" s="69" t="str">
        <f t="shared" si="179"/>
        <v/>
      </c>
      <c r="S162" s="350"/>
      <c r="T162" s="69" t="str">
        <f t="shared" si="180"/>
        <v/>
      </c>
      <c r="U162" s="350"/>
      <c r="V162" s="69" t="str">
        <f t="shared" si="181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76" t="s">
        <v>3</v>
      </c>
      <c r="B163" s="73" t="str">
        <f t="shared" si="193"/>
        <v>Stemmler, Patrick</v>
      </c>
      <c r="C163" s="74">
        <f t="shared" si="193"/>
        <v>16495</v>
      </c>
      <c r="D163" s="75">
        <f t="shared" si="193"/>
        <v>209</v>
      </c>
      <c r="E163" s="348">
        <f>IF(AD163="","",AD163)</f>
        <v>1</v>
      </c>
      <c r="F163" s="75">
        <f t="shared" si="174"/>
        <v>213</v>
      </c>
      <c r="G163" s="348">
        <f>IF(AF163="","",AF163)</f>
        <v>1</v>
      </c>
      <c r="H163" s="75">
        <f t="shared" si="175"/>
        <v>183</v>
      </c>
      <c r="I163" s="348">
        <f>IF(AH163="","",AH163)</f>
        <v>0</v>
      </c>
      <c r="J163" s="75">
        <f t="shared" si="176"/>
        <v>203</v>
      </c>
      <c r="K163" s="348">
        <f>IF(AJ163="","",AJ163)</f>
        <v>1</v>
      </c>
      <c r="L163" s="75">
        <f t="shared" si="177"/>
        <v>155</v>
      </c>
      <c r="M163" s="348">
        <f>IF(AL163="","",AL163)</f>
        <v>1</v>
      </c>
      <c r="N163" s="75">
        <f t="shared" si="194"/>
        <v>172</v>
      </c>
      <c r="O163" s="348">
        <f>IF(AN163="","",AN163)</f>
        <v>0</v>
      </c>
      <c r="P163" s="75">
        <f t="shared" si="178"/>
        <v>175</v>
      </c>
      <c r="Q163" s="348">
        <f>IF(AP163="","",AP163)</f>
        <v>0</v>
      </c>
      <c r="R163" s="75">
        <f t="shared" si="179"/>
        <v>172</v>
      </c>
      <c r="S163" s="348">
        <f>IF(AR163="","",AR163)</f>
        <v>0</v>
      </c>
      <c r="T163" s="75">
        <f t="shared" si="180"/>
        <v>178</v>
      </c>
      <c r="U163" s="348">
        <f>IF(AT163="","",AT163)</f>
        <v>0</v>
      </c>
      <c r="V163" s="75">
        <f t="shared" si="181"/>
        <v>1660</v>
      </c>
      <c r="W163" s="348">
        <f>IF(AV163="","",AV163)</f>
        <v>4</v>
      </c>
      <c r="Z163" s="351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209</v>
      </c>
      <c r="AD163" s="109">
        <f>IF(SUM(AC163:AC165)+AC177=0,0,IF(SUM(AC163:AC165)=AC177,0.5,IF(SUM(AC163:AC165)&gt;AC177,1,0)))</f>
        <v>1</v>
      </c>
      <c r="AE163" s="188">
        <v>213</v>
      </c>
      <c r="AF163" s="109">
        <f>IF(SUM(AE163:AE165)+AE177=0,0,IF(SUM(AE163:AE165)=AE177,0.5,IF(SUM(AE163:AE165)&gt;AE177,1,0)))</f>
        <v>1</v>
      </c>
      <c r="AG163" s="188">
        <v>183</v>
      </c>
      <c r="AH163" s="109">
        <f>IF(SUM(AG163:AG165)+AG177=0,0,IF(SUM(AG163:AG165)=AG177,0.5,IF(SUM(AG163:AG165)&gt;AG177,1,0)))</f>
        <v>0</v>
      </c>
      <c r="AI163" s="188">
        <v>203</v>
      </c>
      <c r="AJ163" s="109">
        <f>IF(SUM(AI163:AI165)+AI177=0,0,IF(SUM(AI163:AI165)=AI177,0.5,IF(SUM(AI163:AI165)&gt;AI177,1,0)))</f>
        <v>1</v>
      </c>
      <c r="AK163" s="188">
        <v>155</v>
      </c>
      <c r="AL163" s="109">
        <f>IF(SUM(AK163:AK165)+AK177=0,0,IF(SUM(AK163:AK165)=AK177,0.5,IF(SUM(AK163:AK165)&gt;AK177,1,0)))</f>
        <v>1</v>
      </c>
      <c r="AM163" s="188">
        <v>172</v>
      </c>
      <c r="AN163" s="109">
        <f>IF(SUM(AM163:AM165)+AM177=0,0,IF(SUM(AM163:AM165)=AM177,0.5,IF(SUM(AM163:AM165)&gt;AM177,1,0)))</f>
        <v>0</v>
      </c>
      <c r="AO163" s="188">
        <v>175</v>
      </c>
      <c r="AP163" s="109">
        <f>IF(SUM(AO163:AO165)+AO177=0,0,IF(SUM(AO163:AO165)=AO177,0.5,IF(SUM(AO163:AO165)&gt;AO177,1,0)))</f>
        <v>0</v>
      </c>
      <c r="AQ163" s="188">
        <v>172</v>
      </c>
      <c r="AR163" s="109">
        <f>IF(SUM(AQ163:AQ165)+AQ177=0,0,IF(SUM(AQ163:AQ165)=AQ177,0.5,IF(SUM(AQ163:AQ165)&gt;AQ177,1,0)))</f>
        <v>0</v>
      </c>
      <c r="AS163" s="188">
        <v>178</v>
      </c>
      <c r="AT163" s="109">
        <f>IF(SUM(AS163:AS165)+AS177=0,0,IF(SUM(AS163:AS165)=AS177,0.5,IF(SUM(AS163:AS165)&gt;AS177,1,0)))</f>
        <v>0</v>
      </c>
      <c r="AU163" s="110">
        <f t="shared" si="182"/>
        <v>1660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5"/>
        <v>16495</v>
      </c>
      <c r="BE163" s="213">
        <f t="shared" si="196"/>
        <v>1660</v>
      </c>
      <c r="BF163" s="215">
        <f t="shared" si="197"/>
        <v>9</v>
      </c>
      <c r="BG163" s="215">
        <f t="shared" si="198"/>
        <v>9</v>
      </c>
      <c r="BH163" s="215">
        <f t="shared" si="183"/>
        <v>209</v>
      </c>
      <c r="BI163" s="215">
        <f t="shared" si="184"/>
        <v>213</v>
      </c>
      <c r="BJ163" s="215">
        <f t="shared" si="185"/>
        <v>183</v>
      </c>
      <c r="BK163" s="215">
        <f t="shared" si="186"/>
        <v>203</v>
      </c>
      <c r="BL163" s="215">
        <f t="shared" si="187"/>
        <v>155</v>
      </c>
      <c r="BM163" s="215">
        <f t="shared" si="188"/>
        <v>172</v>
      </c>
      <c r="BN163" s="215">
        <f t="shared" si="189"/>
        <v>175</v>
      </c>
      <c r="BO163" s="215">
        <f t="shared" si="190"/>
        <v>172</v>
      </c>
      <c r="BP163" s="215">
        <f t="shared" si="191"/>
        <v>178</v>
      </c>
      <c r="BQ163" s="216"/>
      <c r="BR163" s="214"/>
      <c r="BS163" s="215">
        <f t="shared" si="199"/>
        <v>213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2</v>
      </c>
      <c r="BW163" s="215">
        <f t="shared" si="203"/>
        <v>1660</v>
      </c>
      <c r="BX163" s="215">
        <f>IF(COUNTIF(BH163:BP163,"&gt;0")&lt;Spielorte!$A$23,0,BE163/Spielorte!$A$23)</f>
        <v>184.44444444444446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77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9"/>
      <c r="F164" s="78" t="str">
        <f t="shared" si="174"/>
        <v/>
      </c>
      <c r="G164" s="349"/>
      <c r="H164" s="78" t="str">
        <f t="shared" si="175"/>
        <v/>
      </c>
      <c r="I164" s="349"/>
      <c r="J164" s="78" t="str">
        <f t="shared" si="176"/>
        <v/>
      </c>
      <c r="K164" s="349"/>
      <c r="L164" s="78" t="str">
        <f t="shared" si="177"/>
        <v/>
      </c>
      <c r="M164" s="349"/>
      <c r="N164" s="78" t="str">
        <f t="shared" si="194"/>
        <v/>
      </c>
      <c r="O164" s="349"/>
      <c r="P164" s="78" t="str">
        <f t="shared" si="178"/>
        <v/>
      </c>
      <c r="Q164" s="349"/>
      <c r="R164" s="78" t="str">
        <f t="shared" si="179"/>
        <v/>
      </c>
      <c r="S164" s="349"/>
      <c r="T164" s="78" t="str">
        <f t="shared" si="180"/>
        <v/>
      </c>
      <c r="U164" s="349"/>
      <c r="V164" s="78" t="str">
        <f t="shared" si="181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8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0"/>
      <c r="F165" s="69" t="str">
        <f t="shared" si="174"/>
        <v/>
      </c>
      <c r="G165" s="350"/>
      <c r="H165" s="69" t="str">
        <f t="shared" si="175"/>
        <v/>
      </c>
      <c r="I165" s="350"/>
      <c r="J165" s="69" t="str">
        <f t="shared" si="176"/>
        <v/>
      </c>
      <c r="K165" s="350"/>
      <c r="L165" s="69" t="str">
        <f t="shared" si="177"/>
        <v/>
      </c>
      <c r="M165" s="350"/>
      <c r="N165" s="69" t="str">
        <f t="shared" si="194"/>
        <v/>
      </c>
      <c r="O165" s="350"/>
      <c r="P165" s="69" t="str">
        <f t="shared" si="178"/>
        <v/>
      </c>
      <c r="Q165" s="350"/>
      <c r="R165" s="69" t="str">
        <f t="shared" si="179"/>
        <v/>
      </c>
      <c r="S165" s="350"/>
      <c r="T165" s="69" t="str">
        <f t="shared" si="180"/>
        <v/>
      </c>
      <c r="U165" s="350"/>
      <c r="V165" s="69" t="str">
        <f t="shared" si="181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76" t="s">
        <v>11</v>
      </c>
      <c r="B166" s="73" t="str">
        <f>IF(AA166=0,"",AA166)</f>
        <v>Wendel, Dominik</v>
      </c>
      <c r="C166" s="74">
        <f t="shared" si="193"/>
        <v>16852</v>
      </c>
      <c r="D166" s="75">
        <f t="shared" si="193"/>
        <v>179</v>
      </c>
      <c r="E166" s="348">
        <f>IF(AD166="","",AD166)</f>
        <v>1</v>
      </c>
      <c r="F166" s="75">
        <f t="shared" si="174"/>
        <v>138</v>
      </c>
      <c r="G166" s="348">
        <f>IF(AF166="","",AF166)</f>
        <v>0</v>
      </c>
      <c r="H166" s="75">
        <f t="shared" si="175"/>
        <v>171</v>
      </c>
      <c r="I166" s="348">
        <f>IF(AH166="","",AH166)</f>
        <v>0</v>
      </c>
      <c r="J166" s="75">
        <f t="shared" si="176"/>
        <v>201</v>
      </c>
      <c r="K166" s="348">
        <f>IF(AJ166="","",AJ166)</f>
        <v>0</v>
      </c>
      <c r="L166" s="75">
        <f t="shared" si="177"/>
        <v>171</v>
      </c>
      <c r="M166" s="348">
        <f>IF(AL166="","",AL166)</f>
        <v>0</v>
      </c>
      <c r="N166" s="75">
        <f t="shared" si="194"/>
        <v>227</v>
      </c>
      <c r="O166" s="348">
        <f>IF(AN166="","",AN166)</f>
        <v>1</v>
      </c>
      <c r="P166" s="75">
        <f t="shared" si="178"/>
        <v>219</v>
      </c>
      <c r="Q166" s="348">
        <f>IF(AP166="","",AP166)</f>
        <v>1</v>
      </c>
      <c r="R166" s="75">
        <f t="shared" si="179"/>
        <v>157</v>
      </c>
      <c r="S166" s="348">
        <f>IF(AR166="","",AR166)</f>
        <v>0</v>
      </c>
      <c r="T166" s="75">
        <f t="shared" si="180"/>
        <v>223</v>
      </c>
      <c r="U166" s="348">
        <f>IF(AT166="","",AT166)</f>
        <v>1</v>
      </c>
      <c r="V166" s="75">
        <f t="shared" si="181"/>
        <v>1686</v>
      </c>
      <c r="W166" s="348">
        <f>IF(AV166="","",AV166)</f>
        <v>4</v>
      </c>
      <c r="Z166" s="351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179</v>
      </c>
      <c r="AD166" s="109">
        <f>IF(SUM(AC166:AC168)+AC178=0,0,IF(SUM(AC166:AC168)=AC178,0.5,IF(SUM(AC166:AC168)&gt;AC178,1,0)))</f>
        <v>1</v>
      </c>
      <c r="AE166" s="188">
        <v>138</v>
      </c>
      <c r="AF166" s="109">
        <f>IF(SUM(AE166:AE168)+AE178=0,0,IF(SUM(AE166:AE168)=AE178,0.5,IF(SUM(AE166:AE168)&gt;AE178,1,0)))</f>
        <v>0</v>
      </c>
      <c r="AG166" s="188">
        <v>171</v>
      </c>
      <c r="AH166" s="109">
        <f>IF(SUM(AG166:AG168)+AG178=0,0,IF(SUM(AG166:AG168)=AG178,0.5,IF(SUM(AG166:AG168)&gt;AG178,1,0)))</f>
        <v>0</v>
      </c>
      <c r="AI166" s="188">
        <v>201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0</v>
      </c>
      <c r="AM166" s="188">
        <v>227</v>
      </c>
      <c r="AN166" s="109">
        <f>IF(SUM(AM166:AM168)+AM178=0,0,IF(SUM(AM166:AM168)=AM178,0.5,IF(SUM(AM166:AM168)&gt;AM178,1,0)))</f>
        <v>1</v>
      </c>
      <c r="AO166" s="188">
        <v>219</v>
      </c>
      <c r="AP166" s="109">
        <f>IF(SUM(AO166:AO168)+AO178=0,0,IF(SUM(AO166:AO168)=AO178,0.5,IF(SUM(AO166:AO168)&gt;AO178,1,0)))</f>
        <v>1</v>
      </c>
      <c r="AQ166" s="188">
        <v>157</v>
      </c>
      <c r="AR166" s="109">
        <f>IF(SUM(AQ166:AQ168)+AQ178=0,0,IF(SUM(AQ166:AQ168)=AQ178,0.5,IF(SUM(AQ166:AQ168)&gt;AQ178,1,0)))</f>
        <v>0</v>
      </c>
      <c r="AS166" s="188">
        <v>223</v>
      </c>
      <c r="AT166" s="109">
        <f>IF(SUM(AS166:AS168)+AS178=0,0,IF(SUM(AS166:AS168)=AS178,0.5,IF(SUM(AS166:AS168)&gt;AS178,1,0)))</f>
        <v>1</v>
      </c>
      <c r="AU166" s="110">
        <f t="shared" si="182"/>
        <v>1686</v>
      </c>
      <c r="AV166" s="111">
        <f>SUM(AD166+AF166+AH166+AJ166+AL166+AN166+AP166+AR166+AT166)</f>
        <v>4</v>
      </c>
      <c r="AW166" s="101"/>
      <c r="AX166" s="102"/>
      <c r="AZ166" s="63"/>
      <c r="BA166" s="212"/>
      <c r="BB166" s="213"/>
      <c r="BC166" s="214"/>
      <c r="BD166" s="217">
        <f t="shared" si="195"/>
        <v>16852</v>
      </c>
      <c r="BE166" s="213">
        <f t="shared" si="196"/>
        <v>1686</v>
      </c>
      <c r="BF166" s="215">
        <f t="shared" si="197"/>
        <v>9</v>
      </c>
      <c r="BG166" s="215">
        <f t="shared" si="198"/>
        <v>9</v>
      </c>
      <c r="BH166" s="215">
        <f t="shared" si="183"/>
        <v>179</v>
      </c>
      <c r="BI166" s="215">
        <f t="shared" si="184"/>
        <v>138</v>
      </c>
      <c r="BJ166" s="215">
        <f t="shared" si="185"/>
        <v>171</v>
      </c>
      <c r="BK166" s="215">
        <f t="shared" si="186"/>
        <v>201</v>
      </c>
      <c r="BL166" s="215">
        <f t="shared" si="187"/>
        <v>171</v>
      </c>
      <c r="BM166" s="215">
        <f t="shared" si="188"/>
        <v>227</v>
      </c>
      <c r="BN166" s="215">
        <f t="shared" si="189"/>
        <v>219</v>
      </c>
      <c r="BO166" s="215">
        <f t="shared" si="190"/>
        <v>157</v>
      </c>
      <c r="BP166" s="215">
        <f t="shared" si="191"/>
        <v>223</v>
      </c>
      <c r="BQ166" s="216"/>
      <c r="BR166" s="214"/>
      <c r="BS166" s="215">
        <f t="shared" si="199"/>
        <v>227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2</v>
      </c>
      <c r="BW166" s="215">
        <f t="shared" si="203"/>
        <v>1686</v>
      </c>
      <c r="BX166" s="215">
        <f>IF(COUNTIF(BH166:BP166,"&gt;0")&lt;Spielorte!$A$23,0,BE166/Spielorte!$A$23)</f>
        <v>187.33333333333334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77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9"/>
      <c r="F167" s="78" t="str">
        <f t="shared" si="174"/>
        <v/>
      </c>
      <c r="G167" s="349"/>
      <c r="H167" s="78" t="str">
        <f t="shared" si="175"/>
        <v/>
      </c>
      <c r="I167" s="349"/>
      <c r="J167" s="78" t="str">
        <f t="shared" si="176"/>
        <v/>
      </c>
      <c r="K167" s="349"/>
      <c r="L167" s="78" t="str">
        <f t="shared" si="177"/>
        <v/>
      </c>
      <c r="M167" s="349"/>
      <c r="N167" s="78" t="str">
        <f t="shared" si="194"/>
        <v/>
      </c>
      <c r="O167" s="349"/>
      <c r="P167" s="78" t="str">
        <f t="shared" si="178"/>
        <v/>
      </c>
      <c r="Q167" s="349"/>
      <c r="R167" s="78" t="str">
        <f t="shared" si="179"/>
        <v/>
      </c>
      <c r="S167" s="349"/>
      <c r="T167" s="78" t="str">
        <f t="shared" si="180"/>
        <v/>
      </c>
      <c r="U167" s="349"/>
      <c r="V167" s="78" t="str">
        <f t="shared" si="181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8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0"/>
      <c r="F168" s="69" t="str">
        <f t="shared" si="174"/>
        <v/>
      </c>
      <c r="G168" s="350"/>
      <c r="H168" s="69" t="str">
        <f t="shared" si="175"/>
        <v/>
      </c>
      <c r="I168" s="350"/>
      <c r="J168" s="69" t="str">
        <f t="shared" si="176"/>
        <v/>
      </c>
      <c r="K168" s="350"/>
      <c r="L168" s="69" t="str">
        <f t="shared" si="177"/>
        <v/>
      </c>
      <c r="M168" s="350"/>
      <c r="N168" s="69" t="str">
        <f t="shared" si="194"/>
        <v/>
      </c>
      <c r="O168" s="350"/>
      <c r="P168" s="69" t="str">
        <f t="shared" si="178"/>
        <v/>
      </c>
      <c r="Q168" s="350"/>
      <c r="R168" s="69" t="str">
        <f t="shared" si="179"/>
        <v/>
      </c>
      <c r="S168" s="350"/>
      <c r="T168" s="69" t="str">
        <f t="shared" si="180"/>
        <v/>
      </c>
      <c r="U168" s="350"/>
      <c r="V168" s="69" t="str">
        <f t="shared" si="181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726</v>
      </c>
      <c r="E169" s="84">
        <f>IF(AD169="","",AD169)</f>
        <v>2</v>
      </c>
      <c r="F169" s="83">
        <f t="shared" si="174"/>
        <v>700</v>
      </c>
      <c r="G169" s="84">
        <f>IF(AF169="","",AF169)</f>
        <v>0</v>
      </c>
      <c r="H169" s="83">
        <f t="shared" si="175"/>
        <v>774</v>
      </c>
      <c r="I169" s="84">
        <f>IF(AH169="","",AH169)</f>
        <v>1</v>
      </c>
      <c r="J169" s="83">
        <f t="shared" si="176"/>
        <v>787</v>
      </c>
      <c r="K169" s="84">
        <f>IF(AJ169="","",AJ169)</f>
        <v>2</v>
      </c>
      <c r="L169" s="83">
        <f t="shared" si="177"/>
        <v>669</v>
      </c>
      <c r="M169" s="84">
        <f>IF(AL169="","",AL169)</f>
        <v>0</v>
      </c>
      <c r="N169" s="83">
        <f t="shared" si="194"/>
        <v>753</v>
      </c>
      <c r="O169" s="84">
        <f>IF(AN169="","",AN169)</f>
        <v>2</v>
      </c>
      <c r="P169" s="83">
        <f t="shared" si="178"/>
        <v>778</v>
      </c>
      <c r="Q169" s="84">
        <f>IF(AP169="","",AP169)</f>
        <v>0</v>
      </c>
      <c r="R169" s="83">
        <f t="shared" si="179"/>
        <v>764</v>
      </c>
      <c r="S169" s="84">
        <f>IF(AR169="","",AR169)</f>
        <v>2</v>
      </c>
      <c r="T169" s="83">
        <f t="shared" si="180"/>
        <v>837</v>
      </c>
      <c r="U169" s="84">
        <f>IF(AT169="","",AT169)</f>
        <v>2</v>
      </c>
      <c r="V169" s="83">
        <f t="shared" si="181"/>
        <v>6788</v>
      </c>
      <c r="W169" s="84">
        <f>IF(AV169="","",AV169)</f>
        <v>11</v>
      </c>
      <c r="AA169" s="81" t="s">
        <v>1799</v>
      </c>
      <c r="AB169" s="120"/>
      <c r="AC169" s="211">
        <f>ABS(SUM(AC157:AC159))+ABS(SUM(AC160:AC162))+ABS(SUM(AC163:AC165))+ABS(SUM(AC166:AC168))</f>
        <v>726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774</v>
      </c>
      <c r="AH169" s="121">
        <f>IF(AG169+AG179=0,0,IF(AG169=AG179,1,IF(AG169&gt;AG179,2,0)))</f>
        <v>1</v>
      </c>
      <c r="AI169" s="211">
        <f>ABS(SUM(AI157:AI159))+ABS(SUM(AI160:AI162))+ABS(SUM(AI163:AI165))+ABS(SUM(AI166:AI168))</f>
        <v>787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669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753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778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764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837</v>
      </c>
      <c r="AT169" s="121">
        <f>IF(AS169+AS179=0,0,IF(AS169=AS179,1,IF(AS169&gt;AS179,2,0)))</f>
        <v>2</v>
      </c>
      <c r="AU169" s="122">
        <f>SUM(AC169+AE169+AG169+AI169+AK169+AM169+AO169+AQ169+AS169)</f>
        <v>6788</v>
      </c>
      <c r="AV169" s="123">
        <f>SUM(AD169+AF169+AH169+AJ169+AL169+AN169+AP169+AR169+AT169)</f>
        <v>11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6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3</v>
      </c>
      <c r="J170" s="86" t="str">
        <f t="shared" si="176"/>
        <v/>
      </c>
      <c r="K170" s="87">
        <f>IF(AJ170="","",AJ170)</f>
        <v>4</v>
      </c>
      <c r="L170" s="86" t="str">
        <f t="shared" si="177"/>
        <v/>
      </c>
      <c r="M170" s="87">
        <f>IF(AL170="","",AL170)</f>
        <v>1</v>
      </c>
      <c r="N170" s="86" t="str">
        <f t="shared" si="194"/>
        <v/>
      </c>
      <c r="O170" s="87">
        <f>IF(AN170="","",AN170)</f>
        <v>4</v>
      </c>
      <c r="P170" s="86" t="str">
        <f t="shared" si="178"/>
        <v/>
      </c>
      <c r="Q170" s="87">
        <f>IF(AP170="","",AP170)</f>
        <v>2</v>
      </c>
      <c r="R170" s="86" t="str">
        <f t="shared" si="179"/>
        <v/>
      </c>
      <c r="S170" s="87">
        <f>IF(AR170="","",AR170)</f>
        <v>4</v>
      </c>
      <c r="T170" s="86" t="str">
        <f t="shared" si="180"/>
        <v/>
      </c>
      <c r="U170" s="87">
        <f>IF(AT170="","",AT170)</f>
        <v>5</v>
      </c>
      <c r="V170" s="86" t="str">
        <f t="shared" si="181"/>
        <v/>
      </c>
      <c r="W170" s="87">
        <f>IF(AV170="","",AV170)</f>
        <v>30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1</v>
      </c>
      <c r="AG170" s="86"/>
      <c r="AH170" s="124">
        <f>SUM(AH157:AH169)</f>
        <v>3</v>
      </c>
      <c r="AI170" s="86"/>
      <c r="AJ170" s="124">
        <f>SUM(AJ157:AJ169)</f>
        <v>4</v>
      </c>
      <c r="AK170" s="86"/>
      <c r="AL170" s="124">
        <f>SUM(AL157:AL169)</f>
        <v>1</v>
      </c>
      <c r="AM170" s="86"/>
      <c r="AN170" s="124">
        <f>SUM(AN157:AN169)</f>
        <v>4</v>
      </c>
      <c r="AO170" s="86"/>
      <c r="AP170" s="124">
        <f>SUM(AP157:AP169)</f>
        <v>2</v>
      </c>
      <c r="AQ170" s="86"/>
      <c r="AR170" s="124">
        <f>SUM(AR157:AR169)</f>
        <v>4</v>
      </c>
      <c r="AS170" s="86"/>
      <c r="AT170" s="124">
        <f>SUM(AT157:AT169)</f>
        <v>5</v>
      </c>
      <c r="AU170" s="86"/>
      <c r="AV170" s="125">
        <f>SUM(AV157:AV169)</f>
        <v>30</v>
      </c>
      <c r="AW170" s="101"/>
      <c r="AX170" s="102"/>
      <c r="BA170" s="212">
        <f>+AV170</f>
        <v>30</v>
      </c>
      <c r="BB170" s="213">
        <f>+AU169</f>
        <v>6788</v>
      </c>
      <c r="BC170" s="214">
        <f>+AA152</f>
        <v>6</v>
      </c>
      <c r="BF170" s="215">
        <f>SUM(BF151:BF169)</f>
        <v>36</v>
      </c>
      <c r="BQ170" s="212">
        <f>+BB170/1000000+BA170</f>
        <v>30.006788</v>
      </c>
      <c r="BR170" s="214">
        <f>RANK(BQ170,BQ:BQ)</f>
        <v>4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6">
        <f t="shared" si="205"/>
        <v>10</v>
      </c>
      <c r="E172" s="356" t="str">
        <f t="shared" si="205"/>
        <v/>
      </c>
      <c r="F172" s="356">
        <f t="shared" si="205"/>
        <v>9</v>
      </c>
      <c r="G172" s="356" t="str">
        <f t="shared" si="205"/>
        <v/>
      </c>
      <c r="H172" s="356">
        <f t="shared" si="205"/>
        <v>5</v>
      </c>
      <c r="I172" s="356" t="str">
        <f t="shared" si="205"/>
        <v/>
      </c>
      <c r="J172" s="356">
        <f t="shared" si="205"/>
        <v>3</v>
      </c>
      <c r="K172" s="356" t="str">
        <f t="shared" si="205"/>
        <v/>
      </c>
      <c r="L172" s="356">
        <f t="shared" si="205"/>
        <v>4</v>
      </c>
      <c r="M172" s="356" t="str">
        <f t="shared" si="205"/>
        <v/>
      </c>
      <c r="N172" s="356">
        <f t="shared" si="205"/>
        <v>8</v>
      </c>
      <c r="O172" s="356" t="str">
        <f t="shared" si="205"/>
        <v/>
      </c>
      <c r="P172" s="356">
        <f t="shared" si="205"/>
        <v>1</v>
      </c>
      <c r="Q172" s="356" t="str">
        <f t="shared" si="205"/>
        <v/>
      </c>
      <c r="R172" s="356">
        <f t="shared" ref="N172:U174" si="206">IF(AQ172=0,"",AQ172)</f>
        <v>7</v>
      </c>
      <c r="S172" s="356" t="str">
        <f t="shared" si="206"/>
        <v/>
      </c>
      <c r="T172" s="356">
        <f t="shared" si="206"/>
        <v>2</v>
      </c>
      <c r="U172" s="356" t="str">
        <f t="shared" si="206"/>
        <v/>
      </c>
      <c r="V172" s="357"/>
      <c r="W172" s="357"/>
      <c r="AA172" s="88" t="s">
        <v>1797</v>
      </c>
      <c r="AB172" s="89" t="s">
        <v>1798</v>
      </c>
      <c r="AC172" s="370">
        <f>VLOOKUP($AA152,Schlüssel!$A$5:$DG$14,23)</f>
        <v>10</v>
      </c>
      <c r="AD172" s="371"/>
      <c r="AE172" s="370">
        <f>VLOOKUP($AA152,Schlüssel!$A$5:$EK$14,24)</f>
        <v>9</v>
      </c>
      <c r="AF172" s="371"/>
      <c r="AG172" s="370">
        <f>VLOOKUP($AA152,Schlüssel!$A$5:$EK$14,25)</f>
        <v>5</v>
      </c>
      <c r="AH172" s="371"/>
      <c r="AI172" s="370">
        <f>VLOOKUP($AA152,Schlüssel!$A$5:$EK$14,26)</f>
        <v>3</v>
      </c>
      <c r="AJ172" s="371"/>
      <c r="AK172" s="370">
        <f>VLOOKUP($AA152,Schlüssel!$A$5:$EK$14,27)</f>
        <v>4</v>
      </c>
      <c r="AL172" s="371"/>
      <c r="AM172" s="370">
        <f>VLOOKUP($AA152,Schlüssel!$A$5:$EK$14,28)</f>
        <v>8</v>
      </c>
      <c r="AN172" s="371"/>
      <c r="AO172" s="370">
        <f>VLOOKUP($AA152,Schlüssel!$A$5:$EK$14,29)</f>
        <v>1</v>
      </c>
      <c r="AP172" s="371"/>
      <c r="AQ172" s="370">
        <f>VLOOKUP($AA152,Schlüssel!$A$5:$EK$14,30)</f>
        <v>7</v>
      </c>
      <c r="AR172" s="371"/>
      <c r="AS172" s="370">
        <f>VLOOKUP($AA152,Schlüssel!$A$5:$EK$14,31)</f>
        <v>2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M174" si="207">IF(AA173=0,"",AA173)</f>
        <v/>
      </c>
      <c r="C173" s="86" t="str">
        <f t="shared" si="207"/>
        <v/>
      </c>
      <c r="D173" s="358" t="str">
        <f t="shared" si="207"/>
        <v>High Roller Rosenheim 1</v>
      </c>
      <c r="E173" s="359" t="str">
        <f t="shared" si="207"/>
        <v/>
      </c>
      <c r="F173" s="358" t="str">
        <f t="shared" si="207"/>
        <v>Bowlinghaus Bamberg 1</v>
      </c>
      <c r="G173" s="359" t="str">
        <f t="shared" si="207"/>
        <v/>
      </c>
      <c r="H173" s="358" t="str">
        <f t="shared" si="207"/>
        <v>RW Lichtenhof Stein 1</v>
      </c>
      <c r="I173" s="359" t="str">
        <f t="shared" si="207"/>
        <v/>
      </c>
      <c r="J173" s="358" t="str">
        <f t="shared" si="207"/>
        <v>BK München 3</v>
      </c>
      <c r="K173" s="359" t="str">
        <f t="shared" si="207"/>
        <v/>
      </c>
      <c r="L173" s="358" t="str">
        <f t="shared" si="207"/>
        <v>SG DJK Rimpar</v>
      </c>
      <c r="M173" s="359" t="str">
        <f t="shared" si="207"/>
        <v/>
      </c>
      <c r="N173" s="358" t="str">
        <f t="shared" si="206"/>
        <v>BC EMAX Unterföhring 2</v>
      </c>
      <c r="O173" s="359" t="str">
        <f t="shared" si="206"/>
        <v/>
      </c>
      <c r="P173" s="358" t="str">
        <f t="shared" si="206"/>
        <v>BC Comet Nürnberg</v>
      </c>
      <c r="Q173" s="359" t="str">
        <f t="shared" si="206"/>
        <v/>
      </c>
      <c r="R173" s="358" t="str">
        <f t="shared" si="206"/>
        <v>Schanzer Ingolstadt 1</v>
      </c>
      <c r="S173" s="359" t="str">
        <f t="shared" si="206"/>
        <v/>
      </c>
      <c r="T173" s="358" t="str">
        <f t="shared" si="206"/>
        <v>Bajuwaren München 1</v>
      </c>
      <c r="U173" s="359" t="str">
        <f t="shared" si="206"/>
        <v/>
      </c>
      <c r="V173" s="363"/>
      <c r="W173" s="363"/>
      <c r="AA173" s="90"/>
      <c r="AB173" s="86"/>
      <c r="AC173" s="358" t="str">
        <f>VLOOKUP(AC172,Schlüssel!$A$5:$K$14,2)</f>
        <v>High Roller Rosenheim 1</v>
      </c>
      <c r="AD173" s="359"/>
      <c r="AE173" s="358" t="str">
        <f>VLOOKUP(AE172,Schlüssel!$A$5:$K$14,2)</f>
        <v>Bowlinghaus Bamberg 1</v>
      </c>
      <c r="AF173" s="359"/>
      <c r="AG173" s="358" t="str">
        <f>VLOOKUP(AG172,Schlüssel!$A$5:$K$14,2)</f>
        <v>RW Lichtenhof Stein 1</v>
      </c>
      <c r="AH173" s="359"/>
      <c r="AI173" s="358" t="str">
        <f>VLOOKUP(AI172,Schlüssel!$A$5:$K$14,2)</f>
        <v>BK München 3</v>
      </c>
      <c r="AJ173" s="359"/>
      <c r="AK173" s="358" t="str">
        <f>VLOOKUP(AK172,Schlüssel!$A$5:$K$14,2)</f>
        <v>SG DJK Rimpar</v>
      </c>
      <c r="AL173" s="359"/>
      <c r="AM173" s="358" t="str">
        <f>VLOOKUP(AM172,Schlüssel!$A$5:$K$14,2)</f>
        <v>BC EMAX Unterföhring 2</v>
      </c>
      <c r="AN173" s="359"/>
      <c r="AO173" s="358" t="str">
        <f>VLOOKUP(AO172,Schlüssel!$A$5:$K$14,2)</f>
        <v>BC Comet Nürnberg</v>
      </c>
      <c r="AP173" s="359"/>
      <c r="AQ173" s="358" t="str">
        <f>VLOOKUP(AQ172,Schlüssel!$A$5:$K$14,2)</f>
        <v>Schanzer Ingolstadt 1</v>
      </c>
      <c r="AR173" s="359"/>
      <c r="AS173" s="358" t="str">
        <f>VLOOKUP(AS172,Schlüssel!$A$5:$K$14,2)</f>
        <v>Bajuwaren München 1</v>
      </c>
      <c r="AT173" s="359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60" t="str">
        <f t="shared" si="207"/>
        <v/>
      </c>
      <c r="E174" s="360" t="str">
        <f t="shared" si="207"/>
        <v/>
      </c>
      <c r="F174" s="360" t="str">
        <f t="shared" si="207"/>
        <v/>
      </c>
      <c r="G174" s="360" t="str">
        <f t="shared" si="207"/>
        <v/>
      </c>
      <c r="H174" s="360" t="str">
        <f t="shared" si="207"/>
        <v/>
      </c>
      <c r="I174" s="360" t="str">
        <f t="shared" si="207"/>
        <v/>
      </c>
      <c r="J174" s="360" t="str">
        <f t="shared" si="207"/>
        <v/>
      </c>
      <c r="K174" s="360" t="str">
        <f t="shared" si="207"/>
        <v/>
      </c>
      <c r="L174" s="360" t="str">
        <f t="shared" si="207"/>
        <v/>
      </c>
      <c r="M174" s="360" t="str">
        <f t="shared" si="207"/>
        <v/>
      </c>
      <c r="N174" s="360" t="str">
        <f t="shared" si="206"/>
        <v/>
      </c>
      <c r="O174" s="360" t="str">
        <f t="shared" si="206"/>
        <v/>
      </c>
      <c r="P174" s="360" t="str">
        <f t="shared" si="206"/>
        <v/>
      </c>
      <c r="Q174" s="360" t="str">
        <f t="shared" si="206"/>
        <v/>
      </c>
      <c r="R174" s="360" t="str">
        <f t="shared" si="206"/>
        <v/>
      </c>
      <c r="S174" s="360" t="str">
        <f t="shared" si="206"/>
        <v/>
      </c>
      <c r="T174" s="360" t="str">
        <f t="shared" si="206"/>
        <v/>
      </c>
      <c r="U174" s="361" t="str">
        <f t="shared" si="206"/>
        <v/>
      </c>
      <c r="V174" s="298"/>
      <c r="W174" s="298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4" t="str">
        <f t="shared" ref="B175:C179" si="208">IF(AA175=0,"",AA175)</f>
        <v>Spieler 1</v>
      </c>
      <c r="C175" s="375" t="str">
        <f t="shared" si="208"/>
        <v/>
      </c>
      <c r="D175" s="362">
        <f>IF(AC175=301,"",AC175)</f>
        <v>167</v>
      </c>
      <c r="E175" s="362" t="str">
        <f>IF(AD175=0,"",AD175)</f>
        <v/>
      </c>
      <c r="F175" s="362">
        <f>IF(AE175=301,"",AE175)</f>
        <v>194</v>
      </c>
      <c r="G175" s="362" t="str">
        <f>IF(AF175=0,"",AF175)</f>
        <v/>
      </c>
      <c r="H175" s="362">
        <f>IF(AG175=301,"",AG175)</f>
        <v>185</v>
      </c>
      <c r="I175" s="362" t="str">
        <f>IF(AH175=0,"",AH175)</f>
        <v/>
      </c>
      <c r="J175" s="362">
        <f>IF(AI175=301,"",AI175)</f>
        <v>202</v>
      </c>
      <c r="K175" s="362" t="str">
        <f>IF(AJ175=0,"",AJ175)</f>
        <v/>
      </c>
      <c r="L175" s="362">
        <f>IF(AK175=301,"",AK175)</f>
        <v>187</v>
      </c>
      <c r="M175" s="362" t="str">
        <f>IF(AL175=0,"",AL175)</f>
        <v/>
      </c>
      <c r="N175" s="362">
        <f>IF(AM175=301,"",AM175)</f>
        <v>179</v>
      </c>
      <c r="O175" s="362" t="str">
        <f>IF(AN175=0,"",AN175)</f>
        <v/>
      </c>
      <c r="P175" s="362">
        <f>IF(AO175=301,"",AO175)</f>
        <v>202</v>
      </c>
      <c r="Q175" s="362" t="str">
        <f>IF(AP175=0,"",AP175)</f>
        <v/>
      </c>
      <c r="R175" s="362">
        <f>IF(AQ175=301,"",AQ175)</f>
        <v>153</v>
      </c>
      <c r="S175" s="362" t="str">
        <f>IF(AR175=0,"",AR175)</f>
        <v/>
      </c>
      <c r="T175" s="362">
        <f>IF(AS175=301,"",AS175)</f>
        <v>171</v>
      </c>
      <c r="U175" s="362" t="str">
        <f>IF(AT175=0,"",AT175)</f>
        <v/>
      </c>
      <c r="V175" s="364"/>
      <c r="W175" s="364"/>
      <c r="AA175" s="91" t="s">
        <v>0</v>
      </c>
      <c r="AB175" s="92"/>
      <c r="AC175" s="368">
        <f>ABS(INDEX(AC:AC,MATCH(AC172,$AA:$AA,0)+5)+INDEX(AC:AC,MATCH(AC172,$AA:$AA,0)+6)+INDEX(AC:AC,MATCH(AC172,$AA:$AA,0)+7))</f>
        <v>167</v>
      </c>
      <c r="AD175" s="369"/>
      <c r="AE175" s="368">
        <f>ABS(INDEX(AE:AE,MATCH(AE172,$AA:$AA,0)+5)+INDEX(AE:AE,MATCH(AE172,$AA:$AA,0)+6)+INDEX(AE:AE,MATCH(AE172,$AA:$AA,0)+7))</f>
        <v>194</v>
      </c>
      <c r="AF175" s="369"/>
      <c r="AG175" s="368">
        <f>ABS(INDEX(AG:AG,MATCH(AG172,$AA:$AA,0)+5)+INDEX(AG:AG,MATCH(AG172,$AA:$AA,0)+6)+INDEX(AG:AG,MATCH(AG172,$AA:$AA,0)+7))</f>
        <v>185</v>
      </c>
      <c r="AH175" s="369"/>
      <c r="AI175" s="368">
        <f>ABS(INDEX(AI:AI,MATCH(AI172,$AA:$AA,0)+5)+INDEX(AI:AI,MATCH(AI172,$AA:$AA,0)+6)+INDEX(AI:AI,MATCH(AI172,$AA:$AA,0)+7))</f>
        <v>202</v>
      </c>
      <c r="AJ175" s="369"/>
      <c r="AK175" s="368">
        <f>ABS(INDEX(AK:AK,MATCH(AK172,$AA:$AA,0)+5)+INDEX(AK:AK,MATCH(AK172,$AA:$AA,0)+6)+INDEX(AK:AK,MATCH(AK172,$AA:$AA,0)+7))</f>
        <v>187</v>
      </c>
      <c r="AL175" s="369"/>
      <c r="AM175" s="368">
        <f>ABS(INDEX(AM:AM,MATCH(AM172,$AA:$AA,0)+5)+INDEX(AM:AM,MATCH(AM172,$AA:$AA,0)+6)+INDEX(AM:AM,MATCH(AM172,$AA:$AA,0)+7))</f>
        <v>179</v>
      </c>
      <c r="AN175" s="369"/>
      <c r="AO175" s="368">
        <f>ABS(INDEX(AO:AO,MATCH(AO172,$AA:$AA,0)+5)+INDEX(AO:AO,MATCH(AO172,$AA:$AA,0)+6)+INDEX(AO:AO,MATCH(AO172,$AA:$AA,0)+7))</f>
        <v>202</v>
      </c>
      <c r="AP175" s="369"/>
      <c r="AQ175" s="368">
        <f>ABS(INDEX(AQ:AQ,MATCH(AQ172,$AA:$AA,0)+5)+INDEX(AQ:AQ,MATCH(AQ172,$AA:$AA,0)+6)+INDEX(AQ:AQ,MATCH(AQ172,$AA:$AA,0)+7))</f>
        <v>153</v>
      </c>
      <c r="AR175" s="369"/>
      <c r="AS175" s="368">
        <f>ABS(INDEX(AS:AS,MATCH(AS172,$AA:$AA,0)+5)+INDEX(AS:AS,MATCH(AS172,$AA:$AA,0)+6)+INDEX(AS:AS,MATCH(AS172,$AA:$AA,0)+7))</f>
        <v>171</v>
      </c>
      <c r="AT175" s="369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4" t="str">
        <f t="shared" si="208"/>
        <v>Spieler 2</v>
      </c>
      <c r="C176" s="375" t="str">
        <f t="shared" si="208"/>
        <v/>
      </c>
      <c r="D176" s="362">
        <f>IF(AC176=301,"",AC176)</f>
        <v>149</v>
      </c>
      <c r="E176" s="362" t="str">
        <f>IF(AD176=0,"",AD176)</f>
        <v/>
      </c>
      <c r="F176" s="362">
        <f>IF(AE176=301,"",AE176)</f>
        <v>217</v>
      </c>
      <c r="G176" s="362" t="str">
        <f>IF(AF176=0,"",AF176)</f>
        <v/>
      </c>
      <c r="H176" s="362">
        <f>IF(AG176=301,"",AG176)</f>
        <v>184</v>
      </c>
      <c r="I176" s="362" t="str">
        <f>IF(AH176=0,"",AH176)</f>
        <v/>
      </c>
      <c r="J176" s="362">
        <f>IF(AI176=301,"",AI176)</f>
        <v>181</v>
      </c>
      <c r="K176" s="362" t="str">
        <f>IF(AJ176=0,"",AJ176)</f>
        <v/>
      </c>
      <c r="L176" s="362">
        <f>IF(AK176=301,"",AK176)</f>
        <v>197</v>
      </c>
      <c r="M176" s="362" t="str">
        <f>IF(AL176=0,"",AL176)</f>
        <v/>
      </c>
      <c r="N176" s="362">
        <f>IF(AM176=301,"",AM176)</f>
        <v>188</v>
      </c>
      <c r="O176" s="362" t="str">
        <f>IF(AN176=0,"",AN176)</f>
        <v/>
      </c>
      <c r="P176" s="362">
        <f>IF(AO176=301,"",AO176)</f>
        <v>192</v>
      </c>
      <c r="Q176" s="362" t="str">
        <f>IF(AP176=0,"",AP176)</f>
        <v/>
      </c>
      <c r="R176" s="362">
        <f>IF(AQ176=301,"",AQ176)</f>
        <v>192</v>
      </c>
      <c r="S176" s="362" t="str">
        <f>IF(AR176=0,"",AR176)</f>
        <v/>
      </c>
      <c r="T176" s="362">
        <f>IF(AS176=301,"",AS176)</f>
        <v>199</v>
      </c>
      <c r="U176" s="362" t="str">
        <f>IF(AT176=0,"",AT176)</f>
        <v/>
      </c>
      <c r="V176" s="364"/>
      <c r="W176" s="364"/>
      <c r="AA176" s="91" t="s">
        <v>2</v>
      </c>
      <c r="AB176" s="92"/>
      <c r="AC176" s="366">
        <f>ABS(INDEX(AC:AC,MATCH(AC172,$AA:$AA,0)+8)+INDEX(AC:AC,MATCH(AC172,$AA:$AA,0)+9)+INDEX(AC:AC,MATCH(AC172,$AA:$AA,0)+10))</f>
        <v>149</v>
      </c>
      <c r="AD176" s="367"/>
      <c r="AE176" s="366">
        <f>ABS(INDEX(AE:AE,MATCH(AE172,$AA:$AA,0)+8)+INDEX(AE:AE,MATCH(AE172,$AA:$AA,0)+9)+INDEX(AE:AE,MATCH(AE172,$AA:$AA,0)+10))</f>
        <v>217</v>
      </c>
      <c r="AF176" s="367"/>
      <c r="AG176" s="366">
        <f>ABS(INDEX(AG:AG,MATCH(AG172,$AA:$AA,0)+8)+INDEX(AG:AG,MATCH(AG172,$AA:$AA,0)+9)+INDEX(AG:AG,MATCH(AG172,$AA:$AA,0)+10))</f>
        <v>184</v>
      </c>
      <c r="AH176" s="367"/>
      <c r="AI176" s="366">
        <f>ABS(INDEX(AI:AI,MATCH(AI172,$AA:$AA,0)+8)+INDEX(AI:AI,MATCH(AI172,$AA:$AA,0)+9)+INDEX(AI:AI,MATCH(AI172,$AA:$AA,0)+10))</f>
        <v>181</v>
      </c>
      <c r="AJ176" s="367"/>
      <c r="AK176" s="366">
        <f>ABS(INDEX(AK:AK,MATCH(AK172,$AA:$AA,0)+8)+INDEX(AK:AK,MATCH(AK172,$AA:$AA,0)+9)+INDEX(AK:AK,MATCH(AK172,$AA:$AA,0)+10))</f>
        <v>197</v>
      </c>
      <c r="AL176" s="367"/>
      <c r="AM176" s="366">
        <f>ABS(INDEX(AM:AM,MATCH(AM172,$AA:$AA,0)+8)+INDEX(AM:AM,MATCH(AM172,$AA:$AA,0)+9)+INDEX(AM:AM,MATCH(AM172,$AA:$AA,0)+10))</f>
        <v>188</v>
      </c>
      <c r="AN176" s="367"/>
      <c r="AO176" s="366">
        <f>ABS(INDEX(AO:AO,MATCH(AO172,$AA:$AA,0)+8)+INDEX(AO:AO,MATCH(AO172,$AA:$AA,0)+9)+INDEX(AO:AO,MATCH(AO172,$AA:$AA,0)+10))</f>
        <v>192</v>
      </c>
      <c r="AP176" s="367"/>
      <c r="AQ176" s="366">
        <f>ABS(INDEX(AQ:AQ,MATCH(AQ172,$AA:$AA,0)+8)+INDEX(AQ:AQ,MATCH(AQ172,$AA:$AA,0)+9)+INDEX(AQ:AQ,MATCH(AQ172,$AA:$AA,0)+10))</f>
        <v>192</v>
      </c>
      <c r="AR176" s="367"/>
      <c r="AS176" s="366">
        <f>ABS(INDEX(AS:AS,MATCH(AS172,$AA:$AA,0)+8)+INDEX(AS:AS,MATCH(AS172,$AA:$AA,0)+9)+INDEX(AS:AS,MATCH(AS172,$AA:$AA,0)+10))</f>
        <v>199</v>
      </c>
      <c r="AT176" s="367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4" t="str">
        <f t="shared" si="208"/>
        <v>Spieler 3</v>
      </c>
      <c r="C177" s="375" t="str">
        <f t="shared" si="208"/>
        <v/>
      </c>
      <c r="D177" s="362">
        <f>IF(AC177=301,"",AC177)</f>
        <v>195</v>
      </c>
      <c r="E177" s="362" t="str">
        <f>IF(AD177=0,"",AD177)</f>
        <v/>
      </c>
      <c r="F177" s="362">
        <f>IF(AE177=301,"",AE177)</f>
        <v>188</v>
      </c>
      <c r="G177" s="362" t="str">
        <f>IF(AF177=0,"",AF177)</f>
        <v/>
      </c>
      <c r="H177" s="362">
        <f>IF(AG177=301,"",AG177)</f>
        <v>206</v>
      </c>
      <c r="I177" s="362" t="str">
        <f>IF(AH177=0,"",AH177)</f>
        <v/>
      </c>
      <c r="J177" s="362">
        <f>IF(AI177=301,"",AI177)</f>
        <v>128</v>
      </c>
      <c r="K177" s="362" t="str">
        <f>IF(AJ177=0,"",AJ177)</f>
        <v/>
      </c>
      <c r="L177" s="362">
        <f>IF(AK177=301,"",AK177)</f>
        <v>145</v>
      </c>
      <c r="M177" s="362" t="str">
        <f>IF(AL177=0,"",AL177)</f>
        <v/>
      </c>
      <c r="N177" s="362">
        <f>IF(AM177=301,"",AM177)</f>
        <v>192</v>
      </c>
      <c r="O177" s="362" t="str">
        <f>IF(AN177=0,"",AN177)</f>
        <v/>
      </c>
      <c r="P177" s="362">
        <f>IF(AO177=301,"",AO177)</f>
        <v>192</v>
      </c>
      <c r="Q177" s="362" t="str">
        <f>IF(AP177=0,"",AP177)</f>
        <v/>
      </c>
      <c r="R177" s="362">
        <f>IF(AQ177=301,"",AQ177)</f>
        <v>197</v>
      </c>
      <c r="S177" s="362" t="str">
        <f>IF(AR177=0,"",AR177)</f>
        <v/>
      </c>
      <c r="T177" s="362">
        <f>IF(AS177=301,"",AS177)</f>
        <v>209</v>
      </c>
      <c r="U177" s="362" t="str">
        <f>IF(AT177=0,"",AT177)</f>
        <v/>
      </c>
      <c r="V177" s="364"/>
      <c r="W177" s="364"/>
      <c r="AA177" s="91" t="s">
        <v>3</v>
      </c>
      <c r="AB177" s="92"/>
      <c r="AC177" s="366">
        <f>ABS(INDEX(AC:AC,MATCH(AC172,$AA:$AA,0)+11)+INDEX(AC:AC,MATCH(AC172,$AA:$AA,0)+12)+INDEX(AC:AC,MATCH(AC172,$AA:$AA,0)+13))</f>
        <v>195</v>
      </c>
      <c r="AD177" s="367"/>
      <c r="AE177" s="366">
        <f>ABS(INDEX(AE:AE,MATCH(AE172,$AA:$AA,0)+11)+INDEX(AE:AE,MATCH(AE172,$AA:$AA,0)+12)+INDEX(AE:AE,MATCH(AE172,$AA:$AA,0)+13))</f>
        <v>188</v>
      </c>
      <c r="AF177" s="367"/>
      <c r="AG177" s="366">
        <f>ABS(INDEX(AG:AG,MATCH(AG172,$AA:$AA,0)+11)+INDEX(AG:AG,MATCH(AG172,$AA:$AA,0)+12)+INDEX(AG:AG,MATCH(AG172,$AA:$AA,0)+13))</f>
        <v>206</v>
      </c>
      <c r="AH177" s="367"/>
      <c r="AI177" s="366">
        <f>ABS(INDEX(AI:AI,MATCH(AI172,$AA:$AA,0)+11)+INDEX(AI:AI,MATCH(AI172,$AA:$AA,0)+12)+INDEX(AI:AI,MATCH(AI172,$AA:$AA,0)+13))</f>
        <v>128</v>
      </c>
      <c r="AJ177" s="367"/>
      <c r="AK177" s="366">
        <f>ABS(INDEX(AK:AK,MATCH(AK172,$AA:$AA,0)+11)+INDEX(AK:AK,MATCH(AK172,$AA:$AA,0)+12)+INDEX(AK:AK,MATCH(AK172,$AA:$AA,0)+13))</f>
        <v>145</v>
      </c>
      <c r="AL177" s="367"/>
      <c r="AM177" s="366">
        <f>ABS(INDEX(AM:AM,MATCH(AM172,$AA:$AA,0)+11)+INDEX(AM:AM,MATCH(AM172,$AA:$AA,0)+12)+INDEX(AM:AM,MATCH(AM172,$AA:$AA,0)+13))</f>
        <v>192</v>
      </c>
      <c r="AN177" s="367"/>
      <c r="AO177" s="366">
        <f>ABS(INDEX(AO:AO,MATCH(AO172,$AA:$AA,0)+11)+INDEX(AO:AO,MATCH(AO172,$AA:$AA,0)+12)+INDEX(AO:AO,MATCH(AO172,$AA:$AA,0)+13))</f>
        <v>192</v>
      </c>
      <c r="AP177" s="367"/>
      <c r="AQ177" s="366">
        <f>ABS(INDEX(AQ:AQ,MATCH(AQ172,$AA:$AA,0)+11)+INDEX(AQ:AQ,MATCH(AQ172,$AA:$AA,0)+12)+INDEX(AQ:AQ,MATCH(AQ172,$AA:$AA,0)+13))</f>
        <v>197</v>
      </c>
      <c r="AR177" s="367"/>
      <c r="AS177" s="366">
        <f>ABS(INDEX(AS:AS,MATCH(AS172,$AA:$AA,0)+11)+INDEX(AS:AS,MATCH(AS172,$AA:$AA,0)+12)+INDEX(AS:AS,MATCH(AS172,$AA:$AA,0)+13))</f>
        <v>209</v>
      </c>
      <c r="AT177" s="367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4" t="str">
        <f t="shared" si="208"/>
        <v>Spieler 4</v>
      </c>
      <c r="C178" s="375" t="str">
        <f t="shared" si="208"/>
        <v/>
      </c>
      <c r="D178" s="362">
        <f>IF(AC178=301,"",AC178)</f>
        <v>163</v>
      </c>
      <c r="E178" s="362" t="str">
        <f>IF(AD178=0,"",AD178)</f>
        <v/>
      </c>
      <c r="F178" s="362">
        <f>IF(AE178=301,"",AE178)</f>
        <v>190</v>
      </c>
      <c r="G178" s="362" t="str">
        <f>IF(AF178=0,"",AF178)</f>
        <v/>
      </c>
      <c r="H178" s="362">
        <f>IF(AG178=301,"",AG178)</f>
        <v>199</v>
      </c>
      <c r="I178" s="362" t="str">
        <f>IF(AH178=0,"",AH178)</f>
        <v/>
      </c>
      <c r="J178" s="362">
        <f>IF(AI178=301,"",AI178)</f>
        <v>244</v>
      </c>
      <c r="K178" s="362" t="str">
        <f>IF(AJ178=0,"",AJ178)</f>
        <v/>
      </c>
      <c r="L178" s="362">
        <f>IF(AK178=301,"",AK178)</f>
        <v>211</v>
      </c>
      <c r="M178" s="362" t="str">
        <f>IF(AL178=0,"",AL178)</f>
        <v/>
      </c>
      <c r="N178" s="362">
        <f>IF(AM178=301,"",AM178)</f>
        <v>190</v>
      </c>
      <c r="O178" s="362" t="str">
        <f>IF(AN178=0,"",AN178)</f>
        <v/>
      </c>
      <c r="P178" s="362">
        <f>IF(AO178=301,"",AO178)</f>
        <v>204</v>
      </c>
      <c r="Q178" s="362" t="str">
        <f>IF(AP178=0,"",AP178)</f>
        <v/>
      </c>
      <c r="R178" s="362">
        <f>IF(AQ178=301,"",AQ178)</f>
        <v>195</v>
      </c>
      <c r="S178" s="362" t="str">
        <f>IF(AR178=0,"",AR178)</f>
        <v/>
      </c>
      <c r="T178" s="362">
        <f>IF(AS178=301,"",AS178)</f>
        <v>146</v>
      </c>
      <c r="U178" s="362" t="str">
        <f>IF(AT178=0,"",AT178)</f>
        <v/>
      </c>
      <c r="V178" s="364"/>
      <c r="W178" s="364"/>
      <c r="AA178" s="91" t="s">
        <v>11</v>
      </c>
      <c r="AB178" s="92"/>
      <c r="AC178" s="366">
        <f>ABS(INDEX(AC:AC,MATCH(AC172,$AA:$AA,0)+14)+INDEX(AC:AC,MATCH(AC172,$AA:$AA,0)+15)+INDEX(AC:AC,MATCH(AC172,$AA:$AA,0)+16))</f>
        <v>163</v>
      </c>
      <c r="AD178" s="367"/>
      <c r="AE178" s="366">
        <f>ABS(INDEX(AE:AE,MATCH(AE172,$AA:$AA,0)+14)+INDEX(AE:AE,MATCH(AE172,$AA:$AA,0)+15)+INDEX(AE:AE,MATCH(AE172,$AA:$AA,0)+16))</f>
        <v>190</v>
      </c>
      <c r="AF178" s="367"/>
      <c r="AG178" s="366">
        <f>ABS(INDEX(AG:AG,MATCH(AG172,$AA:$AA,0)+14)+INDEX(AG:AG,MATCH(AG172,$AA:$AA,0)+15)+INDEX(AG:AG,MATCH(AG172,$AA:$AA,0)+16))</f>
        <v>199</v>
      </c>
      <c r="AH178" s="367"/>
      <c r="AI178" s="366">
        <f>ABS(INDEX(AI:AI,MATCH(AI172,$AA:$AA,0)+14)+INDEX(AI:AI,MATCH(AI172,$AA:$AA,0)+15)+INDEX(AI:AI,MATCH(AI172,$AA:$AA,0)+16))</f>
        <v>244</v>
      </c>
      <c r="AJ178" s="367"/>
      <c r="AK178" s="366">
        <f>ABS(INDEX(AK:AK,MATCH(AK172,$AA:$AA,0)+14)+INDEX(AK:AK,MATCH(AK172,$AA:$AA,0)+15)+INDEX(AK:AK,MATCH(AK172,$AA:$AA,0)+16))</f>
        <v>211</v>
      </c>
      <c r="AL178" s="367"/>
      <c r="AM178" s="366">
        <f>ABS(INDEX(AM:AM,MATCH(AM172,$AA:$AA,0)+14)+INDEX(AM:AM,MATCH(AM172,$AA:$AA,0)+15)+INDEX(AM:AM,MATCH(AM172,$AA:$AA,0)+16))</f>
        <v>190</v>
      </c>
      <c r="AN178" s="367"/>
      <c r="AO178" s="366">
        <f>ABS(INDEX(AO:AO,MATCH(AO172,$AA:$AA,0)+14)+INDEX(AO:AO,MATCH(AO172,$AA:$AA,0)+15)+INDEX(AO:AO,MATCH(AO172,$AA:$AA,0)+16))</f>
        <v>204</v>
      </c>
      <c r="AP178" s="367"/>
      <c r="AQ178" s="366">
        <f>ABS(INDEX(AQ:AQ,MATCH(AQ172,$AA:$AA,0)+14)+INDEX(AQ:AQ,MATCH(AQ172,$AA:$AA,0)+15)+INDEX(AQ:AQ,MATCH(AQ172,$AA:$AA,0)+16))</f>
        <v>195</v>
      </c>
      <c r="AR178" s="367"/>
      <c r="AS178" s="366">
        <f>ABS(INDEX(AS:AS,MATCH(AS172,$AA:$AA,0)+14)+INDEX(AS:AS,MATCH(AS172,$AA:$AA,0)+15)+INDEX(AS:AS,MATCH(AS172,$AA:$AA,0)+16))</f>
        <v>146</v>
      </c>
      <c r="AT178" s="367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6" t="str">
        <f t="shared" si="208"/>
        <v>Gesamt</v>
      </c>
      <c r="C179" s="347" t="str">
        <f t="shared" si="208"/>
        <v/>
      </c>
      <c r="D179" s="365">
        <f>IF(AC179=1505,"",AC179)</f>
        <v>674</v>
      </c>
      <c r="E179" s="365" t="str">
        <f>IF(AD179=0,"",AD179)</f>
        <v/>
      </c>
      <c r="F179" s="365">
        <f>IF(AE179=1505,"",AE179)</f>
        <v>789</v>
      </c>
      <c r="G179" s="365" t="str">
        <f>IF(AF179=0,"",AF179)</f>
        <v/>
      </c>
      <c r="H179" s="365">
        <f>IF(AG179=1505,"",AG179)</f>
        <v>774</v>
      </c>
      <c r="I179" s="365" t="str">
        <f>IF(AH179=0,"",AH179)</f>
        <v/>
      </c>
      <c r="J179" s="365">
        <f>IF(AI179=1505,"",AI179)</f>
        <v>755</v>
      </c>
      <c r="K179" s="365" t="str">
        <f>IF(AJ179=0,"",AJ179)</f>
        <v/>
      </c>
      <c r="L179" s="365">
        <f>IF(AK179=1505,"",AK179)</f>
        <v>740</v>
      </c>
      <c r="M179" s="365" t="str">
        <f>IF(AL179=0,"",AL179)</f>
        <v/>
      </c>
      <c r="N179" s="365">
        <f>IF(AM179=1505,"",AM179)</f>
        <v>749</v>
      </c>
      <c r="O179" s="365" t="str">
        <f>IF(AN179=0,"",AN179)</f>
        <v/>
      </c>
      <c r="P179" s="365">
        <f>IF(AO179=1505,"",AO179)</f>
        <v>790</v>
      </c>
      <c r="Q179" s="365" t="str">
        <f>IF(AP179=0,"",AP179)</f>
        <v/>
      </c>
      <c r="R179" s="365">
        <f>IF(AQ179=1505,"",AQ179)</f>
        <v>737</v>
      </c>
      <c r="S179" s="365" t="str">
        <f>IF(AR179=0,"",AR179)</f>
        <v/>
      </c>
      <c r="T179" s="365">
        <f>IF(AS179=1505,"",AS179)</f>
        <v>725</v>
      </c>
      <c r="U179" s="365" t="str">
        <f>IF(AT179=0,"",AT179)</f>
        <v/>
      </c>
      <c r="V179" s="301"/>
      <c r="W179" s="301"/>
      <c r="AA179" s="93" t="s">
        <v>1799</v>
      </c>
      <c r="AB179" s="94"/>
      <c r="AC179" s="346">
        <f>SUM(AC175:AC178)</f>
        <v>674</v>
      </c>
      <c r="AD179" s="347"/>
      <c r="AE179" s="346">
        <f>SUM(AE175:AE178)</f>
        <v>789</v>
      </c>
      <c r="AF179" s="347"/>
      <c r="AG179" s="346">
        <f>SUM(AG175:AG178)</f>
        <v>774</v>
      </c>
      <c r="AH179" s="347"/>
      <c r="AI179" s="346">
        <f>SUM(AI175:AI178)</f>
        <v>755</v>
      </c>
      <c r="AJ179" s="347"/>
      <c r="AK179" s="346">
        <f>SUM(AK175:AK178)</f>
        <v>740</v>
      </c>
      <c r="AL179" s="347"/>
      <c r="AM179" s="346">
        <f>SUM(AM175:AM178)</f>
        <v>749</v>
      </c>
      <c r="AN179" s="347"/>
      <c r="AO179" s="346">
        <f>SUM(AO175:AO178)</f>
        <v>790</v>
      </c>
      <c r="AP179" s="347"/>
      <c r="AQ179" s="346">
        <f>SUM(AQ175:AQ178)</f>
        <v>737</v>
      </c>
      <c r="AR179" s="347"/>
      <c r="AS179" s="346">
        <f>SUM(AS175:AS178)</f>
        <v>725</v>
      </c>
      <c r="AT179" s="347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5" t="str">
        <f>AE181</f>
        <v>Bayernliga Herren</v>
      </c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48"/>
      <c r="S181" s="49" t="s">
        <v>1794</v>
      </c>
      <c r="T181" s="50"/>
      <c r="U181" s="341" t="str">
        <f>AT181</f>
        <v>02.11./03.11.</v>
      </c>
      <c r="V181" s="342"/>
      <c r="W181" s="343"/>
      <c r="X181" s="372"/>
      <c r="Y181" s="373"/>
      <c r="Z181" s="373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41" t="str">
        <f>VLOOKUP(AS182,Spielorte!$A$1:$C$6,2)</f>
        <v>02.11./03.11.</v>
      </c>
      <c r="AU181" s="342"/>
      <c r="AV181" s="34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4" t="str">
        <f>AE182</f>
        <v>Nürnberg West Bowling</v>
      </c>
      <c r="G182" s="344"/>
      <c r="H182" s="344"/>
      <c r="I182" s="344"/>
      <c r="J182" s="344"/>
      <c r="K182" s="344"/>
      <c r="L182" s="344"/>
      <c r="M182" s="344"/>
      <c r="N182" s="344"/>
      <c r="O182" s="344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6" t="s">
        <v>1800</v>
      </c>
      <c r="E185" s="347"/>
      <c r="F185" s="346" t="s">
        <v>1801</v>
      </c>
      <c r="G185" s="347"/>
      <c r="H185" s="346" t="s">
        <v>1802</v>
      </c>
      <c r="I185" s="347"/>
      <c r="J185" s="346" t="s">
        <v>1803</v>
      </c>
      <c r="K185" s="347"/>
      <c r="L185" s="346" t="s">
        <v>1804</v>
      </c>
      <c r="M185" s="347"/>
      <c r="N185" s="346" t="s">
        <v>1805</v>
      </c>
      <c r="O185" s="347"/>
      <c r="P185" s="346" t="s">
        <v>1806</v>
      </c>
      <c r="Q185" s="347"/>
      <c r="R185" s="346" t="s">
        <v>1807</v>
      </c>
      <c r="S185" s="347"/>
      <c r="T185" s="346" t="s">
        <v>1808</v>
      </c>
      <c r="U185" s="347"/>
      <c r="V185" s="354" t="s">
        <v>1799</v>
      </c>
      <c r="W185" s="355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6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144</v>
      </c>
      <c r="E187" s="348">
        <f>IF(AD187="","",AD187)</f>
        <v>0</v>
      </c>
      <c r="F187" s="75">
        <f t="shared" ref="F187:F200" si="209">IF(AE187=0,"",AE187)</f>
        <v>153</v>
      </c>
      <c r="G187" s="348">
        <f>IF(AF187="","",AF187)</f>
        <v>0</v>
      </c>
      <c r="H187" s="75">
        <f t="shared" ref="H187:H200" si="210">IF(AG187=0,"",AG187)</f>
        <v>189</v>
      </c>
      <c r="I187" s="348">
        <f>IF(AH187="","",AH187)</f>
        <v>1</v>
      </c>
      <c r="J187" s="75">
        <f t="shared" ref="J187:J200" si="211">IF(AI187=0,"",AI187)</f>
        <v>171</v>
      </c>
      <c r="K187" s="348">
        <f>IF(AJ187="","",AJ187)</f>
        <v>1</v>
      </c>
      <c r="L187" s="75">
        <f t="shared" ref="L187:L200" si="212">IF(AK187=0,"",AK187)</f>
        <v>169</v>
      </c>
      <c r="M187" s="348">
        <f>IF(AL187="","",AL187)</f>
        <v>1</v>
      </c>
      <c r="N187" s="75">
        <f>IF(AM187=0,"",AM187)</f>
        <v>220</v>
      </c>
      <c r="O187" s="348">
        <f>IF(AN187="","",AN187)</f>
        <v>1</v>
      </c>
      <c r="P187" s="75">
        <f t="shared" ref="P187:P200" si="213">IF(AO187=0,"",AO187)</f>
        <v>167</v>
      </c>
      <c r="Q187" s="348">
        <f>IF(AP187="","",AP187)</f>
        <v>0</v>
      </c>
      <c r="R187" s="75">
        <f t="shared" ref="R187:R200" si="214">IF(AQ187=0,"",AQ187)</f>
        <v>153</v>
      </c>
      <c r="S187" s="348">
        <f>IF(AR187="","",AR187)</f>
        <v>0</v>
      </c>
      <c r="T187" s="75">
        <f t="shared" ref="T187:T200" si="215">IF(AS187=0,"",AS187)</f>
        <v>141</v>
      </c>
      <c r="U187" s="348">
        <f>IF(AT187="","",AT187)</f>
        <v>0</v>
      </c>
      <c r="V187" s="75">
        <f t="shared" ref="V187:V200" si="216">IF(AU187=0,"",AU187)</f>
        <v>1507</v>
      </c>
      <c r="W187" s="348">
        <f>IF(AV187="","",AV187)</f>
        <v>4</v>
      </c>
      <c r="Z187" s="351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144</v>
      </c>
      <c r="AD187" s="109">
        <f>IF(SUM(AC187:AC189)+AC205=0,0,IF(SUM(AC187:AC189)=AC205,0.5,IF(SUM(AC187:AC189)&gt;AC205,1,0)))</f>
        <v>0</v>
      </c>
      <c r="AE187" s="185">
        <v>153</v>
      </c>
      <c r="AF187" s="109">
        <f>IF(SUM(AE187:AE189)+AE205=0,0,IF(SUM(AE187:AE189)=AE205,0.5,IF(SUM(AE187:AE189)&gt;AE205,1,0)))</f>
        <v>0</v>
      </c>
      <c r="AG187" s="185">
        <v>189</v>
      </c>
      <c r="AH187" s="109">
        <f>IF(SUM(AG187:AG189)+AG205=0,0,IF(SUM(AG187:AG189)=AG205,0.5,IF(SUM(AG187:AG189)&gt;AG205,1,0)))</f>
        <v>1</v>
      </c>
      <c r="AI187" s="185">
        <v>171</v>
      </c>
      <c r="AJ187" s="109">
        <f>IF(SUM(AI187:AI189)+AI205=0,0,IF(SUM(AI187:AI189)=AI205,0.5,IF(SUM(AI187:AI189)&gt;AI205,1,0)))</f>
        <v>1</v>
      </c>
      <c r="AK187" s="185">
        <v>169</v>
      </c>
      <c r="AL187" s="109">
        <f>IF(SUM(AK187:AK189)+AK205=0,0,IF(SUM(AK187:AK189)=AK205,0.5,IF(SUM(AK187:AK189)&gt;AK205,1,0)))</f>
        <v>1</v>
      </c>
      <c r="AM187" s="185">
        <v>220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153</v>
      </c>
      <c r="AR187" s="109">
        <f>IF(SUM(AQ187:AQ189)+AQ205=0,0,IF(SUM(AQ187:AQ189)=AQ205,0.5,IF(SUM(AQ187:AQ189)&gt;AQ205,1,0)))</f>
        <v>0</v>
      </c>
      <c r="AS187" s="185">
        <v>141</v>
      </c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1507</v>
      </c>
      <c r="AV187" s="111">
        <f>SUM(AD187+AF187+AH187+AJ187+AL187+AN187+AP187+AR187+AT187)</f>
        <v>4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1507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144</v>
      </c>
      <c r="BI187" s="215">
        <f t="shared" ref="BI187:BI198" si="219">IF(AE187=0,"",AE187)</f>
        <v>153</v>
      </c>
      <c r="BJ187" s="215">
        <f t="shared" ref="BJ187:BJ198" si="220">IF(AG187=0,"",AG187)</f>
        <v>189</v>
      </c>
      <c r="BK187" s="215">
        <f t="shared" ref="BK187:BK198" si="221">IF(AI187=0,"",AI187)</f>
        <v>171</v>
      </c>
      <c r="BL187" s="215">
        <f t="shared" ref="BL187:BL198" si="222">IF(AK187=0,"",AK187)</f>
        <v>169</v>
      </c>
      <c r="BM187" s="215">
        <f t="shared" ref="BM187:BM198" si="223">IF(AM187=0,"",AM187)</f>
        <v>220</v>
      </c>
      <c r="BN187" s="215">
        <f t="shared" ref="BN187:BN198" si="224">IF(AO187=0,"",AO187)</f>
        <v>167</v>
      </c>
      <c r="BO187" s="215">
        <f t="shared" ref="BO187:BO198" si="225">IF(AQ187=0,"",AQ187)</f>
        <v>153</v>
      </c>
      <c r="BP187" s="215">
        <f t="shared" ref="BP187:BP198" si="226">IF(AS187=0,"",AS187)</f>
        <v>141</v>
      </c>
      <c r="BQ187" s="216"/>
      <c r="BR187" s="214"/>
      <c r="BS187" s="215">
        <f>MAX(BH187:BP187)</f>
        <v>220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1507</v>
      </c>
      <c r="BX187" s="215">
        <f>IF(COUNTIF(BH187:BP187,"&gt;0")&lt;Spielorte!$A$23,0,BE187/Spielorte!$A$23)</f>
        <v>167.44444444444446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77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9"/>
      <c r="F188" s="78" t="str">
        <f t="shared" si="209"/>
        <v/>
      </c>
      <c r="G188" s="349"/>
      <c r="H188" s="78" t="str">
        <f t="shared" si="210"/>
        <v/>
      </c>
      <c r="I188" s="349"/>
      <c r="J188" s="78" t="str">
        <f t="shared" si="211"/>
        <v/>
      </c>
      <c r="K188" s="349"/>
      <c r="L188" s="78" t="str">
        <f t="shared" si="212"/>
        <v/>
      </c>
      <c r="M188" s="349"/>
      <c r="N188" s="78" t="str">
        <f t="shared" ref="N188:N200" si="229">IF(AM188=0,"",AM188)</f>
        <v/>
      </c>
      <c r="O188" s="349"/>
      <c r="P188" s="78" t="str">
        <f t="shared" si="213"/>
        <v/>
      </c>
      <c r="Q188" s="349"/>
      <c r="R188" s="78" t="str">
        <f t="shared" si="214"/>
        <v/>
      </c>
      <c r="S188" s="349"/>
      <c r="T188" s="78" t="str">
        <f t="shared" si="215"/>
        <v/>
      </c>
      <c r="U188" s="349"/>
      <c r="V188" s="78" t="str">
        <f t="shared" si="216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8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0"/>
      <c r="F189" s="69" t="str">
        <f t="shared" si="209"/>
        <v/>
      </c>
      <c r="G189" s="350"/>
      <c r="H189" s="69" t="str">
        <f t="shared" si="210"/>
        <v/>
      </c>
      <c r="I189" s="350"/>
      <c r="J189" s="69" t="str">
        <f t="shared" si="211"/>
        <v/>
      </c>
      <c r="K189" s="350"/>
      <c r="L189" s="69" t="str">
        <f t="shared" si="212"/>
        <v/>
      </c>
      <c r="M189" s="350"/>
      <c r="N189" s="69" t="str">
        <f t="shared" si="229"/>
        <v/>
      </c>
      <c r="O189" s="350"/>
      <c r="P189" s="69" t="str">
        <f t="shared" si="213"/>
        <v/>
      </c>
      <c r="Q189" s="350"/>
      <c r="R189" s="69" t="str">
        <f t="shared" si="214"/>
        <v/>
      </c>
      <c r="S189" s="350"/>
      <c r="T189" s="69" t="str">
        <f t="shared" si="215"/>
        <v/>
      </c>
      <c r="U189" s="350"/>
      <c r="V189" s="69" t="str">
        <f t="shared" si="216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76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205</v>
      </c>
      <c r="E190" s="348">
        <f>IF(AD190="","",AD190)</f>
        <v>1</v>
      </c>
      <c r="F190" s="75">
        <f t="shared" si="209"/>
        <v>184</v>
      </c>
      <c r="G190" s="348">
        <f>IF(AF190="","",AF190)</f>
        <v>0</v>
      </c>
      <c r="H190" s="75">
        <f t="shared" si="210"/>
        <v>168</v>
      </c>
      <c r="I190" s="348">
        <f>IF(AH190="","",AH190)</f>
        <v>0</v>
      </c>
      <c r="J190" s="75">
        <f t="shared" si="211"/>
        <v>176</v>
      </c>
      <c r="K190" s="348">
        <f>IF(AJ190="","",AJ190)</f>
        <v>1</v>
      </c>
      <c r="L190" s="75">
        <f t="shared" si="212"/>
        <v>168</v>
      </c>
      <c r="M190" s="348">
        <f>IF(AL190="","",AL190)</f>
        <v>1</v>
      </c>
      <c r="N190" s="75">
        <f t="shared" si="229"/>
        <v>154</v>
      </c>
      <c r="O190" s="348">
        <f>IF(AN190="","",AN190)</f>
        <v>0</v>
      </c>
      <c r="P190" s="75">
        <f t="shared" si="213"/>
        <v>168</v>
      </c>
      <c r="Q190" s="348">
        <f>IF(AP190="","",AP190)</f>
        <v>0</v>
      </c>
      <c r="R190" s="75">
        <f t="shared" si="214"/>
        <v>192</v>
      </c>
      <c r="S190" s="348">
        <f>IF(AR190="","",AR190)</f>
        <v>0</v>
      </c>
      <c r="T190" s="75">
        <f t="shared" si="215"/>
        <v>135</v>
      </c>
      <c r="U190" s="348">
        <f>IF(AT190="","",AT190)</f>
        <v>0</v>
      </c>
      <c r="V190" s="75">
        <f t="shared" si="216"/>
        <v>1550</v>
      </c>
      <c r="W190" s="348">
        <f>IF(AV190="","",AV190)</f>
        <v>3</v>
      </c>
      <c r="Z190" s="351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205</v>
      </c>
      <c r="AD190" s="109">
        <f>IF(SUM(AC190:AC192)+AC206=0,0,IF(SUM(AC190:AC192)=AC206,0.5,IF(SUM(AC190:AC192)&gt;AC206,1,0)))</f>
        <v>1</v>
      </c>
      <c r="AE190" s="188">
        <v>184</v>
      </c>
      <c r="AF190" s="109">
        <f>IF(SUM(AE190:AE192)+AE206=0,0,IF(SUM(AE190:AE192)=AE206,0.5,IF(SUM(AE190:AE192)&gt;AE206,1,0)))</f>
        <v>0</v>
      </c>
      <c r="AG190" s="188">
        <v>168</v>
      </c>
      <c r="AH190" s="109">
        <f>IF(SUM(AG190:AG192)+AG206=0,0,IF(SUM(AG190:AG192)=AG206,0.5,IF(SUM(AG190:AG192)&gt;AG206,1,0)))</f>
        <v>0</v>
      </c>
      <c r="AI190" s="188">
        <v>176</v>
      </c>
      <c r="AJ190" s="109">
        <f>IF(SUM(AI190:AI192)+AI206=0,0,IF(SUM(AI190:AI192)=AI206,0.5,IF(SUM(AI190:AI192)&gt;AI206,1,0)))</f>
        <v>1</v>
      </c>
      <c r="AK190" s="188">
        <v>168</v>
      </c>
      <c r="AL190" s="109">
        <f>IF(SUM(AK190:AK192)+AK206=0,0,IF(SUM(AK190:AK192)=AK206,0.5,IF(SUM(AK190:AK192)&gt;AK206,1,0)))</f>
        <v>1</v>
      </c>
      <c r="AM190" s="188">
        <v>154</v>
      </c>
      <c r="AN190" s="109">
        <f>IF(SUM(AM190:AM192)+AM206=0,0,IF(SUM(AM190:AM192)=AM206,0.5,IF(SUM(AM190:AM192)&gt;AM206,1,0)))</f>
        <v>0</v>
      </c>
      <c r="AO190" s="188">
        <v>168</v>
      </c>
      <c r="AP190" s="109">
        <f>IF(SUM(AO190:AO192)+AO206=0,0,IF(SUM(AO190:AO192)=AO206,0.5,IF(SUM(AO190:AO192)&gt;AO206,1,0)))</f>
        <v>0</v>
      </c>
      <c r="AQ190" s="188">
        <v>192</v>
      </c>
      <c r="AR190" s="109">
        <f>IF(SUM(AQ190:AQ192)+AQ206=0,0,IF(SUM(AQ190:AQ192)=AQ206,0.5,IF(SUM(AQ190:AQ192)&gt;AQ206,1,0)))</f>
        <v>0</v>
      </c>
      <c r="AS190" s="188">
        <v>135</v>
      </c>
      <c r="AT190" s="109">
        <f>IF(SUM(AS190:AS192)+AS206=0,0,IF(SUM(AS190:AS192)=AS206,0.5,IF(SUM(AS190:AS192)&gt;AS206,1,0)))</f>
        <v>0</v>
      </c>
      <c r="AU190" s="110">
        <f t="shared" si="217"/>
        <v>1550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1550</v>
      </c>
      <c r="BF190" s="215">
        <f t="shared" si="232"/>
        <v>9</v>
      </c>
      <c r="BG190" s="215">
        <f t="shared" si="233"/>
        <v>9</v>
      </c>
      <c r="BH190" s="215">
        <f t="shared" si="218"/>
        <v>205</v>
      </c>
      <c r="BI190" s="215">
        <f t="shared" si="219"/>
        <v>184</v>
      </c>
      <c r="BJ190" s="215">
        <f t="shared" si="220"/>
        <v>168</v>
      </c>
      <c r="BK190" s="215">
        <f t="shared" si="221"/>
        <v>176</v>
      </c>
      <c r="BL190" s="215">
        <f t="shared" si="222"/>
        <v>168</v>
      </c>
      <c r="BM190" s="215">
        <f t="shared" si="223"/>
        <v>154</v>
      </c>
      <c r="BN190" s="215">
        <f t="shared" si="224"/>
        <v>168</v>
      </c>
      <c r="BO190" s="215">
        <f t="shared" si="225"/>
        <v>192</v>
      </c>
      <c r="BP190" s="215">
        <f t="shared" si="226"/>
        <v>135</v>
      </c>
      <c r="BQ190" s="216"/>
      <c r="BR190" s="214"/>
      <c r="BS190" s="215">
        <f t="shared" si="234"/>
        <v>205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2</v>
      </c>
      <c r="BW190" s="215">
        <f t="shared" si="238"/>
        <v>1550</v>
      </c>
      <c r="BX190" s="215">
        <f>IF(COUNTIF(BH190:BP190,"&gt;0")&lt;Spielorte!$A$23,0,BE190/Spielorte!$A$23)</f>
        <v>172.22222222222223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77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9"/>
      <c r="F191" s="78" t="str">
        <f t="shared" si="209"/>
        <v/>
      </c>
      <c r="G191" s="349"/>
      <c r="H191" s="78" t="str">
        <f t="shared" si="210"/>
        <v/>
      </c>
      <c r="I191" s="349"/>
      <c r="J191" s="78" t="str">
        <f t="shared" si="211"/>
        <v/>
      </c>
      <c r="K191" s="349"/>
      <c r="L191" s="78" t="str">
        <f t="shared" si="212"/>
        <v/>
      </c>
      <c r="M191" s="349"/>
      <c r="N191" s="78" t="str">
        <f t="shared" si="229"/>
        <v/>
      </c>
      <c r="O191" s="349"/>
      <c r="P191" s="78" t="str">
        <f t="shared" si="213"/>
        <v/>
      </c>
      <c r="Q191" s="349"/>
      <c r="R191" s="78" t="str">
        <f t="shared" si="214"/>
        <v/>
      </c>
      <c r="S191" s="349"/>
      <c r="T191" s="78" t="str">
        <f t="shared" si="215"/>
        <v/>
      </c>
      <c r="U191" s="349"/>
      <c r="V191" s="78" t="str">
        <f t="shared" si="216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8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0"/>
      <c r="F192" s="69" t="str">
        <f t="shared" si="209"/>
        <v/>
      </c>
      <c r="G192" s="350"/>
      <c r="H192" s="69" t="str">
        <f t="shared" si="210"/>
        <v/>
      </c>
      <c r="I192" s="350"/>
      <c r="J192" s="69" t="str">
        <f t="shared" si="211"/>
        <v/>
      </c>
      <c r="K192" s="350"/>
      <c r="L192" s="69" t="str">
        <f t="shared" si="212"/>
        <v/>
      </c>
      <c r="M192" s="350"/>
      <c r="N192" s="69" t="str">
        <f t="shared" si="229"/>
        <v/>
      </c>
      <c r="O192" s="350"/>
      <c r="P192" s="69" t="str">
        <f t="shared" si="213"/>
        <v/>
      </c>
      <c r="Q192" s="350"/>
      <c r="R192" s="69" t="str">
        <f t="shared" si="214"/>
        <v/>
      </c>
      <c r="S192" s="350"/>
      <c r="T192" s="69" t="str">
        <f t="shared" si="215"/>
        <v/>
      </c>
      <c r="U192" s="350"/>
      <c r="V192" s="69" t="str">
        <f t="shared" si="216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76" t="s">
        <v>3</v>
      </c>
      <c r="B193" s="73" t="str">
        <f t="shared" si="228"/>
        <v>Haunschild, Thomas</v>
      </c>
      <c r="C193" s="74">
        <f t="shared" si="228"/>
        <v>7337</v>
      </c>
      <c r="D193" s="75">
        <f t="shared" si="228"/>
        <v>192</v>
      </c>
      <c r="E193" s="348">
        <f>IF(AD193="","",AD193)</f>
        <v>1</v>
      </c>
      <c r="F193" s="75">
        <f t="shared" si="209"/>
        <v>188</v>
      </c>
      <c r="G193" s="348">
        <f>IF(AF193="","",AF193)</f>
        <v>0</v>
      </c>
      <c r="H193" s="75">
        <f t="shared" si="210"/>
        <v>173</v>
      </c>
      <c r="I193" s="348">
        <f>IF(AH193="","",AH193)</f>
        <v>0</v>
      </c>
      <c r="J193" s="75">
        <f t="shared" si="211"/>
        <v>224</v>
      </c>
      <c r="K193" s="348">
        <f>IF(AJ193="","",AJ193)</f>
        <v>1</v>
      </c>
      <c r="L193" s="75" t="str">
        <f t="shared" si="212"/>
        <v/>
      </c>
      <c r="M193" s="348">
        <f>IF(AL193="","",AL193)</f>
        <v>0</v>
      </c>
      <c r="N193" s="75" t="str">
        <f t="shared" si="229"/>
        <v/>
      </c>
      <c r="O193" s="348">
        <f>IF(AN193="","",AN193)</f>
        <v>1</v>
      </c>
      <c r="P193" s="75" t="str">
        <f t="shared" si="213"/>
        <v/>
      </c>
      <c r="Q193" s="348">
        <f>IF(AP193="","",AP193)</f>
        <v>0</v>
      </c>
      <c r="R193" s="75" t="str">
        <f t="shared" si="214"/>
        <v/>
      </c>
      <c r="S193" s="348">
        <f>IF(AR193="","",AR193)</f>
        <v>1</v>
      </c>
      <c r="T193" s="75" t="str">
        <f t="shared" si="215"/>
        <v/>
      </c>
      <c r="U193" s="348">
        <f>IF(AT193="","",AT193)</f>
        <v>0</v>
      </c>
      <c r="V193" s="75">
        <f t="shared" si="216"/>
        <v>777</v>
      </c>
      <c r="W193" s="348">
        <f>IF(AV193="","",AV193)</f>
        <v>4</v>
      </c>
      <c r="Z193" s="351" t="s">
        <v>3</v>
      </c>
      <c r="AA193" s="108" t="str">
        <f>IF(AB193=0,"",VLOOKUP(AB193,Starter!$A$1:$D$199,2,FALSE))</f>
        <v>Haunschild, Thomas</v>
      </c>
      <c r="AB193" s="99">
        <v>7337</v>
      </c>
      <c r="AC193" s="188">
        <v>192</v>
      </c>
      <c r="AD193" s="109">
        <f>IF(SUM(AC193:AC195)+AC207=0,0,IF(SUM(AC193:AC195)=AC207,0.5,IF(SUM(AC193:AC195)&gt;AC207,1,0)))</f>
        <v>1</v>
      </c>
      <c r="AE193" s="188">
        <v>188</v>
      </c>
      <c r="AF193" s="109">
        <f>IF(SUM(AE193:AE195)+AE207=0,0,IF(SUM(AE193:AE195)=AE207,0.5,IF(SUM(AE193:AE195)&gt;AE207,1,0)))</f>
        <v>0</v>
      </c>
      <c r="AG193" s="188">
        <v>173</v>
      </c>
      <c r="AH193" s="109">
        <f>IF(SUM(AG193:AG195)+AG207=0,0,IF(SUM(AG193:AG195)=AG207,0.5,IF(SUM(AG193:AG195)&gt;AG207,1,0)))</f>
        <v>0</v>
      </c>
      <c r="AI193" s="188">
        <v>224</v>
      </c>
      <c r="AJ193" s="109">
        <f>IF(SUM(AI193:AI195)+AI207=0,0,IF(SUM(AI193:AI195)=AI207,0.5,IF(SUM(AI193:AI195)&gt;AI207,1,0)))</f>
        <v>1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1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1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777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30"/>
        <v>7337</v>
      </c>
      <c r="BE193" s="213">
        <f t="shared" si="231"/>
        <v>777</v>
      </c>
      <c r="BF193" s="215">
        <f t="shared" si="232"/>
        <v>4</v>
      </c>
      <c r="BG193" s="215">
        <f t="shared" si="233"/>
        <v>4</v>
      </c>
      <c r="BH193" s="215">
        <f t="shared" si="218"/>
        <v>192</v>
      </c>
      <c r="BI193" s="215">
        <f t="shared" si="219"/>
        <v>188</v>
      </c>
      <c r="BJ193" s="215">
        <f t="shared" si="220"/>
        <v>173</v>
      </c>
      <c r="BK193" s="215">
        <f t="shared" si="221"/>
        <v>224</v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224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2</v>
      </c>
      <c r="BW193" s="215">
        <f t="shared" si="238"/>
        <v>777</v>
      </c>
      <c r="BX193" s="215">
        <f>IF(COUNTIF(BH193:BP193,"&gt;0")&lt;Spielorte!$A$23,0,BE193/Spielorte!$A$23)</f>
        <v>0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77"/>
      <c r="B194" s="76" t="str">
        <f t="shared" si="228"/>
        <v>Hutter, Sebastian</v>
      </c>
      <c r="C194" s="77">
        <f t="shared" si="228"/>
        <v>38360</v>
      </c>
      <c r="D194" s="78" t="str">
        <f t="shared" si="228"/>
        <v/>
      </c>
      <c r="E194" s="349"/>
      <c r="F194" s="78" t="str">
        <f t="shared" si="209"/>
        <v/>
      </c>
      <c r="G194" s="349"/>
      <c r="H194" s="78" t="str">
        <f t="shared" si="210"/>
        <v/>
      </c>
      <c r="I194" s="349"/>
      <c r="J194" s="78" t="str">
        <f t="shared" si="211"/>
        <v/>
      </c>
      <c r="K194" s="349"/>
      <c r="L194" s="78">
        <f t="shared" si="212"/>
        <v>139</v>
      </c>
      <c r="M194" s="349"/>
      <c r="N194" s="78">
        <f t="shared" si="229"/>
        <v>181</v>
      </c>
      <c r="O194" s="349"/>
      <c r="P194" s="78">
        <f t="shared" si="213"/>
        <v>147</v>
      </c>
      <c r="Q194" s="349"/>
      <c r="R194" s="78">
        <f t="shared" si="214"/>
        <v>197</v>
      </c>
      <c r="S194" s="349"/>
      <c r="T194" s="78">
        <f t="shared" si="215"/>
        <v>178</v>
      </c>
      <c r="U194" s="349"/>
      <c r="V194" s="78">
        <f t="shared" si="216"/>
        <v>842</v>
      </c>
      <c r="W194" s="349"/>
      <c r="Z194" s="352"/>
      <c r="AA194" s="108" t="str">
        <f>IF(AB194=0,"",VLOOKUP(AB194,Starter!$A$1:$D$199,2,FALSE))</f>
        <v>Hutter, Sebastian</v>
      </c>
      <c r="AB194" s="98">
        <v>38360</v>
      </c>
      <c r="AC194" s="186"/>
      <c r="AD194" s="112"/>
      <c r="AE194" s="186"/>
      <c r="AF194" s="112"/>
      <c r="AG194" s="186"/>
      <c r="AH194" s="112"/>
      <c r="AI194" s="186"/>
      <c r="AJ194" s="112"/>
      <c r="AK194" s="186">
        <v>139</v>
      </c>
      <c r="AL194" s="112"/>
      <c r="AM194" s="186">
        <v>181</v>
      </c>
      <c r="AN194" s="112"/>
      <c r="AO194" s="186">
        <v>147</v>
      </c>
      <c r="AP194" s="112"/>
      <c r="AQ194" s="186">
        <v>197</v>
      </c>
      <c r="AR194" s="112"/>
      <c r="AS194" s="186">
        <v>178</v>
      </c>
      <c r="AT194" s="112"/>
      <c r="AU194" s="113">
        <f t="shared" si="217"/>
        <v>842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38360</v>
      </c>
      <c r="BE194" s="213">
        <f t="shared" si="231"/>
        <v>842</v>
      </c>
      <c r="BF194" s="215">
        <f t="shared" si="232"/>
        <v>5</v>
      </c>
      <c r="BG194" s="215">
        <f t="shared" si="233"/>
        <v>5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>
        <f t="shared" si="222"/>
        <v>139</v>
      </c>
      <c r="BM194" s="215">
        <f t="shared" si="223"/>
        <v>181</v>
      </c>
      <c r="BN194" s="215">
        <f t="shared" si="224"/>
        <v>147</v>
      </c>
      <c r="BO194" s="215">
        <f t="shared" si="225"/>
        <v>197</v>
      </c>
      <c r="BP194" s="215">
        <f t="shared" si="226"/>
        <v>178</v>
      </c>
      <c r="BQ194" s="216"/>
      <c r="BR194" s="214"/>
      <c r="BS194" s="215">
        <f t="shared" si="234"/>
        <v>197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2</v>
      </c>
      <c r="BW194" s="215">
        <f t="shared" si="238"/>
        <v>842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8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0"/>
      <c r="F195" s="69" t="str">
        <f t="shared" si="209"/>
        <v/>
      </c>
      <c r="G195" s="350"/>
      <c r="H195" s="69" t="str">
        <f t="shared" si="210"/>
        <v/>
      </c>
      <c r="I195" s="350"/>
      <c r="J195" s="69" t="str">
        <f t="shared" si="211"/>
        <v/>
      </c>
      <c r="K195" s="350"/>
      <c r="L195" s="69" t="str">
        <f t="shared" si="212"/>
        <v/>
      </c>
      <c r="M195" s="350"/>
      <c r="N195" s="69" t="str">
        <f t="shared" si="229"/>
        <v/>
      </c>
      <c r="O195" s="350"/>
      <c r="P195" s="69" t="str">
        <f t="shared" si="213"/>
        <v/>
      </c>
      <c r="Q195" s="350"/>
      <c r="R195" s="69" t="str">
        <f t="shared" si="214"/>
        <v/>
      </c>
      <c r="S195" s="350"/>
      <c r="T195" s="69" t="str">
        <f t="shared" si="215"/>
        <v/>
      </c>
      <c r="U195" s="350"/>
      <c r="V195" s="69" t="str">
        <f t="shared" si="216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76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188</v>
      </c>
      <c r="E196" s="348">
        <f>IF(AD196="","",AD196)</f>
        <v>0</v>
      </c>
      <c r="F196" s="75">
        <f t="shared" si="209"/>
        <v>211</v>
      </c>
      <c r="G196" s="348">
        <f>IF(AF196="","",AF196)</f>
        <v>1</v>
      </c>
      <c r="H196" s="75">
        <f t="shared" si="210"/>
        <v>207</v>
      </c>
      <c r="I196" s="348">
        <f>IF(AH196="","",AH196)</f>
        <v>1</v>
      </c>
      <c r="J196" s="75">
        <f t="shared" si="211"/>
        <v>220</v>
      </c>
      <c r="K196" s="348">
        <f>IF(AJ196="","",AJ196)</f>
        <v>1</v>
      </c>
      <c r="L196" s="75">
        <f t="shared" si="212"/>
        <v>189</v>
      </c>
      <c r="M196" s="348">
        <f>IF(AL196="","",AL196)</f>
        <v>0</v>
      </c>
      <c r="N196" s="75">
        <f t="shared" si="229"/>
        <v>152</v>
      </c>
      <c r="O196" s="348">
        <f>IF(AN196="","",AN196)</f>
        <v>0</v>
      </c>
      <c r="P196" s="75">
        <f t="shared" si="213"/>
        <v>183</v>
      </c>
      <c r="Q196" s="348">
        <f>IF(AP196="","",AP196)</f>
        <v>1</v>
      </c>
      <c r="R196" s="75">
        <f t="shared" si="214"/>
        <v>195</v>
      </c>
      <c r="S196" s="348">
        <f>IF(AR196="","",AR196)</f>
        <v>1</v>
      </c>
      <c r="T196" s="75">
        <f t="shared" si="215"/>
        <v>177</v>
      </c>
      <c r="U196" s="348">
        <f>IF(AT196="","",AT196)</f>
        <v>0</v>
      </c>
      <c r="V196" s="75">
        <f t="shared" si="216"/>
        <v>1722</v>
      </c>
      <c r="W196" s="348">
        <f>IF(AV196="","",AV196)</f>
        <v>5</v>
      </c>
      <c r="Z196" s="351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188</v>
      </c>
      <c r="AD196" s="109">
        <f>IF(SUM(AC196:AC198)+AC208=0,0,IF(SUM(AC196:AC198)=AC208,0.5,IF(SUM(AC196:AC198)&gt;AC208,1,0)))</f>
        <v>0</v>
      </c>
      <c r="AE196" s="188">
        <v>211</v>
      </c>
      <c r="AF196" s="109">
        <f>IF(SUM(AE196:AE198)+AE208=0,0,IF(SUM(AE196:AE198)=AE208,0.5,IF(SUM(AE196:AE198)&gt;AE208,1,0)))</f>
        <v>1</v>
      </c>
      <c r="AG196" s="188">
        <v>207</v>
      </c>
      <c r="AH196" s="109">
        <f>IF(SUM(AG196:AG198)+AG208=0,0,IF(SUM(AG196:AG198)=AG208,0.5,IF(SUM(AG196:AG198)&gt;AG208,1,0)))</f>
        <v>1</v>
      </c>
      <c r="AI196" s="188">
        <v>220</v>
      </c>
      <c r="AJ196" s="109">
        <f>IF(SUM(AI196:AI198)+AI208=0,0,IF(SUM(AI196:AI198)=AI208,0.5,IF(SUM(AI196:AI198)&gt;AI208,1,0)))</f>
        <v>1</v>
      </c>
      <c r="AK196" s="188">
        <v>189</v>
      </c>
      <c r="AL196" s="109">
        <f>IF(SUM(AK196:AK198)+AK208=0,0,IF(SUM(AK196:AK198)=AK208,0.5,IF(SUM(AK196:AK198)&gt;AK208,1,0)))</f>
        <v>0</v>
      </c>
      <c r="AM196" s="188">
        <v>152</v>
      </c>
      <c r="AN196" s="109">
        <f>IF(SUM(AM196:AM198)+AM208=0,0,IF(SUM(AM196:AM198)=AM208,0.5,IF(SUM(AM196:AM198)&gt;AM208,1,0)))</f>
        <v>0</v>
      </c>
      <c r="AO196" s="188">
        <v>183</v>
      </c>
      <c r="AP196" s="109">
        <f>IF(SUM(AO196:AO198)+AO208=0,0,IF(SUM(AO196:AO198)=AO208,0.5,IF(SUM(AO196:AO198)&gt;AO208,1,0)))</f>
        <v>1</v>
      </c>
      <c r="AQ196" s="188">
        <v>195</v>
      </c>
      <c r="AR196" s="109">
        <f>IF(SUM(AQ196:AQ198)+AQ208=0,0,IF(SUM(AQ196:AQ198)=AQ208,0.5,IF(SUM(AQ196:AQ198)&gt;AQ208,1,0)))</f>
        <v>1</v>
      </c>
      <c r="AS196" s="188">
        <v>177</v>
      </c>
      <c r="AT196" s="109">
        <f>IF(SUM(AS196:AS198)+AS208=0,0,IF(SUM(AS196:AS198)=AS208,0.5,IF(SUM(AS196:AS198)&gt;AS208,1,0)))</f>
        <v>0</v>
      </c>
      <c r="AU196" s="110">
        <f t="shared" si="217"/>
        <v>1722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1722</v>
      </c>
      <c r="BF196" s="215">
        <f t="shared" si="232"/>
        <v>9</v>
      </c>
      <c r="BG196" s="215">
        <f t="shared" si="233"/>
        <v>9</v>
      </c>
      <c r="BH196" s="215">
        <f t="shared" si="218"/>
        <v>188</v>
      </c>
      <c r="BI196" s="215">
        <f t="shared" si="219"/>
        <v>211</v>
      </c>
      <c r="BJ196" s="215">
        <f t="shared" si="220"/>
        <v>207</v>
      </c>
      <c r="BK196" s="215">
        <f t="shared" si="221"/>
        <v>220</v>
      </c>
      <c r="BL196" s="215">
        <f t="shared" si="222"/>
        <v>189</v>
      </c>
      <c r="BM196" s="215">
        <f t="shared" si="223"/>
        <v>152</v>
      </c>
      <c r="BN196" s="215">
        <f t="shared" si="224"/>
        <v>183</v>
      </c>
      <c r="BO196" s="215">
        <f t="shared" si="225"/>
        <v>195</v>
      </c>
      <c r="BP196" s="215">
        <f t="shared" si="226"/>
        <v>177</v>
      </c>
      <c r="BQ196" s="216"/>
      <c r="BR196" s="214"/>
      <c r="BS196" s="215">
        <f t="shared" si="234"/>
        <v>220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2</v>
      </c>
      <c r="BW196" s="215">
        <f t="shared" si="238"/>
        <v>1722</v>
      </c>
      <c r="BX196" s="215">
        <f>IF(COUNTIF(BH196:BP196,"&gt;0")&lt;Spielorte!$A$23,0,BE196/Spielorte!$A$23)</f>
        <v>191.33333333333334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77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9"/>
      <c r="F197" s="78" t="str">
        <f t="shared" si="209"/>
        <v/>
      </c>
      <c r="G197" s="349"/>
      <c r="H197" s="78" t="str">
        <f t="shared" si="210"/>
        <v/>
      </c>
      <c r="I197" s="349"/>
      <c r="J197" s="78" t="str">
        <f t="shared" si="211"/>
        <v/>
      </c>
      <c r="K197" s="349"/>
      <c r="L197" s="78" t="str">
        <f t="shared" si="212"/>
        <v/>
      </c>
      <c r="M197" s="349"/>
      <c r="N197" s="78" t="str">
        <f t="shared" si="229"/>
        <v/>
      </c>
      <c r="O197" s="349"/>
      <c r="P197" s="78" t="str">
        <f t="shared" si="213"/>
        <v/>
      </c>
      <c r="Q197" s="349"/>
      <c r="R197" s="78" t="str">
        <f t="shared" si="214"/>
        <v/>
      </c>
      <c r="S197" s="349"/>
      <c r="T197" s="78" t="str">
        <f t="shared" si="215"/>
        <v/>
      </c>
      <c r="U197" s="349"/>
      <c r="V197" s="78" t="str">
        <f t="shared" si="216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8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0"/>
      <c r="F198" s="69" t="str">
        <f t="shared" si="209"/>
        <v/>
      </c>
      <c r="G198" s="350"/>
      <c r="H198" s="69" t="str">
        <f t="shared" si="210"/>
        <v/>
      </c>
      <c r="I198" s="350"/>
      <c r="J198" s="69" t="str">
        <f t="shared" si="211"/>
        <v/>
      </c>
      <c r="K198" s="350"/>
      <c r="L198" s="69" t="str">
        <f t="shared" si="212"/>
        <v/>
      </c>
      <c r="M198" s="350"/>
      <c r="N198" s="69" t="str">
        <f t="shared" si="229"/>
        <v/>
      </c>
      <c r="O198" s="350"/>
      <c r="P198" s="69" t="str">
        <f t="shared" si="213"/>
        <v/>
      </c>
      <c r="Q198" s="350"/>
      <c r="R198" s="69" t="str">
        <f t="shared" si="214"/>
        <v/>
      </c>
      <c r="S198" s="350"/>
      <c r="T198" s="69" t="str">
        <f t="shared" si="215"/>
        <v/>
      </c>
      <c r="U198" s="350"/>
      <c r="V198" s="69" t="str">
        <f t="shared" si="216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729</v>
      </c>
      <c r="E199" s="84">
        <f>IF(AD199="","",AD199)</f>
        <v>0</v>
      </c>
      <c r="F199" s="83">
        <f t="shared" si="209"/>
        <v>736</v>
      </c>
      <c r="G199" s="84">
        <f>IF(AF199="","",AF199)</f>
        <v>0</v>
      </c>
      <c r="H199" s="83">
        <f t="shared" si="210"/>
        <v>737</v>
      </c>
      <c r="I199" s="84">
        <f>IF(AH199="","",AH199)</f>
        <v>2</v>
      </c>
      <c r="J199" s="83">
        <f t="shared" si="211"/>
        <v>791</v>
      </c>
      <c r="K199" s="84">
        <f>IF(AJ199="","",AJ199)</f>
        <v>2</v>
      </c>
      <c r="L199" s="83">
        <f t="shared" si="212"/>
        <v>665</v>
      </c>
      <c r="M199" s="84">
        <f>IF(AL199="","",AL199)</f>
        <v>0</v>
      </c>
      <c r="N199" s="83">
        <f t="shared" si="229"/>
        <v>707</v>
      </c>
      <c r="O199" s="84">
        <f>IF(AN199="","",AN199)</f>
        <v>0</v>
      </c>
      <c r="P199" s="83">
        <f t="shared" si="213"/>
        <v>665</v>
      </c>
      <c r="Q199" s="84">
        <f>IF(AP199="","",AP199)</f>
        <v>0</v>
      </c>
      <c r="R199" s="83">
        <f t="shared" si="214"/>
        <v>737</v>
      </c>
      <c r="S199" s="84">
        <f>IF(AR199="","",AR199)</f>
        <v>0</v>
      </c>
      <c r="T199" s="83">
        <f t="shared" si="215"/>
        <v>631</v>
      </c>
      <c r="U199" s="84">
        <f>IF(AT199="","",AT199)</f>
        <v>0</v>
      </c>
      <c r="V199" s="83">
        <f t="shared" si="216"/>
        <v>6398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729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736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737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791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665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707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665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737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631</v>
      </c>
      <c r="AT199" s="121">
        <f>IF(AS199+AS209=0,0,IF(AS199=AS209,1,IF(AS199&gt;AS209,2,0)))</f>
        <v>0</v>
      </c>
      <c r="AU199" s="122">
        <f>SUM(AC199+AE199+AG199+AI199+AK199+AM199+AO199+AQ199+AS199)</f>
        <v>6398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4</v>
      </c>
      <c r="J200" s="86" t="str">
        <f t="shared" si="211"/>
        <v/>
      </c>
      <c r="K200" s="87">
        <f>IF(AJ200="","",AJ200)</f>
        <v>6</v>
      </c>
      <c r="L200" s="86" t="str">
        <f t="shared" si="212"/>
        <v/>
      </c>
      <c r="M200" s="87">
        <f>IF(AL200="","",AL200)</f>
        <v>2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2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20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4</v>
      </c>
      <c r="AI200" s="86"/>
      <c r="AJ200" s="124">
        <f>SUM(AJ187:AJ199)</f>
        <v>6</v>
      </c>
      <c r="AK200" s="86"/>
      <c r="AL200" s="124">
        <f>SUM(AL187:AL199)</f>
        <v>2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2</v>
      </c>
      <c r="AS200" s="86"/>
      <c r="AT200" s="124">
        <f>SUM(AT187:AT199)</f>
        <v>0</v>
      </c>
      <c r="AU200" s="86"/>
      <c r="AV200" s="125">
        <f>SUM(AV187:AV199)</f>
        <v>20</v>
      </c>
      <c r="AW200" s="101"/>
      <c r="AX200" s="102"/>
      <c r="BA200" s="212">
        <f>+AV200</f>
        <v>20</v>
      </c>
      <c r="BB200" s="213">
        <f>+AU199</f>
        <v>6398</v>
      </c>
      <c r="BC200" s="214">
        <f>+AA182</f>
        <v>7</v>
      </c>
      <c r="BF200" s="215">
        <f>SUM(BF181:BF199)</f>
        <v>36</v>
      </c>
      <c r="BQ200" s="212">
        <f>+BB200/1000000+BA200</f>
        <v>20.006398000000001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6">
        <f t="shared" si="240"/>
        <v>3</v>
      </c>
      <c r="E202" s="356" t="str">
        <f t="shared" si="240"/>
        <v/>
      </c>
      <c r="F202" s="356">
        <f t="shared" si="240"/>
        <v>8</v>
      </c>
      <c r="G202" s="356" t="str">
        <f t="shared" si="240"/>
        <v/>
      </c>
      <c r="H202" s="356">
        <f t="shared" si="240"/>
        <v>9</v>
      </c>
      <c r="I202" s="356" t="str">
        <f t="shared" si="240"/>
        <v/>
      </c>
      <c r="J202" s="356">
        <f t="shared" si="240"/>
        <v>1</v>
      </c>
      <c r="K202" s="356" t="str">
        <f t="shared" si="240"/>
        <v/>
      </c>
      <c r="L202" s="356">
        <f t="shared" si="240"/>
        <v>5</v>
      </c>
      <c r="M202" s="356" t="str">
        <f t="shared" si="240"/>
        <v/>
      </c>
      <c r="N202" s="356">
        <f t="shared" si="240"/>
        <v>2</v>
      </c>
      <c r="O202" s="356" t="str">
        <f t="shared" si="240"/>
        <v/>
      </c>
      <c r="P202" s="356">
        <f t="shared" si="240"/>
        <v>10</v>
      </c>
      <c r="Q202" s="356" t="str">
        <f t="shared" si="240"/>
        <v/>
      </c>
      <c r="R202" s="356">
        <f t="shared" ref="N202:U204" si="241">IF(AQ202=0,"",AQ202)</f>
        <v>6</v>
      </c>
      <c r="S202" s="356" t="str">
        <f t="shared" si="241"/>
        <v/>
      </c>
      <c r="T202" s="356">
        <f t="shared" si="241"/>
        <v>4</v>
      </c>
      <c r="U202" s="356" t="str">
        <f t="shared" si="241"/>
        <v/>
      </c>
      <c r="V202" s="357"/>
      <c r="W202" s="357"/>
      <c r="AA202" s="88" t="s">
        <v>1797</v>
      </c>
      <c r="AB202" s="89" t="s">
        <v>1798</v>
      </c>
      <c r="AC202" s="370">
        <f>VLOOKUP($AA182,Schlüssel!$A$5:$DG$14,23)</f>
        <v>3</v>
      </c>
      <c r="AD202" s="371"/>
      <c r="AE202" s="370">
        <f>VLOOKUP($AA182,Schlüssel!$A$5:$EK$14,24)</f>
        <v>8</v>
      </c>
      <c r="AF202" s="371"/>
      <c r="AG202" s="370">
        <f>VLOOKUP($AA182,Schlüssel!$A$5:$EK$14,25)</f>
        <v>9</v>
      </c>
      <c r="AH202" s="371"/>
      <c r="AI202" s="370">
        <f>VLOOKUP($AA182,Schlüssel!$A$5:$EK$14,26)</f>
        <v>1</v>
      </c>
      <c r="AJ202" s="371"/>
      <c r="AK202" s="370">
        <f>VLOOKUP($AA182,Schlüssel!$A$5:$EK$14,27)</f>
        <v>5</v>
      </c>
      <c r="AL202" s="371"/>
      <c r="AM202" s="370">
        <f>VLOOKUP($AA182,Schlüssel!$A$5:$EK$14,28)</f>
        <v>2</v>
      </c>
      <c r="AN202" s="371"/>
      <c r="AO202" s="370">
        <f>VLOOKUP($AA182,Schlüssel!$A$5:$EK$14,29)</f>
        <v>10</v>
      </c>
      <c r="AP202" s="371"/>
      <c r="AQ202" s="370">
        <f>VLOOKUP($AA182,Schlüssel!$A$5:$EK$14,30)</f>
        <v>6</v>
      </c>
      <c r="AR202" s="371"/>
      <c r="AS202" s="370">
        <f>VLOOKUP($AA182,Schlüssel!$A$5:$EK$14,31)</f>
        <v>4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M204" si="242">IF(AA203=0,"",AA203)</f>
        <v/>
      </c>
      <c r="C203" s="86" t="str">
        <f t="shared" si="242"/>
        <v/>
      </c>
      <c r="D203" s="358" t="str">
        <f t="shared" si="242"/>
        <v>BK München 3</v>
      </c>
      <c r="E203" s="359" t="str">
        <f t="shared" si="242"/>
        <v/>
      </c>
      <c r="F203" s="358" t="str">
        <f t="shared" si="242"/>
        <v>BC EMAX Unterföhring 2</v>
      </c>
      <c r="G203" s="359" t="str">
        <f t="shared" si="242"/>
        <v/>
      </c>
      <c r="H203" s="358" t="str">
        <f t="shared" si="242"/>
        <v>Bowlinghaus Bamberg 1</v>
      </c>
      <c r="I203" s="359" t="str">
        <f t="shared" si="242"/>
        <v/>
      </c>
      <c r="J203" s="358" t="str">
        <f t="shared" si="242"/>
        <v>BC Comet Nürnberg</v>
      </c>
      <c r="K203" s="359" t="str">
        <f t="shared" si="242"/>
        <v/>
      </c>
      <c r="L203" s="358" t="str">
        <f t="shared" si="242"/>
        <v>RW Lichtenhof Stein 1</v>
      </c>
      <c r="M203" s="359" t="str">
        <f t="shared" si="242"/>
        <v/>
      </c>
      <c r="N203" s="358" t="str">
        <f t="shared" si="241"/>
        <v>Bajuwaren München 1</v>
      </c>
      <c r="O203" s="359" t="str">
        <f t="shared" si="241"/>
        <v/>
      </c>
      <c r="P203" s="358" t="str">
        <f t="shared" si="241"/>
        <v>High Roller Rosenheim 1</v>
      </c>
      <c r="Q203" s="359" t="str">
        <f t="shared" si="241"/>
        <v/>
      </c>
      <c r="R203" s="358" t="str">
        <f t="shared" si="241"/>
        <v>SG Rottendorf 1</v>
      </c>
      <c r="S203" s="359" t="str">
        <f t="shared" si="241"/>
        <v/>
      </c>
      <c r="T203" s="358" t="str">
        <f t="shared" si="241"/>
        <v>SG DJK Rimpar</v>
      </c>
      <c r="U203" s="359" t="str">
        <f t="shared" si="241"/>
        <v/>
      </c>
      <c r="V203" s="363"/>
      <c r="W203" s="363"/>
      <c r="AA203" s="90"/>
      <c r="AB203" s="86"/>
      <c r="AC203" s="358" t="str">
        <f>VLOOKUP(AC202,Schlüssel!$A$5:$K$14,2)</f>
        <v>BK München 3</v>
      </c>
      <c r="AD203" s="359"/>
      <c r="AE203" s="358" t="str">
        <f>VLOOKUP(AE202,Schlüssel!$A$5:$K$14,2)</f>
        <v>BC EMAX Unterföhring 2</v>
      </c>
      <c r="AF203" s="359"/>
      <c r="AG203" s="358" t="str">
        <f>VLOOKUP(AG202,Schlüssel!$A$5:$K$14,2)</f>
        <v>Bowlinghaus Bamberg 1</v>
      </c>
      <c r="AH203" s="359"/>
      <c r="AI203" s="358" t="str">
        <f>VLOOKUP(AI202,Schlüssel!$A$5:$K$14,2)</f>
        <v>BC Comet Nürnberg</v>
      </c>
      <c r="AJ203" s="359"/>
      <c r="AK203" s="358" t="str">
        <f>VLOOKUP(AK202,Schlüssel!$A$5:$K$14,2)</f>
        <v>RW Lichtenhof Stein 1</v>
      </c>
      <c r="AL203" s="359"/>
      <c r="AM203" s="358" t="str">
        <f>VLOOKUP(AM202,Schlüssel!$A$5:$K$14,2)</f>
        <v>Bajuwaren München 1</v>
      </c>
      <c r="AN203" s="359"/>
      <c r="AO203" s="358" t="str">
        <f>VLOOKUP(AO202,Schlüssel!$A$5:$K$14,2)</f>
        <v>High Roller Rosenheim 1</v>
      </c>
      <c r="AP203" s="359"/>
      <c r="AQ203" s="358" t="str">
        <f>VLOOKUP(AQ202,Schlüssel!$A$5:$K$14,2)</f>
        <v>SG Rottendorf 1</v>
      </c>
      <c r="AR203" s="359"/>
      <c r="AS203" s="358" t="str">
        <f>VLOOKUP(AS202,Schlüssel!$A$5:$K$14,2)</f>
        <v>SG DJK Rimpar</v>
      </c>
      <c r="AT203" s="359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60" t="str">
        <f t="shared" si="242"/>
        <v/>
      </c>
      <c r="E204" s="360" t="str">
        <f t="shared" si="242"/>
        <v/>
      </c>
      <c r="F204" s="360" t="str">
        <f t="shared" si="242"/>
        <v/>
      </c>
      <c r="G204" s="360" t="str">
        <f t="shared" si="242"/>
        <v/>
      </c>
      <c r="H204" s="360" t="str">
        <f t="shared" si="242"/>
        <v/>
      </c>
      <c r="I204" s="360" t="str">
        <f t="shared" si="242"/>
        <v/>
      </c>
      <c r="J204" s="360" t="str">
        <f t="shared" si="242"/>
        <v/>
      </c>
      <c r="K204" s="360" t="str">
        <f t="shared" si="242"/>
        <v/>
      </c>
      <c r="L204" s="360" t="str">
        <f t="shared" si="242"/>
        <v/>
      </c>
      <c r="M204" s="360" t="str">
        <f t="shared" si="242"/>
        <v/>
      </c>
      <c r="N204" s="360" t="str">
        <f t="shared" si="241"/>
        <v/>
      </c>
      <c r="O204" s="360" t="str">
        <f t="shared" si="241"/>
        <v/>
      </c>
      <c r="P204" s="360" t="str">
        <f t="shared" si="241"/>
        <v/>
      </c>
      <c r="Q204" s="360" t="str">
        <f t="shared" si="241"/>
        <v/>
      </c>
      <c r="R204" s="360" t="str">
        <f t="shared" si="241"/>
        <v/>
      </c>
      <c r="S204" s="360" t="str">
        <f t="shared" si="241"/>
        <v/>
      </c>
      <c r="T204" s="360" t="str">
        <f t="shared" si="241"/>
        <v/>
      </c>
      <c r="U204" s="361" t="str">
        <f t="shared" si="241"/>
        <v/>
      </c>
      <c r="V204" s="298"/>
      <c r="W204" s="298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4" t="str">
        <f t="shared" ref="B205:C209" si="243">IF(AA205=0,"",AA205)</f>
        <v>Spieler 1</v>
      </c>
      <c r="C205" s="375" t="str">
        <f t="shared" si="243"/>
        <v/>
      </c>
      <c r="D205" s="362">
        <f>IF(AC205=301,"",AC205)</f>
        <v>181</v>
      </c>
      <c r="E205" s="362" t="str">
        <f>IF(AD205=0,"",AD205)</f>
        <v/>
      </c>
      <c r="F205" s="362">
        <f>IF(AE205=301,"",AE205)</f>
        <v>215</v>
      </c>
      <c r="G205" s="362" t="str">
        <f>IF(AF205=0,"",AF205)</f>
        <v/>
      </c>
      <c r="H205" s="362">
        <f>IF(AG205=301,"",AG205)</f>
        <v>136</v>
      </c>
      <c r="I205" s="362" t="str">
        <f>IF(AH205=0,"",AH205)</f>
        <v/>
      </c>
      <c r="J205" s="362">
        <f>IF(AI205=301,"",AI205)</f>
        <v>151</v>
      </c>
      <c r="K205" s="362" t="str">
        <f>IF(AJ205=0,"",AJ205)</f>
        <v/>
      </c>
      <c r="L205" s="362">
        <f>IF(AK205=301,"",AK205)</f>
        <v>146</v>
      </c>
      <c r="M205" s="362" t="str">
        <f>IF(AL205=0,"",AL205)</f>
        <v/>
      </c>
      <c r="N205" s="362">
        <f>IF(AM205=301,"",AM205)</f>
        <v>211</v>
      </c>
      <c r="O205" s="362" t="str">
        <f>IF(AN205=0,"",AN205)</f>
        <v/>
      </c>
      <c r="P205" s="362">
        <f>IF(AO205=301,"",AO205)</f>
        <v>244</v>
      </c>
      <c r="Q205" s="362" t="str">
        <f>IF(AP205=0,"",AP205)</f>
        <v/>
      </c>
      <c r="R205" s="362">
        <f>IF(AQ205=301,"",AQ205)</f>
        <v>200</v>
      </c>
      <c r="S205" s="362" t="str">
        <f>IF(AR205=0,"",AR205)</f>
        <v/>
      </c>
      <c r="T205" s="362">
        <f>IF(AS205=301,"",AS205)</f>
        <v>202</v>
      </c>
      <c r="U205" s="362" t="str">
        <f>IF(AT205=0,"",AT205)</f>
        <v/>
      </c>
      <c r="V205" s="364"/>
      <c r="W205" s="364"/>
      <c r="AA205" s="91" t="s">
        <v>0</v>
      </c>
      <c r="AB205" s="92"/>
      <c r="AC205" s="368">
        <f>ABS(INDEX(AC:AC,MATCH(AC202,$AA:$AA,0)+5)+INDEX(AC:AC,MATCH(AC202,$AA:$AA,0)+6)+INDEX(AC:AC,MATCH(AC202,$AA:$AA,0)+7))</f>
        <v>181</v>
      </c>
      <c r="AD205" s="369"/>
      <c r="AE205" s="368">
        <f>ABS(INDEX(AE:AE,MATCH(AE202,$AA:$AA,0)+5)+INDEX(AE:AE,MATCH(AE202,$AA:$AA,0)+6)+INDEX(AE:AE,MATCH(AE202,$AA:$AA,0)+7))</f>
        <v>215</v>
      </c>
      <c r="AF205" s="369"/>
      <c r="AG205" s="368">
        <f>ABS(INDEX(AG:AG,MATCH(AG202,$AA:$AA,0)+5)+INDEX(AG:AG,MATCH(AG202,$AA:$AA,0)+6)+INDEX(AG:AG,MATCH(AG202,$AA:$AA,0)+7))</f>
        <v>136</v>
      </c>
      <c r="AH205" s="369"/>
      <c r="AI205" s="368">
        <f>ABS(INDEX(AI:AI,MATCH(AI202,$AA:$AA,0)+5)+INDEX(AI:AI,MATCH(AI202,$AA:$AA,0)+6)+INDEX(AI:AI,MATCH(AI202,$AA:$AA,0)+7))</f>
        <v>151</v>
      </c>
      <c r="AJ205" s="369"/>
      <c r="AK205" s="368">
        <f>ABS(INDEX(AK:AK,MATCH(AK202,$AA:$AA,0)+5)+INDEX(AK:AK,MATCH(AK202,$AA:$AA,0)+6)+INDEX(AK:AK,MATCH(AK202,$AA:$AA,0)+7))</f>
        <v>146</v>
      </c>
      <c r="AL205" s="369"/>
      <c r="AM205" s="368">
        <f>ABS(INDEX(AM:AM,MATCH(AM202,$AA:$AA,0)+5)+INDEX(AM:AM,MATCH(AM202,$AA:$AA,0)+6)+INDEX(AM:AM,MATCH(AM202,$AA:$AA,0)+7))</f>
        <v>211</v>
      </c>
      <c r="AN205" s="369"/>
      <c r="AO205" s="368">
        <f>ABS(INDEX(AO:AO,MATCH(AO202,$AA:$AA,0)+5)+INDEX(AO:AO,MATCH(AO202,$AA:$AA,0)+6)+INDEX(AO:AO,MATCH(AO202,$AA:$AA,0)+7))</f>
        <v>244</v>
      </c>
      <c r="AP205" s="369"/>
      <c r="AQ205" s="368">
        <f>ABS(INDEX(AQ:AQ,MATCH(AQ202,$AA:$AA,0)+5)+INDEX(AQ:AQ,MATCH(AQ202,$AA:$AA,0)+6)+INDEX(AQ:AQ,MATCH(AQ202,$AA:$AA,0)+7))</f>
        <v>200</v>
      </c>
      <c r="AR205" s="369"/>
      <c r="AS205" s="368">
        <f>ABS(INDEX(AS:AS,MATCH(AS202,$AA:$AA,0)+5)+INDEX(AS:AS,MATCH(AS202,$AA:$AA,0)+6)+INDEX(AS:AS,MATCH(AS202,$AA:$AA,0)+7))</f>
        <v>202</v>
      </c>
      <c r="AT205" s="369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4" t="str">
        <f t="shared" si="243"/>
        <v>Spieler 2</v>
      </c>
      <c r="C206" s="375" t="str">
        <f t="shared" si="243"/>
        <v/>
      </c>
      <c r="D206" s="362">
        <f>IF(AC206=301,"",AC206)</f>
        <v>187</v>
      </c>
      <c r="E206" s="362" t="str">
        <f>IF(AD206=0,"",AD206)</f>
        <v/>
      </c>
      <c r="F206" s="362">
        <f>IF(AE206=301,"",AE206)</f>
        <v>227</v>
      </c>
      <c r="G206" s="362" t="str">
        <f>IF(AF206=0,"",AF206)</f>
        <v/>
      </c>
      <c r="H206" s="362">
        <f>IF(AG206=301,"",AG206)</f>
        <v>179</v>
      </c>
      <c r="I206" s="362" t="str">
        <f>IF(AH206=0,"",AH206)</f>
        <v/>
      </c>
      <c r="J206" s="362">
        <f>IF(AI206=301,"",AI206)</f>
        <v>162</v>
      </c>
      <c r="K206" s="362" t="str">
        <f>IF(AJ206=0,"",AJ206)</f>
        <v/>
      </c>
      <c r="L206" s="362">
        <f>IF(AK206=301,"",AK206)</f>
        <v>143</v>
      </c>
      <c r="M206" s="362" t="str">
        <f>IF(AL206=0,"",AL206)</f>
        <v/>
      </c>
      <c r="N206" s="362">
        <f>IF(AM206=301,"",AM206)</f>
        <v>160</v>
      </c>
      <c r="O206" s="362" t="str">
        <f>IF(AN206=0,"",AN206)</f>
        <v/>
      </c>
      <c r="P206" s="362">
        <f>IF(AO206=301,"",AO206)</f>
        <v>169</v>
      </c>
      <c r="Q206" s="362" t="str">
        <f>IF(AP206=0,"",AP206)</f>
        <v/>
      </c>
      <c r="R206" s="362">
        <f>IF(AQ206=301,"",AQ206)</f>
        <v>235</v>
      </c>
      <c r="S206" s="362" t="str">
        <f>IF(AR206=0,"",AR206)</f>
        <v/>
      </c>
      <c r="T206" s="362">
        <f>IF(AS206=301,"",AS206)</f>
        <v>216</v>
      </c>
      <c r="U206" s="362" t="str">
        <f>IF(AT206=0,"",AT206)</f>
        <v/>
      </c>
      <c r="V206" s="364"/>
      <c r="W206" s="364"/>
      <c r="AA206" s="91" t="s">
        <v>2</v>
      </c>
      <c r="AB206" s="92"/>
      <c r="AC206" s="366">
        <f>ABS(INDEX(AC:AC,MATCH(AC202,$AA:$AA,0)+8)+INDEX(AC:AC,MATCH(AC202,$AA:$AA,0)+9)+INDEX(AC:AC,MATCH(AC202,$AA:$AA,0)+10))</f>
        <v>187</v>
      </c>
      <c r="AD206" s="367"/>
      <c r="AE206" s="366">
        <f>ABS(INDEX(AE:AE,MATCH(AE202,$AA:$AA,0)+8)+INDEX(AE:AE,MATCH(AE202,$AA:$AA,0)+9)+INDEX(AE:AE,MATCH(AE202,$AA:$AA,0)+10))</f>
        <v>227</v>
      </c>
      <c r="AF206" s="367"/>
      <c r="AG206" s="366">
        <f>ABS(INDEX(AG:AG,MATCH(AG202,$AA:$AA,0)+8)+INDEX(AG:AG,MATCH(AG202,$AA:$AA,0)+9)+INDEX(AG:AG,MATCH(AG202,$AA:$AA,0)+10))</f>
        <v>179</v>
      </c>
      <c r="AH206" s="367"/>
      <c r="AI206" s="366">
        <f>ABS(INDEX(AI:AI,MATCH(AI202,$AA:$AA,0)+8)+INDEX(AI:AI,MATCH(AI202,$AA:$AA,0)+9)+INDEX(AI:AI,MATCH(AI202,$AA:$AA,0)+10))</f>
        <v>162</v>
      </c>
      <c r="AJ206" s="367"/>
      <c r="AK206" s="366">
        <f>ABS(INDEX(AK:AK,MATCH(AK202,$AA:$AA,0)+8)+INDEX(AK:AK,MATCH(AK202,$AA:$AA,0)+9)+INDEX(AK:AK,MATCH(AK202,$AA:$AA,0)+10))</f>
        <v>143</v>
      </c>
      <c r="AL206" s="367"/>
      <c r="AM206" s="366">
        <f>ABS(INDEX(AM:AM,MATCH(AM202,$AA:$AA,0)+8)+INDEX(AM:AM,MATCH(AM202,$AA:$AA,0)+9)+INDEX(AM:AM,MATCH(AM202,$AA:$AA,0)+10))</f>
        <v>160</v>
      </c>
      <c r="AN206" s="367"/>
      <c r="AO206" s="366">
        <f>ABS(INDEX(AO:AO,MATCH(AO202,$AA:$AA,0)+8)+INDEX(AO:AO,MATCH(AO202,$AA:$AA,0)+9)+INDEX(AO:AO,MATCH(AO202,$AA:$AA,0)+10))</f>
        <v>169</v>
      </c>
      <c r="AP206" s="367"/>
      <c r="AQ206" s="366">
        <f>ABS(INDEX(AQ:AQ,MATCH(AQ202,$AA:$AA,0)+8)+INDEX(AQ:AQ,MATCH(AQ202,$AA:$AA,0)+9)+INDEX(AQ:AQ,MATCH(AQ202,$AA:$AA,0)+10))</f>
        <v>235</v>
      </c>
      <c r="AR206" s="367"/>
      <c r="AS206" s="366">
        <f>ABS(INDEX(AS:AS,MATCH(AS202,$AA:$AA,0)+8)+INDEX(AS:AS,MATCH(AS202,$AA:$AA,0)+9)+INDEX(AS:AS,MATCH(AS202,$AA:$AA,0)+10))</f>
        <v>216</v>
      </c>
      <c r="AT206" s="367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4" t="str">
        <f t="shared" si="243"/>
        <v>Spieler 3</v>
      </c>
      <c r="C207" s="375" t="str">
        <f t="shared" si="243"/>
        <v/>
      </c>
      <c r="D207" s="362">
        <f>IF(AC207=301,"",AC207)</f>
        <v>173</v>
      </c>
      <c r="E207" s="362" t="str">
        <f>IF(AD207=0,"",AD207)</f>
        <v/>
      </c>
      <c r="F207" s="362">
        <f>IF(AE207=301,"",AE207)</f>
        <v>234</v>
      </c>
      <c r="G207" s="362" t="str">
        <f>IF(AF207=0,"",AF207)</f>
        <v/>
      </c>
      <c r="H207" s="362">
        <f>IF(AG207=301,"",AG207)</f>
        <v>179</v>
      </c>
      <c r="I207" s="362" t="str">
        <f>IF(AH207=0,"",AH207)</f>
        <v/>
      </c>
      <c r="J207" s="362">
        <f>IF(AI207=301,"",AI207)</f>
        <v>171</v>
      </c>
      <c r="K207" s="362" t="str">
        <f>IF(AJ207=0,"",AJ207)</f>
        <v/>
      </c>
      <c r="L207" s="362">
        <f>IF(AK207=301,"",AK207)</f>
        <v>213</v>
      </c>
      <c r="M207" s="362" t="str">
        <f>IF(AL207=0,"",AL207)</f>
        <v/>
      </c>
      <c r="N207" s="362">
        <f>IF(AM207=301,"",AM207)</f>
        <v>161</v>
      </c>
      <c r="O207" s="362" t="str">
        <f>IF(AN207=0,"",AN207)</f>
        <v/>
      </c>
      <c r="P207" s="362">
        <f>IF(AO207=301,"",AO207)</f>
        <v>149</v>
      </c>
      <c r="Q207" s="362" t="str">
        <f>IF(AP207=0,"",AP207)</f>
        <v/>
      </c>
      <c r="R207" s="362">
        <f>IF(AQ207=301,"",AQ207)</f>
        <v>172</v>
      </c>
      <c r="S207" s="362" t="str">
        <f>IF(AR207=0,"",AR207)</f>
        <v/>
      </c>
      <c r="T207" s="362">
        <f>IF(AS207=301,"",AS207)</f>
        <v>196</v>
      </c>
      <c r="U207" s="362" t="str">
        <f>IF(AT207=0,"",AT207)</f>
        <v/>
      </c>
      <c r="V207" s="364"/>
      <c r="W207" s="364"/>
      <c r="AA207" s="91" t="s">
        <v>3</v>
      </c>
      <c r="AB207" s="92"/>
      <c r="AC207" s="366">
        <f>ABS(INDEX(AC:AC,MATCH(AC202,$AA:$AA,0)+11)+INDEX(AC:AC,MATCH(AC202,$AA:$AA,0)+12)+INDEX(AC:AC,MATCH(AC202,$AA:$AA,0)+13))</f>
        <v>173</v>
      </c>
      <c r="AD207" s="367"/>
      <c r="AE207" s="366">
        <f>ABS(INDEX(AE:AE,MATCH(AE202,$AA:$AA,0)+11)+INDEX(AE:AE,MATCH(AE202,$AA:$AA,0)+12)+INDEX(AE:AE,MATCH(AE202,$AA:$AA,0)+13))</f>
        <v>234</v>
      </c>
      <c r="AF207" s="367"/>
      <c r="AG207" s="366">
        <f>ABS(INDEX(AG:AG,MATCH(AG202,$AA:$AA,0)+11)+INDEX(AG:AG,MATCH(AG202,$AA:$AA,0)+12)+INDEX(AG:AG,MATCH(AG202,$AA:$AA,0)+13))</f>
        <v>179</v>
      </c>
      <c r="AH207" s="367"/>
      <c r="AI207" s="366">
        <f>ABS(INDEX(AI:AI,MATCH(AI202,$AA:$AA,0)+11)+INDEX(AI:AI,MATCH(AI202,$AA:$AA,0)+12)+INDEX(AI:AI,MATCH(AI202,$AA:$AA,0)+13))</f>
        <v>171</v>
      </c>
      <c r="AJ207" s="367"/>
      <c r="AK207" s="366">
        <f>ABS(INDEX(AK:AK,MATCH(AK202,$AA:$AA,0)+11)+INDEX(AK:AK,MATCH(AK202,$AA:$AA,0)+12)+INDEX(AK:AK,MATCH(AK202,$AA:$AA,0)+13))</f>
        <v>213</v>
      </c>
      <c r="AL207" s="367"/>
      <c r="AM207" s="366">
        <f>ABS(INDEX(AM:AM,MATCH(AM202,$AA:$AA,0)+11)+INDEX(AM:AM,MATCH(AM202,$AA:$AA,0)+12)+INDEX(AM:AM,MATCH(AM202,$AA:$AA,0)+13))</f>
        <v>161</v>
      </c>
      <c r="AN207" s="367"/>
      <c r="AO207" s="366">
        <f>ABS(INDEX(AO:AO,MATCH(AO202,$AA:$AA,0)+11)+INDEX(AO:AO,MATCH(AO202,$AA:$AA,0)+12)+INDEX(AO:AO,MATCH(AO202,$AA:$AA,0)+13))</f>
        <v>149</v>
      </c>
      <c r="AP207" s="367"/>
      <c r="AQ207" s="366">
        <f>ABS(INDEX(AQ:AQ,MATCH(AQ202,$AA:$AA,0)+11)+INDEX(AQ:AQ,MATCH(AQ202,$AA:$AA,0)+12)+INDEX(AQ:AQ,MATCH(AQ202,$AA:$AA,0)+13))</f>
        <v>172</v>
      </c>
      <c r="AR207" s="367"/>
      <c r="AS207" s="366">
        <f>ABS(INDEX(AS:AS,MATCH(AS202,$AA:$AA,0)+11)+INDEX(AS:AS,MATCH(AS202,$AA:$AA,0)+12)+INDEX(AS:AS,MATCH(AS202,$AA:$AA,0)+13))</f>
        <v>196</v>
      </c>
      <c r="AT207" s="367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4" t="str">
        <f t="shared" si="243"/>
        <v>Spieler 4</v>
      </c>
      <c r="C208" s="375" t="str">
        <f t="shared" si="243"/>
        <v/>
      </c>
      <c r="D208" s="362">
        <f>IF(AC208=301,"",AC208)</f>
        <v>220</v>
      </c>
      <c r="E208" s="362" t="str">
        <f>IF(AD208=0,"",AD208)</f>
        <v/>
      </c>
      <c r="F208" s="362">
        <f>IF(AE208=301,"",AE208)</f>
        <v>170</v>
      </c>
      <c r="G208" s="362" t="str">
        <f>IF(AF208=0,"",AF208)</f>
        <v/>
      </c>
      <c r="H208" s="362">
        <f>IF(AG208=301,"",AG208)</f>
        <v>189</v>
      </c>
      <c r="I208" s="362" t="str">
        <f>IF(AH208=0,"",AH208)</f>
        <v/>
      </c>
      <c r="J208" s="362">
        <f>IF(AI208=301,"",AI208)</f>
        <v>181</v>
      </c>
      <c r="K208" s="362" t="str">
        <f>IF(AJ208=0,"",AJ208)</f>
        <v/>
      </c>
      <c r="L208" s="362">
        <f>IF(AK208=301,"",AK208)</f>
        <v>219</v>
      </c>
      <c r="M208" s="362" t="str">
        <f>IF(AL208=0,"",AL208)</f>
        <v/>
      </c>
      <c r="N208" s="362">
        <f>IF(AM208=301,"",AM208)</f>
        <v>213</v>
      </c>
      <c r="O208" s="362" t="str">
        <f>IF(AN208=0,"",AN208)</f>
        <v/>
      </c>
      <c r="P208" s="362">
        <f>IF(AO208=301,"",AO208)</f>
        <v>182</v>
      </c>
      <c r="Q208" s="362" t="str">
        <f>IF(AP208=0,"",AP208)</f>
        <v/>
      </c>
      <c r="R208" s="362">
        <f>IF(AQ208=301,"",AQ208)</f>
        <v>157</v>
      </c>
      <c r="S208" s="362" t="str">
        <f>IF(AR208=0,"",AR208)</f>
        <v/>
      </c>
      <c r="T208" s="362">
        <f>IF(AS208=301,"",AS208)</f>
        <v>258</v>
      </c>
      <c r="U208" s="362" t="str">
        <f>IF(AT208=0,"",AT208)</f>
        <v/>
      </c>
      <c r="V208" s="364"/>
      <c r="W208" s="364"/>
      <c r="AA208" s="91" t="s">
        <v>11</v>
      </c>
      <c r="AB208" s="92"/>
      <c r="AC208" s="366">
        <f>ABS(INDEX(AC:AC,MATCH(AC202,$AA:$AA,0)+14)+INDEX(AC:AC,MATCH(AC202,$AA:$AA,0)+15)+INDEX(AC:AC,MATCH(AC202,$AA:$AA,0)+16))</f>
        <v>220</v>
      </c>
      <c r="AD208" s="367"/>
      <c r="AE208" s="366">
        <f>ABS(INDEX(AE:AE,MATCH(AE202,$AA:$AA,0)+14)+INDEX(AE:AE,MATCH(AE202,$AA:$AA,0)+15)+INDEX(AE:AE,MATCH(AE202,$AA:$AA,0)+16))</f>
        <v>170</v>
      </c>
      <c r="AF208" s="367"/>
      <c r="AG208" s="366">
        <f>ABS(INDEX(AG:AG,MATCH(AG202,$AA:$AA,0)+14)+INDEX(AG:AG,MATCH(AG202,$AA:$AA,0)+15)+INDEX(AG:AG,MATCH(AG202,$AA:$AA,0)+16))</f>
        <v>189</v>
      </c>
      <c r="AH208" s="367"/>
      <c r="AI208" s="366">
        <f>ABS(INDEX(AI:AI,MATCH(AI202,$AA:$AA,0)+14)+INDEX(AI:AI,MATCH(AI202,$AA:$AA,0)+15)+INDEX(AI:AI,MATCH(AI202,$AA:$AA,0)+16))</f>
        <v>181</v>
      </c>
      <c r="AJ208" s="367"/>
      <c r="AK208" s="366">
        <f>ABS(INDEX(AK:AK,MATCH(AK202,$AA:$AA,0)+14)+INDEX(AK:AK,MATCH(AK202,$AA:$AA,0)+15)+INDEX(AK:AK,MATCH(AK202,$AA:$AA,0)+16))</f>
        <v>219</v>
      </c>
      <c r="AL208" s="367"/>
      <c r="AM208" s="366">
        <f>ABS(INDEX(AM:AM,MATCH(AM202,$AA:$AA,0)+14)+INDEX(AM:AM,MATCH(AM202,$AA:$AA,0)+15)+INDEX(AM:AM,MATCH(AM202,$AA:$AA,0)+16))</f>
        <v>213</v>
      </c>
      <c r="AN208" s="367"/>
      <c r="AO208" s="366">
        <f>ABS(INDEX(AO:AO,MATCH(AO202,$AA:$AA,0)+14)+INDEX(AO:AO,MATCH(AO202,$AA:$AA,0)+15)+INDEX(AO:AO,MATCH(AO202,$AA:$AA,0)+16))</f>
        <v>182</v>
      </c>
      <c r="AP208" s="367"/>
      <c r="AQ208" s="366">
        <f>ABS(INDEX(AQ:AQ,MATCH(AQ202,$AA:$AA,0)+14)+INDEX(AQ:AQ,MATCH(AQ202,$AA:$AA,0)+15)+INDEX(AQ:AQ,MATCH(AQ202,$AA:$AA,0)+16))</f>
        <v>157</v>
      </c>
      <c r="AR208" s="367"/>
      <c r="AS208" s="366">
        <f>ABS(INDEX(AS:AS,MATCH(AS202,$AA:$AA,0)+14)+INDEX(AS:AS,MATCH(AS202,$AA:$AA,0)+15)+INDEX(AS:AS,MATCH(AS202,$AA:$AA,0)+16))</f>
        <v>258</v>
      </c>
      <c r="AT208" s="367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6" t="str">
        <f t="shared" si="243"/>
        <v>Gesamt</v>
      </c>
      <c r="C209" s="347" t="str">
        <f t="shared" si="243"/>
        <v/>
      </c>
      <c r="D209" s="365">
        <f>IF(AC209=1505,"",AC209)</f>
        <v>761</v>
      </c>
      <c r="E209" s="365" t="str">
        <f>IF(AD209=0,"",AD209)</f>
        <v/>
      </c>
      <c r="F209" s="365">
        <f>IF(AE209=1505,"",AE209)</f>
        <v>846</v>
      </c>
      <c r="G209" s="365" t="str">
        <f>IF(AF209=0,"",AF209)</f>
        <v/>
      </c>
      <c r="H209" s="365">
        <f>IF(AG209=1505,"",AG209)</f>
        <v>683</v>
      </c>
      <c r="I209" s="365" t="str">
        <f>IF(AH209=0,"",AH209)</f>
        <v/>
      </c>
      <c r="J209" s="365">
        <f>IF(AI209=1505,"",AI209)</f>
        <v>665</v>
      </c>
      <c r="K209" s="365" t="str">
        <f>IF(AJ209=0,"",AJ209)</f>
        <v/>
      </c>
      <c r="L209" s="365">
        <f>IF(AK209=1505,"",AK209)</f>
        <v>721</v>
      </c>
      <c r="M209" s="365" t="str">
        <f>IF(AL209=0,"",AL209)</f>
        <v/>
      </c>
      <c r="N209" s="365">
        <f>IF(AM209=1505,"",AM209)</f>
        <v>745</v>
      </c>
      <c r="O209" s="365" t="str">
        <f>IF(AN209=0,"",AN209)</f>
        <v/>
      </c>
      <c r="P209" s="365">
        <f>IF(AO209=1505,"",AO209)</f>
        <v>744</v>
      </c>
      <c r="Q209" s="365" t="str">
        <f>IF(AP209=0,"",AP209)</f>
        <v/>
      </c>
      <c r="R209" s="365">
        <f>IF(AQ209=1505,"",AQ209)</f>
        <v>764</v>
      </c>
      <c r="S209" s="365" t="str">
        <f>IF(AR209=0,"",AR209)</f>
        <v/>
      </c>
      <c r="T209" s="365">
        <f>IF(AS209=1505,"",AS209)</f>
        <v>872</v>
      </c>
      <c r="U209" s="365" t="str">
        <f>IF(AT209=0,"",AT209)</f>
        <v/>
      </c>
      <c r="V209" s="301"/>
      <c r="W209" s="301"/>
      <c r="AA209" s="93" t="s">
        <v>1799</v>
      </c>
      <c r="AB209" s="94"/>
      <c r="AC209" s="346">
        <f>SUM(AC205:AC208)</f>
        <v>761</v>
      </c>
      <c r="AD209" s="347"/>
      <c r="AE209" s="346">
        <f>SUM(AE205:AE208)</f>
        <v>846</v>
      </c>
      <c r="AF209" s="347"/>
      <c r="AG209" s="346">
        <f>SUM(AG205:AG208)</f>
        <v>683</v>
      </c>
      <c r="AH209" s="347"/>
      <c r="AI209" s="346">
        <f>SUM(AI205:AI208)</f>
        <v>665</v>
      </c>
      <c r="AJ209" s="347"/>
      <c r="AK209" s="346">
        <f>SUM(AK205:AK208)</f>
        <v>721</v>
      </c>
      <c r="AL209" s="347"/>
      <c r="AM209" s="346">
        <f>SUM(AM205:AM208)</f>
        <v>745</v>
      </c>
      <c r="AN209" s="347"/>
      <c r="AO209" s="346">
        <f>SUM(AO205:AO208)</f>
        <v>744</v>
      </c>
      <c r="AP209" s="347"/>
      <c r="AQ209" s="346">
        <f>SUM(AQ205:AQ208)</f>
        <v>764</v>
      </c>
      <c r="AR209" s="347"/>
      <c r="AS209" s="346">
        <f>SUM(AS205:AS208)</f>
        <v>872</v>
      </c>
      <c r="AT209" s="347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5" t="str">
        <f>AE211</f>
        <v>Bayernliga Herren</v>
      </c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48"/>
      <c r="S211" s="49" t="s">
        <v>1794</v>
      </c>
      <c r="T211" s="50"/>
      <c r="U211" s="341" t="str">
        <f>AT211</f>
        <v>02.11./03.11.</v>
      </c>
      <c r="V211" s="342"/>
      <c r="W211" s="343"/>
      <c r="X211" s="372"/>
      <c r="Y211" s="373"/>
      <c r="Z211" s="373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41" t="str">
        <f>VLOOKUP(AS212,Spielorte!$A$1:$C$6,2)</f>
        <v>02.11./03.11.</v>
      </c>
      <c r="AU211" s="342"/>
      <c r="AV211" s="34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4" t="str">
        <f>AE212</f>
        <v>Nürnberg West Bowling</v>
      </c>
      <c r="G212" s="344"/>
      <c r="H212" s="344"/>
      <c r="I212" s="344"/>
      <c r="J212" s="344"/>
      <c r="K212" s="344"/>
      <c r="L212" s="344"/>
      <c r="M212" s="344"/>
      <c r="N212" s="344"/>
      <c r="O212" s="344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6" t="s">
        <v>1800</v>
      </c>
      <c r="E215" s="347"/>
      <c r="F215" s="346" t="s">
        <v>1801</v>
      </c>
      <c r="G215" s="347"/>
      <c r="H215" s="346" t="s">
        <v>1802</v>
      </c>
      <c r="I215" s="347"/>
      <c r="J215" s="346" t="s">
        <v>1803</v>
      </c>
      <c r="K215" s="347"/>
      <c r="L215" s="346" t="s">
        <v>1804</v>
      </c>
      <c r="M215" s="347"/>
      <c r="N215" s="346" t="s">
        <v>1805</v>
      </c>
      <c r="O215" s="347"/>
      <c r="P215" s="346" t="s">
        <v>1806</v>
      </c>
      <c r="Q215" s="347"/>
      <c r="R215" s="346" t="s">
        <v>1807</v>
      </c>
      <c r="S215" s="347"/>
      <c r="T215" s="346" t="s">
        <v>1808</v>
      </c>
      <c r="U215" s="347"/>
      <c r="V215" s="354" t="s">
        <v>1799</v>
      </c>
      <c r="W215" s="355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6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153</v>
      </c>
      <c r="E217" s="348">
        <f>IF(AD217="","",AD217)</f>
        <v>0</v>
      </c>
      <c r="F217" s="75">
        <f t="shared" ref="F217:F230" si="244">IF(AE217=0,"",AE217)</f>
        <v>215</v>
      </c>
      <c r="G217" s="348">
        <f>IF(AF217="","",AF217)</f>
        <v>1</v>
      </c>
      <c r="H217" s="75">
        <f t="shared" ref="H217:H230" si="245">IF(AG217=0,"",AG217)</f>
        <v>164</v>
      </c>
      <c r="I217" s="348">
        <f>IF(AH217="","",AH217)</f>
        <v>1</v>
      </c>
      <c r="J217" s="75">
        <f t="shared" ref="J217:J230" si="246">IF(AI217=0,"",AI217)</f>
        <v>187</v>
      </c>
      <c r="K217" s="348">
        <f>IF(AJ217="","",AJ217)</f>
        <v>1</v>
      </c>
      <c r="L217" s="75">
        <f t="shared" ref="L217:L230" si="247">IF(AK217=0,"",AK217)</f>
        <v>201</v>
      </c>
      <c r="M217" s="348">
        <f>IF(AL217="","",AL217)</f>
        <v>0</v>
      </c>
      <c r="N217" s="75">
        <f>IF(AM217=0,"",AM217)</f>
        <v>179</v>
      </c>
      <c r="O217" s="348">
        <f>IF(AN217="","",AN217)</f>
        <v>0</v>
      </c>
      <c r="P217" s="75">
        <f t="shared" ref="P217:P230" si="248">IF(AO217=0,"",AO217)</f>
        <v>198</v>
      </c>
      <c r="Q217" s="348">
        <f>IF(AP217="","",AP217)</f>
        <v>1</v>
      </c>
      <c r="R217" s="75">
        <f t="shared" ref="R217:R230" si="249">IF(AQ217=0,"",AQ217)</f>
        <v>147</v>
      </c>
      <c r="S217" s="348">
        <f>IF(AR217="","",AR217)</f>
        <v>0</v>
      </c>
      <c r="T217" s="75" t="str">
        <f t="shared" ref="T217:T230" si="250">IF(AS217=0,"",AS217)</f>
        <v/>
      </c>
      <c r="U217" s="348">
        <f>IF(AT217="","",AT217)</f>
        <v>0</v>
      </c>
      <c r="V217" s="75">
        <f t="shared" ref="V217:V230" si="251">IF(AU217=0,"",AU217)</f>
        <v>1444</v>
      </c>
      <c r="W217" s="348">
        <f>IF(AV217="","",AV217)</f>
        <v>4</v>
      </c>
      <c r="Z217" s="351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153</v>
      </c>
      <c r="AD217" s="109">
        <f>IF(SUM(AC217:AC219)+AC235=0,0,IF(SUM(AC217:AC219)=AC235,0.5,IF(SUM(AC217:AC219)&gt;AC235,1,0)))</f>
        <v>0</v>
      </c>
      <c r="AE217" s="185">
        <v>215</v>
      </c>
      <c r="AF217" s="109">
        <f>IF(SUM(AE217:AE219)+AE235=0,0,IF(SUM(AE217:AE219)=AE235,0.5,IF(SUM(AE217:AE219)&gt;AE235,1,0)))</f>
        <v>1</v>
      </c>
      <c r="AG217" s="185">
        <v>164</v>
      </c>
      <c r="AH217" s="109">
        <f>IF(SUM(AG217:AG219)+AG235=0,0,IF(SUM(AG217:AG219)=AG235,0.5,IF(SUM(AG217:AG219)&gt;AG235,1,0)))</f>
        <v>1</v>
      </c>
      <c r="AI217" s="185">
        <v>187</v>
      </c>
      <c r="AJ217" s="109">
        <f>IF(SUM(AI217:AI219)+AI235=0,0,IF(SUM(AI217:AI219)=AI235,0.5,IF(SUM(AI217:AI219)&gt;AI235,1,0)))</f>
        <v>1</v>
      </c>
      <c r="AK217" s="185">
        <v>201</v>
      </c>
      <c r="AL217" s="109">
        <f>IF(SUM(AK217:AK219)+AK235=0,0,IF(SUM(AK217:AK219)=AK235,0.5,IF(SUM(AK217:AK219)&gt;AK235,1,0)))</f>
        <v>0</v>
      </c>
      <c r="AM217" s="185">
        <v>179</v>
      </c>
      <c r="AN217" s="109">
        <f>IF(SUM(AM217:AM219)+AM235=0,0,IF(SUM(AM217:AM219)=AM235,0.5,IF(SUM(AM217:AM219)&gt;AM235,1,0)))</f>
        <v>0</v>
      </c>
      <c r="AO217" s="185">
        <v>198</v>
      </c>
      <c r="AP217" s="109">
        <f>IF(SUM(AO217:AO219)+AO235=0,0,IF(SUM(AO217:AO219)=AO235,0.5,IF(SUM(AO217:AO219)&gt;AO235,1,0)))</f>
        <v>1</v>
      </c>
      <c r="AQ217" s="185">
        <v>147</v>
      </c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1444</v>
      </c>
      <c r="AV217" s="111">
        <f>SUM(AD217+AF217+AH217+AJ217+AL217+AN217+AP217+AR217+AT217)</f>
        <v>4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1444</v>
      </c>
      <c r="BF217" s="215">
        <f>COUNT(BH217:BP217)</f>
        <v>8</v>
      </c>
      <c r="BG217" s="215">
        <f>COUNTIF(BH217:BP217,"&gt;0")</f>
        <v>8</v>
      </c>
      <c r="BH217" s="215">
        <f t="shared" ref="BH217:BH228" si="253">IF(AC217=0,"",AC217)</f>
        <v>153</v>
      </c>
      <c r="BI217" s="215">
        <f t="shared" ref="BI217:BI228" si="254">IF(AE217=0,"",AE217)</f>
        <v>215</v>
      </c>
      <c r="BJ217" s="215">
        <f t="shared" ref="BJ217:BJ228" si="255">IF(AG217=0,"",AG217)</f>
        <v>164</v>
      </c>
      <c r="BK217" s="215">
        <f t="shared" ref="BK217:BK228" si="256">IF(AI217=0,"",AI217)</f>
        <v>187</v>
      </c>
      <c r="BL217" s="215">
        <f t="shared" ref="BL217:BL228" si="257">IF(AK217=0,"",AK217)</f>
        <v>201</v>
      </c>
      <c r="BM217" s="215">
        <f t="shared" ref="BM217:BM228" si="258">IF(AM217=0,"",AM217)</f>
        <v>179</v>
      </c>
      <c r="BN217" s="215">
        <f t="shared" ref="BN217:BN228" si="259">IF(AO217=0,"",AO217)</f>
        <v>198</v>
      </c>
      <c r="BO217" s="215">
        <f t="shared" ref="BO217:BO228" si="260">IF(AQ217=0,"",AQ217)</f>
        <v>147</v>
      </c>
      <c r="BP217" s="215" t="str">
        <f t="shared" ref="BP217:BP228" si="261">IF(AS217=0,"",AS217)</f>
        <v/>
      </c>
      <c r="BQ217" s="216"/>
      <c r="BR217" s="214"/>
      <c r="BS217" s="215">
        <f>MAX(BH217:BP217)</f>
        <v>215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1444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77"/>
      <c r="B218" s="76" t="str">
        <f t="shared" ref="B218:D230" si="263">IF(AA218=0,"",AA218)</f>
        <v>Blasits, Ernst</v>
      </c>
      <c r="C218" s="77">
        <f t="shared" si="263"/>
        <v>25554</v>
      </c>
      <c r="D218" s="78" t="str">
        <f t="shared" si="263"/>
        <v/>
      </c>
      <c r="E218" s="349"/>
      <c r="F218" s="78" t="str">
        <f t="shared" si="244"/>
        <v/>
      </c>
      <c r="G218" s="349"/>
      <c r="H218" s="78" t="str">
        <f t="shared" si="245"/>
        <v/>
      </c>
      <c r="I218" s="349"/>
      <c r="J218" s="78" t="str">
        <f t="shared" si="246"/>
        <v/>
      </c>
      <c r="K218" s="349"/>
      <c r="L218" s="78" t="str">
        <f t="shared" si="247"/>
        <v/>
      </c>
      <c r="M218" s="349"/>
      <c r="N218" s="78" t="str">
        <f t="shared" ref="N218:N230" si="264">IF(AM218=0,"",AM218)</f>
        <v/>
      </c>
      <c r="O218" s="349"/>
      <c r="P218" s="78" t="str">
        <f t="shared" si="248"/>
        <v/>
      </c>
      <c r="Q218" s="349"/>
      <c r="R218" s="78" t="str">
        <f t="shared" si="249"/>
        <v/>
      </c>
      <c r="S218" s="349"/>
      <c r="T218" s="78">
        <f t="shared" si="250"/>
        <v>182</v>
      </c>
      <c r="U218" s="349"/>
      <c r="V218" s="78">
        <f t="shared" si="251"/>
        <v>182</v>
      </c>
      <c r="W218" s="349"/>
      <c r="Z218" s="352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>
        <v>182</v>
      </c>
      <c r="AT218" s="112"/>
      <c r="AU218" s="113">
        <f t="shared" si="252"/>
        <v>182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25554</v>
      </c>
      <c r="BE218" s="213">
        <f t="shared" ref="BE218:BE228" si="266">+AU218</f>
        <v>182</v>
      </c>
      <c r="BF218" s="215">
        <f t="shared" ref="BF218:BF228" si="267">COUNT(BH218:BP218)</f>
        <v>1</v>
      </c>
      <c r="BG218" s="215">
        <f t="shared" ref="BG218:BG228" si="268">COUNTIF(BH218:BP218,"&gt;0")</f>
        <v>1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>
        <f t="shared" si="261"/>
        <v>182</v>
      </c>
      <c r="BQ218" s="216"/>
      <c r="BR218" s="214"/>
      <c r="BS218" s="215">
        <f t="shared" ref="BS218:BS228" si="269">MAX(BH218:BP218)</f>
        <v>182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2</v>
      </c>
      <c r="BW218" s="215">
        <f t="shared" ref="BW218:BW228" si="273">SUMIF(BH218:BP218,"&gt;0")</f>
        <v>182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8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0"/>
      <c r="F219" s="69" t="str">
        <f t="shared" si="244"/>
        <v/>
      </c>
      <c r="G219" s="350"/>
      <c r="H219" s="69" t="str">
        <f t="shared" si="245"/>
        <v/>
      </c>
      <c r="I219" s="350"/>
      <c r="J219" s="69" t="str">
        <f t="shared" si="246"/>
        <v/>
      </c>
      <c r="K219" s="350"/>
      <c r="L219" s="69" t="str">
        <f t="shared" si="247"/>
        <v/>
      </c>
      <c r="M219" s="350"/>
      <c r="N219" s="69" t="str">
        <f t="shared" si="264"/>
        <v/>
      </c>
      <c r="O219" s="350"/>
      <c r="P219" s="69" t="str">
        <f t="shared" si="248"/>
        <v/>
      </c>
      <c r="Q219" s="350"/>
      <c r="R219" s="69" t="str">
        <f t="shared" si="249"/>
        <v/>
      </c>
      <c r="S219" s="350"/>
      <c r="T219" s="69" t="str">
        <f t="shared" si="250"/>
        <v/>
      </c>
      <c r="U219" s="350"/>
      <c r="V219" s="69" t="str">
        <f t="shared" si="251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76" t="s">
        <v>2</v>
      </c>
      <c r="B220" s="73" t="str">
        <f t="shared" si="263"/>
        <v>Richter, Benjamin</v>
      </c>
      <c r="C220" s="74">
        <f t="shared" si="263"/>
        <v>41008</v>
      </c>
      <c r="D220" s="75">
        <f t="shared" si="263"/>
        <v>169</v>
      </c>
      <c r="E220" s="348">
        <f>IF(AD220="","",AD220)</f>
        <v>0</v>
      </c>
      <c r="F220" s="75">
        <f t="shared" si="244"/>
        <v>227</v>
      </c>
      <c r="G220" s="348">
        <f>IF(AF220="","",AF220)</f>
        <v>1</v>
      </c>
      <c r="H220" s="75">
        <f t="shared" si="245"/>
        <v>172</v>
      </c>
      <c r="I220" s="348">
        <f>IF(AH220="","",AH220)</f>
        <v>1</v>
      </c>
      <c r="J220" s="75">
        <f t="shared" si="246"/>
        <v>215</v>
      </c>
      <c r="K220" s="348">
        <f>IF(AJ220="","",AJ220)</f>
        <v>1</v>
      </c>
      <c r="L220" s="75">
        <f t="shared" si="247"/>
        <v>162</v>
      </c>
      <c r="M220" s="348">
        <f>IF(AL220="","",AL220)</f>
        <v>0</v>
      </c>
      <c r="N220" s="75" t="str">
        <f t="shared" si="264"/>
        <v/>
      </c>
      <c r="O220" s="348">
        <f>IF(AN220="","",AN220)</f>
        <v>1</v>
      </c>
      <c r="P220" s="75" t="str">
        <f t="shared" si="248"/>
        <v/>
      </c>
      <c r="Q220" s="348">
        <f>IF(AP220="","",AP220)</f>
        <v>0</v>
      </c>
      <c r="R220" s="75">
        <f t="shared" si="249"/>
        <v>156</v>
      </c>
      <c r="S220" s="348">
        <f>IF(AR220="","",AR220)</f>
        <v>0</v>
      </c>
      <c r="T220" s="75">
        <f t="shared" si="250"/>
        <v>207</v>
      </c>
      <c r="U220" s="348">
        <f>IF(AT220="","",AT220)</f>
        <v>1</v>
      </c>
      <c r="V220" s="75">
        <f t="shared" si="251"/>
        <v>1308</v>
      </c>
      <c r="W220" s="348">
        <f>IF(AV220="","",AV220)</f>
        <v>5</v>
      </c>
      <c r="Z220" s="351" t="s">
        <v>2</v>
      </c>
      <c r="AA220" s="108" t="str">
        <f>IF(AB220=0,"",VLOOKUP(AB220,Starter!$A$1:$D$199,2,FALSE))</f>
        <v>Richter, Benjamin</v>
      </c>
      <c r="AB220" s="99">
        <v>41008</v>
      </c>
      <c r="AC220" s="188">
        <v>169</v>
      </c>
      <c r="AD220" s="109">
        <f>IF(SUM(AC220:AC222)+AC236=0,0,IF(SUM(AC220:AC222)=AC236,0.5,IF(SUM(AC220:AC222)&gt;AC236,1,0)))</f>
        <v>0</v>
      </c>
      <c r="AE220" s="188">
        <v>227</v>
      </c>
      <c r="AF220" s="109">
        <f>IF(SUM(AE220:AE222)+AE236=0,0,IF(SUM(AE220:AE222)=AE236,0.5,IF(SUM(AE220:AE222)&gt;AE236,1,0)))</f>
        <v>1</v>
      </c>
      <c r="AG220" s="188">
        <v>172</v>
      </c>
      <c r="AH220" s="109">
        <f>IF(SUM(AG220:AG222)+AG236=0,0,IF(SUM(AG220:AG222)=AG236,0.5,IF(SUM(AG220:AG222)&gt;AG236,1,0)))</f>
        <v>1</v>
      </c>
      <c r="AI220" s="188">
        <v>215</v>
      </c>
      <c r="AJ220" s="109">
        <f>IF(SUM(AI220:AI222)+AI236=0,0,IF(SUM(AI220:AI222)=AI236,0.5,IF(SUM(AI220:AI222)&gt;AI236,1,0)))</f>
        <v>1</v>
      </c>
      <c r="AK220" s="188">
        <v>162</v>
      </c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>
        <v>156</v>
      </c>
      <c r="AR220" s="109">
        <f>IF(SUM(AQ220:AQ222)+AQ236=0,0,IF(SUM(AQ220:AQ222)=AQ236,0.5,IF(SUM(AQ220:AQ222)&gt;AQ236,1,0)))</f>
        <v>0</v>
      </c>
      <c r="AS220" s="188">
        <v>207</v>
      </c>
      <c r="AT220" s="109">
        <f>IF(SUM(AS220:AS222)+AS236=0,0,IF(SUM(AS220:AS222)=AS236,0.5,IF(SUM(AS220:AS222)&gt;AS236,1,0)))</f>
        <v>1</v>
      </c>
      <c r="AU220" s="110">
        <f t="shared" si="252"/>
        <v>1308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41008</v>
      </c>
      <c r="BE220" s="213">
        <f t="shared" si="266"/>
        <v>1308</v>
      </c>
      <c r="BF220" s="215">
        <f t="shared" si="267"/>
        <v>7</v>
      </c>
      <c r="BG220" s="215">
        <f t="shared" si="268"/>
        <v>7</v>
      </c>
      <c r="BH220" s="215">
        <f t="shared" si="253"/>
        <v>169</v>
      </c>
      <c r="BI220" s="215">
        <f t="shared" si="254"/>
        <v>227</v>
      </c>
      <c r="BJ220" s="215">
        <f t="shared" si="255"/>
        <v>172</v>
      </c>
      <c r="BK220" s="215">
        <f t="shared" si="256"/>
        <v>215</v>
      </c>
      <c r="BL220" s="215">
        <f t="shared" si="257"/>
        <v>162</v>
      </c>
      <c r="BM220" s="215" t="str">
        <f t="shared" si="258"/>
        <v/>
      </c>
      <c r="BN220" s="215" t="str">
        <f t="shared" si="259"/>
        <v/>
      </c>
      <c r="BO220" s="215">
        <f t="shared" si="260"/>
        <v>156</v>
      </c>
      <c r="BP220" s="215">
        <f t="shared" si="261"/>
        <v>207</v>
      </c>
      <c r="BQ220" s="216"/>
      <c r="BR220" s="214"/>
      <c r="BS220" s="215">
        <f t="shared" si="269"/>
        <v>227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2</v>
      </c>
      <c r="BW220" s="215">
        <f t="shared" si="273"/>
        <v>1308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77"/>
      <c r="B221" s="76" t="str">
        <f t="shared" si="263"/>
        <v>Blasits, Ernst</v>
      </c>
      <c r="C221" s="77">
        <f t="shared" si="263"/>
        <v>25554</v>
      </c>
      <c r="D221" s="78" t="str">
        <f t="shared" si="263"/>
        <v/>
      </c>
      <c r="E221" s="349"/>
      <c r="F221" s="78" t="str">
        <f t="shared" si="244"/>
        <v/>
      </c>
      <c r="G221" s="349"/>
      <c r="H221" s="78" t="str">
        <f t="shared" si="245"/>
        <v/>
      </c>
      <c r="I221" s="349"/>
      <c r="J221" s="78" t="str">
        <f t="shared" si="246"/>
        <v/>
      </c>
      <c r="K221" s="349"/>
      <c r="L221" s="78" t="str">
        <f t="shared" si="247"/>
        <v/>
      </c>
      <c r="M221" s="349"/>
      <c r="N221" s="78">
        <f t="shared" si="264"/>
        <v>188</v>
      </c>
      <c r="O221" s="349"/>
      <c r="P221" s="78">
        <f t="shared" si="248"/>
        <v>146</v>
      </c>
      <c r="Q221" s="349"/>
      <c r="R221" s="78" t="str">
        <f t="shared" si="249"/>
        <v/>
      </c>
      <c r="S221" s="349"/>
      <c r="T221" s="78" t="str">
        <f t="shared" si="250"/>
        <v/>
      </c>
      <c r="U221" s="349"/>
      <c r="V221" s="78">
        <f t="shared" si="251"/>
        <v>334</v>
      </c>
      <c r="W221" s="349"/>
      <c r="Z221" s="352"/>
      <c r="AA221" s="108" t="str">
        <f>IF(AB221=0,"",VLOOKUP(AB221,Starter!$A$1:$D$199,2,FALSE))</f>
        <v>Blasits, Ernst</v>
      </c>
      <c r="AB221" s="98">
        <v>25554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>
        <v>188</v>
      </c>
      <c r="AN221" s="112"/>
      <c r="AO221" s="190">
        <v>146</v>
      </c>
      <c r="AP221" s="112"/>
      <c r="AQ221" s="190"/>
      <c r="AR221" s="112"/>
      <c r="AS221" s="190"/>
      <c r="AT221" s="112"/>
      <c r="AU221" s="113">
        <f t="shared" si="252"/>
        <v>334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25554</v>
      </c>
      <c r="BE221" s="213">
        <f t="shared" si="266"/>
        <v>334</v>
      </c>
      <c r="BF221" s="215">
        <f t="shared" si="267"/>
        <v>2</v>
      </c>
      <c r="BG221" s="215">
        <f t="shared" si="268"/>
        <v>2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>
        <f t="shared" si="258"/>
        <v>188</v>
      </c>
      <c r="BN221" s="215">
        <f t="shared" si="259"/>
        <v>146</v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188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2</v>
      </c>
      <c r="BW221" s="215">
        <f t="shared" si="273"/>
        <v>334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8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0"/>
      <c r="F222" s="69" t="str">
        <f t="shared" si="244"/>
        <v/>
      </c>
      <c r="G222" s="350"/>
      <c r="H222" s="69" t="str">
        <f t="shared" si="245"/>
        <v/>
      </c>
      <c r="I222" s="350"/>
      <c r="J222" s="69" t="str">
        <f t="shared" si="246"/>
        <v/>
      </c>
      <c r="K222" s="350"/>
      <c r="L222" s="69" t="str">
        <f t="shared" si="247"/>
        <v/>
      </c>
      <c r="M222" s="350"/>
      <c r="N222" s="69" t="str">
        <f t="shared" si="264"/>
        <v/>
      </c>
      <c r="O222" s="350"/>
      <c r="P222" s="69" t="str">
        <f t="shared" si="248"/>
        <v/>
      </c>
      <c r="Q222" s="350"/>
      <c r="R222" s="69" t="str">
        <f t="shared" si="249"/>
        <v/>
      </c>
      <c r="S222" s="350"/>
      <c r="T222" s="69" t="str">
        <f t="shared" si="250"/>
        <v/>
      </c>
      <c r="U222" s="350"/>
      <c r="V222" s="69" t="str">
        <f t="shared" si="251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76" t="s">
        <v>3</v>
      </c>
      <c r="B223" s="73" t="str">
        <f t="shared" si="263"/>
        <v>Pirzer, Robert</v>
      </c>
      <c r="C223" s="74">
        <f t="shared" si="263"/>
        <v>7428</v>
      </c>
      <c r="D223" s="75">
        <f t="shared" si="263"/>
        <v>236</v>
      </c>
      <c r="E223" s="348">
        <f>IF(AD223="","",AD223)</f>
        <v>0</v>
      </c>
      <c r="F223" s="75">
        <f t="shared" si="244"/>
        <v>234</v>
      </c>
      <c r="G223" s="348">
        <f>IF(AF223="","",AF223)</f>
        <v>1</v>
      </c>
      <c r="H223" s="75">
        <f t="shared" si="245"/>
        <v>218</v>
      </c>
      <c r="I223" s="348">
        <f>IF(AH223="","",AH223)</f>
        <v>1</v>
      </c>
      <c r="J223" s="75">
        <f t="shared" si="246"/>
        <v>213</v>
      </c>
      <c r="K223" s="348">
        <f>IF(AJ223="","",AJ223)</f>
        <v>1</v>
      </c>
      <c r="L223" s="75">
        <f t="shared" si="247"/>
        <v>218</v>
      </c>
      <c r="M223" s="348">
        <f>IF(AL223="","",AL223)</f>
        <v>1</v>
      </c>
      <c r="N223" s="75">
        <f t="shared" si="264"/>
        <v>192</v>
      </c>
      <c r="O223" s="348">
        <f>IF(AN223="","",AN223)</f>
        <v>1</v>
      </c>
      <c r="P223" s="75">
        <f t="shared" si="248"/>
        <v>172</v>
      </c>
      <c r="Q223" s="348">
        <f>IF(AP223="","",AP223)</f>
        <v>0</v>
      </c>
      <c r="R223" s="75">
        <f t="shared" si="249"/>
        <v>206</v>
      </c>
      <c r="S223" s="348">
        <f>IF(AR223="","",AR223)</f>
        <v>1</v>
      </c>
      <c r="T223" s="75">
        <f t="shared" si="250"/>
        <v>184</v>
      </c>
      <c r="U223" s="348">
        <f>IF(AT223="","",AT223)</f>
        <v>0</v>
      </c>
      <c r="V223" s="75">
        <f t="shared" si="251"/>
        <v>1873</v>
      </c>
      <c r="W223" s="348">
        <f>IF(AV223="","",AV223)</f>
        <v>6</v>
      </c>
      <c r="Z223" s="351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236</v>
      </c>
      <c r="AD223" s="109">
        <f>IF(SUM(AC223:AC225)+AC237=0,0,IF(SUM(AC223:AC225)=AC237,0.5,IF(SUM(AC223:AC225)&gt;AC237,1,0)))</f>
        <v>0</v>
      </c>
      <c r="AE223" s="188">
        <v>234</v>
      </c>
      <c r="AF223" s="109">
        <f>IF(SUM(AE223:AE225)+AE237=0,0,IF(SUM(AE223:AE225)=AE237,0.5,IF(SUM(AE223:AE225)&gt;AE237,1,0)))</f>
        <v>1</v>
      </c>
      <c r="AG223" s="188">
        <v>218</v>
      </c>
      <c r="AH223" s="109">
        <f>IF(SUM(AG223:AG225)+AG237=0,0,IF(SUM(AG223:AG225)=AG237,0.5,IF(SUM(AG223:AG225)&gt;AG237,1,0)))</f>
        <v>1</v>
      </c>
      <c r="AI223" s="188">
        <v>213</v>
      </c>
      <c r="AJ223" s="109">
        <f>IF(SUM(AI223:AI225)+AI237=0,0,IF(SUM(AI223:AI225)=AI237,0.5,IF(SUM(AI223:AI225)&gt;AI237,1,0)))</f>
        <v>1</v>
      </c>
      <c r="AK223" s="188">
        <v>218</v>
      </c>
      <c r="AL223" s="109">
        <f>IF(SUM(AK223:AK225)+AK237=0,0,IF(SUM(AK223:AK225)=AK237,0.5,IF(SUM(AK223:AK225)&gt;AK237,1,0)))</f>
        <v>1</v>
      </c>
      <c r="AM223" s="188">
        <v>192</v>
      </c>
      <c r="AN223" s="109">
        <f>IF(SUM(AM223:AM225)+AM237=0,0,IF(SUM(AM223:AM225)=AM237,0.5,IF(SUM(AM223:AM225)&gt;AM237,1,0)))</f>
        <v>1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206</v>
      </c>
      <c r="AR223" s="109">
        <f>IF(SUM(AQ223:AQ225)+AQ237=0,0,IF(SUM(AQ223:AQ225)=AQ237,0.5,IF(SUM(AQ223:AQ225)&gt;AQ237,1,0)))</f>
        <v>1</v>
      </c>
      <c r="AS223" s="188">
        <v>184</v>
      </c>
      <c r="AT223" s="109">
        <f>IF(SUM(AS223:AS225)+AS237=0,0,IF(SUM(AS223:AS225)=AS237,0.5,IF(SUM(AS223:AS225)&gt;AS237,1,0)))</f>
        <v>0</v>
      </c>
      <c r="AU223" s="110">
        <f t="shared" si="252"/>
        <v>1873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5"/>
        <v>7428</v>
      </c>
      <c r="BE223" s="213">
        <f t="shared" si="266"/>
        <v>1873</v>
      </c>
      <c r="BF223" s="215">
        <f t="shared" si="267"/>
        <v>9</v>
      </c>
      <c r="BG223" s="215">
        <f t="shared" si="268"/>
        <v>9</v>
      </c>
      <c r="BH223" s="215">
        <f t="shared" si="253"/>
        <v>236</v>
      </c>
      <c r="BI223" s="215">
        <f t="shared" si="254"/>
        <v>234</v>
      </c>
      <c r="BJ223" s="215">
        <f t="shared" si="255"/>
        <v>218</v>
      </c>
      <c r="BK223" s="215">
        <f t="shared" si="256"/>
        <v>213</v>
      </c>
      <c r="BL223" s="215">
        <f t="shared" si="257"/>
        <v>218</v>
      </c>
      <c r="BM223" s="215">
        <f t="shared" si="258"/>
        <v>192</v>
      </c>
      <c r="BN223" s="215">
        <f t="shared" si="259"/>
        <v>172</v>
      </c>
      <c r="BO223" s="215">
        <f t="shared" si="260"/>
        <v>206</v>
      </c>
      <c r="BP223" s="215">
        <f t="shared" si="261"/>
        <v>184</v>
      </c>
      <c r="BQ223" s="216"/>
      <c r="BR223" s="214"/>
      <c r="BS223" s="215">
        <f t="shared" si="269"/>
        <v>236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2</v>
      </c>
      <c r="BW223" s="215">
        <f t="shared" si="273"/>
        <v>1873</v>
      </c>
      <c r="BX223" s="215">
        <f>IF(COUNTIF(BH223:BP223,"&gt;0")&lt;Spielorte!$A$23,0,BE223/Spielorte!$A$23)</f>
        <v>208.11111111111111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77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9"/>
      <c r="F224" s="78" t="str">
        <f t="shared" si="244"/>
        <v/>
      </c>
      <c r="G224" s="349"/>
      <c r="H224" s="78" t="str">
        <f t="shared" si="245"/>
        <v/>
      </c>
      <c r="I224" s="349"/>
      <c r="J224" s="78" t="str">
        <f t="shared" si="246"/>
        <v/>
      </c>
      <c r="K224" s="349"/>
      <c r="L224" s="78" t="str">
        <f t="shared" si="247"/>
        <v/>
      </c>
      <c r="M224" s="349"/>
      <c r="N224" s="78" t="str">
        <f t="shared" si="264"/>
        <v/>
      </c>
      <c r="O224" s="349"/>
      <c r="P224" s="78" t="str">
        <f t="shared" si="248"/>
        <v/>
      </c>
      <c r="Q224" s="349"/>
      <c r="R224" s="78" t="str">
        <f t="shared" si="249"/>
        <v/>
      </c>
      <c r="S224" s="349"/>
      <c r="T224" s="78" t="str">
        <f t="shared" si="250"/>
        <v/>
      </c>
      <c r="U224" s="349"/>
      <c r="V224" s="78" t="str">
        <f t="shared" si="251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2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8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0"/>
      <c r="F225" s="69" t="str">
        <f t="shared" si="244"/>
        <v/>
      </c>
      <c r="G225" s="350"/>
      <c r="H225" s="69" t="str">
        <f t="shared" si="245"/>
        <v/>
      </c>
      <c r="I225" s="350"/>
      <c r="J225" s="69" t="str">
        <f t="shared" si="246"/>
        <v/>
      </c>
      <c r="K225" s="350"/>
      <c r="L225" s="69" t="str">
        <f t="shared" si="247"/>
        <v/>
      </c>
      <c r="M225" s="350"/>
      <c r="N225" s="69" t="str">
        <f t="shared" si="264"/>
        <v/>
      </c>
      <c r="O225" s="350"/>
      <c r="P225" s="69" t="str">
        <f t="shared" si="248"/>
        <v/>
      </c>
      <c r="Q225" s="350"/>
      <c r="R225" s="69" t="str">
        <f t="shared" si="249"/>
        <v/>
      </c>
      <c r="S225" s="350"/>
      <c r="T225" s="69" t="str">
        <f t="shared" si="250"/>
        <v/>
      </c>
      <c r="U225" s="350"/>
      <c r="V225" s="69" t="str">
        <f t="shared" si="251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76" t="s">
        <v>11</v>
      </c>
      <c r="B226" s="73" t="str">
        <f>IF(AA226=0,"",AA226)</f>
        <v>Denz, Günter</v>
      </c>
      <c r="C226" s="74">
        <f t="shared" si="263"/>
        <v>16398</v>
      </c>
      <c r="D226" s="75">
        <f t="shared" si="263"/>
        <v>170</v>
      </c>
      <c r="E226" s="348">
        <f>IF(AD226="","",AD226)</f>
        <v>0</v>
      </c>
      <c r="F226" s="75">
        <f t="shared" si="244"/>
        <v>170</v>
      </c>
      <c r="G226" s="348">
        <f>IF(AF226="","",AF226)</f>
        <v>0</v>
      </c>
      <c r="H226" s="75" t="str">
        <f t="shared" si="245"/>
        <v/>
      </c>
      <c r="I226" s="348">
        <f>IF(AH226="","",AH226)</f>
        <v>0</v>
      </c>
      <c r="J226" s="75" t="str">
        <f t="shared" si="246"/>
        <v/>
      </c>
      <c r="K226" s="348">
        <f>IF(AJ226="","",AJ226)</f>
        <v>0</v>
      </c>
      <c r="L226" s="75">
        <f t="shared" si="247"/>
        <v>166</v>
      </c>
      <c r="M226" s="348">
        <f>IF(AL226="","",AL226)</f>
        <v>0</v>
      </c>
      <c r="N226" s="75">
        <f t="shared" si="264"/>
        <v>190</v>
      </c>
      <c r="O226" s="348">
        <f>IF(AN226="","",AN226)</f>
        <v>0</v>
      </c>
      <c r="P226" s="75">
        <f t="shared" si="248"/>
        <v>158</v>
      </c>
      <c r="Q226" s="348">
        <f>IF(AP226="","",AP226)</f>
        <v>0</v>
      </c>
      <c r="R226" s="75">
        <f t="shared" si="249"/>
        <v>152</v>
      </c>
      <c r="S226" s="348">
        <f>IF(AR226="","",AR226)</f>
        <v>0</v>
      </c>
      <c r="T226" s="75">
        <f t="shared" si="250"/>
        <v>151</v>
      </c>
      <c r="U226" s="348">
        <f>IF(AT226="","",AT226)</f>
        <v>1</v>
      </c>
      <c r="V226" s="75">
        <f t="shared" si="251"/>
        <v>1157</v>
      </c>
      <c r="W226" s="348">
        <f>IF(AV226="","",AV226)</f>
        <v>1</v>
      </c>
      <c r="Z226" s="351" t="s">
        <v>11</v>
      </c>
      <c r="AA226" s="108" t="str">
        <f>IF(AB226=0,"",VLOOKUP(AB226,Starter!$A$1:$D$199,2,FALSE))</f>
        <v>Denz, Günter</v>
      </c>
      <c r="AB226" s="99">
        <v>16398</v>
      </c>
      <c r="AC226" s="188">
        <v>170</v>
      </c>
      <c r="AD226" s="109">
        <f>IF(SUM(AC226:AC228)+AC238=0,0,IF(SUM(AC226:AC228)=AC238,0.5,IF(SUM(AC226:AC228)&gt;AC238,1,0)))</f>
        <v>0</v>
      </c>
      <c r="AE226" s="188">
        <v>170</v>
      </c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>
        <v>166</v>
      </c>
      <c r="AL226" s="109">
        <f>IF(SUM(AK226:AK228)+AK238=0,0,IF(SUM(AK226:AK228)=AK238,0.5,IF(SUM(AK226:AK228)&gt;AK238,1,0)))</f>
        <v>0</v>
      </c>
      <c r="AM226" s="188">
        <v>190</v>
      </c>
      <c r="AN226" s="109">
        <f>IF(SUM(AM226:AM228)+AM238=0,0,IF(SUM(AM226:AM228)=AM238,0.5,IF(SUM(AM226:AM228)&gt;AM238,1,0)))</f>
        <v>0</v>
      </c>
      <c r="AO226" s="188">
        <v>158</v>
      </c>
      <c r="AP226" s="109">
        <f>IF(SUM(AO226:AO228)+AO238=0,0,IF(SUM(AO226:AO228)=AO238,0.5,IF(SUM(AO226:AO228)&gt;AO238,1,0)))</f>
        <v>0</v>
      </c>
      <c r="AQ226" s="188">
        <v>152</v>
      </c>
      <c r="AR226" s="109">
        <f>IF(SUM(AQ226:AQ228)+AQ238=0,0,IF(SUM(AQ226:AQ228)=AQ238,0.5,IF(SUM(AQ226:AQ228)&gt;AQ238,1,0)))</f>
        <v>0</v>
      </c>
      <c r="AS226" s="188">
        <v>151</v>
      </c>
      <c r="AT226" s="109">
        <f>IF(SUM(AS226:AS228)+AS238=0,0,IF(SUM(AS226:AS228)=AS238,0.5,IF(SUM(AS226:AS228)&gt;AS238,1,0)))</f>
        <v>1</v>
      </c>
      <c r="AU226" s="110">
        <f t="shared" si="252"/>
        <v>1157</v>
      </c>
      <c r="AV226" s="111">
        <f>SUM(AD226+AF226+AH226+AJ226+AL226+AN226+AP226+AR226+AT226)</f>
        <v>1</v>
      </c>
      <c r="AW226" s="101"/>
      <c r="AX226" s="102"/>
      <c r="AZ226" s="63"/>
      <c r="BA226" s="212"/>
      <c r="BB226" s="213"/>
      <c r="BC226" s="214"/>
      <c r="BD226" s="217">
        <f t="shared" si="265"/>
        <v>16398</v>
      </c>
      <c r="BE226" s="213">
        <f t="shared" si="266"/>
        <v>1157</v>
      </c>
      <c r="BF226" s="215">
        <f t="shared" si="267"/>
        <v>7</v>
      </c>
      <c r="BG226" s="215">
        <f t="shared" si="268"/>
        <v>7</v>
      </c>
      <c r="BH226" s="215">
        <f t="shared" si="253"/>
        <v>170</v>
      </c>
      <c r="BI226" s="215">
        <f t="shared" si="254"/>
        <v>170</v>
      </c>
      <c r="BJ226" s="215" t="str">
        <f t="shared" si="255"/>
        <v/>
      </c>
      <c r="BK226" s="215" t="str">
        <f t="shared" si="256"/>
        <v/>
      </c>
      <c r="BL226" s="215">
        <f t="shared" si="257"/>
        <v>166</v>
      </c>
      <c r="BM226" s="215">
        <f t="shared" si="258"/>
        <v>190</v>
      </c>
      <c r="BN226" s="215">
        <f t="shared" si="259"/>
        <v>158</v>
      </c>
      <c r="BO226" s="215">
        <f t="shared" si="260"/>
        <v>152</v>
      </c>
      <c r="BP226" s="215">
        <f t="shared" si="261"/>
        <v>151</v>
      </c>
      <c r="BQ226" s="216"/>
      <c r="BR226" s="214"/>
      <c r="BS226" s="215">
        <f t="shared" si="269"/>
        <v>190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2</v>
      </c>
      <c r="BW226" s="215">
        <f t="shared" si="273"/>
        <v>1157</v>
      </c>
      <c r="BX226" s="215">
        <f>IF(COUNTIF(BH226:BP226,"&gt;0")&lt;Spielorte!$A$23,0,BE226/Spielorte!$A$23)</f>
        <v>0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77"/>
      <c r="B227" s="76" t="str">
        <f>IF(AA227=0,"",AA227)</f>
        <v>Blasits, Ernst</v>
      </c>
      <c r="C227" s="77">
        <f t="shared" si="263"/>
        <v>25554</v>
      </c>
      <c r="D227" s="78" t="str">
        <f t="shared" si="263"/>
        <v/>
      </c>
      <c r="E227" s="349"/>
      <c r="F227" s="78" t="str">
        <f t="shared" si="244"/>
        <v/>
      </c>
      <c r="G227" s="349"/>
      <c r="H227" s="78">
        <f t="shared" si="245"/>
        <v>180</v>
      </c>
      <c r="I227" s="349"/>
      <c r="J227" s="78">
        <f t="shared" si="246"/>
        <v>178</v>
      </c>
      <c r="K227" s="349"/>
      <c r="L227" s="78" t="str">
        <f t="shared" si="247"/>
        <v/>
      </c>
      <c r="M227" s="349"/>
      <c r="N227" s="78" t="str">
        <f t="shared" si="264"/>
        <v/>
      </c>
      <c r="O227" s="349"/>
      <c r="P227" s="78" t="str">
        <f t="shared" si="248"/>
        <v/>
      </c>
      <c r="Q227" s="349"/>
      <c r="R227" s="78" t="str">
        <f t="shared" si="249"/>
        <v/>
      </c>
      <c r="S227" s="349"/>
      <c r="T227" s="78" t="str">
        <f t="shared" si="250"/>
        <v/>
      </c>
      <c r="U227" s="349"/>
      <c r="V227" s="78">
        <f t="shared" si="251"/>
        <v>358</v>
      </c>
      <c r="W227" s="349"/>
      <c r="Z227" s="352"/>
      <c r="AA227" s="108" t="str">
        <f>IF(AB227=0,"",VLOOKUP(AB227,Starter!$A$1:$D$199,2,FALSE))</f>
        <v>Blasits, Ernst</v>
      </c>
      <c r="AB227" s="98">
        <v>25554</v>
      </c>
      <c r="AC227" s="186"/>
      <c r="AD227" s="112"/>
      <c r="AE227" s="186"/>
      <c r="AF227" s="112"/>
      <c r="AG227" s="186">
        <v>180</v>
      </c>
      <c r="AH227" s="112"/>
      <c r="AI227" s="186">
        <v>178</v>
      </c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358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25554</v>
      </c>
      <c r="BE227" s="213">
        <f t="shared" si="266"/>
        <v>358</v>
      </c>
      <c r="BF227" s="215">
        <f t="shared" si="267"/>
        <v>2</v>
      </c>
      <c r="BG227" s="215">
        <f t="shared" si="268"/>
        <v>2</v>
      </c>
      <c r="BH227" s="215" t="str">
        <f t="shared" si="253"/>
        <v/>
      </c>
      <c r="BI227" s="215" t="str">
        <f t="shared" si="254"/>
        <v/>
      </c>
      <c r="BJ227" s="215">
        <f t="shared" si="255"/>
        <v>180</v>
      </c>
      <c r="BK227" s="215">
        <f t="shared" si="256"/>
        <v>178</v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180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2</v>
      </c>
      <c r="BW227" s="215">
        <f t="shared" si="273"/>
        <v>358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8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0"/>
      <c r="F228" s="69" t="str">
        <f t="shared" si="244"/>
        <v/>
      </c>
      <c r="G228" s="350"/>
      <c r="H228" s="69" t="str">
        <f t="shared" si="245"/>
        <v/>
      </c>
      <c r="I228" s="350"/>
      <c r="J228" s="69" t="str">
        <f t="shared" si="246"/>
        <v/>
      </c>
      <c r="K228" s="350"/>
      <c r="L228" s="69" t="str">
        <f t="shared" si="247"/>
        <v/>
      </c>
      <c r="M228" s="350"/>
      <c r="N228" s="69" t="str">
        <f t="shared" si="264"/>
        <v/>
      </c>
      <c r="O228" s="350"/>
      <c r="P228" s="69" t="str">
        <f t="shared" si="248"/>
        <v/>
      </c>
      <c r="Q228" s="350"/>
      <c r="R228" s="69" t="str">
        <f t="shared" si="249"/>
        <v/>
      </c>
      <c r="S228" s="350"/>
      <c r="T228" s="69" t="str">
        <f t="shared" si="250"/>
        <v/>
      </c>
      <c r="U228" s="350"/>
      <c r="V228" s="69" t="str">
        <f t="shared" si="251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728</v>
      </c>
      <c r="E229" s="84">
        <f>IF(AD229="","",AD229)</f>
        <v>0</v>
      </c>
      <c r="F229" s="83">
        <f t="shared" si="244"/>
        <v>846</v>
      </c>
      <c r="G229" s="84">
        <f>IF(AF229="","",AF229)</f>
        <v>2</v>
      </c>
      <c r="H229" s="83">
        <f t="shared" si="245"/>
        <v>734</v>
      </c>
      <c r="I229" s="84">
        <f>IF(AH229="","",AH229)</f>
        <v>2</v>
      </c>
      <c r="J229" s="83">
        <f t="shared" si="246"/>
        <v>793</v>
      </c>
      <c r="K229" s="84">
        <f>IF(AJ229="","",AJ229)</f>
        <v>2</v>
      </c>
      <c r="L229" s="83">
        <f t="shared" si="247"/>
        <v>747</v>
      </c>
      <c r="M229" s="84">
        <f>IF(AL229="","",AL229)</f>
        <v>0</v>
      </c>
      <c r="N229" s="83">
        <f t="shared" si="264"/>
        <v>749</v>
      </c>
      <c r="O229" s="84">
        <f>IF(AN229="","",AN229)</f>
        <v>0</v>
      </c>
      <c r="P229" s="83">
        <f t="shared" si="248"/>
        <v>674</v>
      </c>
      <c r="Q229" s="84">
        <f>IF(AP229="","",AP229)</f>
        <v>0</v>
      </c>
      <c r="R229" s="83">
        <f t="shared" si="249"/>
        <v>661</v>
      </c>
      <c r="S229" s="84">
        <f>IF(AR229="","",AR229)</f>
        <v>0</v>
      </c>
      <c r="T229" s="83">
        <f t="shared" si="250"/>
        <v>724</v>
      </c>
      <c r="U229" s="84">
        <f>IF(AT229="","",AT229)</f>
        <v>0</v>
      </c>
      <c r="V229" s="83">
        <f t="shared" si="251"/>
        <v>6656</v>
      </c>
      <c r="W229" s="84">
        <f>IF(AV229="","",AV229)</f>
        <v>6</v>
      </c>
      <c r="AA229" s="81" t="s">
        <v>1799</v>
      </c>
      <c r="AB229" s="120"/>
      <c r="AC229" s="211">
        <f>ABS(SUM(AC217:AC219))+ABS(SUM(AC220:AC222))+ABS(SUM(AC223:AC225))+ABS(SUM(AC226:AC228))</f>
        <v>728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734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793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747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749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674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661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724</v>
      </c>
      <c r="AT229" s="121">
        <f>IF(AS229+AS239=0,0,IF(AS229=AS239,1,IF(AS229&gt;AS239,2,0)))</f>
        <v>0</v>
      </c>
      <c r="AU229" s="122">
        <f>SUM(AC229+AE229+AG229+AI229+AK229+AM229+AO229+AQ229+AS229)</f>
        <v>6656</v>
      </c>
      <c r="AV229" s="123">
        <f>SUM(AD229+AF229+AH229+AJ229+AL229+AN229+AP229+AR229+AT229)</f>
        <v>6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5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2</v>
      </c>
      <c r="P230" s="86" t="str">
        <f t="shared" si="248"/>
        <v/>
      </c>
      <c r="Q230" s="87">
        <f>IF(AP230="","",AP230)</f>
        <v>1</v>
      </c>
      <c r="R230" s="86" t="str">
        <f t="shared" si="249"/>
        <v/>
      </c>
      <c r="S230" s="87">
        <f>IF(AR230="","",AR230)</f>
        <v>1</v>
      </c>
      <c r="T230" s="86" t="str">
        <f t="shared" si="250"/>
        <v/>
      </c>
      <c r="U230" s="87">
        <f>IF(AT230="","",AT230)</f>
        <v>2</v>
      </c>
      <c r="V230" s="86" t="str">
        <f t="shared" si="251"/>
        <v/>
      </c>
      <c r="W230" s="87">
        <f>IF(AV230="","",AV230)</f>
        <v>22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5</v>
      </c>
      <c r="AK230" s="86"/>
      <c r="AL230" s="124">
        <f>SUM(AL217:AL229)</f>
        <v>1</v>
      </c>
      <c r="AM230" s="86"/>
      <c r="AN230" s="124">
        <f>SUM(AN217:AN229)</f>
        <v>2</v>
      </c>
      <c r="AO230" s="86"/>
      <c r="AP230" s="124">
        <f>SUM(AP217:AP229)</f>
        <v>1</v>
      </c>
      <c r="AQ230" s="86"/>
      <c r="AR230" s="124">
        <f>SUM(AR217:AR229)</f>
        <v>1</v>
      </c>
      <c r="AS230" s="86"/>
      <c r="AT230" s="124">
        <f>SUM(AT217:AT229)</f>
        <v>2</v>
      </c>
      <c r="AU230" s="86"/>
      <c r="AV230" s="125">
        <f>SUM(AV217:AV229)</f>
        <v>22</v>
      </c>
      <c r="AW230" s="101"/>
      <c r="AX230" s="102"/>
      <c r="BA230" s="212">
        <f>+AV230</f>
        <v>22</v>
      </c>
      <c r="BB230" s="213">
        <f>+AU229</f>
        <v>6656</v>
      </c>
      <c r="BC230" s="214">
        <f>+AA212</f>
        <v>8</v>
      </c>
      <c r="BF230" s="215">
        <f>SUM(BF211:BF229)</f>
        <v>36</v>
      </c>
      <c r="BQ230" s="212">
        <f>+BB230/1000000+BA230</f>
        <v>22.006656</v>
      </c>
      <c r="BR230" s="214">
        <f>RANK(BQ230,BQ:BQ)</f>
        <v>8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6">
        <f t="shared" si="275"/>
        <v>1</v>
      </c>
      <c r="E232" s="356" t="str">
        <f t="shared" si="275"/>
        <v/>
      </c>
      <c r="F232" s="356">
        <f t="shared" si="275"/>
        <v>7</v>
      </c>
      <c r="G232" s="356" t="str">
        <f t="shared" si="275"/>
        <v/>
      </c>
      <c r="H232" s="356">
        <f t="shared" si="275"/>
        <v>3</v>
      </c>
      <c r="I232" s="356" t="str">
        <f t="shared" si="275"/>
        <v/>
      </c>
      <c r="J232" s="356">
        <f t="shared" si="275"/>
        <v>4</v>
      </c>
      <c r="K232" s="356" t="str">
        <f t="shared" si="275"/>
        <v/>
      </c>
      <c r="L232" s="356">
        <f t="shared" si="275"/>
        <v>9</v>
      </c>
      <c r="M232" s="356" t="str">
        <f t="shared" si="275"/>
        <v/>
      </c>
      <c r="N232" s="356">
        <f t="shared" si="275"/>
        <v>6</v>
      </c>
      <c r="O232" s="356" t="str">
        <f t="shared" si="275"/>
        <v/>
      </c>
      <c r="P232" s="356">
        <f t="shared" si="275"/>
        <v>2</v>
      </c>
      <c r="Q232" s="356" t="str">
        <f t="shared" si="275"/>
        <v/>
      </c>
      <c r="R232" s="356">
        <f t="shared" ref="N232:U234" si="276">IF(AQ232=0,"",AQ232)</f>
        <v>5</v>
      </c>
      <c r="S232" s="356" t="str">
        <f t="shared" si="276"/>
        <v/>
      </c>
      <c r="T232" s="356">
        <f t="shared" si="276"/>
        <v>10</v>
      </c>
      <c r="U232" s="356" t="str">
        <f t="shared" si="276"/>
        <v/>
      </c>
      <c r="V232" s="357"/>
      <c r="W232" s="357"/>
      <c r="AA232" s="88" t="s">
        <v>1797</v>
      </c>
      <c r="AB232" s="89" t="s">
        <v>1798</v>
      </c>
      <c r="AC232" s="370">
        <f>VLOOKUP($AA212,Schlüssel!$A$5:$DG$14,23)</f>
        <v>1</v>
      </c>
      <c r="AD232" s="371"/>
      <c r="AE232" s="370">
        <f>VLOOKUP($AA212,Schlüssel!$A$5:$EK$14,24)</f>
        <v>7</v>
      </c>
      <c r="AF232" s="371"/>
      <c r="AG232" s="370">
        <f>VLOOKUP($AA212,Schlüssel!$A$5:$EK$14,25)</f>
        <v>3</v>
      </c>
      <c r="AH232" s="371"/>
      <c r="AI232" s="370">
        <f>VLOOKUP($AA212,Schlüssel!$A$5:$EK$14,26)</f>
        <v>4</v>
      </c>
      <c r="AJ232" s="371"/>
      <c r="AK232" s="370">
        <f>VLOOKUP($AA212,Schlüssel!$A$5:$EK$14,27)</f>
        <v>9</v>
      </c>
      <c r="AL232" s="371"/>
      <c r="AM232" s="370">
        <f>VLOOKUP($AA212,Schlüssel!$A$5:$EK$14,28)</f>
        <v>6</v>
      </c>
      <c r="AN232" s="371"/>
      <c r="AO232" s="370">
        <f>VLOOKUP($AA212,Schlüssel!$A$5:$EK$14,29)</f>
        <v>2</v>
      </c>
      <c r="AP232" s="371"/>
      <c r="AQ232" s="370">
        <f>VLOOKUP($AA212,Schlüssel!$A$5:$EK$14,30)</f>
        <v>5</v>
      </c>
      <c r="AR232" s="371"/>
      <c r="AS232" s="370">
        <f>VLOOKUP($AA212,Schlüssel!$A$5:$EK$14,31)</f>
        <v>10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M234" si="277">IF(AA233=0,"",AA233)</f>
        <v/>
      </c>
      <c r="C233" s="86" t="str">
        <f t="shared" si="277"/>
        <v/>
      </c>
      <c r="D233" s="358" t="str">
        <f t="shared" si="277"/>
        <v>BC Comet Nürnberg</v>
      </c>
      <c r="E233" s="359" t="str">
        <f t="shared" si="277"/>
        <v/>
      </c>
      <c r="F233" s="358" t="str">
        <f t="shared" si="277"/>
        <v>Schanzer Ingolstadt 1</v>
      </c>
      <c r="G233" s="359" t="str">
        <f t="shared" si="277"/>
        <v/>
      </c>
      <c r="H233" s="358" t="str">
        <f t="shared" si="277"/>
        <v>BK München 3</v>
      </c>
      <c r="I233" s="359" t="str">
        <f t="shared" si="277"/>
        <v/>
      </c>
      <c r="J233" s="358" t="str">
        <f t="shared" si="277"/>
        <v>SG DJK Rimpar</v>
      </c>
      <c r="K233" s="359" t="str">
        <f t="shared" si="277"/>
        <v/>
      </c>
      <c r="L233" s="358" t="str">
        <f t="shared" si="277"/>
        <v>Bowlinghaus Bamberg 1</v>
      </c>
      <c r="M233" s="359" t="str">
        <f t="shared" si="277"/>
        <v/>
      </c>
      <c r="N233" s="358" t="str">
        <f t="shared" si="276"/>
        <v>SG Rottendorf 1</v>
      </c>
      <c r="O233" s="359" t="str">
        <f t="shared" si="276"/>
        <v/>
      </c>
      <c r="P233" s="358" t="str">
        <f t="shared" si="276"/>
        <v>Bajuwaren München 1</v>
      </c>
      <c r="Q233" s="359" t="str">
        <f t="shared" si="276"/>
        <v/>
      </c>
      <c r="R233" s="358" t="str">
        <f t="shared" si="276"/>
        <v>RW Lichtenhof Stein 1</v>
      </c>
      <c r="S233" s="359" t="str">
        <f t="shared" si="276"/>
        <v/>
      </c>
      <c r="T233" s="358" t="str">
        <f t="shared" si="276"/>
        <v>High Roller Rosenheim 1</v>
      </c>
      <c r="U233" s="359" t="str">
        <f t="shared" si="276"/>
        <v/>
      </c>
      <c r="V233" s="363"/>
      <c r="W233" s="363"/>
      <c r="AA233" s="90"/>
      <c r="AB233" s="86"/>
      <c r="AC233" s="358" t="str">
        <f>VLOOKUP(AC232,Schlüssel!$A$5:$K$14,2)</f>
        <v>BC Comet Nürnberg</v>
      </c>
      <c r="AD233" s="359"/>
      <c r="AE233" s="358" t="str">
        <f>VLOOKUP(AE232,Schlüssel!$A$5:$K$14,2)</f>
        <v>Schanzer Ingolstadt 1</v>
      </c>
      <c r="AF233" s="359"/>
      <c r="AG233" s="358" t="str">
        <f>VLOOKUP(AG232,Schlüssel!$A$5:$K$14,2)</f>
        <v>BK München 3</v>
      </c>
      <c r="AH233" s="359"/>
      <c r="AI233" s="358" t="str">
        <f>VLOOKUP(AI232,Schlüssel!$A$5:$K$14,2)</f>
        <v>SG DJK Rimpar</v>
      </c>
      <c r="AJ233" s="359"/>
      <c r="AK233" s="358" t="str">
        <f>VLOOKUP(AK232,Schlüssel!$A$5:$K$14,2)</f>
        <v>Bowlinghaus Bamberg 1</v>
      </c>
      <c r="AL233" s="359"/>
      <c r="AM233" s="358" t="str">
        <f>VLOOKUP(AM232,Schlüssel!$A$5:$K$14,2)</f>
        <v>SG Rottendorf 1</v>
      </c>
      <c r="AN233" s="359"/>
      <c r="AO233" s="358" t="str">
        <f>VLOOKUP(AO232,Schlüssel!$A$5:$K$14,2)</f>
        <v>Bajuwaren München 1</v>
      </c>
      <c r="AP233" s="359"/>
      <c r="AQ233" s="358" t="str">
        <f>VLOOKUP(AQ232,Schlüssel!$A$5:$K$14,2)</f>
        <v>RW Lichtenhof Stein 1</v>
      </c>
      <c r="AR233" s="359"/>
      <c r="AS233" s="358" t="str">
        <f>VLOOKUP(AS232,Schlüssel!$A$5:$K$14,2)</f>
        <v>High Roller Rosenheim 1</v>
      </c>
      <c r="AT233" s="359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60" t="str">
        <f t="shared" si="277"/>
        <v/>
      </c>
      <c r="E234" s="360" t="str">
        <f t="shared" si="277"/>
        <v/>
      </c>
      <c r="F234" s="360" t="str">
        <f t="shared" si="277"/>
        <v/>
      </c>
      <c r="G234" s="360" t="str">
        <f t="shared" si="277"/>
        <v/>
      </c>
      <c r="H234" s="360" t="str">
        <f t="shared" si="277"/>
        <v/>
      </c>
      <c r="I234" s="360" t="str">
        <f t="shared" si="277"/>
        <v/>
      </c>
      <c r="J234" s="360" t="str">
        <f t="shared" si="277"/>
        <v/>
      </c>
      <c r="K234" s="360" t="str">
        <f t="shared" si="277"/>
        <v/>
      </c>
      <c r="L234" s="360" t="str">
        <f t="shared" si="277"/>
        <v/>
      </c>
      <c r="M234" s="360" t="str">
        <f t="shared" si="277"/>
        <v/>
      </c>
      <c r="N234" s="360" t="str">
        <f t="shared" si="276"/>
        <v/>
      </c>
      <c r="O234" s="360" t="str">
        <f t="shared" si="276"/>
        <v/>
      </c>
      <c r="P234" s="360" t="str">
        <f t="shared" si="276"/>
        <v/>
      </c>
      <c r="Q234" s="360" t="str">
        <f t="shared" si="276"/>
        <v/>
      </c>
      <c r="R234" s="360" t="str">
        <f t="shared" si="276"/>
        <v/>
      </c>
      <c r="S234" s="360" t="str">
        <f t="shared" si="276"/>
        <v/>
      </c>
      <c r="T234" s="360" t="str">
        <f t="shared" si="276"/>
        <v/>
      </c>
      <c r="U234" s="361" t="str">
        <f t="shared" si="276"/>
        <v/>
      </c>
      <c r="V234" s="298"/>
      <c r="W234" s="298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4" t="str">
        <f t="shared" ref="B235:C239" si="278">IF(AA235=0,"",AA235)</f>
        <v>Spieler 1</v>
      </c>
      <c r="C235" s="375" t="str">
        <f t="shared" si="278"/>
        <v/>
      </c>
      <c r="D235" s="362">
        <f>IF(AC235=301,"",AC235)</f>
        <v>224</v>
      </c>
      <c r="E235" s="362" t="str">
        <f>IF(AD235=0,"",AD235)</f>
        <v/>
      </c>
      <c r="F235" s="362">
        <f>IF(AE235=301,"",AE235)</f>
        <v>153</v>
      </c>
      <c r="G235" s="362" t="str">
        <f>IF(AF235=0,"",AF235)</f>
        <v/>
      </c>
      <c r="H235" s="362">
        <f>IF(AG235=301,"",AG235)</f>
        <v>163</v>
      </c>
      <c r="I235" s="362" t="str">
        <f>IF(AH235=0,"",AH235)</f>
        <v/>
      </c>
      <c r="J235" s="362">
        <f>IF(AI235=301,"",AI235)</f>
        <v>174</v>
      </c>
      <c r="K235" s="362" t="str">
        <f>IF(AJ235=0,"",AJ235)</f>
        <v/>
      </c>
      <c r="L235" s="362">
        <f>IF(AK235=301,"",AK235)</f>
        <v>202</v>
      </c>
      <c r="M235" s="362" t="str">
        <f>IF(AL235=0,"",AL235)</f>
        <v/>
      </c>
      <c r="N235" s="362">
        <f>IF(AM235=301,"",AM235)</f>
        <v>197</v>
      </c>
      <c r="O235" s="362" t="str">
        <f>IF(AN235=0,"",AN235)</f>
        <v/>
      </c>
      <c r="P235" s="362">
        <f>IF(AO235=301,"",AO235)</f>
        <v>140</v>
      </c>
      <c r="Q235" s="362" t="str">
        <f>IF(AP235=0,"",AP235)</f>
        <v/>
      </c>
      <c r="R235" s="362">
        <f>IF(AQ235=301,"",AQ235)</f>
        <v>190</v>
      </c>
      <c r="S235" s="362" t="str">
        <f>IF(AR235=0,"",AR235)</f>
        <v/>
      </c>
      <c r="T235" s="362">
        <f>IF(AS235=301,"",AS235)</f>
        <v>191</v>
      </c>
      <c r="U235" s="362" t="str">
        <f>IF(AT235=0,"",AT235)</f>
        <v/>
      </c>
      <c r="V235" s="364"/>
      <c r="W235" s="364"/>
      <c r="AA235" s="91" t="s">
        <v>0</v>
      </c>
      <c r="AB235" s="92"/>
      <c r="AC235" s="368">
        <f>ABS(INDEX(AC:AC,MATCH(AC232,$AA:$AA,0)+5)+INDEX(AC:AC,MATCH(AC232,$AA:$AA,0)+6)+INDEX(AC:AC,MATCH(AC232,$AA:$AA,0)+7))</f>
        <v>224</v>
      </c>
      <c r="AD235" s="369"/>
      <c r="AE235" s="368">
        <f>ABS(INDEX(AE:AE,MATCH(AE232,$AA:$AA,0)+5)+INDEX(AE:AE,MATCH(AE232,$AA:$AA,0)+6)+INDEX(AE:AE,MATCH(AE232,$AA:$AA,0)+7))</f>
        <v>153</v>
      </c>
      <c r="AF235" s="369"/>
      <c r="AG235" s="368">
        <f>ABS(INDEX(AG:AG,MATCH(AG232,$AA:$AA,0)+5)+INDEX(AG:AG,MATCH(AG232,$AA:$AA,0)+6)+INDEX(AG:AG,MATCH(AG232,$AA:$AA,0)+7))</f>
        <v>163</v>
      </c>
      <c r="AH235" s="369"/>
      <c r="AI235" s="368">
        <f>ABS(INDEX(AI:AI,MATCH(AI232,$AA:$AA,0)+5)+INDEX(AI:AI,MATCH(AI232,$AA:$AA,0)+6)+INDEX(AI:AI,MATCH(AI232,$AA:$AA,0)+7))</f>
        <v>174</v>
      </c>
      <c r="AJ235" s="369"/>
      <c r="AK235" s="368">
        <f>ABS(INDEX(AK:AK,MATCH(AK232,$AA:$AA,0)+5)+INDEX(AK:AK,MATCH(AK232,$AA:$AA,0)+6)+INDEX(AK:AK,MATCH(AK232,$AA:$AA,0)+7))</f>
        <v>202</v>
      </c>
      <c r="AL235" s="369"/>
      <c r="AM235" s="368">
        <f>ABS(INDEX(AM:AM,MATCH(AM232,$AA:$AA,0)+5)+INDEX(AM:AM,MATCH(AM232,$AA:$AA,0)+6)+INDEX(AM:AM,MATCH(AM232,$AA:$AA,0)+7))</f>
        <v>197</v>
      </c>
      <c r="AN235" s="369"/>
      <c r="AO235" s="368">
        <f>ABS(INDEX(AO:AO,MATCH(AO232,$AA:$AA,0)+5)+INDEX(AO:AO,MATCH(AO232,$AA:$AA,0)+6)+INDEX(AO:AO,MATCH(AO232,$AA:$AA,0)+7))</f>
        <v>140</v>
      </c>
      <c r="AP235" s="369"/>
      <c r="AQ235" s="368">
        <f>ABS(INDEX(AQ:AQ,MATCH(AQ232,$AA:$AA,0)+5)+INDEX(AQ:AQ,MATCH(AQ232,$AA:$AA,0)+6)+INDEX(AQ:AQ,MATCH(AQ232,$AA:$AA,0)+7))</f>
        <v>190</v>
      </c>
      <c r="AR235" s="369"/>
      <c r="AS235" s="368">
        <f>ABS(INDEX(AS:AS,MATCH(AS232,$AA:$AA,0)+5)+INDEX(AS:AS,MATCH(AS232,$AA:$AA,0)+6)+INDEX(AS:AS,MATCH(AS232,$AA:$AA,0)+7))</f>
        <v>191</v>
      </c>
      <c r="AT235" s="369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4" t="str">
        <f t="shared" si="278"/>
        <v>Spieler 2</v>
      </c>
      <c r="C236" s="375" t="str">
        <f t="shared" si="278"/>
        <v/>
      </c>
      <c r="D236" s="362">
        <f>IF(AC236=301,"",AC236)</f>
        <v>212</v>
      </c>
      <c r="E236" s="362" t="str">
        <f>IF(AD236=0,"",AD236)</f>
        <v/>
      </c>
      <c r="F236" s="362">
        <f>IF(AE236=301,"",AE236)</f>
        <v>184</v>
      </c>
      <c r="G236" s="362" t="str">
        <f>IF(AF236=0,"",AF236)</f>
        <v/>
      </c>
      <c r="H236" s="362">
        <f>IF(AG236=301,"",AG236)</f>
        <v>153</v>
      </c>
      <c r="I236" s="362" t="str">
        <f>IF(AH236=0,"",AH236)</f>
        <v/>
      </c>
      <c r="J236" s="362">
        <f>IF(AI236=301,"",AI236)</f>
        <v>192</v>
      </c>
      <c r="K236" s="362" t="str">
        <f>IF(AJ236=0,"",AJ236)</f>
        <v/>
      </c>
      <c r="L236" s="362">
        <f>IF(AK236=301,"",AK236)</f>
        <v>211</v>
      </c>
      <c r="M236" s="362" t="str">
        <f>IF(AL236=0,"",AL236)</f>
        <v/>
      </c>
      <c r="N236" s="362">
        <f>IF(AM236=301,"",AM236)</f>
        <v>157</v>
      </c>
      <c r="O236" s="362" t="str">
        <f>IF(AN236=0,"",AN236)</f>
        <v/>
      </c>
      <c r="P236" s="362">
        <f>IF(AO236=301,"",AO236)</f>
        <v>150</v>
      </c>
      <c r="Q236" s="362" t="str">
        <f>IF(AP236=0,"",AP236)</f>
        <v/>
      </c>
      <c r="R236" s="362">
        <f>IF(AQ236=301,"",AQ236)</f>
        <v>163</v>
      </c>
      <c r="S236" s="362" t="str">
        <f>IF(AR236=0,"",AR236)</f>
        <v/>
      </c>
      <c r="T236" s="362">
        <f>IF(AS236=301,"",AS236)</f>
        <v>202</v>
      </c>
      <c r="U236" s="362" t="str">
        <f>IF(AT236=0,"",AT236)</f>
        <v/>
      </c>
      <c r="V236" s="364"/>
      <c r="W236" s="364"/>
      <c r="AA236" s="91" t="s">
        <v>2</v>
      </c>
      <c r="AB236" s="92"/>
      <c r="AC236" s="366">
        <f>ABS(INDEX(AC:AC,MATCH(AC232,$AA:$AA,0)+8)+INDEX(AC:AC,MATCH(AC232,$AA:$AA,0)+9)+INDEX(AC:AC,MATCH(AC232,$AA:$AA,0)+10))</f>
        <v>212</v>
      </c>
      <c r="AD236" s="367"/>
      <c r="AE236" s="366">
        <f>ABS(INDEX(AE:AE,MATCH(AE232,$AA:$AA,0)+8)+INDEX(AE:AE,MATCH(AE232,$AA:$AA,0)+9)+INDEX(AE:AE,MATCH(AE232,$AA:$AA,0)+10))</f>
        <v>184</v>
      </c>
      <c r="AF236" s="367"/>
      <c r="AG236" s="366">
        <f>ABS(INDEX(AG:AG,MATCH(AG232,$AA:$AA,0)+8)+INDEX(AG:AG,MATCH(AG232,$AA:$AA,0)+9)+INDEX(AG:AG,MATCH(AG232,$AA:$AA,0)+10))</f>
        <v>153</v>
      </c>
      <c r="AH236" s="367"/>
      <c r="AI236" s="366">
        <f>ABS(INDEX(AI:AI,MATCH(AI232,$AA:$AA,0)+8)+INDEX(AI:AI,MATCH(AI232,$AA:$AA,0)+9)+INDEX(AI:AI,MATCH(AI232,$AA:$AA,0)+10))</f>
        <v>192</v>
      </c>
      <c r="AJ236" s="367"/>
      <c r="AK236" s="366">
        <f>ABS(INDEX(AK:AK,MATCH(AK232,$AA:$AA,0)+8)+INDEX(AK:AK,MATCH(AK232,$AA:$AA,0)+9)+INDEX(AK:AK,MATCH(AK232,$AA:$AA,0)+10))</f>
        <v>211</v>
      </c>
      <c r="AL236" s="367"/>
      <c r="AM236" s="366">
        <f>ABS(INDEX(AM:AM,MATCH(AM232,$AA:$AA,0)+8)+INDEX(AM:AM,MATCH(AM232,$AA:$AA,0)+9)+INDEX(AM:AM,MATCH(AM232,$AA:$AA,0)+10))</f>
        <v>157</v>
      </c>
      <c r="AN236" s="367"/>
      <c r="AO236" s="366">
        <f>ABS(INDEX(AO:AO,MATCH(AO232,$AA:$AA,0)+8)+INDEX(AO:AO,MATCH(AO232,$AA:$AA,0)+9)+INDEX(AO:AO,MATCH(AO232,$AA:$AA,0)+10))</f>
        <v>150</v>
      </c>
      <c r="AP236" s="367"/>
      <c r="AQ236" s="366">
        <f>ABS(INDEX(AQ:AQ,MATCH(AQ232,$AA:$AA,0)+8)+INDEX(AQ:AQ,MATCH(AQ232,$AA:$AA,0)+9)+INDEX(AQ:AQ,MATCH(AQ232,$AA:$AA,0)+10))</f>
        <v>163</v>
      </c>
      <c r="AR236" s="367"/>
      <c r="AS236" s="366">
        <f>ABS(INDEX(AS:AS,MATCH(AS232,$AA:$AA,0)+8)+INDEX(AS:AS,MATCH(AS232,$AA:$AA,0)+9)+INDEX(AS:AS,MATCH(AS232,$AA:$AA,0)+10))</f>
        <v>202</v>
      </c>
      <c r="AT236" s="367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4" t="str">
        <f t="shared" si="278"/>
        <v>Spieler 3</v>
      </c>
      <c r="C237" s="375" t="str">
        <f t="shared" si="278"/>
        <v/>
      </c>
      <c r="D237" s="362">
        <f>IF(AC237=301,"",AC237)</f>
        <v>244</v>
      </c>
      <c r="E237" s="362" t="str">
        <f>IF(AD237=0,"",AD237)</f>
        <v/>
      </c>
      <c r="F237" s="362">
        <f>IF(AE237=301,"",AE237)</f>
        <v>188</v>
      </c>
      <c r="G237" s="362" t="str">
        <f>IF(AF237=0,"",AF237)</f>
        <v/>
      </c>
      <c r="H237" s="362">
        <f>IF(AG237=301,"",AG237)</f>
        <v>167</v>
      </c>
      <c r="I237" s="362" t="str">
        <f>IF(AH237=0,"",AH237)</f>
        <v/>
      </c>
      <c r="J237" s="362">
        <f>IF(AI237=301,"",AI237)</f>
        <v>184</v>
      </c>
      <c r="K237" s="362" t="str">
        <f>IF(AJ237=0,"",AJ237)</f>
        <v/>
      </c>
      <c r="L237" s="362">
        <f>IF(AK237=301,"",AK237)</f>
        <v>190</v>
      </c>
      <c r="M237" s="362" t="str">
        <f>IF(AL237=0,"",AL237)</f>
        <v/>
      </c>
      <c r="N237" s="362">
        <f>IF(AM237=301,"",AM237)</f>
        <v>172</v>
      </c>
      <c r="O237" s="362" t="str">
        <f>IF(AN237=0,"",AN237)</f>
        <v/>
      </c>
      <c r="P237" s="362">
        <f>IF(AO237=301,"",AO237)</f>
        <v>237</v>
      </c>
      <c r="Q237" s="362" t="str">
        <f>IF(AP237=0,"",AP237)</f>
        <v/>
      </c>
      <c r="R237" s="362">
        <f>IF(AQ237=301,"",AQ237)</f>
        <v>156</v>
      </c>
      <c r="S237" s="362" t="str">
        <f>IF(AR237=0,"",AR237)</f>
        <v/>
      </c>
      <c r="T237" s="362">
        <f>IF(AS237=301,"",AS237)</f>
        <v>233</v>
      </c>
      <c r="U237" s="362" t="str">
        <f>IF(AT237=0,"",AT237)</f>
        <v/>
      </c>
      <c r="V237" s="364"/>
      <c r="W237" s="364"/>
      <c r="AA237" s="91" t="s">
        <v>3</v>
      </c>
      <c r="AB237" s="92"/>
      <c r="AC237" s="366">
        <f>ABS(INDEX(AC:AC,MATCH(AC232,$AA:$AA,0)+11)+INDEX(AC:AC,MATCH(AC232,$AA:$AA,0)+12)+INDEX(AC:AC,MATCH(AC232,$AA:$AA,0)+13))</f>
        <v>244</v>
      </c>
      <c r="AD237" s="367"/>
      <c r="AE237" s="366">
        <f>ABS(INDEX(AE:AE,MATCH(AE232,$AA:$AA,0)+11)+INDEX(AE:AE,MATCH(AE232,$AA:$AA,0)+12)+INDEX(AE:AE,MATCH(AE232,$AA:$AA,0)+13))</f>
        <v>188</v>
      </c>
      <c r="AF237" s="367"/>
      <c r="AG237" s="366">
        <f>ABS(INDEX(AG:AG,MATCH(AG232,$AA:$AA,0)+11)+INDEX(AG:AG,MATCH(AG232,$AA:$AA,0)+12)+INDEX(AG:AG,MATCH(AG232,$AA:$AA,0)+13))</f>
        <v>167</v>
      </c>
      <c r="AH237" s="367"/>
      <c r="AI237" s="366">
        <f>ABS(INDEX(AI:AI,MATCH(AI232,$AA:$AA,0)+11)+INDEX(AI:AI,MATCH(AI232,$AA:$AA,0)+12)+INDEX(AI:AI,MATCH(AI232,$AA:$AA,0)+13))</f>
        <v>184</v>
      </c>
      <c r="AJ237" s="367"/>
      <c r="AK237" s="366">
        <f>ABS(INDEX(AK:AK,MATCH(AK232,$AA:$AA,0)+11)+INDEX(AK:AK,MATCH(AK232,$AA:$AA,0)+12)+INDEX(AK:AK,MATCH(AK232,$AA:$AA,0)+13))</f>
        <v>190</v>
      </c>
      <c r="AL237" s="367"/>
      <c r="AM237" s="366">
        <f>ABS(INDEX(AM:AM,MATCH(AM232,$AA:$AA,0)+11)+INDEX(AM:AM,MATCH(AM232,$AA:$AA,0)+12)+INDEX(AM:AM,MATCH(AM232,$AA:$AA,0)+13))</f>
        <v>172</v>
      </c>
      <c r="AN237" s="367"/>
      <c r="AO237" s="366">
        <f>ABS(INDEX(AO:AO,MATCH(AO232,$AA:$AA,0)+11)+INDEX(AO:AO,MATCH(AO232,$AA:$AA,0)+12)+INDEX(AO:AO,MATCH(AO232,$AA:$AA,0)+13))</f>
        <v>237</v>
      </c>
      <c r="AP237" s="367"/>
      <c r="AQ237" s="366">
        <f>ABS(INDEX(AQ:AQ,MATCH(AQ232,$AA:$AA,0)+11)+INDEX(AQ:AQ,MATCH(AQ232,$AA:$AA,0)+12)+INDEX(AQ:AQ,MATCH(AQ232,$AA:$AA,0)+13))</f>
        <v>156</v>
      </c>
      <c r="AR237" s="367"/>
      <c r="AS237" s="366">
        <f>ABS(INDEX(AS:AS,MATCH(AS232,$AA:$AA,0)+11)+INDEX(AS:AS,MATCH(AS232,$AA:$AA,0)+12)+INDEX(AS:AS,MATCH(AS232,$AA:$AA,0)+13))</f>
        <v>233</v>
      </c>
      <c r="AT237" s="367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4" t="str">
        <f t="shared" si="278"/>
        <v>Spieler 4</v>
      </c>
      <c r="C238" s="375" t="str">
        <f t="shared" si="278"/>
        <v/>
      </c>
      <c r="D238" s="362">
        <f>IF(AC238=301,"",AC238)</f>
        <v>228</v>
      </c>
      <c r="E238" s="362" t="str">
        <f>IF(AD238=0,"",AD238)</f>
        <v/>
      </c>
      <c r="F238" s="362">
        <f>IF(AE238=301,"",AE238)</f>
        <v>211</v>
      </c>
      <c r="G238" s="362" t="str">
        <f>IF(AF238=0,"",AF238)</f>
        <v/>
      </c>
      <c r="H238" s="362">
        <f>IF(AG238=301,"",AG238)</f>
        <v>237</v>
      </c>
      <c r="I238" s="362" t="str">
        <f>IF(AH238=0,"",AH238)</f>
        <v/>
      </c>
      <c r="J238" s="362">
        <f>IF(AI238=301,"",AI238)</f>
        <v>203</v>
      </c>
      <c r="K238" s="362" t="str">
        <f>IF(AJ238=0,"",AJ238)</f>
        <v/>
      </c>
      <c r="L238" s="362">
        <f>IF(AK238=301,"",AK238)</f>
        <v>265</v>
      </c>
      <c r="M238" s="362" t="str">
        <f>IF(AL238=0,"",AL238)</f>
        <v/>
      </c>
      <c r="N238" s="362">
        <f>IF(AM238=301,"",AM238)</f>
        <v>227</v>
      </c>
      <c r="O238" s="362" t="str">
        <f>IF(AN238=0,"",AN238)</f>
        <v/>
      </c>
      <c r="P238" s="362">
        <f>IF(AO238=301,"",AO238)</f>
        <v>165</v>
      </c>
      <c r="Q238" s="362" t="str">
        <f>IF(AP238=0,"",AP238)</f>
        <v/>
      </c>
      <c r="R238" s="362">
        <f>IF(AQ238=301,"",AQ238)</f>
        <v>161</v>
      </c>
      <c r="S238" s="362" t="str">
        <f>IF(AR238=0,"",AR238)</f>
        <v/>
      </c>
      <c r="T238" s="362">
        <f>IF(AS238=301,"",AS238)</f>
        <v>143</v>
      </c>
      <c r="U238" s="362" t="str">
        <f>IF(AT238=0,"",AT238)</f>
        <v/>
      </c>
      <c r="V238" s="364"/>
      <c r="W238" s="364"/>
      <c r="AA238" s="91" t="s">
        <v>11</v>
      </c>
      <c r="AB238" s="92"/>
      <c r="AC238" s="366">
        <f>ABS(INDEX(AC:AC,MATCH(AC232,$AA:$AA,0)+14)+INDEX(AC:AC,MATCH(AC232,$AA:$AA,0)+15)+INDEX(AC:AC,MATCH(AC232,$AA:$AA,0)+16))</f>
        <v>228</v>
      </c>
      <c r="AD238" s="367"/>
      <c r="AE238" s="366">
        <f>ABS(INDEX(AE:AE,MATCH(AE232,$AA:$AA,0)+14)+INDEX(AE:AE,MATCH(AE232,$AA:$AA,0)+15)+INDEX(AE:AE,MATCH(AE232,$AA:$AA,0)+16))</f>
        <v>211</v>
      </c>
      <c r="AF238" s="367"/>
      <c r="AG238" s="366">
        <f>ABS(INDEX(AG:AG,MATCH(AG232,$AA:$AA,0)+14)+INDEX(AG:AG,MATCH(AG232,$AA:$AA,0)+15)+INDEX(AG:AG,MATCH(AG232,$AA:$AA,0)+16))</f>
        <v>237</v>
      </c>
      <c r="AH238" s="367"/>
      <c r="AI238" s="366">
        <f>ABS(INDEX(AI:AI,MATCH(AI232,$AA:$AA,0)+14)+INDEX(AI:AI,MATCH(AI232,$AA:$AA,0)+15)+INDEX(AI:AI,MATCH(AI232,$AA:$AA,0)+16))</f>
        <v>203</v>
      </c>
      <c r="AJ238" s="367"/>
      <c r="AK238" s="366">
        <f>ABS(INDEX(AK:AK,MATCH(AK232,$AA:$AA,0)+14)+INDEX(AK:AK,MATCH(AK232,$AA:$AA,0)+15)+INDEX(AK:AK,MATCH(AK232,$AA:$AA,0)+16))</f>
        <v>265</v>
      </c>
      <c r="AL238" s="367"/>
      <c r="AM238" s="366">
        <f>ABS(INDEX(AM:AM,MATCH(AM232,$AA:$AA,0)+14)+INDEX(AM:AM,MATCH(AM232,$AA:$AA,0)+15)+INDEX(AM:AM,MATCH(AM232,$AA:$AA,0)+16))</f>
        <v>227</v>
      </c>
      <c r="AN238" s="367"/>
      <c r="AO238" s="366">
        <f>ABS(INDEX(AO:AO,MATCH(AO232,$AA:$AA,0)+14)+INDEX(AO:AO,MATCH(AO232,$AA:$AA,0)+15)+INDEX(AO:AO,MATCH(AO232,$AA:$AA,0)+16))</f>
        <v>165</v>
      </c>
      <c r="AP238" s="367"/>
      <c r="AQ238" s="366">
        <f>ABS(INDEX(AQ:AQ,MATCH(AQ232,$AA:$AA,0)+14)+INDEX(AQ:AQ,MATCH(AQ232,$AA:$AA,0)+15)+INDEX(AQ:AQ,MATCH(AQ232,$AA:$AA,0)+16))</f>
        <v>161</v>
      </c>
      <c r="AR238" s="367"/>
      <c r="AS238" s="366">
        <f>ABS(INDEX(AS:AS,MATCH(AS232,$AA:$AA,0)+14)+INDEX(AS:AS,MATCH(AS232,$AA:$AA,0)+15)+INDEX(AS:AS,MATCH(AS232,$AA:$AA,0)+16))</f>
        <v>143</v>
      </c>
      <c r="AT238" s="367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6" t="str">
        <f t="shared" si="278"/>
        <v>Gesamt</v>
      </c>
      <c r="C239" s="347" t="str">
        <f t="shared" si="278"/>
        <v/>
      </c>
      <c r="D239" s="365">
        <f>IF(AC239=1505,"",AC239)</f>
        <v>908</v>
      </c>
      <c r="E239" s="365" t="str">
        <f>IF(AD239=0,"",AD239)</f>
        <v/>
      </c>
      <c r="F239" s="365">
        <f>IF(AE239=1505,"",AE239)</f>
        <v>736</v>
      </c>
      <c r="G239" s="365" t="str">
        <f>IF(AF239=0,"",AF239)</f>
        <v/>
      </c>
      <c r="H239" s="365">
        <f>IF(AG239=1505,"",AG239)</f>
        <v>720</v>
      </c>
      <c r="I239" s="365" t="str">
        <f>IF(AH239=0,"",AH239)</f>
        <v/>
      </c>
      <c r="J239" s="365">
        <f>IF(AI239=1505,"",AI239)</f>
        <v>753</v>
      </c>
      <c r="K239" s="365" t="str">
        <f>IF(AJ239=0,"",AJ239)</f>
        <v/>
      </c>
      <c r="L239" s="365">
        <f>IF(AK239=1505,"",AK239)</f>
        <v>868</v>
      </c>
      <c r="M239" s="365" t="str">
        <f>IF(AL239=0,"",AL239)</f>
        <v/>
      </c>
      <c r="N239" s="365">
        <f>IF(AM239=1505,"",AM239)</f>
        <v>753</v>
      </c>
      <c r="O239" s="365" t="str">
        <f>IF(AN239=0,"",AN239)</f>
        <v/>
      </c>
      <c r="P239" s="365">
        <f>IF(AO239=1505,"",AO239)</f>
        <v>692</v>
      </c>
      <c r="Q239" s="365" t="str">
        <f>IF(AP239=0,"",AP239)</f>
        <v/>
      </c>
      <c r="R239" s="365">
        <f>IF(AQ239=1505,"",AQ239)</f>
        <v>670</v>
      </c>
      <c r="S239" s="365" t="str">
        <f>IF(AR239=0,"",AR239)</f>
        <v/>
      </c>
      <c r="T239" s="365">
        <f>IF(AS239=1505,"",AS239)</f>
        <v>769</v>
      </c>
      <c r="U239" s="365" t="str">
        <f>IF(AT239=0,"",AT239)</f>
        <v/>
      </c>
      <c r="V239" s="301"/>
      <c r="W239" s="301"/>
      <c r="AA239" s="93" t="s">
        <v>1799</v>
      </c>
      <c r="AB239" s="94"/>
      <c r="AC239" s="346">
        <f>SUM(AC235:AC238)</f>
        <v>908</v>
      </c>
      <c r="AD239" s="347"/>
      <c r="AE239" s="346">
        <f>SUM(AE235:AE238)</f>
        <v>736</v>
      </c>
      <c r="AF239" s="347"/>
      <c r="AG239" s="346">
        <f>SUM(AG235:AG238)</f>
        <v>720</v>
      </c>
      <c r="AH239" s="347"/>
      <c r="AI239" s="346">
        <f>SUM(AI235:AI238)</f>
        <v>753</v>
      </c>
      <c r="AJ239" s="347"/>
      <c r="AK239" s="346">
        <f>SUM(AK235:AK238)</f>
        <v>868</v>
      </c>
      <c r="AL239" s="347"/>
      <c r="AM239" s="346">
        <f>SUM(AM235:AM238)</f>
        <v>753</v>
      </c>
      <c r="AN239" s="347"/>
      <c r="AO239" s="346">
        <f>SUM(AO235:AO238)</f>
        <v>692</v>
      </c>
      <c r="AP239" s="347"/>
      <c r="AQ239" s="346">
        <f>SUM(AQ235:AQ238)</f>
        <v>670</v>
      </c>
      <c r="AR239" s="347"/>
      <c r="AS239" s="346">
        <f>SUM(AS235:AS238)</f>
        <v>769</v>
      </c>
      <c r="AT239" s="347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5" t="str">
        <f>AE241</f>
        <v>Bayernliga Herren</v>
      </c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48"/>
      <c r="S241" s="49" t="s">
        <v>1794</v>
      </c>
      <c r="T241" s="50"/>
      <c r="U241" s="341" t="str">
        <f>AT241</f>
        <v>02.11./03.11.</v>
      </c>
      <c r="V241" s="342"/>
      <c r="W241" s="343"/>
      <c r="X241" s="372"/>
      <c r="Y241" s="373"/>
      <c r="Z241" s="373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41" t="str">
        <f>VLOOKUP(AS242,Spielorte!$A$1:$C$6,2)</f>
        <v>02.11./03.11.</v>
      </c>
      <c r="AU241" s="342"/>
      <c r="AV241" s="34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4" t="str">
        <f>AE242</f>
        <v>Nürnberg West Bowling</v>
      </c>
      <c r="G242" s="344"/>
      <c r="H242" s="344"/>
      <c r="I242" s="344"/>
      <c r="J242" s="344"/>
      <c r="K242" s="344"/>
      <c r="L242" s="344"/>
      <c r="M242" s="344"/>
      <c r="N242" s="344"/>
      <c r="O242" s="344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6" t="s">
        <v>1800</v>
      </c>
      <c r="E245" s="347"/>
      <c r="F245" s="346" t="s">
        <v>1801</v>
      </c>
      <c r="G245" s="347"/>
      <c r="H245" s="346" t="s">
        <v>1802</v>
      </c>
      <c r="I245" s="347"/>
      <c r="J245" s="346" t="s">
        <v>1803</v>
      </c>
      <c r="K245" s="347"/>
      <c r="L245" s="346" t="s">
        <v>1804</v>
      </c>
      <c r="M245" s="347"/>
      <c r="N245" s="346" t="s">
        <v>1805</v>
      </c>
      <c r="O245" s="347"/>
      <c r="P245" s="346" t="s">
        <v>1806</v>
      </c>
      <c r="Q245" s="347"/>
      <c r="R245" s="346" t="s">
        <v>1807</v>
      </c>
      <c r="S245" s="347"/>
      <c r="T245" s="346" t="s">
        <v>1808</v>
      </c>
      <c r="U245" s="347"/>
      <c r="V245" s="354" t="s">
        <v>1799</v>
      </c>
      <c r="W245" s="355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6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221</v>
      </c>
      <c r="E247" s="348">
        <f>IF(AD247="","",AD247)</f>
        <v>1</v>
      </c>
      <c r="F247" s="75">
        <f t="shared" ref="F247:F260" si="279">IF(AE247=0,"",AE247)</f>
        <v>194</v>
      </c>
      <c r="G247" s="348">
        <f>IF(AF247="","",AF247)</f>
        <v>1</v>
      </c>
      <c r="H247" s="75">
        <f t="shared" ref="H247:H260" si="280">IF(AG247=0,"",AG247)</f>
        <v>-136</v>
      </c>
      <c r="I247" s="348">
        <f>IF(AH247="","",AH247)</f>
        <v>0</v>
      </c>
      <c r="J247" s="75" t="str">
        <f t="shared" ref="J247:J260" si="281">IF(AI247=0,"",AI247)</f>
        <v/>
      </c>
      <c r="K247" s="348">
        <f>IF(AJ247="","",AJ247)</f>
        <v>0</v>
      </c>
      <c r="L247" s="75">
        <f t="shared" ref="L247:L260" si="282">IF(AK247=0,"",AK247)</f>
        <v>202</v>
      </c>
      <c r="M247" s="348">
        <f>IF(AL247="","",AL247)</f>
        <v>1</v>
      </c>
      <c r="N247" s="75">
        <f>IF(AM247=0,"",AM247)</f>
        <v>154</v>
      </c>
      <c r="O247" s="348">
        <f>IF(AN247="","",AN247)</f>
        <v>0</v>
      </c>
      <c r="P247" s="75" t="str">
        <f t="shared" ref="P247:P260" si="283">IF(AO247=0,"",AO247)</f>
        <v/>
      </c>
      <c r="Q247" s="348">
        <f>IF(AP247="","",AP247)</f>
        <v>1</v>
      </c>
      <c r="R247" s="75" t="str">
        <f t="shared" ref="R247:R260" si="284">IF(AQ247=0,"",AQ247)</f>
        <v/>
      </c>
      <c r="S247" s="348">
        <f>IF(AR247="","",AR247)</f>
        <v>1</v>
      </c>
      <c r="T247" s="75" t="str">
        <f t="shared" ref="T247:T260" si="285">IF(AS247=0,"",AS247)</f>
        <v/>
      </c>
      <c r="U247" s="348">
        <f>IF(AT247="","",AT247)</f>
        <v>1</v>
      </c>
      <c r="V247" s="75">
        <f t="shared" ref="V247:V260" si="286">IF(AU247=0,"",AU247)</f>
        <v>907</v>
      </c>
      <c r="W247" s="348">
        <f>IF(AV247="","",AV247)</f>
        <v>6</v>
      </c>
      <c r="Z247" s="351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221</v>
      </c>
      <c r="AD247" s="109">
        <f>IF(SUM(AC247:AC249)+AC265=0,0,IF(SUM(AC247:AC249)=AC265,0.5,IF(SUM(AC247:AC249)&gt;AC265,1,0)))</f>
        <v>1</v>
      </c>
      <c r="AE247" s="185">
        <v>194</v>
      </c>
      <c r="AF247" s="109">
        <f>IF(SUM(AE247:AE249)+AE265=0,0,IF(SUM(AE247:AE249)=AE265,0.5,IF(SUM(AE247:AE249)&gt;AE265,1,0)))</f>
        <v>1</v>
      </c>
      <c r="AG247" s="185">
        <v>-136</v>
      </c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>
        <v>202</v>
      </c>
      <c r="AL247" s="109">
        <f>IF(SUM(AK247:AK249)+AK265=0,0,IF(SUM(AK247:AK249)=AK265,0.5,IF(SUM(AK247:AK249)&gt;AK265,1,0)))</f>
        <v>1</v>
      </c>
      <c r="AM247" s="185">
        <v>154</v>
      </c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1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907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907</v>
      </c>
      <c r="BF247" s="215">
        <f>COUNT(BH247:BP247)</f>
        <v>5</v>
      </c>
      <c r="BG247" s="215">
        <f>COUNTIF(BH247:BP247,"&gt;0")</f>
        <v>4</v>
      </c>
      <c r="BH247" s="215">
        <f t="shared" ref="BH247:BH258" si="288">IF(AC247=0,"",AC247)</f>
        <v>221</v>
      </c>
      <c r="BI247" s="215">
        <f t="shared" ref="BI247:BI258" si="289">IF(AE247=0,"",AE247)</f>
        <v>194</v>
      </c>
      <c r="BJ247" s="215">
        <f t="shared" ref="BJ247:BJ258" si="290">IF(AG247=0,"",AG247)</f>
        <v>-136</v>
      </c>
      <c r="BK247" s="215" t="str">
        <f t="shared" ref="BK247:BK258" si="291">IF(AI247=0,"",AI247)</f>
        <v/>
      </c>
      <c r="BL247" s="215">
        <f t="shared" ref="BL247:BL258" si="292">IF(AK247=0,"",AK247)</f>
        <v>202</v>
      </c>
      <c r="BM247" s="215">
        <f t="shared" ref="BM247:BM258" si="293">IF(AM247=0,"",AM247)</f>
        <v>154</v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221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771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77"/>
      <c r="B248" s="76" t="str">
        <f t="shared" ref="B248:D260" si="298">IF(AA248=0,"",AA248)</f>
        <v>Nikoleit, Thomas</v>
      </c>
      <c r="C248" s="77">
        <f t="shared" si="298"/>
        <v>25516</v>
      </c>
      <c r="D248" s="78" t="str">
        <f t="shared" si="298"/>
        <v/>
      </c>
      <c r="E248" s="349"/>
      <c r="F248" s="78" t="str">
        <f t="shared" si="279"/>
        <v/>
      </c>
      <c r="G248" s="349"/>
      <c r="H248" s="78" t="str">
        <f t="shared" si="280"/>
        <v/>
      </c>
      <c r="I248" s="349"/>
      <c r="J248" s="78">
        <f t="shared" si="281"/>
        <v>160</v>
      </c>
      <c r="K248" s="349"/>
      <c r="L248" s="78" t="str">
        <f t="shared" si="282"/>
        <v/>
      </c>
      <c r="M248" s="349"/>
      <c r="N248" s="78" t="str">
        <f t="shared" ref="N248:N260" si="299">IF(AM248=0,"",AM248)</f>
        <v/>
      </c>
      <c r="O248" s="349"/>
      <c r="P248" s="78" t="str">
        <f t="shared" si="283"/>
        <v/>
      </c>
      <c r="Q248" s="349"/>
      <c r="R248" s="78" t="str">
        <f t="shared" si="284"/>
        <v/>
      </c>
      <c r="S248" s="349"/>
      <c r="T248" s="78" t="str">
        <f t="shared" si="285"/>
        <v/>
      </c>
      <c r="U248" s="349"/>
      <c r="V248" s="78">
        <f t="shared" si="286"/>
        <v>160</v>
      </c>
      <c r="W248" s="349"/>
      <c r="Z248" s="352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>
        <v>160</v>
      </c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160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25516</v>
      </c>
      <c r="BE248" s="213">
        <f t="shared" ref="BE248:BE258" si="301">+AU248</f>
        <v>160</v>
      </c>
      <c r="BF248" s="215">
        <f t="shared" ref="BF248:BF258" si="302">COUNT(BH248:BP248)</f>
        <v>1</v>
      </c>
      <c r="BG248" s="215">
        <f t="shared" ref="BG248:BG258" si="303">COUNTIF(BH248:BP248,"&gt;0")</f>
        <v>1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>
        <f t="shared" si="291"/>
        <v>160</v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160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2</v>
      </c>
      <c r="BW248" s="215">
        <f t="shared" ref="BW248:BW258" si="308">SUMIF(BH248:BP248,"&gt;0")</f>
        <v>160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8"/>
      <c r="B249" s="79" t="str">
        <f t="shared" si="298"/>
        <v>Renner, Alexander</v>
      </c>
      <c r="C249" s="80">
        <f t="shared" si="298"/>
        <v>16251</v>
      </c>
      <c r="D249" s="69" t="str">
        <f t="shared" si="298"/>
        <v/>
      </c>
      <c r="E249" s="350"/>
      <c r="F249" s="69" t="str">
        <f t="shared" si="279"/>
        <v/>
      </c>
      <c r="G249" s="350"/>
      <c r="H249" s="69" t="str">
        <f t="shared" si="280"/>
        <v/>
      </c>
      <c r="I249" s="350"/>
      <c r="J249" s="69" t="str">
        <f t="shared" si="281"/>
        <v/>
      </c>
      <c r="K249" s="350"/>
      <c r="L249" s="69" t="str">
        <f t="shared" si="282"/>
        <v/>
      </c>
      <c r="M249" s="350"/>
      <c r="N249" s="69" t="str">
        <f t="shared" si="299"/>
        <v/>
      </c>
      <c r="O249" s="350"/>
      <c r="P249" s="69">
        <f t="shared" si="283"/>
        <v>215</v>
      </c>
      <c r="Q249" s="350"/>
      <c r="R249" s="69">
        <f t="shared" si="284"/>
        <v>184</v>
      </c>
      <c r="S249" s="350"/>
      <c r="T249" s="69">
        <f t="shared" si="285"/>
        <v>187</v>
      </c>
      <c r="U249" s="350"/>
      <c r="V249" s="69">
        <f t="shared" si="286"/>
        <v>586</v>
      </c>
      <c r="W249" s="350"/>
      <c r="Z249" s="353"/>
      <c r="AA249" s="115" t="str">
        <f>IF(AB249=0,"",VLOOKUP(AB249,Starter!$A$1:$D$199,2,FALSE))</f>
        <v>Renner, Alexander</v>
      </c>
      <c r="AB249" s="100">
        <v>16251</v>
      </c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>
        <v>215</v>
      </c>
      <c r="AP249" s="112"/>
      <c r="AQ249" s="187">
        <v>184</v>
      </c>
      <c r="AR249" s="112"/>
      <c r="AS249" s="187">
        <v>187</v>
      </c>
      <c r="AT249" s="112"/>
      <c r="AU249" s="116">
        <f t="shared" si="287"/>
        <v>586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16251</v>
      </c>
      <c r="BE249" s="213">
        <f t="shared" si="301"/>
        <v>586</v>
      </c>
      <c r="BF249" s="215">
        <f t="shared" si="302"/>
        <v>3</v>
      </c>
      <c r="BG249" s="215">
        <f t="shared" si="303"/>
        <v>3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>
        <f t="shared" si="294"/>
        <v>215</v>
      </c>
      <c r="BO249" s="215">
        <f t="shared" si="295"/>
        <v>184</v>
      </c>
      <c r="BP249" s="215">
        <f t="shared" si="296"/>
        <v>187</v>
      </c>
      <c r="BQ249" s="216"/>
      <c r="BR249" s="214"/>
      <c r="BS249" s="215">
        <f t="shared" si="304"/>
        <v>215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2</v>
      </c>
      <c r="BW249" s="215">
        <f t="shared" si="308"/>
        <v>586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76" t="s">
        <v>2</v>
      </c>
      <c r="B250" s="73" t="str">
        <f t="shared" si="298"/>
        <v>Nolan, Jonathan</v>
      </c>
      <c r="C250" s="74">
        <f t="shared" si="298"/>
        <v>16873</v>
      </c>
      <c r="D250" s="75">
        <f t="shared" si="298"/>
        <v>214</v>
      </c>
      <c r="E250" s="348">
        <f>IF(AD250="","",AD250)</f>
        <v>1</v>
      </c>
      <c r="F250" s="75">
        <f t="shared" si="279"/>
        <v>217</v>
      </c>
      <c r="G250" s="348">
        <f>IF(AF250="","",AF250)</f>
        <v>1</v>
      </c>
      <c r="H250" s="75">
        <f t="shared" si="280"/>
        <v>179</v>
      </c>
      <c r="I250" s="348">
        <f>IF(AH250="","",AH250)</f>
        <v>1</v>
      </c>
      <c r="J250" s="75">
        <f t="shared" si="281"/>
        <v>206</v>
      </c>
      <c r="K250" s="348">
        <f>IF(AJ250="","",AJ250)</f>
        <v>1</v>
      </c>
      <c r="L250" s="75">
        <f t="shared" si="282"/>
        <v>211</v>
      </c>
      <c r="M250" s="348">
        <f>IF(AL250="","",AL250)</f>
        <v>1</v>
      </c>
      <c r="N250" s="75">
        <f t="shared" si="299"/>
        <v>203</v>
      </c>
      <c r="O250" s="348">
        <f>IF(AN250="","",AN250)</f>
        <v>1</v>
      </c>
      <c r="P250" s="75">
        <f t="shared" si="283"/>
        <v>180</v>
      </c>
      <c r="Q250" s="348">
        <f>IF(AP250="","",AP250)</f>
        <v>0.5</v>
      </c>
      <c r="R250" s="75">
        <f t="shared" si="284"/>
        <v>178</v>
      </c>
      <c r="S250" s="348">
        <f>IF(AR250="","",AR250)</f>
        <v>0</v>
      </c>
      <c r="T250" s="75">
        <f t="shared" si="285"/>
        <v>173</v>
      </c>
      <c r="U250" s="348">
        <f>IF(AT250="","",AT250)</f>
        <v>0</v>
      </c>
      <c r="V250" s="75">
        <f t="shared" si="286"/>
        <v>1761</v>
      </c>
      <c r="W250" s="348">
        <f>IF(AV250="","",AV250)</f>
        <v>6.5</v>
      </c>
      <c r="Z250" s="351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214</v>
      </c>
      <c r="AD250" s="109">
        <f>IF(SUM(AC250:AC252)+AC266=0,0,IF(SUM(AC250:AC252)=AC266,0.5,IF(SUM(AC250:AC252)&gt;AC266,1,0)))</f>
        <v>1</v>
      </c>
      <c r="AE250" s="188">
        <v>217</v>
      </c>
      <c r="AF250" s="109">
        <f>IF(SUM(AE250:AE252)+AE266=0,0,IF(SUM(AE250:AE252)=AE266,0.5,IF(SUM(AE250:AE252)&gt;AE266,1,0)))</f>
        <v>1</v>
      </c>
      <c r="AG250" s="188">
        <v>179</v>
      </c>
      <c r="AH250" s="109">
        <f>IF(SUM(AG250:AG252)+AG266=0,0,IF(SUM(AG250:AG252)=AG266,0.5,IF(SUM(AG250:AG252)&gt;AG266,1,0)))</f>
        <v>1</v>
      </c>
      <c r="AI250" s="188">
        <v>206</v>
      </c>
      <c r="AJ250" s="109">
        <f>IF(SUM(AI250:AI252)+AI266=0,0,IF(SUM(AI250:AI252)=AI266,0.5,IF(SUM(AI250:AI252)&gt;AI266,1,0)))</f>
        <v>1</v>
      </c>
      <c r="AK250" s="188">
        <v>211</v>
      </c>
      <c r="AL250" s="109">
        <f>IF(SUM(AK250:AK252)+AK266=0,0,IF(SUM(AK250:AK252)=AK266,0.5,IF(SUM(AK250:AK252)&gt;AK266,1,0)))</f>
        <v>1</v>
      </c>
      <c r="AM250" s="188">
        <v>203</v>
      </c>
      <c r="AN250" s="109">
        <f>IF(SUM(AM250:AM252)+AM266=0,0,IF(SUM(AM250:AM252)=AM266,0.5,IF(SUM(AM250:AM252)&gt;AM266,1,0)))</f>
        <v>1</v>
      </c>
      <c r="AO250" s="188">
        <v>180</v>
      </c>
      <c r="AP250" s="109">
        <f>IF(SUM(AO250:AO252)+AO266=0,0,IF(SUM(AO250:AO252)=AO266,0.5,IF(SUM(AO250:AO252)&gt;AO266,1,0)))</f>
        <v>0.5</v>
      </c>
      <c r="AQ250" s="188">
        <v>178</v>
      </c>
      <c r="AR250" s="109">
        <f>IF(SUM(AQ250:AQ252)+AQ266=0,0,IF(SUM(AQ250:AQ252)=AQ266,0.5,IF(SUM(AQ250:AQ252)&gt;AQ266,1,0)))</f>
        <v>0</v>
      </c>
      <c r="AS250" s="188">
        <v>173</v>
      </c>
      <c r="AT250" s="109">
        <f>IF(SUM(AS250:AS252)+AS266=0,0,IF(SUM(AS250:AS252)=AS266,0.5,IF(SUM(AS250:AS252)&gt;AS266,1,0)))</f>
        <v>0</v>
      </c>
      <c r="AU250" s="110">
        <f t="shared" si="287"/>
        <v>1761</v>
      </c>
      <c r="AV250" s="111">
        <f>SUM(AD250+AF250+AH250+AJ250+AL250+AN250+AP250+AR250+AT250)</f>
        <v>6.5</v>
      </c>
      <c r="AW250" s="101"/>
      <c r="AX250" s="102"/>
      <c r="AZ250" s="63"/>
      <c r="BA250" s="212"/>
      <c r="BB250" s="213"/>
      <c r="BC250" s="214"/>
      <c r="BD250" s="217">
        <f t="shared" si="300"/>
        <v>16873</v>
      </c>
      <c r="BE250" s="213">
        <f t="shared" si="301"/>
        <v>1761</v>
      </c>
      <c r="BF250" s="215">
        <f t="shared" si="302"/>
        <v>9</v>
      </c>
      <c r="BG250" s="215">
        <f t="shared" si="303"/>
        <v>9</v>
      </c>
      <c r="BH250" s="215">
        <f t="shared" si="288"/>
        <v>214</v>
      </c>
      <c r="BI250" s="215">
        <f t="shared" si="289"/>
        <v>217</v>
      </c>
      <c r="BJ250" s="215">
        <f t="shared" si="290"/>
        <v>179</v>
      </c>
      <c r="BK250" s="215">
        <f t="shared" si="291"/>
        <v>206</v>
      </c>
      <c r="BL250" s="215">
        <f t="shared" si="292"/>
        <v>211</v>
      </c>
      <c r="BM250" s="215">
        <f t="shared" si="293"/>
        <v>203</v>
      </c>
      <c r="BN250" s="215">
        <f t="shared" si="294"/>
        <v>180</v>
      </c>
      <c r="BO250" s="215">
        <f t="shared" si="295"/>
        <v>178</v>
      </c>
      <c r="BP250" s="215">
        <f t="shared" si="296"/>
        <v>173</v>
      </c>
      <c r="BQ250" s="216"/>
      <c r="BR250" s="214"/>
      <c r="BS250" s="215">
        <f t="shared" si="304"/>
        <v>217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2</v>
      </c>
      <c r="BW250" s="215">
        <f t="shared" si="308"/>
        <v>1761</v>
      </c>
      <c r="BX250" s="215">
        <f>IF(COUNTIF(BH250:BP250,"&gt;0")&lt;Spielorte!$A$23,0,BE250/Spielorte!$A$23)</f>
        <v>195.66666666666666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77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9"/>
      <c r="F251" s="78" t="str">
        <f t="shared" si="279"/>
        <v/>
      </c>
      <c r="G251" s="349"/>
      <c r="H251" s="78" t="str">
        <f t="shared" si="280"/>
        <v/>
      </c>
      <c r="I251" s="349"/>
      <c r="J251" s="78" t="str">
        <f t="shared" si="281"/>
        <v/>
      </c>
      <c r="K251" s="349"/>
      <c r="L251" s="78" t="str">
        <f t="shared" si="282"/>
        <v/>
      </c>
      <c r="M251" s="349"/>
      <c r="N251" s="78" t="str">
        <f t="shared" si="299"/>
        <v/>
      </c>
      <c r="O251" s="349"/>
      <c r="P251" s="78" t="str">
        <f t="shared" si="283"/>
        <v/>
      </c>
      <c r="Q251" s="349"/>
      <c r="R251" s="78" t="str">
        <f t="shared" si="284"/>
        <v/>
      </c>
      <c r="S251" s="349"/>
      <c r="T251" s="78" t="str">
        <f t="shared" si="285"/>
        <v/>
      </c>
      <c r="U251" s="349"/>
      <c r="V251" s="78" t="str">
        <f t="shared" si="286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8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0"/>
      <c r="F252" s="69" t="str">
        <f t="shared" si="279"/>
        <v/>
      </c>
      <c r="G252" s="350"/>
      <c r="H252" s="69" t="str">
        <f t="shared" si="280"/>
        <v/>
      </c>
      <c r="I252" s="350"/>
      <c r="J252" s="69" t="str">
        <f t="shared" si="281"/>
        <v/>
      </c>
      <c r="K252" s="350"/>
      <c r="L252" s="69" t="str">
        <f t="shared" si="282"/>
        <v/>
      </c>
      <c r="M252" s="350"/>
      <c r="N252" s="69" t="str">
        <f t="shared" si="299"/>
        <v/>
      </c>
      <c r="O252" s="350"/>
      <c r="P252" s="69" t="str">
        <f t="shared" si="283"/>
        <v/>
      </c>
      <c r="Q252" s="350"/>
      <c r="R252" s="69" t="str">
        <f t="shared" si="284"/>
        <v/>
      </c>
      <c r="S252" s="350"/>
      <c r="T252" s="69" t="str">
        <f t="shared" si="285"/>
        <v/>
      </c>
      <c r="U252" s="350"/>
      <c r="V252" s="69" t="str">
        <f t="shared" si="286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76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204</v>
      </c>
      <c r="E253" s="348">
        <f>IF(AD253="","",AD253)</f>
        <v>0</v>
      </c>
      <c r="F253" s="75">
        <f t="shared" si="279"/>
        <v>188</v>
      </c>
      <c r="G253" s="348">
        <f>IF(AF253="","",AF253)</f>
        <v>0</v>
      </c>
      <c r="H253" s="75">
        <f t="shared" si="280"/>
        <v>179</v>
      </c>
      <c r="I253" s="348">
        <f>IF(AH253="","",AH253)</f>
        <v>1</v>
      </c>
      <c r="J253" s="75">
        <f t="shared" si="281"/>
        <v>174</v>
      </c>
      <c r="K253" s="348">
        <f>IF(AJ253="","",AJ253)</f>
        <v>1</v>
      </c>
      <c r="L253" s="75">
        <f t="shared" si="282"/>
        <v>190</v>
      </c>
      <c r="M253" s="348">
        <f>IF(AL253="","",AL253)</f>
        <v>0</v>
      </c>
      <c r="N253" s="75">
        <f t="shared" si="299"/>
        <v>154</v>
      </c>
      <c r="O253" s="348">
        <f>IF(AN253="","",AN253)</f>
        <v>0</v>
      </c>
      <c r="P253" s="75">
        <f t="shared" si="283"/>
        <v>159</v>
      </c>
      <c r="Q253" s="348">
        <f>IF(AP253="","",AP253)</f>
        <v>0</v>
      </c>
      <c r="R253" s="75" t="str">
        <f t="shared" si="284"/>
        <v/>
      </c>
      <c r="S253" s="348">
        <f>IF(AR253="","",AR253)</f>
        <v>0</v>
      </c>
      <c r="T253" s="75" t="str">
        <f t="shared" si="285"/>
        <v/>
      </c>
      <c r="U253" s="348">
        <f>IF(AT253="","",AT253)</f>
        <v>1</v>
      </c>
      <c r="V253" s="75">
        <f t="shared" si="286"/>
        <v>1248</v>
      </c>
      <c r="W253" s="348">
        <f>IF(AV253="","",AV253)</f>
        <v>3</v>
      </c>
      <c r="Z253" s="351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204</v>
      </c>
      <c r="AD253" s="109">
        <f>IF(SUM(AC253:AC255)+AC267=0,0,IF(SUM(AC253:AC255)=AC267,0.5,IF(SUM(AC253:AC255)&gt;AC267,1,0)))</f>
        <v>0</v>
      </c>
      <c r="AE253" s="188">
        <v>188</v>
      </c>
      <c r="AF253" s="109">
        <f>IF(SUM(AE253:AE255)+AE267=0,0,IF(SUM(AE253:AE255)=AE267,0.5,IF(SUM(AE253:AE255)&gt;AE267,1,0)))</f>
        <v>0</v>
      </c>
      <c r="AG253" s="188">
        <v>179</v>
      </c>
      <c r="AH253" s="109">
        <f>IF(SUM(AG253:AG255)+AG267=0,0,IF(SUM(AG253:AG255)=AG267,0.5,IF(SUM(AG253:AG255)&gt;AG267,1,0)))</f>
        <v>1</v>
      </c>
      <c r="AI253" s="188">
        <v>174</v>
      </c>
      <c r="AJ253" s="109">
        <f>IF(SUM(AI253:AI255)+AI267=0,0,IF(SUM(AI253:AI255)=AI267,0.5,IF(SUM(AI253:AI255)&gt;AI267,1,0)))</f>
        <v>1</v>
      </c>
      <c r="AK253" s="188">
        <v>190</v>
      </c>
      <c r="AL253" s="109">
        <f>IF(SUM(AK253:AK255)+AK267=0,0,IF(SUM(AK253:AK255)=AK267,0.5,IF(SUM(AK253:AK255)&gt;AK267,1,0)))</f>
        <v>0</v>
      </c>
      <c r="AM253" s="188">
        <v>154</v>
      </c>
      <c r="AN253" s="109">
        <f>IF(SUM(AM253:AM255)+AM267=0,0,IF(SUM(AM253:AM255)=AM267,0.5,IF(SUM(AM253:AM255)&gt;AM267,1,0)))</f>
        <v>0</v>
      </c>
      <c r="AO253" s="188">
        <v>159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7"/>
        <v>1248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1248</v>
      </c>
      <c r="BF253" s="215">
        <f t="shared" si="302"/>
        <v>7</v>
      </c>
      <c r="BG253" s="215">
        <f t="shared" si="303"/>
        <v>7</v>
      </c>
      <c r="BH253" s="215">
        <f t="shared" si="288"/>
        <v>204</v>
      </c>
      <c r="BI253" s="215">
        <f t="shared" si="289"/>
        <v>188</v>
      </c>
      <c r="BJ253" s="215">
        <f t="shared" si="290"/>
        <v>179</v>
      </c>
      <c r="BK253" s="215">
        <f t="shared" si="291"/>
        <v>174</v>
      </c>
      <c r="BL253" s="215">
        <f t="shared" si="292"/>
        <v>190</v>
      </c>
      <c r="BM253" s="215">
        <f t="shared" si="293"/>
        <v>154</v>
      </c>
      <c r="BN253" s="215">
        <f t="shared" si="294"/>
        <v>159</v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204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2</v>
      </c>
      <c r="BW253" s="215">
        <f t="shared" si="308"/>
        <v>1248</v>
      </c>
      <c r="BX253" s="215">
        <f>IF(COUNTIF(BH253:BP253,"&gt;0")&lt;Spielorte!$A$23,0,BE253/Spielorte!$A$23)</f>
        <v>0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77"/>
      <c r="B254" s="76" t="str">
        <f t="shared" si="298"/>
        <v>Nikoleit, Thomas</v>
      </c>
      <c r="C254" s="77">
        <f t="shared" si="298"/>
        <v>25516</v>
      </c>
      <c r="D254" s="78" t="str">
        <f t="shared" si="298"/>
        <v/>
      </c>
      <c r="E254" s="349"/>
      <c r="F254" s="78" t="str">
        <f t="shared" si="279"/>
        <v/>
      </c>
      <c r="G254" s="349"/>
      <c r="H254" s="78" t="str">
        <f t="shared" si="280"/>
        <v/>
      </c>
      <c r="I254" s="349"/>
      <c r="J254" s="78" t="str">
        <f t="shared" si="281"/>
        <v/>
      </c>
      <c r="K254" s="349"/>
      <c r="L254" s="78" t="str">
        <f t="shared" si="282"/>
        <v/>
      </c>
      <c r="M254" s="349"/>
      <c r="N254" s="78" t="str">
        <f t="shared" si="299"/>
        <v/>
      </c>
      <c r="O254" s="349"/>
      <c r="P254" s="78" t="str">
        <f t="shared" si="283"/>
        <v/>
      </c>
      <c r="Q254" s="349"/>
      <c r="R254" s="78">
        <f t="shared" si="284"/>
        <v>170</v>
      </c>
      <c r="S254" s="349"/>
      <c r="T254" s="78">
        <f t="shared" si="285"/>
        <v>202</v>
      </c>
      <c r="U254" s="349"/>
      <c r="V254" s="78">
        <f t="shared" si="286"/>
        <v>372</v>
      </c>
      <c r="W254" s="349"/>
      <c r="Z254" s="352"/>
      <c r="AA254" s="108" t="str">
        <f>IF(AB254=0,"",VLOOKUP(AB254,Starter!$A$1:$D$199,2,FALSE))</f>
        <v>Nikoleit, Thomas</v>
      </c>
      <c r="AB254" s="98">
        <v>25516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170</v>
      </c>
      <c r="AR254" s="112"/>
      <c r="AS254" s="186">
        <v>202</v>
      </c>
      <c r="AT254" s="112"/>
      <c r="AU254" s="113">
        <f t="shared" si="287"/>
        <v>372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25516</v>
      </c>
      <c r="BE254" s="213">
        <f t="shared" si="301"/>
        <v>372</v>
      </c>
      <c r="BF254" s="215">
        <f t="shared" si="302"/>
        <v>2</v>
      </c>
      <c r="BG254" s="215">
        <f t="shared" si="303"/>
        <v>2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>
        <f t="shared" si="295"/>
        <v>170</v>
      </c>
      <c r="BP254" s="215">
        <f t="shared" si="296"/>
        <v>202</v>
      </c>
      <c r="BQ254" s="216"/>
      <c r="BR254" s="214"/>
      <c r="BS254" s="215">
        <f t="shared" si="304"/>
        <v>202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2</v>
      </c>
      <c r="BW254" s="215">
        <f t="shared" si="308"/>
        <v>372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8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0"/>
      <c r="F255" s="69" t="str">
        <f t="shared" si="279"/>
        <v/>
      </c>
      <c r="G255" s="350"/>
      <c r="H255" s="69" t="str">
        <f t="shared" si="280"/>
        <v/>
      </c>
      <c r="I255" s="350"/>
      <c r="J255" s="69" t="str">
        <f t="shared" si="281"/>
        <v/>
      </c>
      <c r="K255" s="350"/>
      <c r="L255" s="69" t="str">
        <f t="shared" si="282"/>
        <v/>
      </c>
      <c r="M255" s="350"/>
      <c r="N255" s="69" t="str">
        <f t="shared" si="299"/>
        <v/>
      </c>
      <c r="O255" s="350"/>
      <c r="P255" s="69" t="str">
        <f t="shared" si="283"/>
        <v/>
      </c>
      <c r="Q255" s="350"/>
      <c r="R255" s="69" t="str">
        <f t="shared" si="284"/>
        <v/>
      </c>
      <c r="S255" s="350"/>
      <c r="T255" s="69" t="str">
        <f t="shared" si="285"/>
        <v/>
      </c>
      <c r="U255" s="350"/>
      <c r="V255" s="69" t="str">
        <f t="shared" si="286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76" t="s">
        <v>11</v>
      </c>
      <c r="B256" s="73" t="str">
        <f>IF(AA256=0,"",AA256)</f>
        <v>Holzinger, Sebastian</v>
      </c>
      <c r="C256" s="74">
        <f t="shared" si="298"/>
        <v>7099</v>
      </c>
      <c r="D256" s="75">
        <f t="shared" si="298"/>
        <v>164</v>
      </c>
      <c r="E256" s="348">
        <f>IF(AD256="","",AD256)</f>
        <v>0</v>
      </c>
      <c r="F256" s="75">
        <f t="shared" si="279"/>
        <v>190</v>
      </c>
      <c r="G256" s="348">
        <f>IF(AF256="","",AF256)</f>
        <v>1</v>
      </c>
      <c r="H256" s="75">
        <f t="shared" si="280"/>
        <v>189</v>
      </c>
      <c r="I256" s="348">
        <f>IF(AH256="","",AH256)</f>
        <v>0</v>
      </c>
      <c r="J256" s="75">
        <f t="shared" si="281"/>
        <v>190</v>
      </c>
      <c r="K256" s="348">
        <f>IF(AJ256="","",AJ256)</f>
        <v>0</v>
      </c>
      <c r="L256" s="75">
        <f t="shared" si="282"/>
        <v>265</v>
      </c>
      <c r="M256" s="348">
        <f>IF(AL256="","",AL256)</f>
        <v>1</v>
      </c>
      <c r="N256" s="75">
        <f t="shared" si="299"/>
        <v>212</v>
      </c>
      <c r="O256" s="348">
        <f>IF(AN256="","",AN256)</f>
        <v>1</v>
      </c>
      <c r="P256" s="75">
        <f t="shared" si="283"/>
        <v>174</v>
      </c>
      <c r="Q256" s="348">
        <f>IF(AP256="","",AP256)</f>
        <v>1</v>
      </c>
      <c r="R256" s="75">
        <f t="shared" si="284"/>
        <v>268</v>
      </c>
      <c r="S256" s="348">
        <f>IF(AR256="","",AR256)</f>
        <v>1</v>
      </c>
      <c r="T256" s="75">
        <f t="shared" si="285"/>
        <v>258</v>
      </c>
      <c r="U256" s="348">
        <f>IF(AT256="","",AT256)</f>
        <v>1</v>
      </c>
      <c r="V256" s="75">
        <f t="shared" si="286"/>
        <v>1910</v>
      </c>
      <c r="W256" s="348">
        <f>IF(AV256="","",AV256)</f>
        <v>6</v>
      </c>
      <c r="Z256" s="351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164</v>
      </c>
      <c r="AD256" s="109">
        <f>IF(SUM(AC256:AC258)+AC268=0,0,IF(SUM(AC256:AC258)=AC268,0.5,IF(SUM(AC256:AC258)&gt;AC268,1,0)))</f>
        <v>0</v>
      </c>
      <c r="AE256" s="188">
        <v>190</v>
      </c>
      <c r="AF256" s="109">
        <f>IF(SUM(AE256:AE258)+AE268=0,0,IF(SUM(AE256:AE258)=AE268,0.5,IF(SUM(AE256:AE258)&gt;AE268,1,0)))</f>
        <v>1</v>
      </c>
      <c r="AG256" s="188">
        <v>189</v>
      </c>
      <c r="AH256" s="109">
        <f>IF(SUM(AG256:AG258)+AG268=0,0,IF(SUM(AG256:AG258)=AG268,0.5,IF(SUM(AG256:AG258)&gt;AG268,1,0)))</f>
        <v>0</v>
      </c>
      <c r="AI256" s="188">
        <v>190</v>
      </c>
      <c r="AJ256" s="109">
        <f>IF(SUM(AI256:AI258)+AI268=0,0,IF(SUM(AI256:AI258)=AI268,0.5,IF(SUM(AI256:AI258)&gt;AI268,1,0)))</f>
        <v>0</v>
      </c>
      <c r="AK256" s="188">
        <v>265</v>
      </c>
      <c r="AL256" s="109">
        <f>IF(SUM(AK256:AK258)+AK268=0,0,IF(SUM(AK256:AK258)=AK268,0.5,IF(SUM(AK256:AK258)&gt;AK268,1,0)))</f>
        <v>1</v>
      </c>
      <c r="AM256" s="188">
        <v>212</v>
      </c>
      <c r="AN256" s="109">
        <f>IF(SUM(AM256:AM258)+AM268=0,0,IF(SUM(AM256:AM258)=AM268,0.5,IF(SUM(AM256:AM258)&gt;AM268,1,0)))</f>
        <v>1</v>
      </c>
      <c r="AO256" s="188">
        <v>174</v>
      </c>
      <c r="AP256" s="109">
        <f>IF(SUM(AO256:AO258)+AO268=0,0,IF(SUM(AO256:AO258)=AO268,0.5,IF(SUM(AO256:AO258)&gt;AO268,1,0)))</f>
        <v>1</v>
      </c>
      <c r="AQ256" s="188">
        <v>268</v>
      </c>
      <c r="AR256" s="109">
        <f>IF(SUM(AQ256:AQ258)+AQ268=0,0,IF(SUM(AQ256:AQ258)=AQ268,0.5,IF(SUM(AQ256:AQ258)&gt;AQ268,1,0)))</f>
        <v>1</v>
      </c>
      <c r="AS256" s="188">
        <v>258</v>
      </c>
      <c r="AT256" s="109">
        <f>IF(SUM(AS256:AS258)+AS268=0,0,IF(SUM(AS256:AS258)=AS268,0.5,IF(SUM(AS256:AS258)&gt;AS268,1,0)))</f>
        <v>1</v>
      </c>
      <c r="AU256" s="110">
        <f t="shared" si="287"/>
        <v>1910</v>
      </c>
      <c r="AV256" s="111">
        <f>SUM(AD256+AF256+AH256+AJ256+AL256+AN256+AP256+AR256+AT256)</f>
        <v>6</v>
      </c>
      <c r="AW256" s="101"/>
      <c r="AX256" s="102"/>
      <c r="AZ256" s="63"/>
      <c r="BA256" s="212"/>
      <c r="BB256" s="213"/>
      <c r="BC256" s="214"/>
      <c r="BD256" s="217">
        <f t="shared" si="300"/>
        <v>7099</v>
      </c>
      <c r="BE256" s="213">
        <f t="shared" si="301"/>
        <v>1910</v>
      </c>
      <c r="BF256" s="215">
        <f t="shared" si="302"/>
        <v>9</v>
      </c>
      <c r="BG256" s="215">
        <f t="shared" si="303"/>
        <v>9</v>
      </c>
      <c r="BH256" s="215">
        <f t="shared" si="288"/>
        <v>164</v>
      </c>
      <c r="BI256" s="215">
        <f t="shared" si="289"/>
        <v>190</v>
      </c>
      <c r="BJ256" s="215">
        <f t="shared" si="290"/>
        <v>189</v>
      </c>
      <c r="BK256" s="215">
        <f t="shared" si="291"/>
        <v>190</v>
      </c>
      <c r="BL256" s="215">
        <f t="shared" si="292"/>
        <v>265</v>
      </c>
      <c r="BM256" s="215">
        <f t="shared" si="293"/>
        <v>212</v>
      </c>
      <c r="BN256" s="215">
        <f t="shared" si="294"/>
        <v>174</v>
      </c>
      <c r="BO256" s="215">
        <f t="shared" si="295"/>
        <v>268</v>
      </c>
      <c r="BP256" s="215">
        <f t="shared" si="296"/>
        <v>258</v>
      </c>
      <c r="BQ256" s="216"/>
      <c r="BR256" s="214"/>
      <c r="BS256" s="215">
        <f t="shared" si="304"/>
        <v>268</v>
      </c>
      <c r="BT256" s="215">
        <f t="shared" si="305"/>
        <v>268.00000025600002</v>
      </c>
      <c r="BU256" s="215" t="str">
        <f t="shared" si="306"/>
        <v>Bowlinghaus Bamberg 1</v>
      </c>
      <c r="BV256" s="214">
        <f t="shared" si="307"/>
        <v>1</v>
      </c>
      <c r="BW256" s="215">
        <f t="shared" si="308"/>
        <v>1910</v>
      </c>
      <c r="BX256" s="215">
        <f>IF(COUNTIF(BH256:BP256,"&gt;0")&lt;Spielorte!$A$23,0,BE256/Spielorte!$A$23)</f>
        <v>212.22222222222223</v>
      </c>
      <c r="BY256" s="215">
        <f t="shared" si="309"/>
        <v>212.22222247822222</v>
      </c>
      <c r="BZ256" s="214">
        <f t="shared" si="297"/>
        <v>1</v>
      </c>
    </row>
    <row r="257" spans="1:78" ht="17.100000000000001" customHeight="1" x14ac:dyDescent="0.25">
      <c r="A257" s="377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9"/>
      <c r="F257" s="78" t="str">
        <f t="shared" si="279"/>
        <v/>
      </c>
      <c r="G257" s="349"/>
      <c r="H257" s="78" t="str">
        <f t="shared" si="280"/>
        <v/>
      </c>
      <c r="I257" s="349"/>
      <c r="J257" s="78" t="str">
        <f t="shared" si="281"/>
        <v/>
      </c>
      <c r="K257" s="349"/>
      <c r="L257" s="78" t="str">
        <f t="shared" si="282"/>
        <v/>
      </c>
      <c r="M257" s="349"/>
      <c r="N257" s="78" t="str">
        <f t="shared" si="299"/>
        <v/>
      </c>
      <c r="O257" s="349"/>
      <c r="P257" s="78" t="str">
        <f t="shared" si="283"/>
        <v/>
      </c>
      <c r="Q257" s="349"/>
      <c r="R257" s="78" t="str">
        <f t="shared" si="284"/>
        <v/>
      </c>
      <c r="S257" s="349"/>
      <c r="T257" s="78" t="str">
        <f t="shared" si="285"/>
        <v/>
      </c>
      <c r="U257" s="349"/>
      <c r="V257" s="78" t="str">
        <f t="shared" si="286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8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0"/>
      <c r="F258" s="69" t="str">
        <f t="shared" si="279"/>
        <v/>
      </c>
      <c r="G258" s="350"/>
      <c r="H258" s="69" t="str">
        <f t="shared" si="280"/>
        <v/>
      </c>
      <c r="I258" s="350"/>
      <c r="J258" s="69" t="str">
        <f t="shared" si="281"/>
        <v/>
      </c>
      <c r="K258" s="350"/>
      <c r="L258" s="69" t="str">
        <f t="shared" si="282"/>
        <v/>
      </c>
      <c r="M258" s="350"/>
      <c r="N258" s="69" t="str">
        <f t="shared" si="299"/>
        <v/>
      </c>
      <c r="O258" s="350"/>
      <c r="P258" s="69" t="str">
        <f t="shared" si="283"/>
        <v/>
      </c>
      <c r="Q258" s="350"/>
      <c r="R258" s="69" t="str">
        <f t="shared" si="284"/>
        <v/>
      </c>
      <c r="S258" s="350"/>
      <c r="T258" s="69" t="str">
        <f t="shared" si="285"/>
        <v/>
      </c>
      <c r="U258" s="350"/>
      <c r="V258" s="69" t="str">
        <f t="shared" si="286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803</v>
      </c>
      <c r="E259" s="84">
        <f>IF(AD259="","",AD259)</f>
        <v>2</v>
      </c>
      <c r="F259" s="83">
        <f t="shared" si="279"/>
        <v>789</v>
      </c>
      <c r="G259" s="84">
        <f>IF(AF259="","",AF259)</f>
        <v>2</v>
      </c>
      <c r="H259" s="83">
        <f t="shared" si="280"/>
        <v>683</v>
      </c>
      <c r="I259" s="84">
        <f>IF(AH259="","",AH259)</f>
        <v>0</v>
      </c>
      <c r="J259" s="83">
        <f t="shared" si="281"/>
        <v>730</v>
      </c>
      <c r="K259" s="84">
        <f>IF(AJ259="","",AJ259)</f>
        <v>0</v>
      </c>
      <c r="L259" s="83">
        <f t="shared" si="282"/>
        <v>868</v>
      </c>
      <c r="M259" s="84">
        <f>IF(AL259="","",AL259)</f>
        <v>2</v>
      </c>
      <c r="N259" s="83">
        <f t="shared" si="299"/>
        <v>723</v>
      </c>
      <c r="O259" s="84">
        <f>IF(AN259="","",AN259)</f>
        <v>0</v>
      </c>
      <c r="P259" s="83">
        <f t="shared" si="283"/>
        <v>728</v>
      </c>
      <c r="Q259" s="84">
        <f>IF(AP259="","",AP259)</f>
        <v>0</v>
      </c>
      <c r="R259" s="83">
        <f t="shared" si="284"/>
        <v>800</v>
      </c>
      <c r="S259" s="84">
        <f>IF(AR259="","",AR259)</f>
        <v>2</v>
      </c>
      <c r="T259" s="83">
        <f t="shared" si="285"/>
        <v>820</v>
      </c>
      <c r="U259" s="84">
        <f>IF(AT259="","",AT259)</f>
        <v>2</v>
      </c>
      <c r="V259" s="83">
        <f t="shared" si="286"/>
        <v>6944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803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789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683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730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868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723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728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800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820</v>
      </c>
      <c r="AT259" s="121">
        <f>IF(AS259+AS269=0,0,IF(AS259=AS269,1,IF(AS259&gt;AS269,2,0)))</f>
        <v>2</v>
      </c>
      <c r="AU259" s="122">
        <f>SUM(AC259+AE259+AG259+AI259+AK259+AM259+AO259+AQ259+AS259)</f>
        <v>6944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4</v>
      </c>
      <c r="F260" s="86" t="str">
        <f t="shared" si="279"/>
        <v/>
      </c>
      <c r="G260" s="87">
        <f>IF(AF260="","",AF260)</f>
        <v>5</v>
      </c>
      <c r="H260" s="86" t="str">
        <f t="shared" si="280"/>
        <v/>
      </c>
      <c r="I260" s="87">
        <f>IF(AH260="","",AH260)</f>
        <v>2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2</v>
      </c>
      <c r="P260" s="86" t="str">
        <f t="shared" si="283"/>
        <v/>
      </c>
      <c r="Q260" s="87">
        <f>IF(AP260="","",AP260)</f>
        <v>2.5</v>
      </c>
      <c r="R260" s="86" t="str">
        <f t="shared" si="284"/>
        <v/>
      </c>
      <c r="S260" s="87">
        <f>IF(AR260="","",AR260)</f>
        <v>4</v>
      </c>
      <c r="T260" s="86" t="str">
        <f t="shared" si="285"/>
        <v/>
      </c>
      <c r="U260" s="87">
        <f>IF(AT260="","",AT260)</f>
        <v>5</v>
      </c>
      <c r="V260" s="86" t="str">
        <f t="shared" si="286"/>
        <v/>
      </c>
      <c r="W260" s="87">
        <f>IF(AV260="","",AV260)</f>
        <v>31.5</v>
      </c>
      <c r="AA260" s="85" t="s">
        <v>1814</v>
      </c>
      <c r="AB260" s="86"/>
      <c r="AC260" s="86"/>
      <c r="AD260" s="124">
        <f>SUM(AD247:AD259)</f>
        <v>4</v>
      </c>
      <c r="AE260" s="86"/>
      <c r="AF260" s="124">
        <f>SUM(AF247:AF259)</f>
        <v>5</v>
      </c>
      <c r="AG260" s="86"/>
      <c r="AH260" s="124">
        <f>SUM(AH247:AH259)</f>
        <v>2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2</v>
      </c>
      <c r="AO260" s="86"/>
      <c r="AP260" s="124">
        <f>SUM(AP247:AP259)</f>
        <v>2.5</v>
      </c>
      <c r="AQ260" s="86"/>
      <c r="AR260" s="124">
        <f>SUM(AR247:AR259)</f>
        <v>4</v>
      </c>
      <c r="AS260" s="86"/>
      <c r="AT260" s="124">
        <f>SUM(AT247:AT259)</f>
        <v>5</v>
      </c>
      <c r="AU260" s="86"/>
      <c r="AV260" s="125">
        <f>SUM(AV247:AV259)</f>
        <v>31.5</v>
      </c>
      <c r="AW260" s="101"/>
      <c r="AX260" s="102"/>
      <c r="BA260" s="212">
        <f>+AV260</f>
        <v>31.5</v>
      </c>
      <c r="BB260" s="213">
        <f>+AU259</f>
        <v>6944</v>
      </c>
      <c r="BC260" s="214">
        <f>+AA242</f>
        <v>9</v>
      </c>
      <c r="BF260" s="215">
        <f>SUM(BF241:BF259)</f>
        <v>36</v>
      </c>
      <c r="BQ260" s="212">
        <f>+BB260/1000000+BA260</f>
        <v>31.506944000000001</v>
      </c>
      <c r="BR260" s="214">
        <f>RANK(BQ260,BQ:BQ)</f>
        <v>3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6">
        <f t="shared" si="310"/>
        <v>2</v>
      </c>
      <c r="E262" s="356" t="str">
        <f t="shared" si="310"/>
        <v/>
      </c>
      <c r="F262" s="356">
        <f t="shared" si="310"/>
        <v>6</v>
      </c>
      <c r="G262" s="356" t="str">
        <f t="shared" si="310"/>
        <v/>
      </c>
      <c r="H262" s="356">
        <f t="shared" si="310"/>
        <v>7</v>
      </c>
      <c r="I262" s="356" t="str">
        <f t="shared" si="310"/>
        <v/>
      </c>
      <c r="J262" s="356">
        <f t="shared" si="310"/>
        <v>10</v>
      </c>
      <c r="K262" s="356" t="str">
        <f t="shared" si="310"/>
        <v/>
      </c>
      <c r="L262" s="356">
        <f t="shared" si="310"/>
        <v>8</v>
      </c>
      <c r="M262" s="356" t="str">
        <f t="shared" si="310"/>
        <v/>
      </c>
      <c r="N262" s="356">
        <f t="shared" si="310"/>
        <v>3</v>
      </c>
      <c r="O262" s="356" t="str">
        <f t="shared" si="310"/>
        <v/>
      </c>
      <c r="P262" s="356">
        <f t="shared" si="310"/>
        <v>4</v>
      </c>
      <c r="Q262" s="356" t="str">
        <f t="shared" si="310"/>
        <v/>
      </c>
      <c r="R262" s="356">
        <f t="shared" ref="N262:U264" si="311">IF(AQ262=0,"",AQ262)</f>
        <v>1</v>
      </c>
      <c r="S262" s="356" t="str">
        <f t="shared" si="311"/>
        <v/>
      </c>
      <c r="T262" s="356">
        <f t="shared" si="311"/>
        <v>5</v>
      </c>
      <c r="U262" s="356" t="str">
        <f t="shared" si="311"/>
        <v/>
      </c>
      <c r="V262" s="357"/>
      <c r="W262" s="357"/>
      <c r="AA262" s="88" t="s">
        <v>1797</v>
      </c>
      <c r="AB262" s="89" t="s">
        <v>1798</v>
      </c>
      <c r="AC262" s="370">
        <f>VLOOKUP($AA242,Schlüssel!$A$5:$DG$14,23)</f>
        <v>2</v>
      </c>
      <c r="AD262" s="371"/>
      <c r="AE262" s="370">
        <f>VLOOKUP($AA242,Schlüssel!$A$5:$EK$14,24)</f>
        <v>6</v>
      </c>
      <c r="AF262" s="371"/>
      <c r="AG262" s="370">
        <f>VLOOKUP($AA242,Schlüssel!$A$5:$EK$14,25)</f>
        <v>7</v>
      </c>
      <c r="AH262" s="371"/>
      <c r="AI262" s="370">
        <f>VLOOKUP($AA242,Schlüssel!$A$5:$EK$14,26)</f>
        <v>10</v>
      </c>
      <c r="AJ262" s="371"/>
      <c r="AK262" s="370">
        <f>VLOOKUP($AA242,Schlüssel!$A$5:$EK$14,27)</f>
        <v>8</v>
      </c>
      <c r="AL262" s="371"/>
      <c r="AM262" s="370">
        <f>VLOOKUP($AA242,Schlüssel!$A$5:$EK$14,28)</f>
        <v>3</v>
      </c>
      <c r="AN262" s="371"/>
      <c r="AO262" s="370">
        <f>VLOOKUP($AA242,Schlüssel!$A$5:$EK$14,29)</f>
        <v>4</v>
      </c>
      <c r="AP262" s="371"/>
      <c r="AQ262" s="370">
        <f>VLOOKUP($AA242,Schlüssel!$A$5:$EK$14,30)</f>
        <v>1</v>
      </c>
      <c r="AR262" s="371"/>
      <c r="AS262" s="370">
        <f>VLOOKUP($AA242,Schlüssel!$A$5:$EK$14,31)</f>
        <v>5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M264" si="312">IF(AA263=0,"",AA263)</f>
        <v/>
      </c>
      <c r="C263" s="86" t="str">
        <f t="shared" si="312"/>
        <v/>
      </c>
      <c r="D263" s="358" t="str">
        <f t="shared" si="312"/>
        <v>Bajuwaren München 1</v>
      </c>
      <c r="E263" s="359" t="str">
        <f t="shared" si="312"/>
        <v/>
      </c>
      <c r="F263" s="358" t="str">
        <f t="shared" si="312"/>
        <v>SG Rottendorf 1</v>
      </c>
      <c r="G263" s="359" t="str">
        <f t="shared" si="312"/>
        <v/>
      </c>
      <c r="H263" s="358" t="str">
        <f t="shared" si="312"/>
        <v>Schanzer Ingolstadt 1</v>
      </c>
      <c r="I263" s="359" t="str">
        <f t="shared" si="312"/>
        <v/>
      </c>
      <c r="J263" s="358" t="str">
        <f t="shared" si="312"/>
        <v>High Roller Rosenheim 1</v>
      </c>
      <c r="K263" s="359" t="str">
        <f t="shared" si="312"/>
        <v/>
      </c>
      <c r="L263" s="358" t="str">
        <f t="shared" si="312"/>
        <v>BC EMAX Unterföhring 2</v>
      </c>
      <c r="M263" s="359" t="str">
        <f t="shared" si="312"/>
        <v/>
      </c>
      <c r="N263" s="358" t="str">
        <f t="shared" si="311"/>
        <v>BK München 3</v>
      </c>
      <c r="O263" s="359" t="str">
        <f t="shared" si="311"/>
        <v/>
      </c>
      <c r="P263" s="358" t="str">
        <f t="shared" si="311"/>
        <v>SG DJK Rimpar</v>
      </c>
      <c r="Q263" s="359" t="str">
        <f t="shared" si="311"/>
        <v/>
      </c>
      <c r="R263" s="358" t="str">
        <f t="shared" si="311"/>
        <v>BC Comet Nürnberg</v>
      </c>
      <c r="S263" s="359" t="str">
        <f t="shared" si="311"/>
        <v/>
      </c>
      <c r="T263" s="358" t="str">
        <f t="shared" si="311"/>
        <v>RW Lichtenhof Stein 1</v>
      </c>
      <c r="U263" s="359" t="str">
        <f t="shared" si="311"/>
        <v/>
      </c>
      <c r="V263" s="363"/>
      <c r="W263" s="363"/>
      <c r="AA263" s="90"/>
      <c r="AB263" s="86"/>
      <c r="AC263" s="358" t="str">
        <f>VLOOKUP(AC262,Schlüssel!$A$5:$K$14,2)</f>
        <v>Bajuwaren München 1</v>
      </c>
      <c r="AD263" s="359"/>
      <c r="AE263" s="358" t="str">
        <f>VLOOKUP(AE262,Schlüssel!$A$5:$K$14,2)</f>
        <v>SG Rottendorf 1</v>
      </c>
      <c r="AF263" s="359"/>
      <c r="AG263" s="358" t="str">
        <f>VLOOKUP(AG262,Schlüssel!$A$5:$K$14,2)</f>
        <v>Schanzer Ingolstadt 1</v>
      </c>
      <c r="AH263" s="359"/>
      <c r="AI263" s="358" t="str">
        <f>VLOOKUP(AI262,Schlüssel!$A$5:$K$14,2)</f>
        <v>High Roller Rosenheim 1</v>
      </c>
      <c r="AJ263" s="359"/>
      <c r="AK263" s="358" t="str">
        <f>VLOOKUP(AK262,Schlüssel!$A$5:$K$14,2)</f>
        <v>BC EMAX Unterföhring 2</v>
      </c>
      <c r="AL263" s="359"/>
      <c r="AM263" s="358" t="str">
        <f>VLOOKUP(AM262,Schlüssel!$A$5:$K$14,2)</f>
        <v>BK München 3</v>
      </c>
      <c r="AN263" s="359"/>
      <c r="AO263" s="358" t="str">
        <f>VLOOKUP(AO262,Schlüssel!$A$5:$K$14,2)</f>
        <v>SG DJK Rimpar</v>
      </c>
      <c r="AP263" s="359"/>
      <c r="AQ263" s="358" t="str">
        <f>VLOOKUP(AQ262,Schlüssel!$A$5:$K$14,2)</f>
        <v>BC Comet Nürnberg</v>
      </c>
      <c r="AR263" s="359"/>
      <c r="AS263" s="358" t="str">
        <f>VLOOKUP(AS262,Schlüssel!$A$5:$K$14,2)</f>
        <v>RW Lichtenhof Stein 1</v>
      </c>
      <c r="AT263" s="359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60" t="str">
        <f t="shared" si="312"/>
        <v/>
      </c>
      <c r="E264" s="360" t="str">
        <f t="shared" si="312"/>
        <v/>
      </c>
      <c r="F264" s="360" t="str">
        <f t="shared" si="312"/>
        <v/>
      </c>
      <c r="G264" s="360" t="str">
        <f t="shared" si="312"/>
        <v/>
      </c>
      <c r="H264" s="360" t="str">
        <f t="shared" si="312"/>
        <v/>
      </c>
      <c r="I264" s="360" t="str">
        <f t="shared" si="312"/>
        <v/>
      </c>
      <c r="J264" s="360" t="str">
        <f t="shared" si="312"/>
        <v/>
      </c>
      <c r="K264" s="360" t="str">
        <f t="shared" si="312"/>
        <v/>
      </c>
      <c r="L264" s="360" t="str">
        <f t="shared" si="312"/>
        <v/>
      </c>
      <c r="M264" s="360" t="str">
        <f t="shared" si="312"/>
        <v/>
      </c>
      <c r="N264" s="360" t="str">
        <f t="shared" si="311"/>
        <v/>
      </c>
      <c r="O264" s="360" t="str">
        <f t="shared" si="311"/>
        <v/>
      </c>
      <c r="P264" s="360" t="str">
        <f t="shared" si="311"/>
        <v/>
      </c>
      <c r="Q264" s="360" t="str">
        <f t="shared" si="311"/>
        <v/>
      </c>
      <c r="R264" s="360" t="str">
        <f t="shared" si="311"/>
        <v/>
      </c>
      <c r="S264" s="360" t="str">
        <f t="shared" si="311"/>
        <v/>
      </c>
      <c r="T264" s="360" t="str">
        <f t="shared" si="311"/>
        <v/>
      </c>
      <c r="U264" s="361" t="str">
        <f t="shared" si="311"/>
        <v/>
      </c>
      <c r="V264" s="298"/>
      <c r="W264" s="298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4" t="str">
        <f t="shared" ref="B265:C269" si="313">IF(AA265=0,"",AA265)</f>
        <v>Spieler 1</v>
      </c>
      <c r="C265" s="375" t="str">
        <f t="shared" si="313"/>
        <v/>
      </c>
      <c r="D265" s="362">
        <f>IF(AC265=301,"",AC265)</f>
        <v>220</v>
      </c>
      <c r="E265" s="362" t="str">
        <f>IF(AD265=0,"",AD265)</f>
        <v/>
      </c>
      <c r="F265" s="362">
        <f>IF(AE265=301,"",AE265)</f>
        <v>146</v>
      </c>
      <c r="G265" s="362" t="str">
        <f>IF(AF265=0,"",AF265)</f>
        <v/>
      </c>
      <c r="H265" s="362">
        <f>IF(AG265=301,"",AG265)</f>
        <v>189</v>
      </c>
      <c r="I265" s="362" t="str">
        <f>IF(AH265=0,"",AH265)</f>
        <v/>
      </c>
      <c r="J265" s="362">
        <f>IF(AI265=301,"",AI265)</f>
        <v>225</v>
      </c>
      <c r="K265" s="362" t="str">
        <f>IF(AJ265=0,"",AJ265)</f>
        <v/>
      </c>
      <c r="L265" s="362">
        <f>IF(AK265=301,"",AK265)</f>
        <v>201</v>
      </c>
      <c r="M265" s="362" t="str">
        <f>IF(AL265=0,"",AL265)</f>
        <v/>
      </c>
      <c r="N265" s="362">
        <f>IF(AM265=301,"",AM265)</f>
        <v>228</v>
      </c>
      <c r="O265" s="362" t="str">
        <f>IF(AN265=0,"",AN265)</f>
        <v/>
      </c>
      <c r="P265" s="362">
        <f>IF(AO265=301,"",AO265)</f>
        <v>193</v>
      </c>
      <c r="Q265" s="362" t="str">
        <f>IF(AP265=0,"",AP265)</f>
        <v/>
      </c>
      <c r="R265" s="362">
        <f>IF(AQ265=301,"",AQ265)</f>
        <v>156</v>
      </c>
      <c r="S265" s="362" t="str">
        <f>IF(AR265=0,"",AR265)</f>
        <v/>
      </c>
      <c r="T265" s="362">
        <f>IF(AS265=301,"",AS265)</f>
        <v>179</v>
      </c>
      <c r="U265" s="362" t="str">
        <f>IF(AT265=0,"",AT265)</f>
        <v/>
      </c>
      <c r="V265" s="364"/>
      <c r="W265" s="364"/>
      <c r="AA265" s="91" t="s">
        <v>0</v>
      </c>
      <c r="AB265" s="92"/>
      <c r="AC265" s="368">
        <f>ABS(INDEX(AC:AC,MATCH(AC262,$AA:$AA,0)+5)+INDEX(AC:AC,MATCH(AC262,$AA:$AA,0)+6)+INDEX(AC:AC,MATCH(AC262,$AA:$AA,0)+7))</f>
        <v>220</v>
      </c>
      <c r="AD265" s="369"/>
      <c r="AE265" s="368">
        <f>ABS(INDEX(AE:AE,MATCH(AE262,$AA:$AA,0)+5)+INDEX(AE:AE,MATCH(AE262,$AA:$AA,0)+6)+INDEX(AE:AE,MATCH(AE262,$AA:$AA,0)+7))</f>
        <v>146</v>
      </c>
      <c r="AF265" s="369"/>
      <c r="AG265" s="368">
        <f>ABS(INDEX(AG:AG,MATCH(AG262,$AA:$AA,0)+5)+INDEX(AG:AG,MATCH(AG262,$AA:$AA,0)+6)+INDEX(AG:AG,MATCH(AG262,$AA:$AA,0)+7))</f>
        <v>189</v>
      </c>
      <c r="AH265" s="369"/>
      <c r="AI265" s="368">
        <f>ABS(INDEX(AI:AI,MATCH(AI262,$AA:$AA,0)+5)+INDEX(AI:AI,MATCH(AI262,$AA:$AA,0)+6)+INDEX(AI:AI,MATCH(AI262,$AA:$AA,0)+7))</f>
        <v>225</v>
      </c>
      <c r="AJ265" s="369"/>
      <c r="AK265" s="368">
        <f>ABS(INDEX(AK:AK,MATCH(AK262,$AA:$AA,0)+5)+INDEX(AK:AK,MATCH(AK262,$AA:$AA,0)+6)+INDEX(AK:AK,MATCH(AK262,$AA:$AA,0)+7))</f>
        <v>201</v>
      </c>
      <c r="AL265" s="369"/>
      <c r="AM265" s="368">
        <f>ABS(INDEX(AM:AM,MATCH(AM262,$AA:$AA,0)+5)+INDEX(AM:AM,MATCH(AM262,$AA:$AA,0)+6)+INDEX(AM:AM,MATCH(AM262,$AA:$AA,0)+7))</f>
        <v>228</v>
      </c>
      <c r="AN265" s="369"/>
      <c r="AO265" s="368">
        <f>ABS(INDEX(AO:AO,MATCH(AO262,$AA:$AA,0)+5)+INDEX(AO:AO,MATCH(AO262,$AA:$AA,0)+6)+INDEX(AO:AO,MATCH(AO262,$AA:$AA,0)+7))</f>
        <v>193</v>
      </c>
      <c r="AP265" s="369"/>
      <c r="AQ265" s="368">
        <f>ABS(INDEX(AQ:AQ,MATCH(AQ262,$AA:$AA,0)+5)+INDEX(AQ:AQ,MATCH(AQ262,$AA:$AA,0)+6)+INDEX(AQ:AQ,MATCH(AQ262,$AA:$AA,0)+7))</f>
        <v>156</v>
      </c>
      <c r="AR265" s="369"/>
      <c r="AS265" s="368">
        <f>ABS(INDEX(AS:AS,MATCH(AS262,$AA:$AA,0)+5)+INDEX(AS:AS,MATCH(AS262,$AA:$AA,0)+6)+INDEX(AS:AS,MATCH(AS262,$AA:$AA,0)+7))</f>
        <v>179</v>
      </c>
      <c r="AT265" s="369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4" t="str">
        <f t="shared" si="313"/>
        <v>Spieler 2</v>
      </c>
      <c r="C266" s="375" t="str">
        <f t="shared" si="313"/>
        <v/>
      </c>
      <c r="D266" s="362">
        <f>IF(AC266=301,"",AC266)</f>
        <v>121</v>
      </c>
      <c r="E266" s="362" t="str">
        <f>IF(AD266=0,"",AD266)</f>
        <v/>
      </c>
      <c r="F266" s="362">
        <f>IF(AE266=301,"",AE266)</f>
        <v>203</v>
      </c>
      <c r="G266" s="362" t="str">
        <f>IF(AF266=0,"",AF266)</f>
        <v/>
      </c>
      <c r="H266" s="362">
        <f>IF(AG266=301,"",AG266)</f>
        <v>168</v>
      </c>
      <c r="I266" s="362" t="str">
        <f>IF(AH266=0,"",AH266)</f>
        <v/>
      </c>
      <c r="J266" s="362">
        <f>IF(AI266=301,"",AI266)</f>
        <v>170</v>
      </c>
      <c r="K266" s="362" t="str">
        <f>IF(AJ266=0,"",AJ266)</f>
        <v/>
      </c>
      <c r="L266" s="362">
        <f>IF(AK266=301,"",AK266)</f>
        <v>162</v>
      </c>
      <c r="M266" s="362" t="str">
        <f>IF(AL266=0,"",AL266)</f>
        <v/>
      </c>
      <c r="N266" s="362">
        <f>IF(AM266=301,"",AM266)</f>
        <v>184</v>
      </c>
      <c r="O266" s="362" t="str">
        <f>IF(AN266=0,"",AN266)</f>
        <v/>
      </c>
      <c r="P266" s="362">
        <f>IF(AO266=301,"",AO266)</f>
        <v>180</v>
      </c>
      <c r="Q266" s="362" t="str">
        <f>IF(AP266=0,"",AP266)</f>
        <v/>
      </c>
      <c r="R266" s="362">
        <f>IF(AQ266=301,"",AQ266)</f>
        <v>180</v>
      </c>
      <c r="S266" s="362" t="str">
        <f>IF(AR266=0,"",AR266)</f>
        <v/>
      </c>
      <c r="T266" s="362">
        <f>IF(AS266=301,"",AS266)</f>
        <v>191</v>
      </c>
      <c r="U266" s="362" t="str">
        <f>IF(AT266=0,"",AT266)</f>
        <v/>
      </c>
      <c r="V266" s="364"/>
      <c r="W266" s="364"/>
      <c r="AA266" s="91" t="s">
        <v>2</v>
      </c>
      <c r="AB266" s="92"/>
      <c r="AC266" s="366">
        <f>ABS(INDEX(AC:AC,MATCH(AC262,$AA:$AA,0)+8)+INDEX(AC:AC,MATCH(AC262,$AA:$AA,0)+9)+INDEX(AC:AC,MATCH(AC262,$AA:$AA,0)+10))</f>
        <v>121</v>
      </c>
      <c r="AD266" s="367"/>
      <c r="AE266" s="366">
        <f>ABS(INDEX(AE:AE,MATCH(AE262,$AA:$AA,0)+8)+INDEX(AE:AE,MATCH(AE262,$AA:$AA,0)+9)+INDEX(AE:AE,MATCH(AE262,$AA:$AA,0)+10))</f>
        <v>203</v>
      </c>
      <c r="AF266" s="367"/>
      <c r="AG266" s="366">
        <f>ABS(INDEX(AG:AG,MATCH(AG262,$AA:$AA,0)+8)+INDEX(AG:AG,MATCH(AG262,$AA:$AA,0)+9)+INDEX(AG:AG,MATCH(AG262,$AA:$AA,0)+10))</f>
        <v>168</v>
      </c>
      <c r="AH266" s="367"/>
      <c r="AI266" s="366">
        <f>ABS(INDEX(AI:AI,MATCH(AI262,$AA:$AA,0)+8)+INDEX(AI:AI,MATCH(AI262,$AA:$AA,0)+9)+INDEX(AI:AI,MATCH(AI262,$AA:$AA,0)+10))</f>
        <v>170</v>
      </c>
      <c r="AJ266" s="367"/>
      <c r="AK266" s="366">
        <f>ABS(INDEX(AK:AK,MATCH(AK262,$AA:$AA,0)+8)+INDEX(AK:AK,MATCH(AK262,$AA:$AA,0)+9)+INDEX(AK:AK,MATCH(AK262,$AA:$AA,0)+10))</f>
        <v>162</v>
      </c>
      <c r="AL266" s="367"/>
      <c r="AM266" s="366">
        <f>ABS(INDEX(AM:AM,MATCH(AM262,$AA:$AA,0)+8)+INDEX(AM:AM,MATCH(AM262,$AA:$AA,0)+9)+INDEX(AM:AM,MATCH(AM262,$AA:$AA,0)+10))</f>
        <v>184</v>
      </c>
      <c r="AN266" s="367"/>
      <c r="AO266" s="366">
        <f>ABS(INDEX(AO:AO,MATCH(AO262,$AA:$AA,0)+8)+INDEX(AO:AO,MATCH(AO262,$AA:$AA,0)+9)+INDEX(AO:AO,MATCH(AO262,$AA:$AA,0)+10))</f>
        <v>180</v>
      </c>
      <c r="AP266" s="367"/>
      <c r="AQ266" s="366">
        <f>ABS(INDEX(AQ:AQ,MATCH(AQ262,$AA:$AA,0)+8)+INDEX(AQ:AQ,MATCH(AQ262,$AA:$AA,0)+9)+INDEX(AQ:AQ,MATCH(AQ262,$AA:$AA,0)+10))</f>
        <v>180</v>
      </c>
      <c r="AR266" s="367"/>
      <c r="AS266" s="366">
        <f>ABS(INDEX(AS:AS,MATCH(AS262,$AA:$AA,0)+8)+INDEX(AS:AS,MATCH(AS262,$AA:$AA,0)+9)+INDEX(AS:AS,MATCH(AS262,$AA:$AA,0)+10))</f>
        <v>191</v>
      </c>
      <c r="AT266" s="367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4" t="str">
        <f t="shared" si="313"/>
        <v>Spieler 3</v>
      </c>
      <c r="C267" s="375" t="str">
        <f t="shared" si="313"/>
        <v/>
      </c>
      <c r="D267" s="362">
        <f>IF(AC267=301,"",AC267)</f>
        <v>242</v>
      </c>
      <c r="E267" s="362" t="str">
        <f>IF(AD267=0,"",AD267)</f>
        <v/>
      </c>
      <c r="F267" s="362">
        <f>IF(AE267=301,"",AE267)</f>
        <v>213</v>
      </c>
      <c r="G267" s="362" t="str">
        <f>IF(AF267=0,"",AF267)</f>
        <v/>
      </c>
      <c r="H267" s="362">
        <f>IF(AG267=301,"",AG267)</f>
        <v>173</v>
      </c>
      <c r="I267" s="362" t="str">
        <f>IF(AH267=0,"",AH267)</f>
        <v/>
      </c>
      <c r="J267" s="362">
        <f>IF(AI267=301,"",AI267)</f>
        <v>162</v>
      </c>
      <c r="K267" s="362" t="str">
        <f>IF(AJ267=0,"",AJ267)</f>
        <v/>
      </c>
      <c r="L267" s="362">
        <f>IF(AK267=301,"",AK267)</f>
        <v>218</v>
      </c>
      <c r="M267" s="362" t="str">
        <f>IF(AL267=0,"",AL267)</f>
        <v/>
      </c>
      <c r="N267" s="362">
        <f>IF(AM267=301,"",AM267)</f>
        <v>188</v>
      </c>
      <c r="O267" s="362" t="str">
        <f>IF(AN267=0,"",AN267)</f>
        <v/>
      </c>
      <c r="P267" s="362">
        <f>IF(AO267=301,"",AO267)</f>
        <v>215</v>
      </c>
      <c r="Q267" s="362" t="str">
        <f>IF(AP267=0,"",AP267)</f>
        <v/>
      </c>
      <c r="R267" s="362">
        <f>IF(AQ267=301,"",AQ267)</f>
        <v>244</v>
      </c>
      <c r="S267" s="362" t="str">
        <f>IF(AR267=0,"",AR267)</f>
        <v/>
      </c>
      <c r="T267" s="362">
        <f>IF(AS267=301,"",AS267)</f>
        <v>160</v>
      </c>
      <c r="U267" s="362" t="str">
        <f>IF(AT267=0,"",AT267)</f>
        <v/>
      </c>
      <c r="V267" s="364"/>
      <c r="W267" s="364"/>
      <c r="AA267" s="91" t="s">
        <v>3</v>
      </c>
      <c r="AB267" s="92"/>
      <c r="AC267" s="366">
        <f>ABS(INDEX(AC:AC,MATCH(AC262,$AA:$AA,0)+11)+INDEX(AC:AC,MATCH(AC262,$AA:$AA,0)+12)+INDEX(AC:AC,MATCH(AC262,$AA:$AA,0)+13))</f>
        <v>242</v>
      </c>
      <c r="AD267" s="367"/>
      <c r="AE267" s="366">
        <f>ABS(INDEX(AE:AE,MATCH(AE262,$AA:$AA,0)+11)+INDEX(AE:AE,MATCH(AE262,$AA:$AA,0)+12)+INDEX(AE:AE,MATCH(AE262,$AA:$AA,0)+13))</f>
        <v>213</v>
      </c>
      <c r="AF267" s="367"/>
      <c r="AG267" s="366">
        <f>ABS(INDEX(AG:AG,MATCH(AG262,$AA:$AA,0)+11)+INDEX(AG:AG,MATCH(AG262,$AA:$AA,0)+12)+INDEX(AG:AG,MATCH(AG262,$AA:$AA,0)+13))</f>
        <v>173</v>
      </c>
      <c r="AH267" s="367"/>
      <c r="AI267" s="366">
        <f>ABS(INDEX(AI:AI,MATCH(AI262,$AA:$AA,0)+11)+INDEX(AI:AI,MATCH(AI262,$AA:$AA,0)+12)+INDEX(AI:AI,MATCH(AI262,$AA:$AA,0)+13))</f>
        <v>162</v>
      </c>
      <c r="AJ267" s="367"/>
      <c r="AK267" s="366">
        <f>ABS(INDEX(AK:AK,MATCH(AK262,$AA:$AA,0)+11)+INDEX(AK:AK,MATCH(AK262,$AA:$AA,0)+12)+INDEX(AK:AK,MATCH(AK262,$AA:$AA,0)+13))</f>
        <v>218</v>
      </c>
      <c r="AL267" s="367"/>
      <c r="AM267" s="366">
        <f>ABS(INDEX(AM:AM,MATCH(AM262,$AA:$AA,0)+11)+INDEX(AM:AM,MATCH(AM262,$AA:$AA,0)+12)+INDEX(AM:AM,MATCH(AM262,$AA:$AA,0)+13))</f>
        <v>188</v>
      </c>
      <c r="AN267" s="367"/>
      <c r="AO267" s="366">
        <f>ABS(INDEX(AO:AO,MATCH(AO262,$AA:$AA,0)+11)+INDEX(AO:AO,MATCH(AO262,$AA:$AA,0)+12)+INDEX(AO:AO,MATCH(AO262,$AA:$AA,0)+13))</f>
        <v>215</v>
      </c>
      <c r="AP267" s="367"/>
      <c r="AQ267" s="366">
        <f>ABS(INDEX(AQ:AQ,MATCH(AQ262,$AA:$AA,0)+11)+INDEX(AQ:AQ,MATCH(AQ262,$AA:$AA,0)+12)+INDEX(AQ:AQ,MATCH(AQ262,$AA:$AA,0)+13))</f>
        <v>244</v>
      </c>
      <c r="AR267" s="367"/>
      <c r="AS267" s="366">
        <f>ABS(INDEX(AS:AS,MATCH(AS262,$AA:$AA,0)+11)+INDEX(AS:AS,MATCH(AS262,$AA:$AA,0)+12)+INDEX(AS:AS,MATCH(AS262,$AA:$AA,0)+13))</f>
        <v>160</v>
      </c>
      <c r="AT267" s="367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4" t="str">
        <f t="shared" si="313"/>
        <v>Spieler 4</v>
      </c>
      <c r="C268" s="375" t="str">
        <f t="shared" si="313"/>
        <v/>
      </c>
      <c r="D268" s="362">
        <f>IF(AC268=301,"",AC268)</f>
        <v>196</v>
      </c>
      <c r="E268" s="362" t="str">
        <f>IF(AD268=0,"",AD268)</f>
        <v/>
      </c>
      <c r="F268" s="362">
        <f>IF(AE268=301,"",AE268)</f>
        <v>138</v>
      </c>
      <c r="G268" s="362" t="str">
        <f>IF(AF268=0,"",AF268)</f>
        <v/>
      </c>
      <c r="H268" s="362">
        <f>IF(AG268=301,"",AG268)</f>
        <v>207</v>
      </c>
      <c r="I268" s="362" t="str">
        <f>IF(AH268=0,"",AH268)</f>
        <v/>
      </c>
      <c r="J268" s="362">
        <f>IF(AI268=301,"",AI268)</f>
        <v>212</v>
      </c>
      <c r="K268" s="362" t="str">
        <f>IF(AJ268=0,"",AJ268)</f>
        <v/>
      </c>
      <c r="L268" s="362">
        <f>IF(AK268=301,"",AK268)</f>
        <v>166</v>
      </c>
      <c r="M268" s="362" t="str">
        <f>IF(AL268=0,"",AL268)</f>
        <v/>
      </c>
      <c r="N268" s="362">
        <f>IF(AM268=301,"",AM268)</f>
        <v>166</v>
      </c>
      <c r="O268" s="362" t="str">
        <f>IF(AN268=0,"",AN268)</f>
        <v/>
      </c>
      <c r="P268" s="362">
        <f>IF(AO268=301,"",AO268)</f>
        <v>169</v>
      </c>
      <c r="Q268" s="362" t="str">
        <f>IF(AP268=0,"",AP268)</f>
        <v/>
      </c>
      <c r="R268" s="362">
        <f>IF(AQ268=301,"",AQ268)</f>
        <v>207</v>
      </c>
      <c r="S268" s="362" t="str">
        <f>IF(AR268=0,"",AR268)</f>
        <v/>
      </c>
      <c r="T268" s="362">
        <f>IF(AS268=301,"",AS268)</f>
        <v>184</v>
      </c>
      <c r="U268" s="362" t="str">
        <f>IF(AT268=0,"",AT268)</f>
        <v/>
      </c>
      <c r="V268" s="364"/>
      <c r="W268" s="364"/>
      <c r="AA268" s="91" t="s">
        <v>11</v>
      </c>
      <c r="AB268" s="92"/>
      <c r="AC268" s="366">
        <f>ABS(INDEX(AC:AC,MATCH(AC262,$AA:$AA,0)+14)+INDEX(AC:AC,MATCH(AC262,$AA:$AA,0)+15)+INDEX(AC:AC,MATCH(AC262,$AA:$AA,0)+16))</f>
        <v>196</v>
      </c>
      <c r="AD268" s="367"/>
      <c r="AE268" s="366">
        <f>ABS(INDEX(AE:AE,MATCH(AE262,$AA:$AA,0)+14)+INDEX(AE:AE,MATCH(AE262,$AA:$AA,0)+15)+INDEX(AE:AE,MATCH(AE262,$AA:$AA,0)+16))</f>
        <v>138</v>
      </c>
      <c r="AF268" s="367"/>
      <c r="AG268" s="366">
        <f>ABS(INDEX(AG:AG,MATCH(AG262,$AA:$AA,0)+14)+INDEX(AG:AG,MATCH(AG262,$AA:$AA,0)+15)+INDEX(AG:AG,MATCH(AG262,$AA:$AA,0)+16))</f>
        <v>207</v>
      </c>
      <c r="AH268" s="367"/>
      <c r="AI268" s="366">
        <f>ABS(INDEX(AI:AI,MATCH(AI262,$AA:$AA,0)+14)+INDEX(AI:AI,MATCH(AI262,$AA:$AA,0)+15)+INDEX(AI:AI,MATCH(AI262,$AA:$AA,0)+16))</f>
        <v>212</v>
      </c>
      <c r="AJ268" s="367"/>
      <c r="AK268" s="366">
        <f>ABS(INDEX(AK:AK,MATCH(AK262,$AA:$AA,0)+14)+INDEX(AK:AK,MATCH(AK262,$AA:$AA,0)+15)+INDEX(AK:AK,MATCH(AK262,$AA:$AA,0)+16))</f>
        <v>166</v>
      </c>
      <c r="AL268" s="367"/>
      <c r="AM268" s="366">
        <f>ABS(INDEX(AM:AM,MATCH(AM262,$AA:$AA,0)+14)+INDEX(AM:AM,MATCH(AM262,$AA:$AA,0)+15)+INDEX(AM:AM,MATCH(AM262,$AA:$AA,0)+16))</f>
        <v>166</v>
      </c>
      <c r="AN268" s="367"/>
      <c r="AO268" s="366">
        <f>ABS(INDEX(AO:AO,MATCH(AO262,$AA:$AA,0)+14)+INDEX(AO:AO,MATCH(AO262,$AA:$AA,0)+15)+INDEX(AO:AO,MATCH(AO262,$AA:$AA,0)+16))</f>
        <v>169</v>
      </c>
      <c r="AP268" s="367"/>
      <c r="AQ268" s="366">
        <f>ABS(INDEX(AQ:AQ,MATCH(AQ262,$AA:$AA,0)+14)+INDEX(AQ:AQ,MATCH(AQ262,$AA:$AA,0)+15)+INDEX(AQ:AQ,MATCH(AQ262,$AA:$AA,0)+16))</f>
        <v>207</v>
      </c>
      <c r="AR268" s="367"/>
      <c r="AS268" s="366">
        <f>ABS(INDEX(AS:AS,MATCH(AS262,$AA:$AA,0)+14)+INDEX(AS:AS,MATCH(AS262,$AA:$AA,0)+15)+INDEX(AS:AS,MATCH(AS262,$AA:$AA,0)+16))</f>
        <v>184</v>
      </c>
      <c r="AT268" s="367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6" t="str">
        <f t="shared" si="313"/>
        <v>Gesamt</v>
      </c>
      <c r="C269" s="347" t="str">
        <f t="shared" si="313"/>
        <v/>
      </c>
      <c r="D269" s="365">
        <f>IF(AC269=1505,"",AC269)</f>
        <v>779</v>
      </c>
      <c r="E269" s="365" t="str">
        <f>IF(AD269=0,"",AD269)</f>
        <v/>
      </c>
      <c r="F269" s="365">
        <f>IF(AE269=1505,"",AE269)</f>
        <v>700</v>
      </c>
      <c r="G269" s="365" t="str">
        <f>IF(AF269=0,"",AF269)</f>
        <v/>
      </c>
      <c r="H269" s="365">
        <f>IF(AG269=1505,"",AG269)</f>
        <v>737</v>
      </c>
      <c r="I269" s="365" t="str">
        <f>IF(AH269=0,"",AH269)</f>
        <v/>
      </c>
      <c r="J269" s="365">
        <f>IF(AI269=1505,"",AI269)</f>
        <v>769</v>
      </c>
      <c r="K269" s="365" t="str">
        <f>IF(AJ269=0,"",AJ269)</f>
        <v/>
      </c>
      <c r="L269" s="365">
        <f>IF(AK269=1505,"",AK269)</f>
        <v>747</v>
      </c>
      <c r="M269" s="365" t="str">
        <f>IF(AL269=0,"",AL269)</f>
        <v/>
      </c>
      <c r="N269" s="365">
        <f>IF(AM269=1505,"",AM269)</f>
        <v>766</v>
      </c>
      <c r="O269" s="365" t="str">
        <f>IF(AN269=0,"",AN269)</f>
        <v/>
      </c>
      <c r="P269" s="365">
        <f>IF(AO269=1505,"",AO269)</f>
        <v>757</v>
      </c>
      <c r="Q269" s="365" t="str">
        <f>IF(AP269=0,"",AP269)</f>
        <v/>
      </c>
      <c r="R269" s="365">
        <f>IF(AQ269=1505,"",AQ269)</f>
        <v>787</v>
      </c>
      <c r="S269" s="365" t="str">
        <f>IF(AR269=0,"",AR269)</f>
        <v/>
      </c>
      <c r="T269" s="365">
        <f>IF(AS269=1505,"",AS269)</f>
        <v>714</v>
      </c>
      <c r="U269" s="365" t="str">
        <f>IF(AT269=0,"",AT269)</f>
        <v/>
      </c>
      <c r="V269" s="301"/>
      <c r="W269" s="301"/>
      <c r="AA269" s="93" t="s">
        <v>1799</v>
      </c>
      <c r="AB269" s="94"/>
      <c r="AC269" s="346">
        <f>SUM(AC265:AC268)</f>
        <v>779</v>
      </c>
      <c r="AD269" s="347"/>
      <c r="AE269" s="346">
        <f>SUM(AE265:AE268)</f>
        <v>700</v>
      </c>
      <c r="AF269" s="347"/>
      <c r="AG269" s="346">
        <f>SUM(AG265:AG268)</f>
        <v>737</v>
      </c>
      <c r="AH269" s="347"/>
      <c r="AI269" s="346">
        <f>SUM(AI265:AI268)</f>
        <v>769</v>
      </c>
      <c r="AJ269" s="347"/>
      <c r="AK269" s="346">
        <f>SUM(AK265:AK268)</f>
        <v>747</v>
      </c>
      <c r="AL269" s="347"/>
      <c r="AM269" s="346">
        <f>SUM(AM265:AM268)</f>
        <v>766</v>
      </c>
      <c r="AN269" s="347"/>
      <c r="AO269" s="346">
        <f>SUM(AO265:AO268)</f>
        <v>757</v>
      </c>
      <c r="AP269" s="347"/>
      <c r="AQ269" s="346">
        <f>SUM(AQ265:AQ268)</f>
        <v>787</v>
      </c>
      <c r="AR269" s="347"/>
      <c r="AS269" s="346">
        <f>SUM(AS265:AS268)</f>
        <v>714</v>
      </c>
      <c r="AT269" s="347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5" t="str">
        <f>AE271</f>
        <v>Bayernliga Herren</v>
      </c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48"/>
      <c r="S271" s="49" t="s">
        <v>1794</v>
      </c>
      <c r="T271" s="50"/>
      <c r="U271" s="341" t="str">
        <f>AT271</f>
        <v>02.11./03.11.</v>
      </c>
      <c r="V271" s="342"/>
      <c r="W271" s="343"/>
      <c r="X271" s="372"/>
      <c r="Y271" s="373"/>
      <c r="Z271" s="373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41" t="str">
        <f>VLOOKUP(AS272,Spielorte!$A$1:$C$6,2)</f>
        <v>02.11./03.11.</v>
      </c>
      <c r="AU271" s="342"/>
      <c r="AV271" s="34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4" t="str">
        <f>AE272</f>
        <v>Nürnberg West Bowling</v>
      </c>
      <c r="G272" s="344"/>
      <c r="H272" s="344"/>
      <c r="I272" s="344"/>
      <c r="J272" s="344"/>
      <c r="K272" s="344"/>
      <c r="L272" s="344"/>
      <c r="M272" s="344"/>
      <c r="N272" s="344"/>
      <c r="O272" s="344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6" t="s">
        <v>1800</v>
      </c>
      <c r="E275" s="347"/>
      <c r="F275" s="346" t="s">
        <v>1801</v>
      </c>
      <c r="G275" s="347"/>
      <c r="H275" s="346" t="s">
        <v>1802</v>
      </c>
      <c r="I275" s="347"/>
      <c r="J275" s="346" t="s">
        <v>1803</v>
      </c>
      <c r="K275" s="347"/>
      <c r="L275" s="346" t="s">
        <v>1804</v>
      </c>
      <c r="M275" s="347"/>
      <c r="N275" s="346" t="s">
        <v>1805</v>
      </c>
      <c r="O275" s="347"/>
      <c r="P275" s="346" t="s">
        <v>1806</v>
      </c>
      <c r="Q275" s="347"/>
      <c r="R275" s="346" t="s">
        <v>1807</v>
      </c>
      <c r="S275" s="347"/>
      <c r="T275" s="346" t="s">
        <v>1808</v>
      </c>
      <c r="U275" s="347"/>
      <c r="V275" s="354" t="s">
        <v>1799</v>
      </c>
      <c r="W275" s="355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6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167</v>
      </c>
      <c r="E277" s="348">
        <f>IF(AD277="","",AD277)</f>
        <v>0</v>
      </c>
      <c r="F277" s="75">
        <f t="shared" ref="F277:F290" si="314">IF(AE277=0,"",AE277)</f>
        <v>214</v>
      </c>
      <c r="G277" s="348">
        <f>IF(AF277="","",AF277)</f>
        <v>1</v>
      </c>
      <c r="H277" s="75">
        <f t="shared" ref="H277:H290" si="315">IF(AG277=0,"",AG277)</f>
        <v>220</v>
      </c>
      <c r="I277" s="348">
        <f>IF(AH277="","",AH277)</f>
        <v>1</v>
      </c>
      <c r="J277" s="75">
        <f t="shared" ref="J277:J290" si="316">IF(AI277=0,"",AI277)</f>
        <v>225</v>
      </c>
      <c r="K277" s="348">
        <f>IF(AJ277="","",AJ277)</f>
        <v>1</v>
      </c>
      <c r="L277" s="75">
        <f t="shared" ref="L277:L290" si="317">IF(AK277=0,"",AK277)</f>
        <v>192</v>
      </c>
      <c r="M277" s="348">
        <f>IF(AL277="","",AL277)</f>
        <v>0</v>
      </c>
      <c r="N277" s="75">
        <f>IF(AM277=0,"",AM277)</f>
        <v>165</v>
      </c>
      <c r="O277" s="348">
        <f>IF(AN277="","",AN277)</f>
        <v>0</v>
      </c>
      <c r="P277" s="75">
        <f t="shared" ref="P277:P290" si="318">IF(AO277=0,"",AO277)</f>
        <v>244</v>
      </c>
      <c r="Q277" s="348">
        <f>IF(AP277="","",AP277)</f>
        <v>1</v>
      </c>
      <c r="R277" s="75">
        <f t="shared" ref="R277:R290" si="319">IF(AQ277=0,"",AQ277)</f>
        <v>217</v>
      </c>
      <c r="S277" s="348">
        <f>IF(AR277="","",AR277)</f>
        <v>1</v>
      </c>
      <c r="T277" s="75">
        <f t="shared" ref="T277:T290" si="320">IF(AS277=0,"",AS277)</f>
        <v>191</v>
      </c>
      <c r="U277" s="348">
        <f>IF(AT277="","",AT277)</f>
        <v>1</v>
      </c>
      <c r="V277" s="75">
        <f t="shared" ref="V277:V290" si="321">IF(AU277=0,"",AU277)</f>
        <v>1835</v>
      </c>
      <c r="W277" s="348">
        <f>IF(AV277="","",AV277)</f>
        <v>6</v>
      </c>
      <c r="Z277" s="351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167</v>
      </c>
      <c r="AD277" s="109">
        <f>IF(SUM(AC277:AC279)+AC295=0,0,IF(SUM(AC277:AC279)=AC295,0.5,IF(SUM(AC277:AC279)&gt;AC295,1,0)))</f>
        <v>0</v>
      </c>
      <c r="AE277" s="185">
        <v>214</v>
      </c>
      <c r="AF277" s="109">
        <f>IF(SUM(AE277:AE279)+AE295=0,0,IF(SUM(AE277:AE279)=AE295,0.5,IF(SUM(AE277:AE279)&gt;AE295,1,0)))</f>
        <v>1</v>
      </c>
      <c r="AG277" s="185">
        <v>220</v>
      </c>
      <c r="AH277" s="109">
        <f>IF(SUM(AG277:AG279)+AG295=0,0,IF(SUM(AG277:AG279)=AG295,0.5,IF(SUM(AG277:AG279)&gt;AG295,1,0)))</f>
        <v>1</v>
      </c>
      <c r="AI277" s="185">
        <v>225</v>
      </c>
      <c r="AJ277" s="109">
        <f>IF(SUM(AI277:AI279)+AI295=0,0,IF(SUM(AI277:AI279)=AI295,0.5,IF(SUM(AI277:AI279)&gt;AI295,1,0)))</f>
        <v>1</v>
      </c>
      <c r="AK277" s="185">
        <v>192</v>
      </c>
      <c r="AL277" s="109">
        <f>IF(SUM(AK277:AK279)+AK295=0,0,IF(SUM(AK277:AK279)=AK295,0.5,IF(SUM(AK277:AK279)&gt;AK295,1,0)))</f>
        <v>0</v>
      </c>
      <c r="AM277" s="185">
        <v>165</v>
      </c>
      <c r="AN277" s="109">
        <f>IF(SUM(AM277:AM279)+AM295=0,0,IF(SUM(AM277:AM279)=AM295,0.5,IF(SUM(AM277:AM279)&gt;AM295,1,0)))</f>
        <v>0</v>
      </c>
      <c r="AO277" s="185">
        <v>244</v>
      </c>
      <c r="AP277" s="109">
        <f>IF(SUM(AO277:AO279)+AO295=0,0,IF(SUM(AO277:AO279)=AO295,0.5,IF(SUM(AO277:AO279)&gt;AO295,1,0)))</f>
        <v>1</v>
      </c>
      <c r="AQ277" s="185">
        <v>217</v>
      </c>
      <c r="AR277" s="109">
        <f>IF(SUM(AQ277:AQ279)+AQ295=0,0,IF(SUM(AQ277:AQ279)=AQ295,0.5,IF(SUM(AQ277:AQ279)&gt;AQ295,1,0)))</f>
        <v>1</v>
      </c>
      <c r="AS277" s="185">
        <v>191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1835</v>
      </c>
      <c r="AV277" s="111">
        <f>SUM(AD277+AF277+AH277+AJ277+AL277+AN277+AP277+AR277+AT277)</f>
        <v>6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1835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167</v>
      </c>
      <c r="BI277" s="215">
        <f t="shared" ref="BI277:BI288" si="324">IF(AE277=0,"",AE277)</f>
        <v>214</v>
      </c>
      <c r="BJ277" s="215">
        <f t="shared" ref="BJ277:BJ288" si="325">IF(AG277=0,"",AG277)</f>
        <v>220</v>
      </c>
      <c r="BK277" s="215">
        <f t="shared" ref="BK277:BK288" si="326">IF(AI277=0,"",AI277)</f>
        <v>225</v>
      </c>
      <c r="BL277" s="215">
        <f t="shared" ref="BL277:BL288" si="327">IF(AK277=0,"",AK277)</f>
        <v>192</v>
      </c>
      <c r="BM277" s="215">
        <f t="shared" ref="BM277:BM288" si="328">IF(AM277=0,"",AM277)</f>
        <v>165</v>
      </c>
      <c r="BN277" s="215">
        <f t="shared" ref="BN277:BN288" si="329">IF(AO277=0,"",AO277)</f>
        <v>244</v>
      </c>
      <c r="BO277" s="215">
        <f t="shared" ref="BO277:BO288" si="330">IF(AQ277=0,"",AQ277)</f>
        <v>217</v>
      </c>
      <c r="BP277" s="215">
        <f t="shared" ref="BP277:BP288" si="331">IF(AS277=0,"",AS277)</f>
        <v>191</v>
      </c>
      <c r="BQ277" s="216"/>
      <c r="BR277" s="214"/>
      <c r="BS277" s="215">
        <f>MAX(BH277:BP277)</f>
        <v>244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1835</v>
      </c>
      <c r="BX277" s="215">
        <f>IF(COUNTIF(BH277:BP277,"&gt;0")&lt;Spielorte!$A$23,0,BE277/Spielorte!$A$23)</f>
        <v>203.88888888888889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77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9"/>
      <c r="F278" s="78" t="str">
        <f t="shared" si="314"/>
        <v/>
      </c>
      <c r="G278" s="349"/>
      <c r="H278" s="78" t="str">
        <f t="shared" si="315"/>
        <v/>
      </c>
      <c r="I278" s="349"/>
      <c r="J278" s="78" t="str">
        <f t="shared" si="316"/>
        <v/>
      </c>
      <c r="K278" s="349"/>
      <c r="L278" s="78" t="str">
        <f t="shared" si="317"/>
        <v/>
      </c>
      <c r="M278" s="349"/>
      <c r="N278" s="78" t="str">
        <f t="shared" ref="N278:N290" si="334">IF(AM278=0,"",AM278)</f>
        <v/>
      </c>
      <c r="O278" s="349"/>
      <c r="P278" s="78" t="str">
        <f t="shared" si="318"/>
        <v/>
      </c>
      <c r="Q278" s="349"/>
      <c r="R278" s="78" t="str">
        <f t="shared" si="319"/>
        <v/>
      </c>
      <c r="S278" s="349"/>
      <c r="T278" s="78" t="str">
        <f t="shared" si="320"/>
        <v/>
      </c>
      <c r="U278" s="349"/>
      <c r="V278" s="78" t="str">
        <f t="shared" si="321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8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0"/>
      <c r="F279" s="69" t="str">
        <f t="shared" si="314"/>
        <v/>
      </c>
      <c r="G279" s="350"/>
      <c r="H279" s="69" t="str">
        <f t="shared" si="315"/>
        <v/>
      </c>
      <c r="I279" s="350"/>
      <c r="J279" s="69" t="str">
        <f t="shared" si="316"/>
        <v/>
      </c>
      <c r="K279" s="350"/>
      <c r="L279" s="69" t="str">
        <f t="shared" si="317"/>
        <v/>
      </c>
      <c r="M279" s="350"/>
      <c r="N279" s="69" t="str">
        <f t="shared" si="334"/>
        <v/>
      </c>
      <c r="O279" s="350"/>
      <c r="P279" s="69" t="str">
        <f t="shared" si="318"/>
        <v/>
      </c>
      <c r="Q279" s="350"/>
      <c r="R279" s="69" t="str">
        <f t="shared" si="319"/>
        <v/>
      </c>
      <c r="S279" s="350"/>
      <c r="T279" s="69" t="str">
        <f t="shared" si="320"/>
        <v/>
      </c>
      <c r="U279" s="350"/>
      <c r="V279" s="69" t="str">
        <f t="shared" si="321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76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149</v>
      </c>
      <c r="E280" s="348">
        <f>IF(AD280="","",AD280)</f>
        <v>0</v>
      </c>
      <c r="F280" s="75">
        <f t="shared" si="314"/>
        <v>187</v>
      </c>
      <c r="G280" s="348">
        <f>IF(AF280="","",AF280)</f>
        <v>0</v>
      </c>
      <c r="H280" s="75">
        <f t="shared" si="315"/>
        <v>178</v>
      </c>
      <c r="I280" s="348">
        <f>IF(AH280="","",AH280)</f>
        <v>1</v>
      </c>
      <c r="J280" s="75">
        <f t="shared" si="316"/>
        <v>170</v>
      </c>
      <c r="K280" s="348">
        <f>IF(AJ280="","",AJ280)</f>
        <v>0</v>
      </c>
      <c r="L280" s="75">
        <f t="shared" si="317"/>
        <v>154</v>
      </c>
      <c r="M280" s="348">
        <f>IF(AL280="","",AL280)</f>
        <v>0</v>
      </c>
      <c r="N280" s="75" t="str">
        <f t="shared" si="334"/>
        <v/>
      </c>
      <c r="O280" s="348">
        <f>IF(AN280="","",AN280)</f>
        <v>0</v>
      </c>
      <c r="P280" s="75" t="str">
        <f t="shared" si="318"/>
        <v/>
      </c>
      <c r="Q280" s="348">
        <f>IF(AP280="","",AP280)</f>
        <v>1</v>
      </c>
      <c r="R280" s="75" t="str">
        <f t="shared" si="319"/>
        <v/>
      </c>
      <c r="S280" s="348">
        <f>IF(AR280="","",AR280)</f>
        <v>1</v>
      </c>
      <c r="T280" s="75" t="str">
        <f t="shared" si="320"/>
        <v/>
      </c>
      <c r="U280" s="348">
        <f>IF(AT280="","",AT280)</f>
        <v>0</v>
      </c>
      <c r="V280" s="75">
        <f t="shared" si="321"/>
        <v>838</v>
      </c>
      <c r="W280" s="348">
        <f>IF(AV280="","",AV280)</f>
        <v>3</v>
      </c>
      <c r="Z280" s="351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187</v>
      </c>
      <c r="AF280" s="109">
        <f>IF(SUM(AE280:AE282)+AE296=0,0,IF(SUM(AE280:AE282)=AE296,0.5,IF(SUM(AE280:AE282)&gt;AE296,1,0)))</f>
        <v>0</v>
      </c>
      <c r="AG280" s="188">
        <v>178</v>
      </c>
      <c r="AH280" s="109">
        <f>IF(SUM(AG280:AG282)+AG296=0,0,IF(SUM(AG280:AG282)=AG296,0.5,IF(SUM(AG280:AG282)&gt;AG296,1,0)))</f>
        <v>1</v>
      </c>
      <c r="AI280" s="188">
        <v>170</v>
      </c>
      <c r="AJ280" s="109">
        <f>IF(SUM(AI280:AI282)+AI296=0,0,IF(SUM(AI280:AI282)=AI296,0.5,IF(SUM(AI280:AI282)&gt;AI296,1,0)))</f>
        <v>0</v>
      </c>
      <c r="AK280" s="188">
        <v>154</v>
      </c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1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838</v>
      </c>
      <c r="AV280" s="111">
        <f>SUM(AD280+AF280+AH280+AJ280+AL280+AN280+AP280+AR280+AT280)</f>
        <v>3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838</v>
      </c>
      <c r="BF280" s="215">
        <f t="shared" si="337"/>
        <v>5</v>
      </c>
      <c r="BG280" s="215">
        <f t="shared" si="338"/>
        <v>5</v>
      </c>
      <c r="BH280" s="215">
        <f t="shared" si="323"/>
        <v>149</v>
      </c>
      <c r="BI280" s="215">
        <f t="shared" si="324"/>
        <v>187</v>
      </c>
      <c r="BJ280" s="215">
        <f t="shared" si="325"/>
        <v>178</v>
      </c>
      <c r="BK280" s="215">
        <f t="shared" si="326"/>
        <v>170</v>
      </c>
      <c r="BL280" s="215">
        <f t="shared" si="327"/>
        <v>154</v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187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2</v>
      </c>
      <c r="BW280" s="215">
        <f t="shared" si="343"/>
        <v>838</v>
      </c>
      <c r="BX280" s="215">
        <f>IF(COUNTIF(BH280:BP280,"&gt;0")&lt;Spielorte!$A$23,0,BE280/Spielorte!$A$23)</f>
        <v>0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5">
      <c r="A281" s="377"/>
      <c r="B281" s="76" t="str">
        <f t="shared" si="333"/>
        <v>Tos, Sascha</v>
      </c>
      <c r="C281" s="77">
        <f t="shared" si="333"/>
        <v>16519</v>
      </c>
      <c r="D281" s="78" t="str">
        <f t="shared" si="333"/>
        <v/>
      </c>
      <c r="E281" s="349"/>
      <c r="F281" s="78" t="str">
        <f t="shared" si="314"/>
        <v/>
      </c>
      <c r="G281" s="349"/>
      <c r="H281" s="78" t="str">
        <f t="shared" si="315"/>
        <v/>
      </c>
      <c r="I281" s="349"/>
      <c r="J281" s="78" t="str">
        <f t="shared" si="316"/>
        <v/>
      </c>
      <c r="K281" s="349"/>
      <c r="L281" s="78" t="str">
        <f t="shared" si="317"/>
        <v/>
      </c>
      <c r="M281" s="349"/>
      <c r="N281" s="78">
        <f t="shared" si="334"/>
        <v>169</v>
      </c>
      <c r="O281" s="349"/>
      <c r="P281" s="78">
        <f t="shared" si="318"/>
        <v>169</v>
      </c>
      <c r="Q281" s="349"/>
      <c r="R281" s="78">
        <f t="shared" si="319"/>
        <v>175</v>
      </c>
      <c r="S281" s="349"/>
      <c r="T281" s="78">
        <f t="shared" si="320"/>
        <v>202</v>
      </c>
      <c r="U281" s="349"/>
      <c r="V281" s="78">
        <f t="shared" si="321"/>
        <v>715</v>
      </c>
      <c r="W281" s="349"/>
      <c r="Z281" s="352"/>
      <c r="AA281" s="108" t="str">
        <f>IF(AB281=0,"",VLOOKUP(AB281,Starter!$A$1:$D$199,2,FALSE))</f>
        <v>Tos, Sascha</v>
      </c>
      <c r="AB281" s="98">
        <v>16519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>
        <v>169</v>
      </c>
      <c r="AN281" s="112"/>
      <c r="AO281" s="190">
        <v>169</v>
      </c>
      <c r="AP281" s="112"/>
      <c r="AQ281" s="190">
        <v>175</v>
      </c>
      <c r="AR281" s="112"/>
      <c r="AS281" s="190">
        <v>202</v>
      </c>
      <c r="AT281" s="112"/>
      <c r="AU281" s="113">
        <f t="shared" si="322"/>
        <v>715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16519</v>
      </c>
      <c r="BE281" s="213">
        <f t="shared" si="336"/>
        <v>715</v>
      </c>
      <c r="BF281" s="215">
        <f t="shared" si="337"/>
        <v>4</v>
      </c>
      <c r="BG281" s="215">
        <f t="shared" si="338"/>
        <v>4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>
        <f t="shared" si="328"/>
        <v>169</v>
      </c>
      <c r="BN281" s="215">
        <f t="shared" si="329"/>
        <v>169</v>
      </c>
      <c r="BO281" s="215">
        <f t="shared" si="330"/>
        <v>175</v>
      </c>
      <c r="BP281" s="215">
        <f t="shared" si="331"/>
        <v>202</v>
      </c>
      <c r="BQ281" s="216"/>
      <c r="BR281" s="214"/>
      <c r="BS281" s="215">
        <f t="shared" si="339"/>
        <v>202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2</v>
      </c>
      <c r="BW281" s="215">
        <f t="shared" si="343"/>
        <v>715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8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0"/>
      <c r="F282" s="69" t="str">
        <f t="shared" si="314"/>
        <v/>
      </c>
      <c r="G282" s="350"/>
      <c r="H282" s="69" t="str">
        <f t="shared" si="315"/>
        <v/>
      </c>
      <c r="I282" s="350"/>
      <c r="J282" s="69" t="str">
        <f t="shared" si="316"/>
        <v/>
      </c>
      <c r="K282" s="350"/>
      <c r="L282" s="69" t="str">
        <f t="shared" si="317"/>
        <v/>
      </c>
      <c r="M282" s="350"/>
      <c r="N282" s="69" t="str">
        <f t="shared" si="334"/>
        <v/>
      </c>
      <c r="O282" s="350"/>
      <c r="P282" s="69" t="str">
        <f t="shared" si="318"/>
        <v/>
      </c>
      <c r="Q282" s="350"/>
      <c r="R282" s="69" t="str">
        <f t="shared" si="319"/>
        <v/>
      </c>
      <c r="S282" s="350"/>
      <c r="T282" s="69" t="str">
        <f t="shared" si="320"/>
        <v/>
      </c>
      <c r="U282" s="350"/>
      <c r="V282" s="69" t="str">
        <f t="shared" si="321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76" t="s">
        <v>3</v>
      </c>
      <c r="B283" s="73" t="str">
        <f t="shared" si="333"/>
        <v>Schwarz, Christian</v>
      </c>
      <c r="C283" s="74">
        <f t="shared" si="333"/>
        <v>25061</v>
      </c>
      <c r="D283" s="75">
        <f t="shared" si="333"/>
        <v>195</v>
      </c>
      <c r="E283" s="348">
        <f>IF(AD283="","",AD283)</f>
        <v>0</v>
      </c>
      <c r="F283" s="75">
        <f t="shared" si="314"/>
        <v>184</v>
      </c>
      <c r="G283" s="348">
        <f>IF(AF283="","",AF283)</f>
        <v>1</v>
      </c>
      <c r="H283" s="75">
        <f t="shared" si="315"/>
        <v>171</v>
      </c>
      <c r="I283" s="348">
        <f>IF(AH283="","",AH283)</f>
        <v>0</v>
      </c>
      <c r="J283" s="75">
        <f t="shared" si="316"/>
        <v>162</v>
      </c>
      <c r="K283" s="348">
        <f>IF(AJ283="","",AJ283)</f>
        <v>0</v>
      </c>
      <c r="L283" s="75">
        <f t="shared" si="317"/>
        <v>173</v>
      </c>
      <c r="M283" s="348">
        <f>IF(AL283="","",AL283)</f>
        <v>0</v>
      </c>
      <c r="N283" s="75">
        <f t="shared" si="334"/>
        <v>159</v>
      </c>
      <c r="O283" s="348">
        <f>IF(AN283="","",AN283)</f>
        <v>0</v>
      </c>
      <c r="P283" s="75">
        <f t="shared" si="318"/>
        <v>149</v>
      </c>
      <c r="Q283" s="348">
        <f>IF(AP283="","",AP283)</f>
        <v>1</v>
      </c>
      <c r="R283" s="75" t="str">
        <f t="shared" si="319"/>
        <v/>
      </c>
      <c r="S283" s="348">
        <f>IF(AR283="","",AR283)</f>
        <v>0</v>
      </c>
      <c r="T283" s="75" t="str">
        <f t="shared" si="320"/>
        <v/>
      </c>
      <c r="U283" s="348">
        <f>IF(AT283="","",AT283)</f>
        <v>1</v>
      </c>
      <c r="V283" s="75">
        <f t="shared" si="321"/>
        <v>1193</v>
      </c>
      <c r="W283" s="348">
        <f>IF(AV283="","",AV283)</f>
        <v>3</v>
      </c>
      <c r="Z283" s="351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195</v>
      </c>
      <c r="AD283" s="109">
        <f>IF(SUM(AC283:AC285)+AC297=0,0,IF(SUM(AC283:AC285)=AC297,0.5,IF(SUM(AC283:AC285)&gt;AC297,1,0)))</f>
        <v>0</v>
      </c>
      <c r="AE283" s="188">
        <v>184</v>
      </c>
      <c r="AF283" s="109">
        <f>IF(SUM(AE283:AE285)+AE297=0,0,IF(SUM(AE283:AE285)=AE297,0.5,IF(SUM(AE283:AE285)&gt;AE297,1,0)))</f>
        <v>1</v>
      </c>
      <c r="AG283" s="188">
        <v>171</v>
      </c>
      <c r="AH283" s="109">
        <f>IF(SUM(AG283:AG285)+AG297=0,0,IF(SUM(AG283:AG285)=AG297,0.5,IF(SUM(AG283:AG285)&gt;AG297,1,0)))</f>
        <v>0</v>
      </c>
      <c r="AI283" s="188">
        <v>162</v>
      </c>
      <c r="AJ283" s="109">
        <f>IF(SUM(AI283:AI285)+AI297=0,0,IF(SUM(AI283:AI285)=AI297,0.5,IF(SUM(AI283:AI285)&gt;AI297,1,0)))</f>
        <v>0</v>
      </c>
      <c r="AK283" s="188">
        <v>173</v>
      </c>
      <c r="AL283" s="109">
        <f>IF(SUM(AK283:AK285)+AK297=0,0,IF(SUM(AK283:AK285)=AK297,0.5,IF(SUM(AK283:AK285)&gt;AK297,1,0)))</f>
        <v>0</v>
      </c>
      <c r="AM283" s="188">
        <v>159</v>
      </c>
      <c r="AN283" s="109">
        <f>IF(SUM(AM283:AM285)+AM297=0,0,IF(SUM(AM283:AM285)=AM297,0.5,IF(SUM(AM283:AM285)&gt;AM297,1,0)))</f>
        <v>0</v>
      </c>
      <c r="AO283" s="188">
        <v>149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1193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35"/>
        <v>25061</v>
      </c>
      <c r="BE283" s="213">
        <f t="shared" si="336"/>
        <v>1193</v>
      </c>
      <c r="BF283" s="215">
        <f t="shared" si="337"/>
        <v>7</v>
      </c>
      <c r="BG283" s="215">
        <f t="shared" si="338"/>
        <v>7</v>
      </c>
      <c r="BH283" s="215">
        <f t="shared" si="323"/>
        <v>195</v>
      </c>
      <c r="BI283" s="215">
        <f t="shared" si="324"/>
        <v>184</v>
      </c>
      <c r="BJ283" s="215">
        <f t="shared" si="325"/>
        <v>171</v>
      </c>
      <c r="BK283" s="215">
        <f t="shared" si="326"/>
        <v>162</v>
      </c>
      <c r="BL283" s="215">
        <f t="shared" si="327"/>
        <v>173</v>
      </c>
      <c r="BM283" s="215">
        <f t="shared" si="328"/>
        <v>159</v>
      </c>
      <c r="BN283" s="215">
        <f t="shared" si="329"/>
        <v>149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195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2</v>
      </c>
      <c r="BW283" s="215">
        <f t="shared" si="343"/>
        <v>1193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77"/>
      <c r="B284" s="76" t="str">
        <f t="shared" si="333"/>
        <v>Kabel, Nicolas</v>
      </c>
      <c r="C284" s="77">
        <f t="shared" si="333"/>
        <v>38092</v>
      </c>
      <c r="D284" s="78" t="str">
        <f t="shared" si="333"/>
        <v/>
      </c>
      <c r="E284" s="349"/>
      <c r="F284" s="78" t="str">
        <f t="shared" si="314"/>
        <v/>
      </c>
      <c r="G284" s="349"/>
      <c r="H284" s="78" t="str">
        <f t="shared" si="315"/>
        <v/>
      </c>
      <c r="I284" s="349"/>
      <c r="J284" s="78" t="str">
        <f t="shared" si="316"/>
        <v/>
      </c>
      <c r="K284" s="349"/>
      <c r="L284" s="78" t="str">
        <f t="shared" si="317"/>
        <v/>
      </c>
      <c r="M284" s="349"/>
      <c r="N284" s="78" t="str">
        <f t="shared" si="334"/>
        <v/>
      </c>
      <c r="O284" s="349"/>
      <c r="P284" s="78" t="str">
        <f t="shared" si="318"/>
        <v/>
      </c>
      <c r="Q284" s="349"/>
      <c r="R284" s="78">
        <f t="shared" si="319"/>
        <v>190</v>
      </c>
      <c r="S284" s="349"/>
      <c r="T284" s="78">
        <f t="shared" si="320"/>
        <v>233</v>
      </c>
      <c r="U284" s="349"/>
      <c r="V284" s="78">
        <f t="shared" si="321"/>
        <v>423</v>
      </c>
      <c r="W284" s="349"/>
      <c r="Z284" s="352"/>
      <c r="AA284" s="108" t="str">
        <f>IF(AB284=0,"",VLOOKUP(AB284,Starter!$A$1:$D$199,2,FALSE))</f>
        <v>Kabel, Nicolas</v>
      </c>
      <c r="AB284" s="98">
        <v>38092</v>
      </c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>
        <v>190</v>
      </c>
      <c r="AR284" s="112"/>
      <c r="AS284" s="186">
        <v>233</v>
      </c>
      <c r="AT284" s="112"/>
      <c r="AU284" s="113">
        <f t="shared" si="322"/>
        <v>423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38092</v>
      </c>
      <c r="BE284" s="213">
        <f t="shared" si="336"/>
        <v>423</v>
      </c>
      <c r="BF284" s="215">
        <f t="shared" si="337"/>
        <v>2</v>
      </c>
      <c r="BG284" s="215">
        <f t="shared" si="338"/>
        <v>2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190</v>
      </c>
      <c r="BP284" s="215">
        <f t="shared" si="331"/>
        <v>233</v>
      </c>
      <c r="BQ284" s="216"/>
      <c r="BR284" s="214"/>
      <c r="BS284" s="215">
        <f t="shared" si="339"/>
        <v>233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2</v>
      </c>
      <c r="BW284" s="215">
        <f t="shared" si="343"/>
        <v>423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8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0"/>
      <c r="F285" s="69" t="str">
        <f t="shared" si="314"/>
        <v/>
      </c>
      <c r="G285" s="350"/>
      <c r="H285" s="69" t="str">
        <f t="shared" si="315"/>
        <v/>
      </c>
      <c r="I285" s="350"/>
      <c r="J285" s="69" t="str">
        <f t="shared" si="316"/>
        <v/>
      </c>
      <c r="K285" s="350"/>
      <c r="L285" s="69" t="str">
        <f t="shared" si="317"/>
        <v/>
      </c>
      <c r="M285" s="350"/>
      <c r="N285" s="69" t="str">
        <f t="shared" si="334"/>
        <v/>
      </c>
      <c r="O285" s="350"/>
      <c r="P285" s="69" t="str">
        <f t="shared" si="318"/>
        <v/>
      </c>
      <c r="Q285" s="350"/>
      <c r="R285" s="69" t="str">
        <f t="shared" si="319"/>
        <v/>
      </c>
      <c r="S285" s="350"/>
      <c r="T285" s="69" t="str">
        <f t="shared" si="320"/>
        <v/>
      </c>
      <c r="U285" s="350"/>
      <c r="V285" s="69" t="str">
        <f t="shared" si="321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76" t="s">
        <v>11</v>
      </c>
      <c r="B286" s="73" t="str">
        <f>IF(AA286=0,"",AA286)</f>
        <v>Lengen, Peter</v>
      </c>
      <c r="C286" s="74">
        <f t="shared" si="333"/>
        <v>25297</v>
      </c>
      <c r="D286" s="75">
        <f t="shared" si="333"/>
        <v>163</v>
      </c>
      <c r="E286" s="348">
        <f>IF(AD286="","",AD286)</f>
        <v>0</v>
      </c>
      <c r="F286" s="75">
        <f t="shared" si="314"/>
        <v>199</v>
      </c>
      <c r="G286" s="348">
        <f>IF(AF286="","",AF286)</f>
        <v>1</v>
      </c>
      <c r="H286" s="75">
        <f t="shared" si="315"/>
        <v>191</v>
      </c>
      <c r="I286" s="348">
        <f>IF(AH286="","",AH286)</f>
        <v>1</v>
      </c>
      <c r="J286" s="75">
        <f t="shared" si="316"/>
        <v>212</v>
      </c>
      <c r="K286" s="348">
        <f>IF(AJ286="","",AJ286)</f>
        <v>1</v>
      </c>
      <c r="L286" s="75">
        <f t="shared" si="317"/>
        <v>221</v>
      </c>
      <c r="M286" s="348">
        <f>IF(AL286="","",AL286)</f>
        <v>0</v>
      </c>
      <c r="N286" s="75">
        <f t="shared" si="334"/>
        <v>179</v>
      </c>
      <c r="O286" s="348">
        <f>IF(AN286="","",AN286)</f>
        <v>0</v>
      </c>
      <c r="P286" s="75">
        <f t="shared" si="318"/>
        <v>182</v>
      </c>
      <c r="Q286" s="348">
        <f>IF(AP286="","",AP286)</f>
        <v>0</v>
      </c>
      <c r="R286" s="75">
        <f t="shared" si="319"/>
        <v>147</v>
      </c>
      <c r="S286" s="348">
        <f>IF(AR286="","",AR286)</f>
        <v>0</v>
      </c>
      <c r="T286" s="75">
        <f t="shared" si="320"/>
        <v>143</v>
      </c>
      <c r="U286" s="348">
        <f>IF(AT286="","",AT286)</f>
        <v>0</v>
      </c>
      <c r="V286" s="75">
        <f t="shared" si="321"/>
        <v>1637</v>
      </c>
      <c r="W286" s="348">
        <f>IF(AV286="","",AV286)</f>
        <v>3</v>
      </c>
      <c r="Z286" s="351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163</v>
      </c>
      <c r="AD286" s="109">
        <f>IF(SUM(AC286:AC288)+AC298=0,0,IF(SUM(AC286:AC288)=AC298,0.5,IF(SUM(AC286:AC288)&gt;AC298,1,0)))</f>
        <v>0</v>
      </c>
      <c r="AE286" s="188">
        <v>199</v>
      </c>
      <c r="AF286" s="109">
        <f>IF(SUM(AE286:AE288)+AE298=0,0,IF(SUM(AE286:AE288)=AE298,0.5,IF(SUM(AE286:AE288)&gt;AE298,1,0)))</f>
        <v>1</v>
      </c>
      <c r="AG286" s="188">
        <v>191</v>
      </c>
      <c r="AH286" s="109">
        <f>IF(SUM(AG286:AG288)+AG298=0,0,IF(SUM(AG286:AG288)=AG298,0.5,IF(SUM(AG286:AG288)&gt;AG298,1,0)))</f>
        <v>1</v>
      </c>
      <c r="AI286" s="188">
        <v>212</v>
      </c>
      <c r="AJ286" s="109">
        <f>IF(SUM(AI286:AI288)+AI298=0,0,IF(SUM(AI286:AI288)=AI298,0.5,IF(SUM(AI286:AI288)&gt;AI298,1,0)))</f>
        <v>1</v>
      </c>
      <c r="AK286" s="188">
        <v>221</v>
      </c>
      <c r="AL286" s="109">
        <f>IF(SUM(AK286:AK288)+AK298=0,0,IF(SUM(AK286:AK288)=AK298,0.5,IF(SUM(AK286:AK288)&gt;AK298,1,0)))</f>
        <v>0</v>
      </c>
      <c r="AM286" s="188">
        <v>179</v>
      </c>
      <c r="AN286" s="109">
        <f>IF(SUM(AM286:AM288)+AM298=0,0,IF(SUM(AM286:AM288)=AM298,0.5,IF(SUM(AM286:AM288)&gt;AM298,1,0)))</f>
        <v>0</v>
      </c>
      <c r="AO286" s="188">
        <v>182</v>
      </c>
      <c r="AP286" s="109">
        <f>IF(SUM(AO286:AO288)+AO298=0,0,IF(SUM(AO286:AO288)=AO298,0.5,IF(SUM(AO286:AO288)&gt;AO298,1,0)))</f>
        <v>0</v>
      </c>
      <c r="AQ286" s="188">
        <v>147</v>
      </c>
      <c r="AR286" s="109">
        <f>IF(SUM(AQ286:AQ288)+AQ298=0,0,IF(SUM(AQ286:AQ288)=AQ298,0.5,IF(SUM(AQ286:AQ288)&gt;AQ298,1,0)))</f>
        <v>0</v>
      </c>
      <c r="AS286" s="188">
        <v>143</v>
      </c>
      <c r="AT286" s="109">
        <f>IF(SUM(AS286:AS288)+AS298=0,0,IF(SUM(AS286:AS288)=AS298,0.5,IF(SUM(AS286:AS288)&gt;AS298,1,0)))</f>
        <v>0</v>
      </c>
      <c r="AU286" s="110">
        <f t="shared" si="322"/>
        <v>1637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35"/>
        <v>25297</v>
      </c>
      <c r="BE286" s="213">
        <f t="shared" si="336"/>
        <v>1637</v>
      </c>
      <c r="BF286" s="215">
        <f t="shared" si="337"/>
        <v>9</v>
      </c>
      <c r="BG286" s="215">
        <f t="shared" si="338"/>
        <v>9</v>
      </c>
      <c r="BH286" s="215">
        <f t="shared" si="323"/>
        <v>163</v>
      </c>
      <c r="BI286" s="215">
        <f t="shared" si="324"/>
        <v>199</v>
      </c>
      <c r="BJ286" s="215">
        <f t="shared" si="325"/>
        <v>191</v>
      </c>
      <c r="BK286" s="215">
        <f t="shared" si="326"/>
        <v>212</v>
      </c>
      <c r="BL286" s="215">
        <f t="shared" si="327"/>
        <v>221</v>
      </c>
      <c r="BM286" s="215">
        <f t="shared" si="328"/>
        <v>179</v>
      </c>
      <c r="BN286" s="215">
        <f t="shared" si="329"/>
        <v>182</v>
      </c>
      <c r="BO286" s="215">
        <f t="shared" si="330"/>
        <v>147</v>
      </c>
      <c r="BP286" s="215">
        <f t="shared" si="331"/>
        <v>143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2</v>
      </c>
      <c r="BW286" s="215">
        <f t="shared" si="343"/>
        <v>1637</v>
      </c>
      <c r="BX286" s="215">
        <f>IF(COUNTIF(BH286:BP286,"&gt;0")&lt;Spielorte!$A$23,0,BE286/Spielorte!$A$23)</f>
        <v>181.88888888888889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77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9"/>
      <c r="F287" s="78" t="str">
        <f t="shared" si="314"/>
        <v/>
      </c>
      <c r="G287" s="349"/>
      <c r="H287" s="78" t="str">
        <f t="shared" si="315"/>
        <v/>
      </c>
      <c r="I287" s="349"/>
      <c r="J287" s="78" t="str">
        <f t="shared" si="316"/>
        <v/>
      </c>
      <c r="K287" s="349"/>
      <c r="L287" s="78" t="str">
        <f t="shared" si="317"/>
        <v/>
      </c>
      <c r="M287" s="349"/>
      <c r="N287" s="78" t="str">
        <f t="shared" si="334"/>
        <v/>
      </c>
      <c r="O287" s="349"/>
      <c r="P287" s="78" t="str">
        <f t="shared" si="318"/>
        <v/>
      </c>
      <c r="Q287" s="349"/>
      <c r="R287" s="78" t="str">
        <f t="shared" si="319"/>
        <v/>
      </c>
      <c r="S287" s="349"/>
      <c r="T287" s="78" t="str">
        <f t="shared" si="320"/>
        <v/>
      </c>
      <c r="U287" s="349"/>
      <c r="V287" s="78" t="str">
        <f t="shared" si="321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8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0"/>
      <c r="F288" s="69" t="str">
        <f t="shared" si="314"/>
        <v/>
      </c>
      <c r="G288" s="350"/>
      <c r="H288" s="69" t="str">
        <f t="shared" si="315"/>
        <v/>
      </c>
      <c r="I288" s="350"/>
      <c r="J288" s="69" t="str">
        <f t="shared" si="316"/>
        <v/>
      </c>
      <c r="K288" s="350"/>
      <c r="L288" s="69" t="str">
        <f t="shared" si="317"/>
        <v/>
      </c>
      <c r="M288" s="350"/>
      <c r="N288" s="69" t="str">
        <f t="shared" si="334"/>
        <v/>
      </c>
      <c r="O288" s="350"/>
      <c r="P288" s="69" t="str">
        <f t="shared" si="318"/>
        <v/>
      </c>
      <c r="Q288" s="350"/>
      <c r="R288" s="69" t="str">
        <f t="shared" si="319"/>
        <v/>
      </c>
      <c r="S288" s="350"/>
      <c r="T288" s="69" t="str">
        <f t="shared" si="320"/>
        <v/>
      </c>
      <c r="U288" s="350"/>
      <c r="V288" s="69" t="str">
        <f t="shared" si="321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674</v>
      </c>
      <c r="E289" s="84">
        <f>IF(AD289="","",AD289)</f>
        <v>0</v>
      </c>
      <c r="F289" s="83">
        <f t="shared" si="314"/>
        <v>784</v>
      </c>
      <c r="G289" s="84">
        <f>IF(AF289="","",AF289)</f>
        <v>2</v>
      </c>
      <c r="H289" s="83">
        <f t="shared" si="315"/>
        <v>760</v>
      </c>
      <c r="I289" s="84">
        <f>IF(AH289="","",AH289)</f>
        <v>0</v>
      </c>
      <c r="J289" s="83">
        <f t="shared" si="316"/>
        <v>769</v>
      </c>
      <c r="K289" s="84">
        <f>IF(AJ289="","",AJ289)</f>
        <v>2</v>
      </c>
      <c r="L289" s="83">
        <f t="shared" si="317"/>
        <v>740</v>
      </c>
      <c r="M289" s="84">
        <f>IF(AL289="","",AL289)</f>
        <v>0</v>
      </c>
      <c r="N289" s="83">
        <f t="shared" si="334"/>
        <v>672</v>
      </c>
      <c r="O289" s="84">
        <f>IF(AN289="","",AN289)</f>
        <v>0</v>
      </c>
      <c r="P289" s="83">
        <f t="shared" si="318"/>
        <v>744</v>
      </c>
      <c r="Q289" s="84">
        <f>IF(AP289="","",AP289)</f>
        <v>2</v>
      </c>
      <c r="R289" s="83">
        <f t="shared" si="319"/>
        <v>729</v>
      </c>
      <c r="S289" s="84">
        <f>IF(AR289="","",AR289)</f>
        <v>0</v>
      </c>
      <c r="T289" s="83">
        <f t="shared" si="320"/>
        <v>769</v>
      </c>
      <c r="U289" s="84">
        <f>IF(AT289="","",AT289)</f>
        <v>2</v>
      </c>
      <c r="V289" s="83">
        <f t="shared" si="321"/>
        <v>6641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674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784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760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769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672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729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769</v>
      </c>
      <c r="AT289" s="121">
        <f>IF(AS289+AS299=0,0,IF(AS289=AS299,1,IF(AS289&gt;AS299,2,0)))</f>
        <v>2</v>
      </c>
      <c r="AU289" s="122">
        <f>SUM(AC289+AE289+AG289+AI289+AK289+AM289+AO289+AQ289+AS289)</f>
        <v>6641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3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2</v>
      </c>
      <c r="T290" s="86" t="str">
        <f t="shared" si="320"/>
        <v/>
      </c>
      <c r="U290" s="87">
        <f>IF(AT290="","",AT290)</f>
        <v>4</v>
      </c>
      <c r="V290" s="86" t="str">
        <f t="shared" si="321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5</v>
      </c>
      <c r="AG290" s="86"/>
      <c r="AH290" s="124">
        <f>SUM(AH277:AH289)</f>
        <v>3</v>
      </c>
      <c r="AI290" s="86"/>
      <c r="AJ290" s="124">
        <f>SUM(AJ277:AJ289)</f>
        <v>4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5</v>
      </c>
      <c r="AQ290" s="86"/>
      <c r="AR290" s="124">
        <f>SUM(AR277:AR289)</f>
        <v>2</v>
      </c>
      <c r="AS290" s="86"/>
      <c r="AT290" s="124">
        <f>SUM(AT277:AT289)</f>
        <v>4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6641</v>
      </c>
      <c r="BC290" s="214">
        <f>+AA272</f>
        <v>10</v>
      </c>
      <c r="BF290" s="215">
        <f>SUM(BF271:BF289)</f>
        <v>36</v>
      </c>
      <c r="BQ290" s="212">
        <f>+BB290/1000000+BA290</f>
        <v>23.006640999999998</v>
      </c>
      <c r="BR290" s="214">
        <f>RANK(BQ290,BQ:BQ)</f>
        <v>7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6">
        <f t="shared" si="345"/>
        <v>6</v>
      </c>
      <c r="E292" s="356" t="str">
        <f t="shared" si="345"/>
        <v/>
      </c>
      <c r="F292" s="356">
        <f t="shared" si="345"/>
        <v>5</v>
      </c>
      <c r="G292" s="356" t="str">
        <f t="shared" si="345"/>
        <v/>
      </c>
      <c r="H292" s="356">
        <f t="shared" si="345"/>
        <v>2</v>
      </c>
      <c r="I292" s="356" t="str">
        <f t="shared" si="345"/>
        <v/>
      </c>
      <c r="J292" s="356">
        <f t="shared" si="345"/>
        <v>9</v>
      </c>
      <c r="K292" s="356" t="str">
        <f t="shared" si="345"/>
        <v/>
      </c>
      <c r="L292" s="356">
        <f t="shared" si="345"/>
        <v>1</v>
      </c>
      <c r="M292" s="356" t="str">
        <f t="shared" si="345"/>
        <v/>
      </c>
      <c r="N292" s="356">
        <f t="shared" si="345"/>
        <v>4</v>
      </c>
      <c r="O292" s="356" t="str">
        <f t="shared" si="345"/>
        <v/>
      </c>
      <c r="P292" s="356">
        <f t="shared" si="345"/>
        <v>7</v>
      </c>
      <c r="Q292" s="356" t="str">
        <f t="shared" si="345"/>
        <v/>
      </c>
      <c r="R292" s="356">
        <f t="shared" ref="N292:U294" si="346">IF(AQ292=0,"",AQ292)</f>
        <v>3</v>
      </c>
      <c r="S292" s="356" t="str">
        <f t="shared" si="346"/>
        <v/>
      </c>
      <c r="T292" s="356">
        <f t="shared" si="346"/>
        <v>8</v>
      </c>
      <c r="U292" s="356" t="str">
        <f t="shared" si="346"/>
        <v/>
      </c>
      <c r="V292" s="357"/>
      <c r="W292" s="357"/>
      <c r="AA292" s="88" t="s">
        <v>1797</v>
      </c>
      <c r="AB292" s="89" t="s">
        <v>1798</v>
      </c>
      <c r="AC292" s="370">
        <f>VLOOKUP($AA272,Schlüssel!$A$5:$DG$14,23)</f>
        <v>6</v>
      </c>
      <c r="AD292" s="371"/>
      <c r="AE292" s="370">
        <f>VLOOKUP($AA272,Schlüssel!$A$5:$EK$14,24)</f>
        <v>5</v>
      </c>
      <c r="AF292" s="371"/>
      <c r="AG292" s="370">
        <f>VLOOKUP($AA272,Schlüssel!$A$5:$EK$14,25)</f>
        <v>2</v>
      </c>
      <c r="AH292" s="371"/>
      <c r="AI292" s="370">
        <f>VLOOKUP($AA272,Schlüssel!$A$5:$EK$14,26)</f>
        <v>9</v>
      </c>
      <c r="AJ292" s="371"/>
      <c r="AK292" s="370">
        <f>VLOOKUP($AA272,Schlüssel!$A$5:$EK$14,27)</f>
        <v>1</v>
      </c>
      <c r="AL292" s="371"/>
      <c r="AM292" s="370">
        <f>VLOOKUP($AA272,Schlüssel!$A$5:$EK$14,28)</f>
        <v>4</v>
      </c>
      <c r="AN292" s="371"/>
      <c r="AO292" s="370">
        <f>VLOOKUP($AA272,Schlüssel!$A$5:$EK$14,29)</f>
        <v>7</v>
      </c>
      <c r="AP292" s="371"/>
      <c r="AQ292" s="370">
        <f>VLOOKUP($AA272,Schlüssel!$A$5:$EK$14,30)</f>
        <v>3</v>
      </c>
      <c r="AR292" s="371"/>
      <c r="AS292" s="370">
        <f>VLOOKUP($AA272,Schlüssel!$A$5:$EK$14,31)</f>
        <v>8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M294" si="347">IF(AA293=0,"",AA293)</f>
        <v/>
      </c>
      <c r="C293" s="86" t="str">
        <f t="shared" si="347"/>
        <v/>
      </c>
      <c r="D293" s="358" t="str">
        <f t="shared" si="347"/>
        <v>SG Rottendorf 1</v>
      </c>
      <c r="E293" s="359" t="str">
        <f t="shared" si="347"/>
        <v/>
      </c>
      <c r="F293" s="358" t="str">
        <f t="shared" si="347"/>
        <v>RW Lichtenhof Stein 1</v>
      </c>
      <c r="G293" s="359" t="str">
        <f t="shared" si="347"/>
        <v/>
      </c>
      <c r="H293" s="358" t="str">
        <f t="shared" si="347"/>
        <v>Bajuwaren München 1</v>
      </c>
      <c r="I293" s="359" t="str">
        <f t="shared" si="347"/>
        <v/>
      </c>
      <c r="J293" s="358" t="str">
        <f t="shared" si="347"/>
        <v>Bowlinghaus Bamberg 1</v>
      </c>
      <c r="K293" s="359" t="str">
        <f t="shared" si="347"/>
        <v/>
      </c>
      <c r="L293" s="358" t="str">
        <f t="shared" si="347"/>
        <v>BC Comet Nürnberg</v>
      </c>
      <c r="M293" s="359" t="str">
        <f t="shared" si="347"/>
        <v/>
      </c>
      <c r="N293" s="358" t="str">
        <f t="shared" si="346"/>
        <v>SG DJK Rimpar</v>
      </c>
      <c r="O293" s="359" t="str">
        <f t="shared" si="346"/>
        <v/>
      </c>
      <c r="P293" s="358" t="str">
        <f t="shared" si="346"/>
        <v>Schanzer Ingolstadt 1</v>
      </c>
      <c r="Q293" s="359" t="str">
        <f t="shared" si="346"/>
        <v/>
      </c>
      <c r="R293" s="358" t="str">
        <f t="shared" si="346"/>
        <v>BK München 3</v>
      </c>
      <c r="S293" s="359" t="str">
        <f t="shared" si="346"/>
        <v/>
      </c>
      <c r="T293" s="358" t="str">
        <f t="shared" si="346"/>
        <v>BC EMAX Unterföhring 2</v>
      </c>
      <c r="U293" s="359" t="str">
        <f t="shared" si="346"/>
        <v/>
      </c>
      <c r="V293" s="363"/>
      <c r="W293" s="363"/>
      <c r="AA293" s="90"/>
      <c r="AB293" s="86"/>
      <c r="AC293" s="358" t="str">
        <f>VLOOKUP(AC292,Schlüssel!$A$5:$K$14,2)</f>
        <v>SG Rottendorf 1</v>
      </c>
      <c r="AD293" s="359"/>
      <c r="AE293" s="358" t="str">
        <f>VLOOKUP(AE292,Schlüssel!$A$5:$K$14,2)</f>
        <v>RW Lichtenhof Stein 1</v>
      </c>
      <c r="AF293" s="359"/>
      <c r="AG293" s="358" t="str">
        <f>VLOOKUP(AG292,Schlüssel!$A$5:$K$14,2)</f>
        <v>Bajuwaren München 1</v>
      </c>
      <c r="AH293" s="359"/>
      <c r="AI293" s="358" t="str">
        <f>VLOOKUP(AI292,Schlüssel!$A$5:$K$14,2)</f>
        <v>Bowlinghaus Bamberg 1</v>
      </c>
      <c r="AJ293" s="359"/>
      <c r="AK293" s="358" t="str">
        <f>VLOOKUP(AK292,Schlüssel!$A$5:$K$14,2)</f>
        <v>BC Comet Nürnberg</v>
      </c>
      <c r="AL293" s="359"/>
      <c r="AM293" s="358" t="str">
        <f>VLOOKUP(AM292,Schlüssel!$A$5:$K$14,2)</f>
        <v>SG DJK Rimpar</v>
      </c>
      <c r="AN293" s="359"/>
      <c r="AO293" s="358" t="str">
        <f>VLOOKUP(AO292,Schlüssel!$A$5:$K$14,2)</f>
        <v>Schanzer Ingolstadt 1</v>
      </c>
      <c r="AP293" s="359"/>
      <c r="AQ293" s="358" t="str">
        <f>VLOOKUP(AQ292,Schlüssel!$A$5:$K$14,2)</f>
        <v>BK München 3</v>
      </c>
      <c r="AR293" s="359"/>
      <c r="AS293" s="358" t="str">
        <f>VLOOKUP(AS292,Schlüssel!$A$5:$K$14,2)</f>
        <v>BC EMAX Unterföhring 2</v>
      </c>
      <c r="AT293" s="359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60" t="str">
        <f t="shared" si="347"/>
        <v/>
      </c>
      <c r="E294" s="360" t="str">
        <f t="shared" si="347"/>
        <v/>
      </c>
      <c r="F294" s="360" t="str">
        <f t="shared" si="347"/>
        <v/>
      </c>
      <c r="G294" s="360" t="str">
        <f t="shared" si="347"/>
        <v/>
      </c>
      <c r="H294" s="360" t="str">
        <f t="shared" si="347"/>
        <v/>
      </c>
      <c r="I294" s="360" t="str">
        <f t="shared" si="347"/>
        <v/>
      </c>
      <c r="J294" s="360" t="str">
        <f t="shared" si="347"/>
        <v/>
      </c>
      <c r="K294" s="360" t="str">
        <f t="shared" si="347"/>
        <v/>
      </c>
      <c r="L294" s="360" t="str">
        <f t="shared" si="347"/>
        <v/>
      </c>
      <c r="M294" s="360" t="str">
        <f t="shared" si="347"/>
        <v/>
      </c>
      <c r="N294" s="360" t="str">
        <f t="shared" si="346"/>
        <v/>
      </c>
      <c r="O294" s="360" t="str">
        <f t="shared" si="346"/>
        <v/>
      </c>
      <c r="P294" s="360" t="str">
        <f t="shared" si="346"/>
        <v/>
      </c>
      <c r="Q294" s="360" t="str">
        <f t="shared" si="346"/>
        <v/>
      </c>
      <c r="R294" s="360" t="str">
        <f t="shared" si="346"/>
        <v/>
      </c>
      <c r="S294" s="360" t="str">
        <f t="shared" si="346"/>
        <v/>
      </c>
      <c r="T294" s="360" t="str">
        <f t="shared" si="346"/>
        <v/>
      </c>
      <c r="U294" s="361" t="str">
        <f t="shared" si="346"/>
        <v/>
      </c>
      <c r="V294" s="298"/>
      <c r="W294" s="298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4" t="str">
        <f t="shared" ref="B295:C299" si="348">IF(AA295=0,"",AA295)</f>
        <v>Spieler 1</v>
      </c>
      <c r="C295" s="375" t="str">
        <f t="shared" si="348"/>
        <v/>
      </c>
      <c r="D295" s="362">
        <f>IF(AC295=301,"",AC295)</f>
        <v>169</v>
      </c>
      <c r="E295" s="362" t="str">
        <f>IF(AD295=0,"",AD295)</f>
        <v/>
      </c>
      <c r="F295" s="362">
        <f>IF(AE295=301,"",AE295)</f>
        <v>153</v>
      </c>
      <c r="G295" s="362" t="str">
        <f>IF(AF295=0,"",AF295)</f>
        <v/>
      </c>
      <c r="H295" s="362">
        <f>IF(AG295=301,"",AG295)</f>
        <v>215</v>
      </c>
      <c r="I295" s="362" t="str">
        <f>IF(AH295=0,"",AH295)</f>
        <v/>
      </c>
      <c r="J295" s="362">
        <f>IF(AI295=301,"",AI295)</f>
        <v>160</v>
      </c>
      <c r="K295" s="362" t="str">
        <f>IF(AJ295=0,"",AJ295)</f>
        <v/>
      </c>
      <c r="L295" s="362">
        <f>IF(AK295=301,"",AK295)</f>
        <v>203</v>
      </c>
      <c r="M295" s="362" t="str">
        <f>IF(AL295=0,"",AL295)</f>
        <v/>
      </c>
      <c r="N295" s="362">
        <f>IF(AM295=301,"",AM295)</f>
        <v>207</v>
      </c>
      <c r="O295" s="362" t="str">
        <f>IF(AN295=0,"",AN295)</f>
        <v/>
      </c>
      <c r="P295" s="362">
        <f>IF(AO295=301,"",AO295)</f>
        <v>167</v>
      </c>
      <c r="Q295" s="362" t="str">
        <f>IF(AP295=0,"",AP295)</f>
        <v/>
      </c>
      <c r="R295" s="362">
        <f>IF(AQ295=301,"",AQ295)</f>
        <v>173</v>
      </c>
      <c r="S295" s="362" t="str">
        <f>IF(AR295=0,"",AR295)</f>
        <v/>
      </c>
      <c r="T295" s="362">
        <f>IF(AS295=301,"",AS295)</f>
        <v>182</v>
      </c>
      <c r="U295" s="362" t="str">
        <f>IF(AT295=0,"",AT295)</f>
        <v/>
      </c>
      <c r="V295" s="364"/>
      <c r="W295" s="364"/>
      <c r="AA295" s="91" t="s">
        <v>0</v>
      </c>
      <c r="AB295" s="92"/>
      <c r="AC295" s="368">
        <f>ABS(INDEX(AC:AC,MATCH(AC292,$AA:$AA,0)+5)+INDEX(AC:AC,MATCH(AC292,$AA:$AA,0)+6)+INDEX(AC:AC,MATCH(AC292,$AA:$AA,0)+7))</f>
        <v>169</v>
      </c>
      <c r="AD295" s="369"/>
      <c r="AE295" s="368">
        <f>ABS(INDEX(AE:AE,MATCH(AE292,$AA:$AA,0)+5)+INDEX(AE:AE,MATCH(AE292,$AA:$AA,0)+6)+INDEX(AE:AE,MATCH(AE292,$AA:$AA,0)+7))</f>
        <v>153</v>
      </c>
      <c r="AF295" s="369"/>
      <c r="AG295" s="368">
        <f>ABS(INDEX(AG:AG,MATCH(AG292,$AA:$AA,0)+5)+INDEX(AG:AG,MATCH(AG292,$AA:$AA,0)+6)+INDEX(AG:AG,MATCH(AG292,$AA:$AA,0)+7))</f>
        <v>215</v>
      </c>
      <c r="AH295" s="369"/>
      <c r="AI295" s="368">
        <f>ABS(INDEX(AI:AI,MATCH(AI292,$AA:$AA,0)+5)+INDEX(AI:AI,MATCH(AI292,$AA:$AA,0)+6)+INDEX(AI:AI,MATCH(AI292,$AA:$AA,0)+7))</f>
        <v>160</v>
      </c>
      <c r="AJ295" s="369"/>
      <c r="AK295" s="368">
        <f>ABS(INDEX(AK:AK,MATCH(AK292,$AA:$AA,0)+5)+INDEX(AK:AK,MATCH(AK292,$AA:$AA,0)+6)+INDEX(AK:AK,MATCH(AK292,$AA:$AA,0)+7))</f>
        <v>203</v>
      </c>
      <c r="AL295" s="369"/>
      <c r="AM295" s="368">
        <f>ABS(INDEX(AM:AM,MATCH(AM292,$AA:$AA,0)+5)+INDEX(AM:AM,MATCH(AM292,$AA:$AA,0)+6)+INDEX(AM:AM,MATCH(AM292,$AA:$AA,0)+7))</f>
        <v>207</v>
      </c>
      <c r="AN295" s="369"/>
      <c r="AO295" s="368">
        <f>ABS(INDEX(AO:AO,MATCH(AO292,$AA:$AA,0)+5)+INDEX(AO:AO,MATCH(AO292,$AA:$AA,0)+6)+INDEX(AO:AO,MATCH(AO292,$AA:$AA,0)+7))</f>
        <v>167</v>
      </c>
      <c r="AP295" s="369"/>
      <c r="AQ295" s="368">
        <f>ABS(INDEX(AQ:AQ,MATCH(AQ292,$AA:$AA,0)+5)+INDEX(AQ:AQ,MATCH(AQ292,$AA:$AA,0)+6)+INDEX(AQ:AQ,MATCH(AQ292,$AA:$AA,0)+7))</f>
        <v>173</v>
      </c>
      <c r="AR295" s="369"/>
      <c r="AS295" s="368">
        <f>ABS(INDEX(AS:AS,MATCH(AS292,$AA:$AA,0)+5)+INDEX(AS:AS,MATCH(AS292,$AA:$AA,0)+6)+INDEX(AS:AS,MATCH(AS292,$AA:$AA,0)+7))</f>
        <v>182</v>
      </c>
      <c r="AT295" s="369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4" t="str">
        <f t="shared" si="348"/>
        <v>Spieler 2</v>
      </c>
      <c r="C296" s="375" t="str">
        <f t="shared" si="348"/>
        <v/>
      </c>
      <c r="D296" s="362">
        <f>IF(AC296=301,"",AC296)</f>
        <v>169</v>
      </c>
      <c r="E296" s="362" t="str">
        <f>IF(AD296=0,"",AD296)</f>
        <v/>
      </c>
      <c r="F296" s="362">
        <f>IF(AE296=301,"",AE296)</f>
        <v>194</v>
      </c>
      <c r="G296" s="362" t="str">
        <f>IF(AF296=0,"",AF296)</f>
        <v/>
      </c>
      <c r="H296" s="362">
        <f>IF(AG296=301,"",AG296)</f>
        <v>171</v>
      </c>
      <c r="I296" s="362" t="str">
        <f>IF(AH296=0,"",AH296)</f>
        <v/>
      </c>
      <c r="J296" s="362">
        <f>IF(AI296=301,"",AI296)</f>
        <v>206</v>
      </c>
      <c r="K296" s="362" t="str">
        <f>IF(AJ296=0,"",AJ296)</f>
        <v/>
      </c>
      <c r="L296" s="362">
        <f>IF(AK296=301,"",AK296)</f>
        <v>215</v>
      </c>
      <c r="M296" s="362" t="str">
        <f>IF(AL296=0,"",AL296)</f>
        <v/>
      </c>
      <c r="N296" s="362">
        <f>IF(AM296=301,"",AM296)</f>
        <v>231</v>
      </c>
      <c r="O296" s="362" t="str">
        <f>IF(AN296=0,"",AN296)</f>
        <v/>
      </c>
      <c r="P296" s="362">
        <f>IF(AO296=301,"",AO296)</f>
        <v>168</v>
      </c>
      <c r="Q296" s="362" t="str">
        <f>IF(AP296=0,"",AP296)</f>
        <v/>
      </c>
      <c r="R296" s="362">
        <f>IF(AQ296=301,"",AQ296)</f>
        <v>150</v>
      </c>
      <c r="S296" s="362" t="str">
        <f>IF(AR296=0,"",AR296)</f>
        <v/>
      </c>
      <c r="T296" s="362">
        <f>IF(AS296=301,"",AS296)</f>
        <v>207</v>
      </c>
      <c r="U296" s="362" t="str">
        <f>IF(AT296=0,"",AT296)</f>
        <v/>
      </c>
      <c r="V296" s="364"/>
      <c r="W296" s="364"/>
      <c r="AA296" s="91" t="s">
        <v>2</v>
      </c>
      <c r="AB296" s="92"/>
      <c r="AC296" s="366">
        <f>ABS(INDEX(AC:AC,MATCH(AC292,$AA:$AA,0)+8)+INDEX(AC:AC,MATCH(AC292,$AA:$AA,0)+9)+INDEX(AC:AC,MATCH(AC292,$AA:$AA,0)+10))</f>
        <v>169</v>
      </c>
      <c r="AD296" s="367"/>
      <c r="AE296" s="366">
        <f>ABS(INDEX(AE:AE,MATCH(AE292,$AA:$AA,0)+8)+INDEX(AE:AE,MATCH(AE292,$AA:$AA,0)+9)+INDEX(AE:AE,MATCH(AE292,$AA:$AA,0)+10))</f>
        <v>194</v>
      </c>
      <c r="AF296" s="367"/>
      <c r="AG296" s="366">
        <f>ABS(INDEX(AG:AG,MATCH(AG292,$AA:$AA,0)+8)+INDEX(AG:AG,MATCH(AG292,$AA:$AA,0)+9)+INDEX(AG:AG,MATCH(AG292,$AA:$AA,0)+10))</f>
        <v>171</v>
      </c>
      <c r="AH296" s="367"/>
      <c r="AI296" s="366">
        <f>ABS(INDEX(AI:AI,MATCH(AI292,$AA:$AA,0)+8)+INDEX(AI:AI,MATCH(AI292,$AA:$AA,0)+9)+INDEX(AI:AI,MATCH(AI292,$AA:$AA,0)+10))</f>
        <v>206</v>
      </c>
      <c r="AJ296" s="367"/>
      <c r="AK296" s="366">
        <f>ABS(INDEX(AK:AK,MATCH(AK292,$AA:$AA,0)+8)+INDEX(AK:AK,MATCH(AK292,$AA:$AA,0)+9)+INDEX(AK:AK,MATCH(AK292,$AA:$AA,0)+10))</f>
        <v>215</v>
      </c>
      <c r="AL296" s="367"/>
      <c r="AM296" s="366">
        <f>ABS(INDEX(AM:AM,MATCH(AM292,$AA:$AA,0)+8)+INDEX(AM:AM,MATCH(AM292,$AA:$AA,0)+9)+INDEX(AM:AM,MATCH(AM292,$AA:$AA,0)+10))</f>
        <v>231</v>
      </c>
      <c r="AN296" s="367"/>
      <c r="AO296" s="366">
        <f>ABS(INDEX(AO:AO,MATCH(AO292,$AA:$AA,0)+8)+INDEX(AO:AO,MATCH(AO292,$AA:$AA,0)+9)+INDEX(AO:AO,MATCH(AO292,$AA:$AA,0)+10))</f>
        <v>168</v>
      </c>
      <c r="AP296" s="367"/>
      <c r="AQ296" s="366">
        <f>ABS(INDEX(AQ:AQ,MATCH(AQ292,$AA:$AA,0)+8)+INDEX(AQ:AQ,MATCH(AQ292,$AA:$AA,0)+9)+INDEX(AQ:AQ,MATCH(AQ292,$AA:$AA,0)+10))</f>
        <v>150</v>
      </c>
      <c r="AR296" s="367"/>
      <c r="AS296" s="366">
        <f>ABS(INDEX(AS:AS,MATCH(AS292,$AA:$AA,0)+8)+INDEX(AS:AS,MATCH(AS292,$AA:$AA,0)+9)+INDEX(AS:AS,MATCH(AS292,$AA:$AA,0)+10))</f>
        <v>207</v>
      </c>
      <c r="AT296" s="367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4" t="str">
        <f t="shared" si="348"/>
        <v>Spieler 3</v>
      </c>
      <c r="C297" s="375" t="str">
        <f t="shared" si="348"/>
        <v/>
      </c>
      <c r="D297" s="362">
        <f>IF(AC297=301,"",AC297)</f>
        <v>209</v>
      </c>
      <c r="E297" s="362" t="str">
        <f>IF(AD297=0,"",AD297)</f>
        <v/>
      </c>
      <c r="F297" s="362">
        <f>IF(AE297=301,"",AE297)</f>
        <v>183</v>
      </c>
      <c r="G297" s="362" t="str">
        <f>IF(AF297=0,"",AF297)</f>
        <v/>
      </c>
      <c r="H297" s="362">
        <f>IF(AG297=301,"",AG297)</f>
        <v>235</v>
      </c>
      <c r="I297" s="362" t="str">
        <f>IF(AH297=0,"",AH297)</f>
        <v/>
      </c>
      <c r="J297" s="362">
        <f>IF(AI297=301,"",AI297)</f>
        <v>174</v>
      </c>
      <c r="K297" s="362" t="str">
        <f>IF(AJ297=0,"",AJ297)</f>
        <v/>
      </c>
      <c r="L297" s="362">
        <f>IF(AK297=301,"",AK297)</f>
        <v>176</v>
      </c>
      <c r="M297" s="362" t="str">
        <f>IF(AL297=0,"",AL297)</f>
        <v/>
      </c>
      <c r="N297" s="362">
        <f>IF(AM297=301,"",AM297)</f>
        <v>258</v>
      </c>
      <c r="O297" s="362" t="str">
        <f>IF(AN297=0,"",AN297)</f>
        <v/>
      </c>
      <c r="P297" s="362">
        <f>IF(AO297=301,"",AO297)</f>
        <v>147</v>
      </c>
      <c r="Q297" s="362" t="str">
        <f>IF(AP297=0,"",AP297)</f>
        <v/>
      </c>
      <c r="R297" s="362">
        <f>IF(AQ297=301,"",AQ297)</f>
        <v>213</v>
      </c>
      <c r="S297" s="362" t="str">
        <f>IF(AR297=0,"",AR297)</f>
        <v/>
      </c>
      <c r="T297" s="362">
        <f>IF(AS297=301,"",AS297)</f>
        <v>184</v>
      </c>
      <c r="U297" s="362" t="str">
        <f>IF(AT297=0,"",AT297)</f>
        <v/>
      </c>
      <c r="V297" s="364"/>
      <c r="W297" s="364"/>
      <c r="AA297" s="91" t="s">
        <v>3</v>
      </c>
      <c r="AB297" s="92"/>
      <c r="AC297" s="366">
        <f>ABS(INDEX(AC:AC,MATCH(AC292,$AA:$AA,0)+11)+INDEX(AC:AC,MATCH(AC292,$AA:$AA,0)+12)+INDEX(AC:AC,MATCH(AC292,$AA:$AA,0)+13))</f>
        <v>209</v>
      </c>
      <c r="AD297" s="367"/>
      <c r="AE297" s="366">
        <f>ABS(INDEX(AE:AE,MATCH(AE292,$AA:$AA,0)+11)+INDEX(AE:AE,MATCH(AE292,$AA:$AA,0)+12)+INDEX(AE:AE,MATCH(AE292,$AA:$AA,0)+13))</f>
        <v>183</v>
      </c>
      <c r="AF297" s="367"/>
      <c r="AG297" s="366">
        <f>ABS(INDEX(AG:AG,MATCH(AG292,$AA:$AA,0)+11)+INDEX(AG:AG,MATCH(AG292,$AA:$AA,0)+12)+INDEX(AG:AG,MATCH(AG292,$AA:$AA,0)+13))</f>
        <v>235</v>
      </c>
      <c r="AH297" s="367"/>
      <c r="AI297" s="366">
        <f>ABS(INDEX(AI:AI,MATCH(AI292,$AA:$AA,0)+11)+INDEX(AI:AI,MATCH(AI292,$AA:$AA,0)+12)+INDEX(AI:AI,MATCH(AI292,$AA:$AA,0)+13))</f>
        <v>174</v>
      </c>
      <c r="AJ297" s="367"/>
      <c r="AK297" s="366">
        <f>ABS(INDEX(AK:AK,MATCH(AK292,$AA:$AA,0)+11)+INDEX(AK:AK,MATCH(AK292,$AA:$AA,0)+12)+INDEX(AK:AK,MATCH(AK292,$AA:$AA,0)+13))</f>
        <v>176</v>
      </c>
      <c r="AL297" s="367"/>
      <c r="AM297" s="366">
        <f>ABS(INDEX(AM:AM,MATCH(AM292,$AA:$AA,0)+11)+INDEX(AM:AM,MATCH(AM292,$AA:$AA,0)+12)+INDEX(AM:AM,MATCH(AM292,$AA:$AA,0)+13))</f>
        <v>258</v>
      </c>
      <c r="AN297" s="367"/>
      <c r="AO297" s="366">
        <f>ABS(INDEX(AO:AO,MATCH(AO292,$AA:$AA,0)+11)+INDEX(AO:AO,MATCH(AO292,$AA:$AA,0)+12)+INDEX(AO:AO,MATCH(AO292,$AA:$AA,0)+13))</f>
        <v>147</v>
      </c>
      <c r="AP297" s="367"/>
      <c r="AQ297" s="366">
        <f>ABS(INDEX(AQ:AQ,MATCH(AQ292,$AA:$AA,0)+11)+INDEX(AQ:AQ,MATCH(AQ292,$AA:$AA,0)+12)+INDEX(AQ:AQ,MATCH(AQ292,$AA:$AA,0)+13))</f>
        <v>213</v>
      </c>
      <c r="AR297" s="367"/>
      <c r="AS297" s="366">
        <f>ABS(INDEX(AS:AS,MATCH(AS292,$AA:$AA,0)+11)+INDEX(AS:AS,MATCH(AS292,$AA:$AA,0)+12)+INDEX(AS:AS,MATCH(AS292,$AA:$AA,0)+13))</f>
        <v>184</v>
      </c>
      <c r="AT297" s="367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4" t="str">
        <f t="shared" si="348"/>
        <v>Spieler 4</v>
      </c>
      <c r="C298" s="375" t="str">
        <f t="shared" si="348"/>
        <v/>
      </c>
      <c r="D298" s="362">
        <f>IF(AC298=301,"",AC298)</f>
        <v>179</v>
      </c>
      <c r="E298" s="362" t="str">
        <f>IF(AD298=0,"",AD298)</f>
        <v/>
      </c>
      <c r="F298" s="362">
        <f>IF(AE298=301,"",AE298)</f>
        <v>191</v>
      </c>
      <c r="G298" s="362" t="str">
        <f>IF(AF298=0,"",AF298)</f>
        <v/>
      </c>
      <c r="H298" s="362">
        <f>IF(AG298=301,"",AG298)</f>
        <v>175</v>
      </c>
      <c r="I298" s="362" t="str">
        <f>IF(AH298=0,"",AH298)</f>
        <v/>
      </c>
      <c r="J298" s="362">
        <f>IF(AI298=301,"",AI298)</f>
        <v>190</v>
      </c>
      <c r="K298" s="362" t="str">
        <f>IF(AJ298=0,"",AJ298)</f>
        <v/>
      </c>
      <c r="L298" s="362">
        <f>IF(AK298=301,"",AK298)</f>
        <v>244</v>
      </c>
      <c r="M298" s="362" t="str">
        <f>IF(AL298=0,"",AL298)</f>
        <v/>
      </c>
      <c r="N298" s="362">
        <f>IF(AM298=301,"",AM298)</f>
        <v>181</v>
      </c>
      <c r="O298" s="362" t="str">
        <f>IF(AN298=0,"",AN298)</f>
        <v/>
      </c>
      <c r="P298" s="362">
        <f>IF(AO298=301,"",AO298)</f>
        <v>183</v>
      </c>
      <c r="Q298" s="362" t="str">
        <f>IF(AP298=0,"",AP298)</f>
        <v/>
      </c>
      <c r="R298" s="362">
        <f>IF(AQ298=301,"",AQ298)</f>
        <v>263</v>
      </c>
      <c r="S298" s="362" t="str">
        <f>IF(AR298=0,"",AR298)</f>
        <v/>
      </c>
      <c r="T298" s="362">
        <f>IF(AS298=301,"",AS298)</f>
        <v>151</v>
      </c>
      <c r="U298" s="362" t="str">
        <f>IF(AT298=0,"",AT298)</f>
        <v/>
      </c>
      <c r="V298" s="364"/>
      <c r="W298" s="364"/>
      <c r="AA298" s="91" t="s">
        <v>11</v>
      </c>
      <c r="AB298" s="92"/>
      <c r="AC298" s="366">
        <f>ABS(INDEX(AC:AC,MATCH(AC292,$AA:$AA,0)+14)+INDEX(AC:AC,MATCH(AC292,$AA:$AA,0)+15)+INDEX(AC:AC,MATCH(AC292,$AA:$AA,0)+16))</f>
        <v>179</v>
      </c>
      <c r="AD298" s="367"/>
      <c r="AE298" s="366">
        <f>ABS(INDEX(AE:AE,MATCH(AE292,$AA:$AA,0)+14)+INDEX(AE:AE,MATCH(AE292,$AA:$AA,0)+15)+INDEX(AE:AE,MATCH(AE292,$AA:$AA,0)+16))</f>
        <v>191</v>
      </c>
      <c r="AF298" s="367"/>
      <c r="AG298" s="366">
        <f>ABS(INDEX(AG:AG,MATCH(AG292,$AA:$AA,0)+14)+INDEX(AG:AG,MATCH(AG292,$AA:$AA,0)+15)+INDEX(AG:AG,MATCH(AG292,$AA:$AA,0)+16))</f>
        <v>175</v>
      </c>
      <c r="AH298" s="367"/>
      <c r="AI298" s="366">
        <f>ABS(INDEX(AI:AI,MATCH(AI292,$AA:$AA,0)+14)+INDEX(AI:AI,MATCH(AI292,$AA:$AA,0)+15)+INDEX(AI:AI,MATCH(AI292,$AA:$AA,0)+16))</f>
        <v>190</v>
      </c>
      <c r="AJ298" s="367"/>
      <c r="AK298" s="366">
        <f>ABS(INDEX(AK:AK,MATCH(AK292,$AA:$AA,0)+14)+INDEX(AK:AK,MATCH(AK292,$AA:$AA,0)+15)+INDEX(AK:AK,MATCH(AK292,$AA:$AA,0)+16))</f>
        <v>244</v>
      </c>
      <c r="AL298" s="367"/>
      <c r="AM298" s="366">
        <f>ABS(INDEX(AM:AM,MATCH(AM292,$AA:$AA,0)+14)+INDEX(AM:AM,MATCH(AM292,$AA:$AA,0)+15)+INDEX(AM:AM,MATCH(AM292,$AA:$AA,0)+16))</f>
        <v>181</v>
      </c>
      <c r="AN298" s="367"/>
      <c r="AO298" s="366">
        <f>ABS(INDEX(AO:AO,MATCH(AO292,$AA:$AA,0)+14)+INDEX(AO:AO,MATCH(AO292,$AA:$AA,0)+15)+INDEX(AO:AO,MATCH(AO292,$AA:$AA,0)+16))</f>
        <v>183</v>
      </c>
      <c r="AP298" s="367"/>
      <c r="AQ298" s="366">
        <f>ABS(INDEX(AQ:AQ,MATCH(AQ292,$AA:$AA,0)+14)+INDEX(AQ:AQ,MATCH(AQ292,$AA:$AA,0)+15)+INDEX(AQ:AQ,MATCH(AQ292,$AA:$AA,0)+16))</f>
        <v>263</v>
      </c>
      <c r="AR298" s="367"/>
      <c r="AS298" s="366">
        <f>ABS(INDEX(AS:AS,MATCH(AS292,$AA:$AA,0)+14)+INDEX(AS:AS,MATCH(AS292,$AA:$AA,0)+15)+INDEX(AS:AS,MATCH(AS292,$AA:$AA,0)+16))</f>
        <v>151</v>
      </c>
      <c r="AT298" s="367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6" t="str">
        <f t="shared" si="348"/>
        <v>Gesamt</v>
      </c>
      <c r="C299" s="347" t="str">
        <f t="shared" si="348"/>
        <v/>
      </c>
      <c r="D299" s="365">
        <f>IF(AC299=1505,"",AC299)</f>
        <v>726</v>
      </c>
      <c r="E299" s="365" t="str">
        <f>IF(AD299=0,"",AD299)</f>
        <v/>
      </c>
      <c r="F299" s="365">
        <f>IF(AE299=1505,"",AE299)</f>
        <v>721</v>
      </c>
      <c r="G299" s="365" t="str">
        <f>IF(AF299=0,"",AF299)</f>
        <v/>
      </c>
      <c r="H299" s="365">
        <f>IF(AG299=1505,"",AG299)</f>
        <v>796</v>
      </c>
      <c r="I299" s="365" t="str">
        <f>IF(AH299=0,"",AH299)</f>
        <v/>
      </c>
      <c r="J299" s="365">
        <f>IF(AI299=1505,"",AI299)</f>
        <v>730</v>
      </c>
      <c r="K299" s="365" t="str">
        <f>IF(AJ299=0,"",AJ299)</f>
        <v/>
      </c>
      <c r="L299" s="365">
        <f>IF(AK299=1505,"",AK299)</f>
        <v>838</v>
      </c>
      <c r="M299" s="365" t="str">
        <f>IF(AL299=0,"",AL299)</f>
        <v/>
      </c>
      <c r="N299" s="365">
        <f>IF(AM299=1505,"",AM299)</f>
        <v>877</v>
      </c>
      <c r="O299" s="365" t="str">
        <f>IF(AN299=0,"",AN299)</f>
        <v/>
      </c>
      <c r="P299" s="365">
        <f>IF(AO299=1505,"",AO299)</f>
        <v>665</v>
      </c>
      <c r="Q299" s="365" t="str">
        <f>IF(AP299=0,"",AP299)</f>
        <v/>
      </c>
      <c r="R299" s="365">
        <f>IF(AQ299=1505,"",AQ299)</f>
        <v>799</v>
      </c>
      <c r="S299" s="365" t="str">
        <f>IF(AR299=0,"",AR299)</f>
        <v/>
      </c>
      <c r="T299" s="365">
        <f>IF(AS299=1505,"",AS299)</f>
        <v>724</v>
      </c>
      <c r="U299" s="365" t="str">
        <f>IF(AT299=0,"",AT299)</f>
        <v/>
      </c>
      <c r="V299" s="301"/>
      <c r="W299" s="301"/>
      <c r="AA299" s="93" t="s">
        <v>1799</v>
      </c>
      <c r="AB299" s="94"/>
      <c r="AC299" s="346">
        <f>SUM(AC295:AC298)</f>
        <v>726</v>
      </c>
      <c r="AD299" s="347"/>
      <c r="AE299" s="346">
        <f>SUM(AE295:AE298)</f>
        <v>721</v>
      </c>
      <c r="AF299" s="347"/>
      <c r="AG299" s="346">
        <f>SUM(AG295:AG298)</f>
        <v>796</v>
      </c>
      <c r="AH299" s="347"/>
      <c r="AI299" s="346">
        <f>SUM(AI295:AI298)</f>
        <v>730</v>
      </c>
      <c r="AJ299" s="347"/>
      <c r="AK299" s="346">
        <f>SUM(AK295:AK298)</f>
        <v>838</v>
      </c>
      <c r="AL299" s="347"/>
      <c r="AM299" s="346">
        <f>SUM(AM295:AM298)</f>
        <v>877</v>
      </c>
      <c r="AN299" s="347"/>
      <c r="AO299" s="346">
        <f>SUM(AO295:AO298)</f>
        <v>665</v>
      </c>
      <c r="AP299" s="347"/>
      <c r="AQ299" s="346">
        <f>SUM(AQ295:AQ298)</f>
        <v>799</v>
      </c>
      <c r="AR299" s="347"/>
      <c r="AS299" s="346">
        <f>SUM(AS295:AS298)</f>
        <v>724</v>
      </c>
      <c r="AT299" s="347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5"/>
      <c r="Y1" s="5"/>
      <c r="AA1" s="215" t="s">
        <v>2080</v>
      </c>
    </row>
    <row r="2" spans="1:31" ht="28.5" customHeight="1" x14ac:dyDescent="0.25">
      <c r="A2" s="386" t="str">
        <f>"Saison "&amp;Spielorte!C18&amp;"     -     Spieltag "&amp;Erfassung2!AS2&amp;"     -     "&amp;Erfassung2!AT1</f>
        <v>Saison 2024/2025     -     Spieltag 2     -     02.11./03.11.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5"/>
      <c r="Y2" s="5"/>
    </row>
    <row r="3" spans="1:31" ht="28.5" customHeight="1" x14ac:dyDescent="0.25">
      <c r="A3" s="386" t="str">
        <f>+Erfassung2!AE2</f>
        <v>Nürnberg West Bowling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9" t="s">
        <v>1816</v>
      </c>
      <c r="B5" s="391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1" t="s">
        <v>1808</v>
      </c>
      <c r="T5" s="380"/>
      <c r="U5" s="379" t="s">
        <v>1799</v>
      </c>
      <c r="V5" s="380"/>
      <c r="W5" s="387" t="s">
        <v>1818</v>
      </c>
    </row>
    <row r="6" spans="1:31" ht="13.8" thickBot="1" x14ac:dyDescent="0.3">
      <c r="A6" s="390"/>
      <c r="B6" s="392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8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INDEX(Erfassung2!$AA:$AA,MATCH($A7,Erfassung2!$BR:$BR,0)-17)</f>
        <v>SG DJK Rimpar</v>
      </c>
      <c r="C7" s="129">
        <f>INDEX(Erfassung2!AC:AC,MATCH($A7,Erfassung2!$BR:$BR,0)-1)</f>
        <v>782</v>
      </c>
      <c r="D7" s="130">
        <f>INDEX(Erfassung2!AD:AD,MATCH($A7,Erfassung2!$BR:$BR,0))</f>
        <v>4</v>
      </c>
      <c r="E7" s="129">
        <f>INDEX(Erfassung2!AE:AE,MATCH($A7,Erfassung2!$BR:$BR,0)-1)</f>
        <v>804</v>
      </c>
      <c r="F7" s="130">
        <f>INDEX(Erfassung2!AF:AF,MATCH($A7,Erfassung2!$BR:$BR,0))</f>
        <v>5</v>
      </c>
      <c r="G7" s="129">
        <f>INDEX(Erfassung2!AG:AG,MATCH($A7,Erfassung2!$BR:$BR,0)-1)</f>
        <v>843</v>
      </c>
      <c r="H7" s="130">
        <f>INDEX(Erfassung2!AH:AH,MATCH($A7,Erfassung2!$BR:$BR,0))</f>
        <v>4</v>
      </c>
      <c r="I7" s="129">
        <f>INDEX(Erfassung2!AI:AI,MATCH($A7,Erfassung2!$BR:$BR,0)-1)</f>
        <v>753</v>
      </c>
      <c r="J7" s="130">
        <f>INDEX(Erfassung2!AJ:AJ,MATCH($A7,Erfassung2!$BR:$BR,0))</f>
        <v>1</v>
      </c>
      <c r="K7" s="129">
        <f>INDEX(Erfassung2!AK:AK,MATCH($A7,Erfassung2!$BR:$BR,0)-1)</f>
        <v>740</v>
      </c>
      <c r="L7" s="130">
        <f>INDEX(Erfassung2!AL:AL,MATCH($A7,Erfassung2!$BR:$BR,0))</f>
        <v>5</v>
      </c>
      <c r="M7" s="129">
        <f>INDEX(Erfassung2!AM:AM,MATCH($A7,Erfassung2!$BR:$BR,0)-1)</f>
        <v>877</v>
      </c>
      <c r="N7" s="130">
        <f>INDEX(Erfassung2!AN:AN,MATCH($A7,Erfassung2!$BR:$BR,0))</f>
        <v>6</v>
      </c>
      <c r="O7" s="129">
        <f>INDEX(Erfassung2!AO:AO,MATCH($A7,Erfassung2!$BR:$BR,0)-1)</f>
        <v>757</v>
      </c>
      <c r="P7" s="130">
        <f>INDEX(Erfassung2!AP:AP,MATCH($A7,Erfassung2!$BR:$BR,0))</f>
        <v>3.5</v>
      </c>
      <c r="Q7" s="129">
        <f>INDEX(Erfassung2!AQ:AQ,MATCH($A7,Erfassung2!$BR:$BR,0)-1)</f>
        <v>846</v>
      </c>
      <c r="R7" s="130">
        <f>INDEX(Erfassung2!AR:AR,MATCH($A7,Erfassung2!$BR:$BR,0))</f>
        <v>6</v>
      </c>
      <c r="S7" s="129">
        <f>INDEX(Erfassung2!AS:AS,MATCH($A7,Erfassung2!$BR:$BR,0)-1)</f>
        <v>872</v>
      </c>
      <c r="T7" s="130">
        <f>INDEX(Erfassung2!AT:AT,MATCH($A7,Erfassung2!$BR:$BR,0))</f>
        <v>6</v>
      </c>
      <c r="U7" s="131">
        <f t="shared" ref="U7:V16" si="0">SUM(C7+E7+G7+I7+K7+M7+O7+Q7+S7)</f>
        <v>7274</v>
      </c>
      <c r="V7" s="132">
        <f t="shared" si="0"/>
        <v>40.5</v>
      </c>
      <c r="W7" s="224">
        <f>IFERROR(U7/INDEX(Erfassung2!BF:BF,MATCH(A7,Erfassung2!BR:BR,0)),0)</f>
        <v>202.05555555555554</v>
      </c>
      <c r="X7" s="25"/>
      <c r="AA7" s="225">
        <f>INDEX(Tabelle1!U:U,MATCH(B7,Tabelle1!B:B,0))+U7</f>
        <v>14713</v>
      </c>
      <c r="AB7" s="226">
        <f>INDEX(Tabelle1!V:V,MATCH(B7,Tabelle1!B:B,0))+V7</f>
        <v>69.5</v>
      </c>
      <c r="AC7" s="215">
        <f>+AB7+AA7/1000000000</f>
        <v>69.500014712999999</v>
      </c>
      <c r="AD7" s="215">
        <f>RANK(AC7,AC:AC)</f>
        <v>1</v>
      </c>
      <c r="AE7" s="215">
        <f>INDEX(Tabelle1!AE:AE,MATCH(B7,Tabelle1!B:B,0))+SUMIF(Erfassung2!BU:BU,B7,Erfassung2!BF:BF)</f>
        <v>72</v>
      </c>
    </row>
    <row r="8" spans="1:31" ht="42" customHeight="1" thickBot="1" x14ac:dyDescent="0.3">
      <c r="A8" s="223">
        <v>2</v>
      </c>
      <c r="B8" s="128" t="str">
        <f>INDEX(Erfassung2!$AA:$AA,MATCH($A8,Erfassung2!$BR:$BR,0)-17)</f>
        <v>BC Comet Nürnberg</v>
      </c>
      <c r="C8" s="129">
        <f>INDEX(Erfassung2!AC:AC,MATCH($A8,Erfassung2!$BR:$BR,0)-1)</f>
        <v>908</v>
      </c>
      <c r="D8" s="130">
        <f>INDEX(Erfassung2!AD:AD,MATCH($A8,Erfassung2!$BR:$BR,0))</f>
        <v>6</v>
      </c>
      <c r="E8" s="129">
        <f>INDEX(Erfassung2!AE:AE,MATCH($A8,Erfassung2!$BR:$BR,0)-1)</f>
        <v>815</v>
      </c>
      <c r="F8" s="130">
        <f>INDEX(Erfassung2!AF:AF,MATCH($A8,Erfassung2!$BR:$BR,0))</f>
        <v>4</v>
      </c>
      <c r="G8" s="129">
        <f>INDEX(Erfassung2!AG:AG,MATCH($A8,Erfassung2!$BR:$BR,0)-1)</f>
        <v>762</v>
      </c>
      <c r="H8" s="130">
        <f>INDEX(Erfassung2!AH:AH,MATCH($A8,Erfassung2!$BR:$BR,0))</f>
        <v>2</v>
      </c>
      <c r="I8" s="129">
        <f>INDEX(Erfassung2!AI:AI,MATCH($A8,Erfassung2!$BR:$BR,0)-1)</f>
        <v>665</v>
      </c>
      <c r="J8" s="130">
        <f>INDEX(Erfassung2!AJ:AJ,MATCH($A8,Erfassung2!$BR:$BR,0))</f>
        <v>0</v>
      </c>
      <c r="K8" s="129">
        <f>INDEX(Erfassung2!AK:AK,MATCH($A8,Erfassung2!$BR:$BR,0)-1)</f>
        <v>838</v>
      </c>
      <c r="L8" s="130">
        <f>INDEX(Erfassung2!AL:AL,MATCH($A8,Erfassung2!$BR:$BR,0))</f>
        <v>6</v>
      </c>
      <c r="M8" s="129">
        <f>INDEX(Erfassung2!AM:AM,MATCH($A8,Erfassung2!$BR:$BR,0)-1)</f>
        <v>775</v>
      </c>
      <c r="N8" s="130">
        <f>INDEX(Erfassung2!AN:AN,MATCH($A8,Erfassung2!$BR:$BR,0))</f>
        <v>4</v>
      </c>
      <c r="O8" s="129">
        <f>INDEX(Erfassung2!AO:AO,MATCH($A8,Erfassung2!$BR:$BR,0)-1)</f>
        <v>790</v>
      </c>
      <c r="P8" s="130">
        <f>INDEX(Erfassung2!AP:AP,MATCH($A8,Erfassung2!$BR:$BR,0))</f>
        <v>4</v>
      </c>
      <c r="Q8" s="129">
        <f>INDEX(Erfassung2!AQ:AQ,MATCH($A8,Erfassung2!$BR:$BR,0)-1)</f>
        <v>787</v>
      </c>
      <c r="R8" s="130">
        <f>INDEX(Erfassung2!AR:AR,MATCH($A8,Erfassung2!$BR:$BR,0))</f>
        <v>2</v>
      </c>
      <c r="S8" s="129">
        <f>INDEX(Erfassung2!AS:AS,MATCH($A8,Erfassung2!$BR:$BR,0)-1)</f>
        <v>728</v>
      </c>
      <c r="T8" s="130">
        <f>INDEX(Erfassung2!AT:AT,MATCH($A8,Erfassung2!$BR:$BR,0))</f>
        <v>4</v>
      </c>
      <c r="U8" s="131">
        <f t="shared" si="0"/>
        <v>7068</v>
      </c>
      <c r="V8" s="132">
        <f t="shared" si="0"/>
        <v>32</v>
      </c>
      <c r="W8" s="224">
        <f>IFERROR(U8/INDEX(Erfassung2!BF:BF,MATCH(A8,Erfassung2!BR:BR,0)),0)</f>
        <v>196.33333333333334</v>
      </c>
      <c r="X8" s="25"/>
      <c r="AA8" s="225">
        <f>INDEX(Tabelle1!U:U,MATCH(B8,Tabelle1!B:B,0))+U8</f>
        <v>14424</v>
      </c>
      <c r="AB8" s="226">
        <f>INDEX(Tabelle1!V:V,MATCH(B8,Tabelle1!B:B,0))+V8</f>
        <v>63.5</v>
      </c>
      <c r="AC8" s="215">
        <f t="shared" ref="AC8:AC16" si="1">+AB8+AA8/1000000000</f>
        <v>63.500014424</v>
      </c>
      <c r="AD8" s="215">
        <f t="shared" ref="AD8:AD16" si="2">RANK(AC8,AC:AC)</f>
        <v>3</v>
      </c>
      <c r="AE8" s="215">
        <f>INDEX(Tabelle1!AE:AE,MATCH(B8,Tabelle1!B:B,0))+SUMIF(Erfassung2!BU:BU,B8,Erfassung2!BF:BF)</f>
        <v>72</v>
      </c>
    </row>
    <row r="9" spans="1:31" ht="42" customHeight="1" thickBot="1" x14ac:dyDescent="0.3">
      <c r="A9" s="223">
        <v>3</v>
      </c>
      <c r="B9" s="128" t="str">
        <f>INDEX(Erfassung2!$AA:$AA,MATCH($A9,Erfassung2!$BR:$BR,0)-17)</f>
        <v>Bowlinghaus Bamberg 1</v>
      </c>
      <c r="C9" s="129">
        <f>INDEX(Erfassung2!AC:AC,MATCH($A9,Erfassung2!$BR:$BR,0)-1)</f>
        <v>803</v>
      </c>
      <c r="D9" s="130">
        <f>INDEX(Erfassung2!AD:AD,MATCH($A9,Erfassung2!$BR:$BR,0))</f>
        <v>4</v>
      </c>
      <c r="E9" s="129">
        <f>INDEX(Erfassung2!AE:AE,MATCH($A9,Erfassung2!$BR:$BR,0)-1)</f>
        <v>789</v>
      </c>
      <c r="F9" s="130">
        <f>INDEX(Erfassung2!AF:AF,MATCH($A9,Erfassung2!$BR:$BR,0))</f>
        <v>5</v>
      </c>
      <c r="G9" s="129">
        <f>INDEX(Erfassung2!AG:AG,MATCH($A9,Erfassung2!$BR:$BR,0)-1)</f>
        <v>683</v>
      </c>
      <c r="H9" s="130">
        <f>INDEX(Erfassung2!AH:AH,MATCH($A9,Erfassung2!$BR:$BR,0))</f>
        <v>2</v>
      </c>
      <c r="I9" s="129">
        <f>INDEX(Erfassung2!AI:AI,MATCH($A9,Erfassung2!$BR:$BR,0)-1)</f>
        <v>730</v>
      </c>
      <c r="J9" s="130">
        <f>INDEX(Erfassung2!AJ:AJ,MATCH($A9,Erfassung2!$BR:$BR,0))</f>
        <v>2</v>
      </c>
      <c r="K9" s="129">
        <f>INDEX(Erfassung2!AK:AK,MATCH($A9,Erfassung2!$BR:$BR,0)-1)</f>
        <v>868</v>
      </c>
      <c r="L9" s="130">
        <f>INDEX(Erfassung2!AL:AL,MATCH($A9,Erfassung2!$BR:$BR,0))</f>
        <v>5</v>
      </c>
      <c r="M9" s="129">
        <f>INDEX(Erfassung2!AM:AM,MATCH($A9,Erfassung2!$BR:$BR,0)-1)</f>
        <v>723</v>
      </c>
      <c r="N9" s="130">
        <f>INDEX(Erfassung2!AN:AN,MATCH($A9,Erfassung2!$BR:$BR,0))</f>
        <v>2</v>
      </c>
      <c r="O9" s="129">
        <f>INDEX(Erfassung2!AO:AO,MATCH($A9,Erfassung2!$BR:$BR,0)-1)</f>
        <v>728</v>
      </c>
      <c r="P9" s="130">
        <f>INDEX(Erfassung2!AP:AP,MATCH($A9,Erfassung2!$BR:$BR,0))</f>
        <v>2.5</v>
      </c>
      <c r="Q9" s="129">
        <f>INDEX(Erfassung2!AQ:AQ,MATCH($A9,Erfassung2!$BR:$BR,0)-1)</f>
        <v>800</v>
      </c>
      <c r="R9" s="130">
        <f>INDEX(Erfassung2!AR:AR,MATCH($A9,Erfassung2!$BR:$BR,0))</f>
        <v>4</v>
      </c>
      <c r="S9" s="129">
        <f>INDEX(Erfassung2!AS:AS,MATCH($A9,Erfassung2!$BR:$BR,0)-1)</f>
        <v>820</v>
      </c>
      <c r="T9" s="130">
        <f>INDEX(Erfassung2!AT:AT,MATCH($A9,Erfassung2!$BR:$BR,0))</f>
        <v>5</v>
      </c>
      <c r="U9" s="131">
        <f t="shared" si="0"/>
        <v>6944</v>
      </c>
      <c r="V9" s="132">
        <f t="shared" si="0"/>
        <v>31.5</v>
      </c>
      <c r="W9" s="224">
        <f>IFERROR(U9/INDEX(Erfassung2!BF:BF,MATCH(A9,Erfassung2!BR:BR,0)),0)</f>
        <v>192.88888888888889</v>
      </c>
      <c r="X9" s="25"/>
      <c r="AA9" s="225">
        <f>INDEX(Tabelle1!U:U,MATCH(B9,Tabelle1!B:B,0))+U9</f>
        <v>13930</v>
      </c>
      <c r="AB9" s="226">
        <f>INDEX(Tabelle1!V:V,MATCH(B9,Tabelle1!B:B,0))+V9</f>
        <v>60</v>
      </c>
      <c r="AC9" s="215">
        <f t="shared" si="1"/>
        <v>60.000013930000001</v>
      </c>
      <c r="AD9" s="215">
        <f t="shared" si="2"/>
        <v>5</v>
      </c>
      <c r="AE9" s="215">
        <f>INDEX(Tabelle1!AE:AE,MATCH(B9,Tabelle1!B:B,0))+SUMIF(Erfassung2!BU:BU,B9,Erfassung2!BF:BF)</f>
        <v>72</v>
      </c>
    </row>
    <row r="10" spans="1:31" ht="42" customHeight="1" thickBot="1" x14ac:dyDescent="0.3">
      <c r="A10" s="223">
        <v>4</v>
      </c>
      <c r="B10" s="128" t="str">
        <f>INDEX(Erfassung2!$AA:$AA,MATCH($A10,Erfassung2!$BR:$BR,0)-17)</f>
        <v>SG Rottendorf 1</v>
      </c>
      <c r="C10" s="129">
        <f>INDEX(Erfassung2!AC:AC,MATCH($A10,Erfassung2!$BR:$BR,0)-1)</f>
        <v>726</v>
      </c>
      <c r="D10" s="130">
        <f>INDEX(Erfassung2!AD:AD,MATCH($A10,Erfassung2!$BR:$BR,0))</f>
        <v>6</v>
      </c>
      <c r="E10" s="129">
        <f>INDEX(Erfassung2!AE:AE,MATCH($A10,Erfassung2!$BR:$BR,0)-1)</f>
        <v>700</v>
      </c>
      <c r="F10" s="130">
        <f>INDEX(Erfassung2!AF:AF,MATCH($A10,Erfassung2!$BR:$BR,0))</f>
        <v>1</v>
      </c>
      <c r="G10" s="129">
        <f>INDEX(Erfassung2!AG:AG,MATCH($A10,Erfassung2!$BR:$BR,0)-1)</f>
        <v>774</v>
      </c>
      <c r="H10" s="130">
        <f>INDEX(Erfassung2!AH:AH,MATCH($A10,Erfassung2!$BR:$BR,0))</f>
        <v>3</v>
      </c>
      <c r="I10" s="129">
        <f>INDEX(Erfassung2!AI:AI,MATCH($A10,Erfassung2!$BR:$BR,0)-1)</f>
        <v>787</v>
      </c>
      <c r="J10" s="130">
        <f>INDEX(Erfassung2!AJ:AJ,MATCH($A10,Erfassung2!$BR:$BR,0))</f>
        <v>4</v>
      </c>
      <c r="K10" s="129">
        <f>INDEX(Erfassung2!AK:AK,MATCH($A10,Erfassung2!$BR:$BR,0)-1)</f>
        <v>669</v>
      </c>
      <c r="L10" s="130">
        <f>INDEX(Erfassung2!AL:AL,MATCH($A10,Erfassung2!$BR:$BR,0))</f>
        <v>1</v>
      </c>
      <c r="M10" s="129">
        <f>INDEX(Erfassung2!AM:AM,MATCH($A10,Erfassung2!$BR:$BR,0)-1)</f>
        <v>753</v>
      </c>
      <c r="N10" s="130">
        <f>INDEX(Erfassung2!AN:AN,MATCH($A10,Erfassung2!$BR:$BR,0))</f>
        <v>4</v>
      </c>
      <c r="O10" s="129">
        <f>INDEX(Erfassung2!AO:AO,MATCH($A10,Erfassung2!$BR:$BR,0)-1)</f>
        <v>778</v>
      </c>
      <c r="P10" s="130">
        <f>INDEX(Erfassung2!AP:AP,MATCH($A10,Erfassung2!$BR:$BR,0))</f>
        <v>2</v>
      </c>
      <c r="Q10" s="129">
        <f>INDEX(Erfassung2!AQ:AQ,MATCH($A10,Erfassung2!$BR:$BR,0)-1)</f>
        <v>764</v>
      </c>
      <c r="R10" s="130">
        <f>INDEX(Erfassung2!AR:AR,MATCH($A10,Erfassung2!$BR:$BR,0))</f>
        <v>4</v>
      </c>
      <c r="S10" s="129">
        <f>INDEX(Erfassung2!AS:AS,MATCH($A10,Erfassung2!$BR:$BR,0)-1)</f>
        <v>837</v>
      </c>
      <c r="T10" s="130">
        <f>INDEX(Erfassung2!AT:AT,MATCH($A10,Erfassung2!$BR:$BR,0))</f>
        <v>5</v>
      </c>
      <c r="U10" s="131">
        <f t="shared" si="0"/>
        <v>6788</v>
      </c>
      <c r="V10" s="132">
        <f t="shared" si="0"/>
        <v>30</v>
      </c>
      <c r="W10" s="224">
        <f>IFERROR(U10/INDEX(Erfassung2!BF:BF,MATCH(A10,Erfassung2!BR:BR,0)),0)</f>
        <v>188.55555555555554</v>
      </c>
      <c r="X10" s="25"/>
      <c r="AA10" s="225">
        <f>INDEX(Tabelle1!U:U,MATCH(B10,Tabelle1!B:B,0))+U10</f>
        <v>13618</v>
      </c>
      <c r="AB10" s="226">
        <f>INDEX(Tabelle1!V:V,MATCH(B10,Tabelle1!B:B,0))+V10</f>
        <v>56.5</v>
      </c>
      <c r="AC10" s="215">
        <f t="shared" si="1"/>
        <v>56.500013617999997</v>
      </c>
      <c r="AD10" s="215">
        <f t="shared" si="2"/>
        <v>6</v>
      </c>
      <c r="AE10" s="215">
        <f>INDEX(Tabelle1!AE:AE,MATCH(B10,Tabelle1!B:B,0))+SUMIF(Erfassung2!BU:BU,B10,Erfassung2!BF:BF)</f>
        <v>71</v>
      </c>
    </row>
    <row r="11" spans="1:31" ht="42" customHeight="1" thickBot="1" x14ac:dyDescent="0.3">
      <c r="A11" s="223">
        <v>5</v>
      </c>
      <c r="B11" s="128" t="str">
        <f>INDEX(Erfassung2!$AA:$AA,MATCH($A11,Erfassung2!$BR:$BR,0)-17)</f>
        <v>Bajuwaren München 1</v>
      </c>
      <c r="C11" s="129">
        <f>INDEX(Erfassung2!AC:AC,MATCH($A11,Erfassung2!$BR:$BR,0)-1)</f>
        <v>779</v>
      </c>
      <c r="D11" s="130">
        <f>INDEX(Erfassung2!AD:AD,MATCH($A11,Erfassung2!$BR:$BR,0))</f>
        <v>2</v>
      </c>
      <c r="E11" s="129">
        <f>INDEX(Erfassung2!AE:AE,MATCH($A11,Erfassung2!$BR:$BR,0)-1)</f>
        <v>784</v>
      </c>
      <c r="F11" s="130">
        <f>INDEX(Erfassung2!AF:AF,MATCH($A11,Erfassung2!$BR:$BR,0))</f>
        <v>2</v>
      </c>
      <c r="G11" s="129">
        <f>INDEX(Erfassung2!AG:AG,MATCH($A11,Erfassung2!$BR:$BR,0)-1)</f>
        <v>796</v>
      </c>
      <c r="H11" s="130">
        <f>INDEX(Erfassung2!AH:AH,MATCH($A11,Erfassung2!$BR:$BR,0))</f>
        <v>3</v>
      </c>
      <c r="I11" s="129">
        <f>INDEX(Erfassung2!AI:AI,MATCH($A11,Erfassung2!$BR:$BR,0)-1)</f>
        <v>674</v>
      </c>
      <c r="J11" s="130">
        <f>INDEX(Erfassung2!AJ:AJ,MATCH($A11,Erfassung2!$BR:$BR,0))</f>
        <v>4</v>
      </c>
      <c r="K11" s="129">
        <f>INDEX(Erfassung2!AK:AK,MATCH($A11,Erfassung2!$BR:$BR,0)-1)</f>
        <v>849</v>
      </c>
      <c r="L11" s="130">
        <f>INDEX(Erfassung2!AL:AL,MATCH($A11,Erfassung2!$BR:$BR,0))</f>
        <v>5</v>
      </c>
      <c r="M11" s="129">
        <f>INDEX(Erfassung2!AM:AM,MATCH($A11,Erfassung2!$BR:$BR,0)-1)</f>
        <v>745</v>
      </c>
      <c r="N11" s="130">
        <f>INDEX(Erfassung2!AN:AN,MATCH($A11,Erfassung2!$BR:$BR,0))</f>
        <v>4</v>
      </c>
      <c r="O11" s="129">
        <f>INDEX(Erfassung2!AO:AO,MATCH($A11,Erfassung2!$BR:$BR,0)-1)</f>
        <v>692</v>
      </c>
      <c r="P11" s="130">
        <f>INDEX(Erfassung2!AP:AP,MATCH($A11,Erfassung2!$BR:$BR,0))</f>
        <v>5</v>
      </c>
      <c r="Q11" s="129">
        <f>INDEX(Erfassung2!AQ:AQ,MATCH($A11,Erfassung2!$BR:$BR,0)-1)</f>
        <v>660</v>
      </c>
      <c r="R11" s="130">
        <f>INDEX(Erfassung2!AR:AR,MATCH($A11,Erfassung2!$BR:$BR,0))</f>
        <v>0</v>
      </c>
      <c r="S11" s="129">
        <f>INDEX(Erfassung2!AS:AS,MATCH($A11,Erfassung2!$BR:$BR,0)-1)</f>
        <v>725</v>
      </c>
      <c r="T11" s="130">
        <f>INDEX(Erfassung2!AT:AT,MATCH($A11,Erfassung2!$BR:$BR,0))</f>
        <v>1</v>
      </c>
      <c r="U11" s="131">
        <f t="shared" si="0"/>
        <v>6704</v>
      </c>
      <c r="V11" s="132">
        <f t="shared" si="0"/>
        <v>26</v>
      </c>
      <c r="W11" s="224">
        <f>IFERROR(U11/INDEX(Erfassung2!BF:BF,MATCH(A11,Erfassung2!BR:BR,0)),0)</f>
        <v>186.22222222222223</v>
      </c>
      <c r="X11" s="25"/>
      <c r="AA11" s="225">
        <f>INDEX(Tabelle1!U:U,MATCH(B11,Tabelle1!B:B,0))+U11</f>
        <v>14108</v>
      </c>
      <c r="AB11" s="226">
        <f>INDEX(Tabelle1!V:V,MATCH(B11,Tabelle1!B:B,0))+V11</f>
        <v>65</v>
      </c>
      <c r="AC11" s="215">
        <f t="shared" si="1"/>
        <v>65.000014108000002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3">
      <c r="A12" s="223">
        <v>6</v>
      </c>
      <c r="B12" s="128" t="str">
        <f>INDEX(Erfassung2!$AA:$AA,MATCH($A12,Erfassung2!$BR:$BR,0)-17)</f>
        <v>BK München 3</v>
      </c>
      <c r="C12" s="129">
        <f>INDEX(Erfassung2!AC:AC,MATCH($A12,Erfassung2!$BR:$BR,0)-1)</f>
        <v>761</v>
      </c>
      <c r="D12" s="130">
        <f>INDEX(Erfassung2!AD:AD,MATCH($A12,Erfassung2!$BR:$BR,0))</f>
        <v>4</v>
      </c>
      <c r="E12" s="129">
        <f>INDEX(Erfassung2!AE:AE,MATCH($A12,Erfassung2!$BR:$BR,0)-1)</f>
        <v>751</v>
      </c>
      <c r="F12" s="130">
        <f>INDEX(Erfassung2!AF:AF,MATCH($A12,Erfassung2!$BR:$BR,0))</f>
        <v>1</v>
      </c>
      <c r="G12" s="129">
        <f>INDEX(Erfassung2!AG:AG,MATCH($A12,Erfassung2!$BR:$BR,0)-1)</f>
        <v>720</v>
      </c>
      <c r="H12" s="130">
        <f>INDEX(Erfassung2!AH:AH,MATCH($A12,Erfassung2!$BR:$BR,0))</f>
        <v>1</v>
      </c>
      <c r="I12" s="129">
        <f>INDEX(Erfassung2!AI:AI,MATCH($A12,Erfassung2!$BR:$BR,0)-1)</f>
        <v>755</v>
      </c>
      <c r="J12" s="130">
        <f>INDEX(Erfassung2!AJ:AJ,MATCH($A12,Erfassung2!$BR:$BR,0))</f>
        <v>2</v>
      </c>
      <c r="K12" s="129">
        <f>INDEX(Erfassung2!AK:AK,MATCH($A12,Erfassung2!$BR:$BR,0)-1)</f>
        <v>805</v>
      </c>
      <c r="L12" s="130">
        <f>INDEX(Erfassung2!AL:AL,MATCH($A12,Erfassung2!$BR:$BR,0))</f>
        <v>1</v>
      </c>
      <c r="M12" s="129">
        <f>INDEX(Erfassung2!AM:AM,MATCH($A12,Erfassung2!$BR:$BR,0)-1)</f>
        <v>766</v>
      </c>
      <c r="N12" s="130">
        <f>INDEX(Erfassung2!AN:AN,MATCH($A12,Erfassung2!$BR:$BR,0))</f>
        <v>4</v>
      </c>
      <c r="O12" s="129">
        <f>INDEX(Erfassung2!AO:AO,MATCH($A12,Erfassung2!$BR:$BR,0)-1)</f>
        <v>819</v>
      </c>
      <c r="P12" s="130">
        <f>INDEX(Erfassung2!AP:AP,MATCH($A12,Erfassung2!$BR:$BR,0))</f>
        <v>6</v>
      </c>
      <c r="Q12" s="129">
        <f>INDEX(Erfassung2!AQ:AQ,MATCH($A12,Erfassung2!$BR:$BR,0)-1)</f>
        <v>799</v>
      </c>
      <c r="R12" s="130">
        <f>INDEX(Erfassung2!AR:AR,MATCH($A12,Erfassung2!$BR:$BR,0))</f>
        <v>4</v>
      </c>
      <c r="S12" s="129">
        <f>INDEX(Erfassung2!AS:AS,MATCH($A12,Erfassung2!$BR:$BR,0)-1)</f>
        <v>690</v>
      </c>
      <c r="T12" s="130">
        <f>INDEX(Erfassung2!AT:AT,MATCH($A12,Erfassung2!$BR:$BR,0))</f>
        <v>2</v>
      </c>
      <c r="U12" s="131">
        <f t="shared" si="0"/>
        <v>6866</v>
      </c>
      <c r="V12" s="132">
        <f t="shared" si="0"/>
        <v>25</v>
      </c>
      <c r="W12" s="224">
        <f>IFERROR(U12/INDEX(Erfassung2!BF:BF,MATCH(A12,Erfassung2!BR:BR,0)),0)</f>
        <v>190.72222222222223</v>
      </c>
      <c r="X12" s="25"/>
      <c r="AA12" s="225">
        <f>INDEX(Tabelle1!U:U,MATCH(B12,Tabelle1!B:B,0))+U12</f>
        <v>14536</v>
      </c>
      <c r="AB12" s="226">
        <f>INDEX(Tabelle1!V:V,MATCH(B12,Tabelle1!B:B,0))+V12</f>
        <v>60</v>
      </c>
      <c r="AC12" s="215">
        <f t="shared" si="1"/>
        <v>60.000014536000002</v>
      </c>
      <c r="AD12" s="215">
        <f t="shared" si="2"/>
        <v>4</v>
      </c>
      <c r="AE12" s="215">
        <f>INDEX(Tabelle1!AE:AE,MATCH(B12,Tabelle1!B:B,0))+SUMIF(Erfassung2!BU:BU,B12,Erfassung2!BF:BF)</f>
        <v>72</v>
      </c>
    </row>
    <row r="13" spans="1:31" ht="42" customHeight="1" thickBot="1" x14ac:dyDescent="0.3">
      <c r="A13" s="223">
        <v>7</v>
      </c>
      <c r="B13" s="128" t="str">
        <f>INDEX(Erfassung2!$AA:$AA,MATCH($A13,Erfassung2!$BR:$BR,0)-17)</f>
        <v>High Roller Rosenheim 1</v>
      </c>
      <c r="C13" s="129">
        <f>INDEX(Erfassung2!AC:AC,MATCH($A13,Erfassung2!$BR:$BR,0)-1)</f>
        <v>674</v>
      </c>
      <c r="D13" s="130">
        <f>INDEX(Erfassung2!AD:AD,MATCH($A13,Erfassung2!$BR:$BR,0))</f>
        <v>0</v>
      </c>
      <c r="E13" s="129">
        <f>INDEX(Erfassung2!AE:AE,MATCH($A13,Erfassung2!$BR:$BR,0)-1)</f>
        <v>784</v>
      </c>
      <c r="F13" s="130">
        <f>INDEX(Erfassung2!AF:AF,MATCH($A13,Erfassung2!$BR:$BR,0))</f>
        <v>5</v>
      </c>
      <c r="G13" s="129">
        <f>INDEX(Erfassung2!AG:AG,MATCH($A13,Erfassung2!$BR:$BR,0)-1)</f>
        <v>760</v>
      </c>
      <c r="H13" s="130">
        <f>INDEX(Erfassung2!AH:AH,MATCH($A13,Erfassung2!$BR:$BR,0))</f>
        <v>3</v>
      </c>
      <c r="I13" s="129">
        <f>INDEX(Erfassung2!AI:AI,MATCH($A13,Erfassung2!$BR:$BR,0)-1)</f>
        <v>769</v>
      </c>
      <c r="J13" s="130">
        <f>INDEX(Erfassung2!AJ:AJ,MATCH($A13,Erfassung2!$BR:$BR,0))</f>
        <v>4</v>
      </c>
      <c r="K13" s="129">
        <f>INDEX(Erfassung2!AK:AK,MATCH($A13,Erfassung2!$BR:$BR,0)-1)</f>
        <v>740</v>
      </c>
      <c r="L13" s="130">
        <f>INDEX(Erfassung2!AL:AL,MATCH($A13,Erfassung2!$BR:$BR,0))</f>
        <v>0</v>
      </c>
      <c r="M13" s="129">
        <f>INDEX(Erfassung2!AM:AM,MATCH($A13,Erfassung2!$BR:$BR,0)-1)</f>
        <v>672</v>
      </c>
      <c r="N13" s="130">
        <f>INDEX(Erfassung2!AN:AN,MATCH($A13,Erfassung2!$BR:$BR,0))</f>
        <v>0</v>
      </c>
      <c r="O13" s="129">
        <f>INDEX(Erfassung2!AO:AO,MATCH($A13,Erfassung2!$BR:$BR,0)-1)</f>
        <v>744</v>
      </c>
      <c r="P13" s="130">
        <f>INDEX(Erfassung2!AP:AP,MATCH($A13,Erfassung2!$BR:$BR,0))</f>
        <v>5</v>
      </c>
      <c r="Q13" s="129">
        <f>INDEX(Erfassung2!AQ:AQ,MATCH($A13,Erfassung2!$BR:$BR,0)-1)</f>
        <v>729</v>
      </c>
      <c r="R13" s="130">
        <f>INDEX(Erfassung2!AR:AR,MATCH($A13,Erfassung2!$BR:$BR,0))</f>
        <v>2</v>
      </c>
      <c r="S13" s="129">
        <f>INDEX(Erfassung2!AS:AS,MATCH($A13,Erfassung2!$BR:$BR,0)-1)</f>
        <v>769</v>
      </c>
      <c r="T13" s="130">
        <f>INDEX(Erfassung2!AT:AT,MATCH($A13,Erfassung2!$BR:$BR,0))</f>
        <v>4</v>
      </c>
      <c r="U13" s="131">
        <f t="shared" si="0"/>
        <v>6641</v>
      </c>
      <c r="V13" s="132">
        <f t="shared" si="0"/>
        <v>23</v>
      </c>
      <c r="W13" s="224">
        <f>IFERROR(U13/INDEX(Erfassung2!BF:BF,MATCH(A13,Erfassung2!BR:BR,0)),0)</f>
        <v>184.47222222222223</v>
      </c>
      <c r="X13" s="25"/>
      <c r="AA13" s="225">
        <f>INDEX(Tabelle1!U:U,MATCH(B13,Tabelle1!B:B,0))+U13</f>
        <v>13337</v>
      </c>
      <c r="AB13" s="226">
        <f>INDEX(Tabelle1!V:V,MATCH(B13,Tabelle1!B:B,0))+V13</f>
        <v>43.5</v>
      </c>
      <c r="AC13" s="215">
        <f t="shared" si="1"/>
        <v>43.500013336999999</v>
      </c>
      <c r="AD13" s="215">
        <f t="shared" si="2"/>
        <v>8</v>
      </c>
      <c r="AE13" s="215">
        <f>INDEX(Tabelle1!AE:AE,MATCH(B13,Tabelle1!B:B,0))+SUMIF(Erfassung2!BU:BU,B13,Erfassung2!BF:BF)</f>
        <v>72</v>
      </c>
    </row>
    <row r="14" spans="1:31" ht="42" customHeight="1" thickBot="1" x14ac:dyDescent="0.3">
      <c r="A14" s="223">
        <v>8</v>
      </c>
      <c r="B14" s="128" t="str">
        <f>INDEX(Erfassung2!$AA:$AA,MATCH($A14,Erfassung2!$BR:$BR,0)-17)</f>
        <v>BC EMAX Unterföhring 2</v>
      </c>
      <c r="C14" s="129">
        <f>INDEX(Erfassung2!AC:AC,MATCH($A14,Erfassung2!$BR:$BR,0)-1)</f>
        <v>728</v>
      </c>
      <c r="D14" s="130">
        <f>INDEX(Erfassung2!AD:AD,MATCH($A14,Erfassung2!$BR:$BR,0))</f>
        <v>0</v>
      </c>
      <c r="E14" s="129">
        <f>INDEX(Erfassung2!AE:AE,MATCH($A14,Erfassung2!$BR:$BR,0)-1)</f>
        <v>846</v>
      </c>
      <c r="F14" s="130">
        <f>INDEX(Erfassung2!AF:AF,MATCH($A14,Erfassung2!$BR:$BR,0))</f>
        <v>5</v>
      </c>
      <c r="G14" s="129">
        <f>INDEX(Erfassung2!AG:AG,MATCH($A14,Erfassung2!$BR:$BR,0)-1)</f>
        <v>734</v>
      </c>
      <c r="H14" s="130">
        <f>INDEX(Erfassung2!AH:AH,MATCH($A14,Erfassung2!$BR:$BR,0))</f>
        <v>5</v>
      </c>
      <c r="I14" s="129">
        <f>INDEX(Erfassung2!AI:AI,MATCH($A14,Erfassung2!$BR:$BR,0)-1)</f>
        <v>793</v>
      </c>
      <c r="J14" s="130">
        <f>INDEX(Erfassung2!AJ:AJ,MATCH($A14,Erfassung2!$BR:$BR,0))</f>
        <v>5</v>
      </c>
      <c r="K14" s="129">
        <f>INDEX(Erfassung2!AK:AK,MATCH($A14,Erfassung2!$BR:$BR,0)-1)</f>
        <v>747</v>
      </c>
      <c r="L14" s="130">
        <f>INDEX(Erfassung2!AL:AL,MATCH($A14,Erfassung2!$BR:$BR,0))</f>
        <v>1</v>
      </c>
      <c r="M14" s="129">
        <f>INDEX(Erfassung2!AM:AM,MATCH($A14,Erfassung2!$BR:$BR,0)-1)</f>
        <v>749</v>
      </c>
      <c r="N14" s="130">
        <f>INDEX(Erfassung2!AN:AN,MATCH($A14,Erfassung2!$BR:$BR,0))</f>
        <v>2</v>
      </c>
      <c r="O14" s="129">
        <f>INDEX(Erfassung2!AO:AO,MATCH($A14,Erfassung2!$BR:$BR,0)-1)</f>
        <v>674</v>
      </c>
      <c r="P14" s="130">
        <f>INDEX(Erfassung2!AP:AP,MATCH($A14,Erfassung2!$BR:$BR,0))</f>
        <v>1</v>
      </c>
      <c r="Q14" s="129">
        <f>INDEX(Erfassung2!AQ:AQ,MATCH($A14,Erfassung2!$BR:$BR,0)-1)</f>
        <v>661</v>
      </c>
      <c r="R14" s="130">
        <f>INDEX(Erfassung2!AR:AR,MATCH($A14,Erfassung2!$BR:$BR,0))</f>
        <v>1</v>
      </c>
      <c r="S14" s="129">
        <f>INDEX(Erfassung2!AS:AS,MATCH($A14,Erfassung2!$BR:$BR,0)-1)</f>
        <v>724</v>
      </c>
      <c r="T14" s="130">
        <f>INDEX(Erfassung2!AT:AT,MATCH($A14,Erfassung2!$BR:$BR,0))</f>
        <v>2</v>
      </c>
      <c r="U14" s="131">
        <f t="shared" si="0"/>
        <v>6656</v>
      </c>
      <c r="V14" s="132">
        <f t="shared" si="0"/>
        <v>22</v>
      </c>
      <c r="W14" s="224">
        <f>IFERROR(U14/INDEX(Erfassung2!BF:BF,MATCH(A14,Erfassung2!BR:BR,0)),0)</f>
        <v>184.88888888888889</v>
      </c>
      <c r="X14" s="25"/>
      <c r="AA14" s="225">
        <f>INDEX(Tabelle1!U:U,MATCH(B14,Tabelle1!B:B,0))+U14</f>
        <v>13861</v>
      </c>
      <c r="AB14" s="226">
        <f>INDEX(Tabelle1!V:V,MATCH(B14,Tabelle1!B:B,0))+V14</f>
        <v>46.5</v>
      </c>
      <c r="AC14" s="215">
        <f t="shared" si="1"/>
        <v>46.500013860999999</v>
      </c>
      <c r="AD14" s="215">
        <f t="shared" si="2"/>
        <v>7</v>
      </c>
      <c r="AE14" s="215">
        <f>INDEX(Tabelle1!AE:AE,MATCH(B14,Tabelle1!B:B,0))+SUMIF(Erfassung2!BU:BU,B14,Erfassung2!BF:BF)</f>
        <v>72</v>
      </c>
    </row>
    <row r="15" spans="1:31" ht="42" customHeight="1" thickBot="1" x14ac:dyDescent="0.3">
      <c r="A15" s="223">
        <v>9</v>
      </c>
      <c r="B15" s="128" t="str">
        <f>INDEX(Erfassung2!$AA:$AA,MATCH($A15,Erfassung2!$BR:$BR,0)-17)</f>
        <v>RW Lichtenhof Stein 1</v>
      </c>
      <c r="C15" s="129">
        <f>INDEX(Erfassung2!AC:AC,MATCH($A15,Erfassung2!$BR:$BR,0)-1)</f>
        <v>756</v>
      </c>
      <c r="D15" s="130">
        <f>INDEX(Erfassung2!AD:AD,MATCH($A15,Erfassung2!$BR:$BR,0))</f>
        <v>2</v>
      </c>
      <c r="E15" s="129">
        <f>INDEX(Erfassung2!AE:AE,MATCH($A15,Erfassung2!$BR:$BR,0)-1)</f>
        <v>721</v>
      </c>
      <c r="F15" s="130">
        <f>INDEX(Erfassung2!AF:AF,MATCH($A15,Erfassung2!$BR:$BR,0))</f>
        <v>1</v>
      </c>
      <c r="G15" s="129">
        <f>INDEX(Erfassung2!AG:AG,MATCH($A15,Erfassung2!$BR:$BR,0)-1)</f>
        <v>774</v>
      </c>
      <c r="H15" s="130">
        <f>INDEX(Erfassung2!AH:AH,MATCH($A15,Erfassung2!$BR:$BR,0))</f>
        <v>3</v>
      </c>
      <c r="I15" s="129">
        <f>INDEX(Erfassung2!AI:AI,MATCH($A15,Erfassung2!$BR:$BR,0)-1)</f>
        <v>645</v>
      </c>
      <c r="J15" s="130">
        <f>INDEX(Erfassung2!AJ:AJ,MATCH($A15,Erfassung2!$BR:$BR,0))</f>
        <v>2</v>
      </c>
      <c r="K15" s="129">
        <f>INDEX(Erfassung2!AK:AK,MATCH($A15,Erfassung2!$BR:$BR,0)-1)</f>
        <v>721</v>
      </c>
      <c r="L15" s="130">
        <f>INDEX(Erfassung2!AL:AL,MATCH($A15,Erfassung2!$BR:$BR,0))</f>
        <v>4</v>
      </c>
      <c r="M15" s="129">
        <f>INDEX(Erfassung2!AM:AM,MATCH($A15,Erfassung2!$BR:$BR,0)-1)</f>
        <v>719</v>
      </c>
      <c r="N15" s="130">
        <f>INDEX(Erfassung2!AN:AN,MATCH($A15,Erfassung2!$BR:$BR,0))</f>
        <v>2</v>
      </c>
      <c r="O15" s="129">
        <f>INDEX(Erfassung2!AO:AO,MATCH($A15,Erfassung2!$BR:$BR,0)-1)</f>
        <v>701</v>
      </c>
      <c r="P15" s="130">
        <f>INDEX(Erfassung2!AP:AP,MATCH($A15,Erfassung2!$BR:$BR,0))</f>
        <v>0</v>
      </c>
      <c r="Q15" s="129">
        <f>INDEX(Erfassung2!AQ:AQ,MATCH($A15,Erfassung2!$BR:$BR,0)-1)</f>
        <v>670</v>
      </c>
      <c r="R15" s="130">
        <f>INDEX(Erfassung2!AR:AR,MATCH($A15,Erfassung2!$BR:$BR,0))</f>
        <v>5</v>
      </c>
      <c r="S15" s="129">
        <f>INDEX(Erfassung2!AS:AS,MATCH($A15,Erfassung2!$BR:$BR,0)-1)</f>
        <v>714</v>
      </c>
      <c r="T15" s="130">
        <f>INDEX(Erfassung2!AT:AT,MATCH($A15,Erfassung2!$BR:$BR,0))</f>
        <v>1</v>
      </c>
      <c r="U15" s="131">
        <f t="shared" si="0"/>
        <v>6421</v>
      </c>
      <c r="V15" s="132">
        <f t="shared" si="0"/>
        <v>20</v>
      </c>
      <c r="W15" s="224">
        <f>IFERROR(U15/INDEX(Erfassung2!BF:BF,MATCH(A15,Erfassung2!BR:BR,0)),0)</f>
        <v>178.36111111111111</v>
      </c>
      <c r="X15" s="25"/>
      <c r="AA15" s="225">
        <f>INDEX(Tabelle1!U:U,MATCH(B15,Tabelle1!B:B,0))+U15</f>
        <v>13222</v>
      </c>
      <c r="AB15" s="226">
        <f>INDEX(Tabelle1!V:V,MATCH(B15,Tabelle1!B:B,0))+V15</f>
        <v>41.5</v>
      </c>
      <c r="AC15" s="215">
        <f t="shared" si="1"/>
        <v>41.500013222</v>
      </c>
      <c r="AD15" s="215">
        <f t="shared" si="2"/>
        <v>9</v>
      </c>
      <c r="AE15" s="215">
        <f>INDEX(Tabelle1!AE:AE,MATCH(B15,Tabelle1!B:B,0))+SUMIF(Erfassung2!BU:BU,B15,Erfassung2!BF:BF)</f>
        <v>72</v>
      </c>
    </row>
    <row r="16" spans="1:31" ht="42" customHeight="1" thickBot="1" x14ac:dyDescent="0.3">
      <c r="A16" s="223">
        <v>10</v>
      </c>
      <c r="B16" s="128" t="str">
        <f>INDEX(Erfassung2!$AA:$AA,MATCH($A16,Erfassung2!$BR:$BR,0)-17)</f>
        <v>Schanzer Ingolstadt 1</v>
      </c>
      <c r="C16" s="129">
        <f>INDEX(Erfassung2!AC:AC,MATCH($A16,Erfassung2!$BR:$BR,0)-1)</f>
        <v>729</v>
      </c>
      <c r="D16" s="130">
        <f>INDEX(Erfassung2!AD:AD,MATCH($A16,Erfassung2!$BR:$BR,0))</f>
        <v>2</v>
      </c>
      <c r="E16" s="129">
        <f>INDEX(Erfassung2!AE:AE,MATCH($A16,Erfassung2!$BR:$BR,0)-1)</f>
        <v>736</v>
      </c>
      <c r="F16" s="130">
        <f>INDEX(Erfassung2!AF:AF,MATCH($A16,Erfassung2!$BR:$BR,0))</f>
        <v>1</v>
      </c>
      <c r="G16" s="129">
        <f>INDEX(Erfassung2!AG:AG,MATCH($A16,Erfassung2!$BR:$BR,0)-1)</f>
        <v>737</v>
      </c>
      <c r="H16" s="130">
        <f>INDEX(Erfassung2!AH:AH,MATCH($A16,Erfassung2!$BR:$BR,0))</f>
        <v>4</v>
      </c>
      <c r="I16" s="129">
        <f>INDEX(Erfassung2!AI:AI,MATCH($A16,Erfassung2!$BR:$BR,0)-1)</f>
        <v>791</v>
      </c>
      <c r="J16" s="130">
        <f>INDEX(Erfassung2!AJ:AJ,MATCH($A16,Erfassung2!$BR:$BR,0))</f>
        <v>6</v>
      </c>
      <c r="K16" s="129">
        <f>INDEX(Erfassung2!AK:AK,MATCH($A16,Erfassung2!$BR:$BR,0)-1)</f>
        <v>665</v>
      </c>
      <c r="L16" s="130">
        <f>INDEX(Erfassung2!AL:AL,MATCH($A16,Erfassung2!$BR:$BR,0))</f>
        <v>2</v>
      </c>
      <c r="M16" s="129">
        <f>INDEX(Erfassung2!AM:AM,MATCH($A16,Erfassung2!$BR:$BR,0)-1)</f>
        <v>707</v>
      </c>
      <c r="N16" s="130">
        <f>INDEX(Erfassung2!AN:AN,MATCH($A16,Erfassung2!$BR:$BR,0))</f>
        <v>2</v>
      </c>
      <c r="O16" s="129">
        <f>INDEX(Erfassung2!AO:AO,MATCH($A16,Erfassung2!$BR:$BR,0)-1)</f>
        <v>665</v>
      </c>
      <c r="P16" s="130">
        <f>INDEX(Erfassung2!AP:AP,MATCH($A16,Erfassung2!$BR:$BR,0))</f>
        <v>1</v>
      </c>
      <c r="Q16" s="129">
        <f>INDEX(Erfassung2!AQ:AQ,MATCH($A16,Erfassung2!$BR:$BR,0)-1)</f>
        <v>737</v>
      </c>
      <c r="R16" s="130">
        <f>INDEX(Erfassung2!AR:AR,MATCH($A16,Erfassung2!$BR:$BR,0))</f>
        <v>2</v>
      </c>
      <c r="S16" s="129">
        <f>INDEX(Erfassung2!AS:AS,MATCH($A16,Erfassung2!$BR:$BR,0)-1)</f>
        <v>631</v>
      </c>
      <c r="T16" s="130">
        <f>INDEX(Erfassung2!AT:AT,MATCH($A16,Erfassung2!$BR:$BR,0))</f>
        <v>0</v>
      </c>
      <c r="U16" s="131">
        <f t="shared" si="0"/>
        <v>6398</v>
      </c>
      <c r="V16" s="132">
        <f t="shared" si="0"/>
        <v>20</v>
      </c>
      <c r="W16" s="224">
        <f>IFERROR(U16/INDEX(Erfassung2!BF:BF,MATCH(A16,Erfassung2!BR:BR,0)),0)</f>
        <v>177.72222222222223</v>
      </c>
      <c r="X16" s="25"/>
      <c r="AA16" s="225">
        <f>INDEX(Tabelle1!U:U,MATCH(B16,Tabelle1!B:B,0))+U16</f>
        <v>12652</v>
      </c>
      <c r="AB16" s="226">
        <f>INDEX(Tabelle1!V:V,MATCH(B16,Tabelle1!B:B,0))+V16</f>
        <v>34</v>
      </c>
      <c r="AC16" s="215">
        <f t="shared" si="1"/>
        <v>34.000012652000002</v>
      </c>
      <c r="AD16" s="215">
        <f t="shared" si="2"/>
        <v>10</v>
      </c>
      <c r="AE16" s="215">
        <f>INDEX(Tabelle1!AE:AE,MATCH(B16,Tabelle1!B:B,0))+SUMIF(Erfassung2!BU:BU,B16,Erfassung2!BF:BF)</f>
        <v>72</v>
      </c>
    </row>
    <row r="19" spans="2:23" ht="15.6" x14ac:dyDescent="0.3">
      <c r="B19" s="382" t="s">
        <v>1827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3"/>
      <c r="V19" s="383"/>
      <c r="W19" s="383"/>
    </row>
    <row r="20" spans="2:23" x14ac:dyDescent="0.25">
      <c r="C20" s="383"/>
      <c r="D20" s="383"/>
      <c r="E20" s="383"/>
      <c r="F20" s="383"/>
      <c r="G20" s="383"/>
      <c r="H20" s="383"/>
    </row>
    <row r="21" spans="2:23" x14ac:dyDescent="0.25">
      <c r="B21" s="166" t="s">
        <v>1826</v>
      </c>
      <c r="C21" t="str">
        <f>IFERROR(INDEX(Erfassung2!AA:AA,MATCH(1,Erfassung2!BV:BV,0)),"")</f>
        <v>Holzinger, Sebastian</v>
      </c>
      <c r="H21" t="str">
        <f>INDEX(Erfassung2!BU:BU,MATCH(C21,Erfassung2!AA:AA,0))</f>
        <v>Bowlinghaus Bamberg 1</v>
      </c>
      <c r="N21" s="133">
        <f>IFERROR(ROUND(INDEX(Erfassung2!BT:BT,MATCH(1,Erfassung2!BV:BV,0)),0),"")</f>
        <v>268</v>
      </c>
    </row>
    <row r="22" spans="2:23" x14ac:dyDescent="0.25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x14ac:dyDescent="0.25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x14ac:dyDescent="0.25">
      <c r="B24" s="166" t="s">
        <v>1828</v>
      </c>
      <c r="C24" t="str">
        <f>IFERROR(INDEX(Erfassung2!AA:AA,MATCH(1,Erfassung2!BZ:BZ,0)),"")</f>
        <v>Holzinger, Sebastian</v>
      </c>
      <c r="H24" t="str">
        <f>INDEX(Erfassung2!BU:BU,MATCH(C24,Erfassung2!AA:AA,0))</f>
        <v>Bowlinghaus Bamberg 1</v>
      </c>
      <c r="N24" s="384" t="str">
        <f>IFERROR(ROUND(INDEX(Erfassung2!BW:BW,MATCH(1,Erfassung2!BZ:BZ,0)),0),"")&amp;"  /  "&amp;ROUND(IFERROR(ROUND(INDEX(Erfassung2!BW:BW,MATCH(1,Erfassung2!BZ:BZ,0)),0),"")/9,2)</f>
        <v>1910  /  212,22</v>
      </c>
      <c r="O24" s="384"/>
      <c r="P24" s="384"/>
    </row>
    <row r="25" spans="2:23" x14ac:dyDescent="0.25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25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11" priority="1" stopIfTrue="1" rank="1"/>
  </conditionalFormatting>
  <conditionalFormatting sqref="U7:U16">
    <cfRule type="top10" dxfId="10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topLeftCell="A7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6" width="8.6640625" customWidth="1"/>
    <col min="7" max="7" width="13.44140625" customWidth="1"/>
    <col min="8" max="8" width="9.44140625" customWidth="1"/>
    <col min="10" max="10" width="6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6" t="str">
        <f>"Saison "&amp;Spielorte!C18&amp;"     -     Spieltag "&amp;Erfassung2!AS2&amp;"     -     "&amp;Erfassung2!AT1</f>
        <v>Saison 2024/2025     -     Spieltag 2     -     02.11./03.11.</v>
      </c>
      <c r="B2" s="386"/>
      <c r="C2" s="386"/>
      <c r="D2" s="386"/>
      <c r="E2" s="386"/>
      <c r="F2" s="386"/>
      <c r="G2" s="386"/>
      <c r="H2" s="386"/>
      <c r="I2" s="386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6" t="s">
        <v>2082</v>
      </c>
      <c r="B3" s="386"/>
      <c r="C3" s="386"/>
      <c r="D3" s="386"/>
      <c r="E3" s="386"/>
      <c r="F3" s="386"/>
      <c r="G3" s="386"/>
      <c r="H3" s="386"/>
      <c r="I3" s="386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25">
      <c r="A5" s="389" t="s">
        <v>1816</v>
      </c>
      <c r="B5" s="391" t="s">
        <v>1817</v>
      </c>
      <c r="C5" s="379" t="s">
        <v>1820</v>
      </c>
      <c r="D5" s="380"/>
      <c r="E5" s="379" t="s">
        <v>1821</v>
      </c>
      <c r="F5" s="380"/>
      <c r="G5" s="379" t="s">
        <v>1799</v>
      </c>
      <c r="H5" s="380"/>
      <c r="I5" s="387" t="s">
        <v>1818</v>
      </c>
    </row>
    <row r="6" spans="1:31" ht="13.8" thickBot="1" x14ac:dyDescent="0.3">
      <c r="A6" s="390"/>
      <c r="B6" s="392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8"/>
    </row>
    <row r="7" spans="1:31" ht="42" customHeight="1" thickBot="1" x14ac:dyDescent="0.3">
      <c r="A7" s="34">
        <v>1</v>
      </c>
      <c r="B7" s="128" t="str">
        <f>INDEX(Tabelle2!B:B,MATCH(A7,Tabelle2!AD:AD,0))</f>
        <v>SG DJK Rimpar</v>
      </c>
      <c r="C7" s="35">
        <f>INDEX(Tabelle1!U:U,MATCH(B7,Tabelle1!B:B,0))</f>
        <v>7439</v>
      </c>
      <c r="D7" s="36">
        <f>INDEX(Tabelle1!V:V,MATCH(B7,Tabelle1!B:B,0))</f>
        <v>29</v>
      </c>
      <c r="E7" s="35">
        <f>INDEX(Tabelle2!U:U,MATCH(B7,Tabelle2!B:B,0))</f>
        <v>7274</v>
      </c>
      <c r="F7" s="36">
        <f>INDEX(Tabelle2!V:V,MATCH(B7,Tabelle2!B:B,0))</f>
        <v>40.5</v>
      </c>
      <c r="G7" s="143">
        <f t="shared" ref="G7:G16" si="0">SUM(C7+E7)</f>
        <v>14713</v>
      </c>
      <c r="H7" s="144">
        <f t="shared" ref="H7:H16" si="1">SUM(D7+F7)</f>
        <v>69.5</v>
      </c>
      <c r="I7" s="37">
        <f>G7/INDEX(Tabelle2!$AE:$AE,MATCH($B7,Tabelle2!$B:$B,0))</f>
        <v>204.34722222222223</v>
      </c>
      <c r="J7" s="25"/>
    </row>
    <row r="8" spans="1:31" ht="42" customHeight="1" thickBot="1" x14ac:dyDescent="0.3">
      <c r="A8" s="34">
        <v>2</v>
      </c>
      <c r="B8" s="128" t="str">
        <f>INDEX(Tabelle2!B:B,MATCH(A8,Tabelle2!AD:AD,0))</f>
        <v>Bajuwaren München 1</v>
      </c>
      <c r="C8" s="35">
        <f>INDEX(Tabelle1!U:U,MATCH(B8,Tabelle1!B:B,0))</f>
        <v>7404</v>
      </c>
      <c r="D8" s="36">
        <f>INDEX(Tabelle1!V:V,MATCH(B8,Tabelle1!B:B,0))</f>
        <v>39</v>
      </c>
      <c r="E8" s="35">
        <f>INDEX(Tabelle2!U:U,MATCH(B8,Tabelle2!B:B,0))</f>
        <v>6704</v>
      </c>
      <c r="F8" s="36">
        <f>INDEX(Tabelle2!V:V,MATCH(B8,Tabelle2!B:B,0))</f>
        <v>26</v>
      </c>
      <c r="G8" s="143">
        <f t="shared" si="0"/>
        <v>14108</v>
      </c>
      <c r="H8" s="144">
        <f t="shared" si="1"/>
        <v>65</v>
      </c>
      <c r="I8" s="37">
        <f>G8/INDEX(Tabelle2!$AE:$AE,MATCH($B8,Tabelle2!$B:$B,0))</f>
        <v>195.94444444444446</v>
      </c>
      <c r="J8" s="25"/>
    </row>
    <row r="9" spans="1:31" ht="42" customHeight="1" thickBot="1" x14ac:dyDescent="0.3">
      <c r="A9" s="34">
        <v>3</v>
      </c>
      <c r="B9" s="128" t="str">
        <f>INDEX(Tabelle2!B:B,MATCH(A9,Tabelle2!AD:AD,0))</f>
        <v>BC Comet Nürnberg</v>
      </c>
      <c r="C9" s="35">
        <f>INDEX(Tabelle1!U:U,MATCH(B9,Tabelle1!B:B,0))</f>
        <v>7356</v>
      </c>
      <c r="D9" s="36">
        <f>INDEX(Tabelle1!V:V,MATCH(B9,Tabelle1!B:B,0))</f>
        <v>31.5</v>
      </c>
      <c r="E9" s="35">
        <f>INDEX(Tabelle2!U:U,MATCH(B9,Tabelle2!B:B,0))</f>
        <v>7068</v>
      </c>
      <c r="F9" s="36">
        <f>INDEX(Tabelle2!V:V,MATCH(B9,Tabelle2!B:B,0))</f>
        <v>32</v>
      </c>
      <c r="G9" s="143">
        <f t="shared" si="0"/>
        <v>14424</v>
      </c>
      <c r="H9" s="144">
        <f t="shared" si="1"/>
        <v>63.5</v>
      </c>
      <c r="I9" s="37">
        <f>G9/INDEX(Tabelle2!$AE:$AE,MATCH($B9,Tabelle2!$B:$B,0))</f>
        <v>200.33333333333334</v>
      </c>
      <c r="J9" s="25"/>
    </row>
    <row r="10" spans="1:31" ht="42" customHeight="1" thickBot="1" x14ac:dyDescent="0.3">
      <c r="A10" s="34">
        <v>4</v>
      </c>
      <c r="B10" s="128" t="str">
        <f>INDEX(Tabelle2!B:B,MATCH(A10,Tabelle2!AD:AD,0))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143">
        <f t="shared" si="0"/>
        <v>14536</v>
      </c>
      <c r="H10" s="144">
        <f t="shared" si="1"/>
        <v>60</v>
      </c>
      <c r="I10" s="37">
        <f>G10/INDEX(Tabelle2!$AE:$AE,MATCH($B10,Tabelle2!$B:$B,0))</f>
        <v>201.88888888888889</v>
      </c>
      <c r="J10" s="25"/>
    </row>
    <row r="11" spans="1:31" ht="42" customHeight="1" thickBot="1" x14ac:dyDescent="0.3">
      <c r="A11" s="34">
        <v>5</v>
      </c>
      <c r="B11" s="128" t="str">
        <f>INDEX(Tabelle2!B:B,MATCH(A11,Tabelle2!AD:AD,0))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143">
        <f t="shared" si="0"/>
        <v>13930</v>
      </c>
      <c r="H11" s="144">
        <f t="shared" si="1"/>
        <v>60</v>
      </c>
      <c r="I11" s="37">
        <f>G11/INDEX(Tabelle2!$AE:$AE,MATCH($B11,Tabelle2!$B:$B,0))</f>
        <v>193.47222222222223</v>
      </c>
      <c r="J11" s="25"/>
    </row>
    <row r="12" spans="1:31" ht="42" customHeight="1" thickBot="1" x14ac:dyDescent="0.3">
      <c r="A12" s="34">
        <v>6</v>
      </c>
      <c r="B12" s="128" t="str">
        <f>INDEX(Tabelle2!B:B,MATCH(A12,Tabelle2!AD:AD,0))</f>
        <v>SG Rottendorf 1</v>
      </c>
      <c r="C12" s="35">
        <f>INDEX(Tabelle1!U:U,MATCH(B12,Tabelle1!B:B,0))</f>
        <v>6830</v>
      </c>
      <c r="D12" s="36">
        <f>INDEX(Tabelle1!V:V,MATCH(B12,Tabelle1!B:B,0))</f>
        <v>26.5</v>
      </c>
      <c r="E12" s="35">
        <f>INDEX(Tabelle2!U:U,MATCH(B12,Tabelle2!B:B,0))</f>
        <v>6788</v>
      </c>
      <c r="F12" s="36">
        <f>INDEX(Tabelle2!V:V,MATCH(B12,Tabelle2!B:B,0))</f>
        <v>30</v>
      </c>
      <c r="G12" s="143">
        <f t="shared" si="0"/>
        <v>13618</v>
      </c>
      <c r="H12" s="144">
        <f t="shared" si="1"/>
        <v>56.5</v>
      </c>
      <c r="I12" s="37">
        <f>G12/INDEX(Tabelle2!$AE:$AE,MATCH($B12,Tabelle2!$B:$B,0))</f>
        <v>191.80281690140845</v>
      </c>
      <c r="J12" s="25"/>
    </row>
    <row r="13" spans="1:31" ht="42" customHeight="1" thickBot="1" x14ac:dyDescent="0.3">
      <c r="A13" s="34">
        <v>7</v>
      </c>
      <c r="B13" s="128" t="str">
        <f>INDEX(Tabelle2!B:B,MATCH(A13,Tabelle2!AD:AD,0))</f>
        <v>BC EMAX Unterföhring 2</v>
      </c>
      <c r="C13" s="35">
        <f>INDEX(Tabelle1!U:U,MATCH(B13,Tabelle1!B:B,0))</f>
        <v>7205</v>
      </c>
      <c r="D13" s="36">
        <f>INDEX(Tabelle1!V:V,MATCH(B13,Tabelle1!B:B,0))</f>
        <v>24.5</v>
      </c>
      <c r="E13" s="35">
        <f>INDEX(Tabelle2!U:U,MATCH(B13,Tabelle2!B:B,0))</f>
        <v>6656</v>
      </c>
      <c r="F13" s="36">
        <f>INDEX(Tabelle2!V:V,MATCH(B13,Tabelle2!B:B,0))</f>
        <v>22</v>
      </c>
      <c r="G13" s="143">
        <f t="shared" si="0"/>
        <v>13861</v>
      </c>
      <c r="H13" s="144">
        <f t="shared" si="1"/>
        <v>46.5</v>
      </c>
      <c r="I13" s="37">
        <f>G13/INDEX(Tabelle2!$AE:$AE,MATCH($B13,Tabelle2!$B:$B,0))</f>
        <v>192.51388888888889</v>
      </c>
      <c r="J13" s="25"/>
    </row>
    <row r="14" spans="1:31" ht="42" customHeight="1" thickBot="1" x14ac:dyDescent="0.3">
      <c r="A14" s="34">
        <v>8</v>
      </c>
      <c r="B14" s="128" t="str">
        <f>INDEX(Tabelle2!B:B,MATCH(A14,Tabelle2!AD:AD,0))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143">
        <f t="shared" si="0"/>
        <v>13337</v>
      </c>
      <c r="H14" s="144">
        <f t="shared" si="1"/>
        <v>43.5</v>
      </c>
      <c r="I14" s="37">
        <f>G14/INDEX(Tabelle2!$AE:$AE,MATCH($B14,Tabelle2!$B:$B,0))</f>
        <v>185.23611111111111</v>
      </c>
      <c r="J14" s="25"/>
    </row>
    <row r="15" spans="1:31" ht="42" customHeight="1" thickBot="1" x14ac:dyDescent="0.3">
      <c r="A15" s="34">
        <v>9</v>
      </c>
      <c r="B15" s="128" t="str">
        <f>INDEX(Tabelle2!B:B,MATCH(A15,Tabelle2!AD:AD,0))</f>
        <v>RW Lichtenhof Stein 1</v>
      </c>
      <c r="C15" s="35">
        <f>INDEX(Tabelle1!U:U,MATCH(B15,Tabelle1!B:B,0))</f>
        <v>6801</v>
      </c>
      <c r="D15" s="36">
        <f>INDEX(Tabelle1!V:V,MATCH(B15,Tabelle1!B:B,0))</f>
        <v>21.5</v>
      </c>
      <c r="E15" s="35">
        <f>INDEX(Tabelle2!U:U,MATCH(B15,Tabelle2!B:B,0))</f>
        <v>6421</v>
      </c>
      <c r="F15" s="36">
        <f>INDEX(Tabelle2!V:V,MATCH(B15,Tabelle2!B:B,0))</f>
        <v>20</v>
      </c>
      <c r="G15" s="143">
        <f t="shared" si="0"/>
        <v>13222</v>
      </c>
      <c r="H15" s="144">
        <f t="shared" si="1"/>
        <v>41.5</v>
      </c>
      <c r="I15" s="37">
        <f>G15/INDEX(Tabelle2!$AE:$AE,MATCH($B15,Tabelle2!$B:$B,0))</f>
        <v>183.63888888888889</v>
      </c>
      <c r="J15" s="25"/>
    </row>
    <row r="16" spans="1:31" ht="42" customHeight="1" thickBot="1" x14ac:dyDescent="0.3">
      <c r="A16" s="34">
        <v>10</v>
      </c>
      <c r="B16" s="128" t="str">
        <f>INDEX(Tabelle2!B:B,MATCH(A16,Tabelle2!AD:AD,0))</f>
        <v>Schanzer Ingolstadt 1</v>
      </c>
      <c r="C16" s="35">
        <f>INDEX(Tabelle1!U:U,MATCH(B16,Tabelle1!B:B,0))</f>
        <v>6254</v>
      </c>
      <c r="D16" s="36">
        <f>INDEX(Tabelle1!V:V,MATCH(B16,Tabelle1!B:B,0))</f>
        <v>14</v>
      </c>
      <c r="E16" s="35">
        <f>INDEX(Tabelle2!U:U,MATCH(B16,Tabelle2!B:B,0))</f>
        <v>6398</v>
      </c>
      <c r="F16" s="36">
        <f>INDEX(Tabelle2!V:V,MATCH(B16,Tabelle2!B:B,0))</f>
        <v>20</v>
      </c>
      <c r="G16" s="143">
        <f t="shared" si="0"/>
        <v>12652</v>
      </c>
      <c r="H16" s="144">
        <f t="shared" si="1"/>
        <v>34</v>
      </c>
      <c r="I16" s="37">
        <f>G16/INDEX(Tabelle2!$AE:$AE,MATCH($B16,Tabelle2!$B:$B,0))</f>
        <v>175.72222222222223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8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16253</v>
      </c>
      <c r="M2">
        <f>SUMIF(Erfassung2!BD:BD,L2,Erfassung2!BW:BW)</f>
        <v>1856</v>
      </c>
      <c r="N2">
        <f>SUMIF(Erfassung2!BD:BD,L2,Erfassung2!BG:BG)</f>
        <v>9</v>
      </c>
      <c r="O2">
        <f t="shared" ref="O2:O65" si="0">IF(N2=0,0,M2/N2-ROW()/1000000000)</f>
        <v>206.22222222022222</v>
      </c>
      <c r="P2">
        <f t="shared" ref="P2:P65" si="1">RANK(O2,O:O)</f>
        <v>6</v>
      </c>
    </row>
    <row r="3" spans="1:16" x14ac:dyDescent="0.25">
      <c r="L3" s="227">
        <f>INDEX(Starter!A:A,ROW()-1)</f>
        <v>38687</v>
      </c>
      <c r="M3">
        <f>SUMIF(Erfassung2!BD:BD,L3,Erfassung2!BW:BW)</f>
        <v>1808</v>
      </c>
      <c r="N3">
        <f>SUMIF(Erfassung2!BD:BD,L3,Erfassung2!BG:BG)</f>
        <v>9</v>
      </c>
      <c r="O3">
        <f t="shared" si="0"/>
        <v>200.88888888588889</v>
      </c>
      <c r="P3">
        <f t="shared" si="1"/>
        <v>11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SUMIF(Erfassung2!BD:BD,L4,Erfassung2!BW:BW)</f>
        <v>1824</v>
      </c>
      <c r="N4">
        <f>SUMIF(Erfassung2!BD:BD,L4,Erfassung2!BG:BG)</f>
        <v>9</v>
      </c>
      <c r="O4">
        <f t="shared" si="0"/>
        <v>202.66666666266667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7099</v>
      </c>
      <c r="C5" t="str">
        <f>IFERROR(INDEX(Starter!B:B,MATCH(B5,Starter!A:A,0)),"")</f>
        <v>Holzinger, Sebastian</v>
      </c>
      <c r="D5" t="str">
        <f>IFERROR(INDEX(Starter!C:C,MATCH(B5,Starter!A:A,0)),"")</f>
        <v>BC Bamberger Bowlinghaus</v>
      </c>
      <c r="E5" s="102">
        <f t="shared" ref="E5:E36" si="3">IFERROR(INDEX(M:M,MATCH(A5,P:P,0)),"")</f>
        <v>1910</v>
      </c>
      <c r="F5">
        <f t="shared" ref="F5:F36" si="4">IFERROR(INDEX(N:N,MATCH(A5,P:P,0)),"")</f>
        <v>9</v>
      </c>
      <c r="G5" s="137">
        <f t="shared" ref="G5:G36" si="5">IFERROR(INDEX(O:O,MATCH(A5,P:P,0)),"")</f>
        <v>212.22222218522222</v>
      </c>
      <c r="L5" s="227">
        <f>INDEX(Starter!A:A,ROW()-1)</f>
        <v>16301</v>
      </c>
      <c r="M5">
        <f>SUMIF(Erfassung2!BD:BD,L5,Erfassung2!BW:BW)</f>
        <v>1786</v>
      </c>
      <c r="N5">
        <f>SUMIF(Erfassung2!BD:BD,L5,Erfassung2!BG:BG)</f>
        <v>9</v>
      </c>
      <c r="O5">
        <f t="shared" si="0"/>
        <v>198.44444443944445</v>
      </c>
      <c r="P5">
        <f t="shared" si="1"/>
        <v>13</v>
      </c>
    </row>
    <row r="6" spans="1:16" x14ac:dyDescent="0.25">
      <c r="A6">
        <f t="shared" ref="A6:A37" si="6">IFERROR(IF(A5+1&gt;MAX(P:P)-1,"",A5+1),"")</f>
        <v>2</v>
      </c>
      <c r="B6">
        <f t="shared" si="2"/>
        <v>16346</v>
      </c>
      <c r="C6" t="str">
        <f>IFERROR(INDEX(Starter!B:B,MATCH(B6,Starter!A:A,0)),"")</f>
        <v>Schön, Horst</v>
      </c>
      <c r="D6" t="str">
        <f>IFERROR(INDEX(Starter!C:C,MATCH(B6,Starter!A:A,0)),"")</f>
        <v>SG Rottendorf</v>
      </c>
      <c r="E6" s="102">
        <f t="shared" si="3"/>
        <v>422</v>
      </c>
      <c r="F6">
        <f t="shared" si="4"/>
        <v>2</v>
      </c>
      <c r="G6" s="137">
        <f t="shared" si="5"/>
        <v>210.999999949</v>
      </c>
      <c r="L6" s="227">
        <f>INDEX(Starter!A:A,ROW()-1)</f>
        <v>38411</v>
      </c>
      <c r="M6">
        <f>SUMIF(Erfassung2!BD:BD,L6,Erfassung2!BW:BW)</f>
        <v>1550</v>
      </c>
      <c r="N6">
        <f>SUMIF(Erfassung2!BD:BD,L6,Erfassung2!BG:BG)</f>
        <v>9</v>
      </c>
      <c r="O6">
        <f t="shared" si="0"/>
        <v>172.22222221622224</v>
      </c>
      <c r="P6">
        <f t="shared" si="1"/>
        <v>41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1885</v>
      </c>
      <c r="F7">
        <f t="shared" si="4"/>
        <v>9</v>
      </c>
      <c r="G7" s="137">
        <f t="shared" si="5"/>
        <v>209.44444439744447</v>
      </c>
      <c r="L7" s="227">
        <f>INDEX(Starter!A:A,ROW()-1)</f>
        <v>38361</v>
      </c>
      <c r="M7">
        <f>SUMIF(Erfassung2!BD:BD,L7,Erfassung2!BW:BW)</f>
        <v>1507</v>
      </c>
      <c r="N7">
        <f>SUMIF(Erfassung2!BD:BD,L7,Erfassung2!BG:BG)</f>
        <v>9</v>
      </c>
      <c r="O7">
        <f t="shared" si="0"/>
        <v>167.44444443744445</v>
      </c>
      <c r="P7">
        <f t="shared" si="1"/>
        <v>46</v>
      </c>
    </row>
    <row r="8" spans="1:16" x14ac:dyDescent="0.25">
      <c r="A8">
        <f t="shared" si="6"/>
        <v>4</v>
      </c>
      <c r="B8">
        <f t="shared" si="2"/>
        <v>7428</v>
      </c>
      <c r="C8" t="str">
        <f>IFERROR(INDEX(Starter!B:B,MATCH(B8,Starter!A:A,0)),"")</f>
        <v>Pirzer, Robert</v>
      </c>
      <c r="D8" t="str">
        <f>IFERROR(INDEX(Starter!C:C,MATCH(B8,Starter!A:A,0)),"")</f>
        <v>BC EMAX</v>
      </c>
      <c r="E8" s="102">
        <f t="shared" si="3"/>
        <v>1873</v>
      </c>
      <c r="F8">
        <f t="shared" si="4"/>
        <v>9</v>
      </c>
      <c r="G8" s="137">
        <f t="shared" si="5"/>
        <v>208.11111105511111</v>
      </c>
      <c r="L8" s="227">
        <f>INDEX(Starter!A:A,ROW()-1)</f>
        <v>38550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50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1858</v>
      </c>
      <c r="F9">
        <f t="shared" si="4"/>
        <v>9</v>
      </c>
      <c r="G9" s="137">
        <f t="shared" si="5"/>
        <v>206.44444442344445</v>
      </c>
      <c r="L9" s="227">
        <f>INDEX(Starter!A:A,ROW()-1)</f>
        <v>7348</v>
      </c>
      <c r="M9">
        <f>SUMIF(Erfassung2!BD:BD,L9,Erfassung2!BW:BW)</f>
        <v>1722</v>
      </c>
      <c r="N9">
        <f>SUMIF(Erfassung2!BD:BD,L9,Erfassung2!BG:BG)</f>
        <v>9</v>
      </c>
      <c r="O9">
        <f t="shared" si="0"/>
        <v>191.33333332433335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16253</v>
      </c>
      <c r="C10" t="str">
        <f>IFERROR(INDEX(Starter!B:B,MATCH(B10,Starter!A:A,0)),"")</f>
        <v>Altenfeld, Marco</v>
      </c>
      <c r="D10" t="str">
        <f>IFERROR(INDEX(Starter!C:C,MATCH(B10,Starter!A:A,0)),"")</f>
        <v>DJK Rimpar</v>
      </c>
      <c r="E10" s="102">
        <f t="shared" si="3"/>
        <v>1856</v>
      </c>
      <c r="F10">
        <f t="shared" si="4"/>
        <v>9</v>
      </c>
      <c r="G10" s="137">
        <f t="shared" si="5"/>
        <v>206.22222222022222</v>
      </c>
      <c r="L10" s="227">
        <f>INDEX(Starter!A:A,ROW()-1)</f>
        <v>16852</v>
      </c>
      <c r="M10">
        <f>SUMIF(Erfassung2!BD:BD,L10,Erfassung2!BW:BW)</f>
        <v>1686</v>
      </c>
      <c r="N10">
        <f>SUMIF(Erfassung2!BD:BD,L10,Erfassung2!BG:BG)</f>
        <v>9</v>
      </c>
      <c r="O10">
        <f t="shared" si="0"/>
        <v>187.33333332333333</v>
      </c>
      <c r="P10">
        <f t="shared" si="1"/>
        <v>25</v>
      </c>
    </row>
    <row r="11" spans="1:16" x14ac:dyDescent="0.25">
      <c r="A11">
        <f t="shared" si="6"/>
        <v>7</v>
      </c>
      <c r="B11">
        <f t="shared" si="2"/>
        <v>16888</v>
      </c>
      <c r="C11" t="str">
        <f>IFERROR(INDEX(Starter!B:B,MATCH(B11,Starter!A:A,0)),"")</f>
        <v>Auer, Thomas</v>
      </c>
      <c r="D11" t="str">
        <f>IFERROR(INDEX(Starter!C:C,MATCH(B11,Starter!A:A,0)),"")</f>
        <v>BSC Highroller Rosenheim</v>
      </c>
      <c r="E11" s="102">
        <f t="shared" si="3"/>
        <v>1835</v>
      </c>
      <c r="F11">
        <f t="shared" si="4"/>
        <v>9</v>
      </c>
      <c r="G11" s="137">
        <f t="shared" si="5"/>
        <v>203.88888886488888</v>
      </c>
      <c r="L11" s="227">
        <f>INDEX(Starter!A:A,ROW()-1)</f>
        <v>16352</v>
      </c>
      <c r="M11">
        <f>SUMIF(Erfassung2!BD:BD,L11,Erfassung2!BW:BW)</f>
        <v>0</v>
      </c>
      <c r="N11">
        <f>SUMIF(Erfassung2!BD:BD,L11,Erfassung2!BG:BG)</f>
        <v>0</v>
      </c>
      <c r="O11">
        <f t="shared" si="0"/>
        <v>0</v>
      </c>
      <c r="P11">
        <f t="shared" si="1"/>
        <v>50</v>
      </c>
    </row>
    <row r="12" spans="1:16" x14ac:dyDescent="0.25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1824</v>
      </c>
      <c r="F12">
        <f t="shared" si="4"/>
        <v>9</v>
      </c>
      <c r="G12" s="137">
        <f t="shared" si="5"/>
        <v>202.66666666266667</v>
      </c>
      <c r="L12" s="227">
        <f>INDEX(Starter!A:A,ROW()-1)</f>
        <v>16495</v>
      </c>
      <c r="M12">
        <f>SUMIF(Erfassung2!BD:BD,L12,Erfassung2!BW:BW)</f>
        <v>1660</v>
      </c>
      <c r="N12">
        <f>SUMIF(Erfassung2!BD:BD,L12,Erfassung2!BG:BG)</f>
        <v>9</v>
      </c>
      <c r="O12">
        <f t="shared" si="0"/>
        <v>184.44444443244447</v>
      </c>
      <c r="P12">
        <f t="shared" si="1"/>
        <v>27</v>
      </c>
    </row>
    <row r="13" spans="1:16" x14ac:dyDescent="0.25">
      <c r="A13">
        <f t="shared" si="6"/>
        <v>9</v>
      </c>
      <c r="B13">
        <f t="shared" si="2"/>
        <v>7102</v>
      </c>
      <c r="C13" t="str">
        <f>IFERROR(INDEX(Starter!B:B,MATCH(B13,Starter!A:A,0)),"")</f>
        <v>Schick, Andreas</v>
      </c>
      <c r="D13" t="str">
        <f>IFERROR(INDEX(Starter!C:C,MATCH(B13,Starter!A:A,0)),"")</f>
        <v>Comet</v>
      </c>
      <c r="E13" s="102">
        <f t="shared" si="3"/>
        <v>1823</v>
      </c>
      <c r="F13">
        <f t="shared" si="4"/>
        <v>9</v>
      </c>
      <c r="G13" s="137">
        <f t="shared" si="5"/>
        <v>202.55555552455553</v>
      </c>
      <c r="L13" s="227">
        <f>INDEX(Starter!A:A,ROW()-1)</f>
        <v>16945</v>
      </c>
      <c r="M13">
        <f>SUMIF(Erfassung2!BD:BD,L13,Erfassung2!BW:BW)</f>
        <v>1802</v>
      </c>
      <c r="N13">
        <f>SUMIF(Erfassung2!BD:BD,L13,Erfassung2!BG:BG)</f>
        <v>9</v>
      </c>
      <c r="O13">
        <f t="shared" si="0"/>
        <v>200.22222220922222</v>
      </c>
      <c r="P13">
        <f t="shared" si="1"/>
        <v>12</v>
      </c>
    </row>
    <row r="14" spans="1:16" x14ac:dyDescent="0.25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1010</v>
      </c>
      <c r="F14">
        <f t="shared" si="4"/>
        <v>5</v>
      </c>
      <c r="G14" s="137">
        <f t="shared" si="5"/>
        <v>201.999999984</v>
      </c>
      <c r="L14" s="227">
        <f>INDEX(Starter!A:A,ROW()-1)</f>
        <v>7867</v>
      </c>
      <c r="M14">
        <f>SUMIF(Erfassung2!BD:BD,L14,Erfassung2!BW:BW)</f>
        <v>0</v>
      </c>
      <c r="N14">
        <f>SUMIF(Erfassung2!BD:BD,L14,Erfassung2!BG:BG)</f>
        <v>0</v>
      </c>
      <c r="O14">
        <f t="shared" si="0"/>
        <v>0</v>
      </c>
      <c r="P14">
        <f t="shared" si="1"/>
        <v>50</v>
      </c>
    </row>
    <row r="15" spans="1:16" x14ac:dyDescent="0.25">
      <c r="A15">
        <f t="shared" si="6"/>
        <v>11</v>
      </c>
      <c r="B15">
        <f t="shared" si="2"/>
        <v>38687</v>
      </c>
      <c r="C15" t="str">
        <f>IFERROR(INDEX(Starter!B:B,MATCH(B15,Starter!A:A,0)),"")</f>
        <v>Gräfe, Sebastian</v>
      </c>
      <c r="D15" t="str">
        <f>IFERROR(INDEX(Starter!C:C,MATCH(B15,Starter!A:A,0)),"")</f>
        <v>DJK Rimpar</v>
      </c>
      <c r="E15" s="102">
        <f t="shared" si="3"/>
        <v>1808</v>
      </c>
      <c r="F15">
        <f t="shared" si="4"/>
        <v>9</v>
      </c>
      <c r="G15" s="137">
        <f t="shared" si="5"/>
        <v>200.88888888588889</v>
      </c>
      <c r="L15" s="227">
        <f>INDEX(Starter!A:A,ROW()-1)</f>
        <v>7597</v>
      </c>
      <c r="M15">
        <f>SUMIF(Erfassung2!BD:BD,L15,Erfassung2!BW:BW)</f>
        <v>1341</v>
      </c>
      <c r="N15">
        <f>SUMIF(Erfassung2!BD:BD,L15,Erfassung2!BG:BG)</f>
        <v>8</v>
      </c>
      <c r="O15">
        <f t="shared" si="0"/>
        <v>167.62499998499999</v>
      </c>
      <c r="P15">
        <f t="shared" si="1"/>
        <v>45</v>
      </c>
    </row>
    <row r="16" spans="1:16" x14ac:dyDescent="0.25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1802</v>
      </c>
      <c r="F16">
        <f t="shared" si="4"/>
        <v>9</v>
      </c>
      <c r="G16" s="137">
        <f t="shared" si="5"/>
        <v>200.22222220922222</v>
      </c>
      <c r="L16" s="227">
        <f>INDEX(Starter!A:A,ROW()-1)</f>
        <v>16912</v>
      </c>
      <c r="M16">
        <f>SUMIF(Erfassung2!BD:BD,L16,Erfassung2!BW:BW)</f>
        <v>1010</v>
      </c>
      <c r="N16">
        <f>SUMIF(Erfassung2!BD:BD,L16,Erfassung2!BG:BG)</f>
        <v>5</v>
      </c>
      <c r="O16">
        <f t="shared" si="0"/>
        <v>201.999999984</v>
      </c>
      <c r="P16">
        <f t="shared" si="1"/>
        <v>10</v>
      </c>
    </row>
    <row r="17" spans="1:16" x14ac:dyDescent="0.25">
      <c r="A17">
        <f t="shared" si="6"/>
        <v>13</v>
      </c>
      <c r="B17">
        <f t="shared" si="2"/>
        <v>16301</v>
      </c>
      <c r="C17" t="str">
        <f>IFERROR(INDEX(Starter!B:B,MATCH(B17,Starter!A:A,0)),"")</f>
        <v>Werder, Jan-Uwe</v>
      </c>
      <c r="D17" t="str">
        <f>IFERROR(INDEX(Starter!C:C,MATCH(B17,Starter!A:A,0)),"")</f>
        <v>DJK Rimpar</v>
      </c>
      <c r="E17" s="102">
        <f t="shared" si="3"/>
        <v>1786</v>
      </c>
      <c r="F17">
        <f t="shared" si="4"/>
        <v>9</v>
      </c>
      <c r="G17" s="137">
        <f t="shared" si="5"/>
        <v>198.44444443944445</v>
      </c>
      <c r="L17" s="227">
        <f>INDEX(Starter!A:A,ROW()-1)</f>
        <v>7885</v>
      </c>
      <c r="M17">
        <f>SUMIF(Erfassung2!BD:BD,L17,Erfassung2!BW:BW)</f>
        <v>0</v>
      </c>
      <c r="N17">
        <f>SUMIF(Erfassung2!BD:BD,L17,Erfassung2!BG:BG)</f>
        <v>0</v>
      </c>
      <c r="O17">
        <f t="shared" si="0"/>
        <v>0</v>
      </c>
      <c r="P17">
        <f t="shared" si="1"/>
        <v>50</v>
      </c>
    </row>
    <row r="18" spans="1:16" x14ac:dyDescent="0.25">
      <c r="A18">
        <f t="shared" si="6"/>
        <v>14</v>
      </c>
      <c r="B18">
        <f t="shared" si="2"/>
        <v>7593</v>
      </c>
      <c r="C18" t="str">
        <f>IFERROR(INDEX(Starter!B:B,MATCH(B18,Starter!A:A,0)),"")</f>
        <v>Börding, Peter</v>
      </c>
      <c r="D18" t="str">
        <f>IFERROR(INDEX(Starter!C:C,MATCH(B18,Starter!A:A,0)),"")</f>
        <v>BK München</v>
      </c>
      <c r="E18" s="102">
        <f t="shared" si="3"/>
        <v>1768</v>
      </c>
      <c r="F18">
        <f t="shared" si="4"/>
        <v>9</v>
      </c>
      <c r="G18" s="137">
        <f t="shared" si="5"/>
        <v>196.44444439844446</v>
      </c>
      <c r="L18" s="227">
        <f>INDEX(Starter!A:A,ROW()-1)</f>
        <v>7408</v>
      </c>
      <c r="M18">
        <f>SUMIF(Erfassung2!BD:BD,L18,Erfassung2!BW:BW)</f>
        <v>1708</v>
      </c>
      <c r="N18">
        <f>SUMIF(Erfassung2!BD:BD,L18,Erfassung2!BG:BG)</f>
        <v>9</v>
      </c>
      <c r="O18">
        <f t="shared" si="0"/>
        <v>189.77777775977776</v>
      </c>
      <c r="P18">
        <f t="shared" si="1"/>
        <v>23</v>
      </c>
    </row>
    <row r="19" spans="1:16" x14ac:dyDescent="0.25">
      <c r="A19">
        <f t="shared" si="6"/>
        <v>15</v>
      </c>
      <c r="B19">
        <f t="shared" si="2"/>
        <v>7724</v>
      </c>
      <c r="C19" t="str">
        <f>IFERROR(INDEX(Starter!B:B,MATCH(B19,Starter!A:A,0)),"")</f>
        <v>Schlick, Christian</v>
      </c>
      <c r="D19" t="str">
        <f>IFERROR(INDEX(Starter!C:C,MATCH(B19,Starter!A:A,0)),"")</f>
        <v>Comet</v>
      </c>
      <c r="E19" s="102">
        <f t="shared" si="3"/>
        <v>1766</v>
      </c>
      <c r="F19">
        <f t="shared" si="4"/>
        <v>9</v>
      </c>
      <c r="G19" s="137">
        <f t="shared" si="5"/>
        <v>196.22222219322222</v>
      </c>
      <c r="L19" s="227">
        <f>INDEX(Starter!A:A,ROW()-1)</f>
        <v>16762</v>
      </c>
      <c r="M19">
        <f>SUMIF(Erfassung2!BD:BD,L19,Erfassung2!BW:BW)</f>
        <v>1657</v>
      </c>
      <c r="N19">
        <f>SUMIF(Erfassung2!BD:BD,L19,Erfassung2!BG:BG)</f>
        <v>9</v>
      </c>
      <c r="O19">
        <f t="shared" si="0"/>
        <v>184.11111109211112</v>
      </c>
      <c r="P19">
        <f t="shared" si="1"/>
        <v>28</v>
      </c>
    </row>
    <row r="20" spans="1:16" x14ac:dyDescent="0.25">
      <c r="A20">
        <f t="shared" si="6"/>
        <v>16</v>
      </c>
      <c r="B20">
        <f t="shared" si="2"/>
        <v>16873</v>
      </c>
      <c r="C20" t="str">
        <f>IFERROR(INDEX(Starter!B:B,MATCH(B20,Starter!A:A,0)),"")</f>
        <v>Nolan, Jonathan</v>
      </c>
      <c r="D20" t="str">
        <f>IFERROR(INDEX(Starter!C:C,MATCH(B20,Starter!A:A,0)),"")</f>
        <v>BC Bamberger Bowlinghaus</v>
      </c>
      <c r="E20" s="102">
        <f t="shared" si="3"/>
        <v>1761</v>
      </c>
      <c r="F20">
        <f t="shared" si="4"/>
        <v>9</v>
      </c>
      <c r="G20" s="137">
        <f t="shared" si="5"/>
        <v>195.66666662666665</v>
      </c>
      <c r="L20" s="227">
        <f>INDEX(Starter!A:A,ROW()-1)</f>
        <v>7600</v>
      </c>
      <c r="M20">
        <f>SUMIF(Erfassung2!BD:BD,L20,Erfassung2!BW:BW)</f>
        <v>409</v>
      </c>
      <c r="N20">
        <f>SUMIF(Erfassung2!BD:BD,L20,Erfassung2!BG:BG)</f>
        <v>3</v>
      </c>
      <c r="O20">
        <f t="shared" si="0"/>
        <v>136.33333331333336</v>
      </c>
      <c r="P20">
        <f t="shared" si="1"/>
        <v>49</v>
      </c>
    </row>
    <row r="21" spans="1:16" x14ac:dyDescent="0.25">
      <c r="A21">
        <f t="shared" si="6"/>
        <v>17</v>
      </c>
      <c r="B21">
        <f t="shared" si="2"/>
        <v>7725</v>
      </c>
      <c r="C21" t="str">
        <f>IFERROR(INDEX(Starter!B:B,MATCH(B21,Starter!A:A,0)),"")</f>
        <v>Schlundt, Michael</v>
      </c>
      <c r="D21" t="str">
        <f>IFERROR(INDEX(Starter!C:C,MATCH(B21,Starter!A:A,0)),"")</f>
        <v>Comet</v>
      </c>
      <c r="E21" s="102">
        <f t="shared" si="3"/>
        <v>1760</v>
      </c>
      <c r="F21">
        <f t="shared" si="4"/>
        <v>9</v>
      </c>
      <c r="G21" s="137">
        <f t="shared" si="5"/>
        <v>195.55555552855554</v>
      </c>
      <c r="L21" s="227">
        <f>INDEX(Starter!A:A,ROW()-1)</f>
        <v>7416</v>
      </c>
      <c r="M21">
        <f>SUMIF(Erfassung2!BD:BD,L21,Erfassung2!BW:BW)</f>
        <v>1858</v>
      </c>
      <c r="N21">
        <f>SUMIF(Erfassung2!BD:BD,L21,Erfassung2!BG:BG)</f>
        <v>9</v>
      </c>
      <c r="O21">
        <f t="shared" si="0"/>
        <v>206.44444442344445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16251</v>
      </c>
      <c r="C22" t="str">
        <f>IFERROR(INDEX(Starter!B:B,MATCH(B22,Starter!A:A,0)),"")</f>
        <v>Renner, Alexander</v>
      </c>
      <c r="D22" t="str">
        <f>IFERROR(INDEX(Starter!C:C,MATCH(B22,Starter!A:A,0)),"")</f>
        <v>BC Bamberger Bowlinghaus</v>
      </c>
      <c r="E22" s="102">
        <f t="shared" si="3"/>
        <v>586</v>
      </c>
      <c r="F22">
        <f t="shared" si="4"/>
        <v>3</v>
      </c>
      <c r="G22" s="137">
        <f t="shared" si="5"/>
        <v>195.33333326633334</v>
      </c>
      <c r="L22" s="227">
        <f>INDEX(Starter!A:A,ROW()-1)</f>
        <v>7425</v>
      </c>
      <c r="M22">
        <f>SUMIF(Erfassung2!BD:BD,L22,Erfassung2!BW:BW)</f>
        <v>0</v>
      </c>
      <c r="N22">
        <f>SUMIF(Erfassung2!BD:BD,L22,Erfassung2!BG:BG)</f>
        <v>0</v>
      </c>
      <c r="O22">
        <f t="shared" si="0"/>
        <v>0</v>
      </c>
      <c r="P22">
        <f t="shared" si="1"/>
        <v>50</v>
      </c>
    </row>
    <row r="23" spans="1:16" x14ac:dyDescent="0.25">
      <c r="A23">
        <f t="shared" si="6"/>
        <v>19</v>
      </c>
      <c r="B23">
        <f t="shared" si="2"/>
        <v>7337</v>
      </c>
      <c r="C23" t="str">
        <f>IFERROR(INDEX(Starter!B:B,MATCH(B23,Starter!A:A,0)),"")</f>
        <v>Haunschild, Thomas</v>
      </c>
      <c r="D23" t="str">
        <f>IFERROR(INDEX(Starter!C:C,MATCH(B23,Starter!A:A,0)),"")</f>
        <v>BC Schanzer Strikers</v>
      </c>
      <c r="E23" s="102">
        <f t="shared" si="3"/>
        <v>777</v>
      </c>
      <c r="F23">
        <f t="shared" si="4"/>
        <v>4</v>
      </c>
      <c r="G23" s="137">
        <f t="shared" si="5"/>
        <v>194.24999993700001</v>
      </c>
      <c r="L23" s="227">
        <f>INDEX(Starter!A:A,ROW()-1)</f>
        <v>25297</v>
      </c>
      <c r="M23">
        <f>SUMIF(Erfassung2!BD:BD,L23,Erfassung2!BW:BW)</f>
        <v>1637</v>
      </c>
      <c r="N23">
        <f>SUMIF(Erfassung2!BD:BD,L23,Erfassung2!BG:BG)</f>
        <v>9</v>
      </c>
      <c r="O23">
        <f t="shared" si="0"/>
        <v>181.88888886588887</v>
      </c>
      <c r="P23">
        <f t="shared" si="1"/>
        <v>29</v>
      </c>
    </row>
    <row r="24" spans="1:16" x14ac:dyDescent="0.25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771</v>
      </c>
      <c r="F24">
        <f t="shared" si="4"/>
        <v>4</v>
      </c>
      <c r="G24" s="137">
        <f t="shared" si="5"/>
        <v>192.74999994300001</v>
      </c>
      <c r="L24" s="227">
        <f>INDEX(Starter!A:A,ROW()-1)</f>
        <v>16888</v>
      </c>
      <c r="M24">
        <f>SUMIF(Erfassung2!BD:BD,L24,Erfassung2!BW:BW)</f>
        <v>1835</v>
      </c>
      <c r="N24">
        <f>SUMIF(Erfassung2!BD:BD,L24,Erfassung2!BG:BG)</f>
        <v>9</v>
      </c>
      <c r="O24">
        <f t="shared" si="0"/>
        <v>203.88888886488888</v>
      </c>
      <c r="P24">
        <f t="shared" si="1"/>
        <v>7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1722</v>
      </c>
      <c r="F25">
        <f t="shared" si="4"/>
        <v>9</v>
      </c>
      <c r="G25" s="137">
        <f t="shared" si="5"/>
        <v>191.33333332433335</v>
      </c>
      <c r="L25" s="227">
        <f>INDEX(Starter!A:A,ROW()-1)</f>
        <v>38092</v>
      </c>
      <c r="M25">
        <f>SUMIF(Erfassung2!BD:BD,L25,Erfassung2!BW:BW)</f>
        <v>1261</v>
      </c>
      <c r="N25">
        <f>SUMIF(Erfassung2!BD:BD,L25,Erfassung2!BG:BG)</f>
        <v>7</v>
      </c>
      <c r="O25">
        <f t="shared" si="0"/>
        <v>180.14285711785715</v>
      </c>
      <c r="P25">
        <f t="shared" si="1"/>
        <v>32</v>
      </c>
    </row>
    <row r="26" spans="1:16" x14ac:dyDescent="0.25">
      <c r="A26">
        <f t="shared" si="6"/>
        <v>22</v>
      </c>
      <c r="B26">
        <f t="shared" si="2"/>
        <v>16896</v>
      </c>
      <c r="C26" t="str">
        <f>IFERROR(INDEX(Starter!B:B,MATCH(B26,Starter!A:A,0)),"")</f>
        <v>Mittelmaier, Andreas</v>
      </c>
      <c r="D26" t="str">
        <f>IFERROR(INDEX(Starter!C:C,MATCH(B26,Starter!A:A,0)),"")</f>
        <v>Comet</v>
      </c>
      <c r="E26" s="102">
        <f t="shared" si="3"/>
        <v>1719</v>
      </c>
      <c r="F26">
        <f t="shared" si="4"/>
        <v>9</v>
      </c>
      <c r="G26" s="137">
        <f t="shared" si="5"/>
        <v>190.99999997</v>
      </c>
      <c r="L26" s="227">
        <f>INDEX(Starter!A:A,ROW()-1)</f>
        <v>16243</v>
      </c>
      <c r="M26">
        <f>SUMIF(Erfassung2!BD:BD,L26,Erfassung2!BW:BW)</f>
        <v>0</v>
      </c>
      <c r="N26">
        <f>SUMIF(Erfassung2!BD:BD,L26,Erfassung2!BG:BG)</f>
        <v>0</v>
      </c>
      <c r="O26">
        <f t="shared" si="0"/>
        <v>0</v>
      </c>
      <c r="P26">
        <f t="shared" si="1"/>
        <v>50</v>
      </c>
    </row>
    <row r="27" spans="1:16" x14ac:dyDescent="0.25">
      <c r="A27">
        <f t="shared" si="6"/>
        <v>23</v>
      </c>
      <c r="B27">
        <f t="shared" si="2"/>
        <v>7408</v>
      </c>
      <c r="C27" t="str">
        <f>IFERROR(INDEX(Starter!B:B,MATCH(B27,Starter!A:A,0)),"")</f>
        <v>Glasl jun., Hans-Jürgen</v>
      </c>
      <c r="D27" t="str">
        <f>IFERROR(INDEX(Starter!C:C,MATCH(B27,Starter!A:A,0)),"")</f>
        <v>BC Bajuwaren 1976 München</v>
      </c>
      <c r="E27" s="102">
        <f t="shared" si="3"/>
        <v>1708</v>
      </c>
      <c r="F27">
        <f t="shared" si="4"/>
        <v>9</v>
      </c>
      <c r="G27" s="137">
        <f t="shared" si="5"/>
        <v>189.77777775977776</v>
      </c>
      <c r="L27" s="227">
        <f>INDEX(Starter!A:A,ROW()-1)</f>
        <v>7725</v>
      </c>
      <c r="M27">
        <f>SUMIF(Erfassung2!BD:BD,L27,Erfassung2!BW:BW)</f>
        <v>1760</v>
      </c>
      <c r="N27">
        <f>SUMIF(Erfassung2!BD:BD,L27,Erfassung2!BG:BG)</f>
        <v>9</v>
      </c>
      <c r="O27">
        <f t="shared" si="0"/>
        <v>195.55555552855554</v>
      </c>
      <c r="P27">
        <f t="shared" si="1"/>
        <v>17</v>
      </c>
    </row>
    <row r="28" spans="1:16" x14ac:dyDescent="0.25">
      <c r="A28">
        <f t="shared" si="6"/>
        <v>24</v>
      </c>
      <c r="B28">
        <f t="shared" si="2"/>
        <v>7937</v>
      </c>
      <c r="C28" t="str">
        <f>IFERROR(INDEX(Starter!B:B,MATCH(B28,Starter!A:A,0)),"")</f>
        <v>Birkner, Jochen</v>
      </c>
      <c r="D28" t="str">
        <f>IFERROR(INDEX(Starter!C:C,MATCH(B28,Starter!A:A,0)),"")</f>
        <v>BF Rot-Weiß Lichtenhof 69</v>
      </c>
      <c r="E28" s="102">
        <f t="shared" si="3"/>
        <v>1704</v>
      </c>
      <c r="F28">
        <f t="shared" si="4"/>
        <v>9</v>
      </c>
      <c r="G28" s="137">
        <f t="shared" si="5"/>
        <v>189.33333329233335</v>
      </c>
      <c r="L28" s="227">
        <f>INDEX(Starter!A:A,ROW()-1)</f>
        <v>7734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50</v>
      </c>
    </row>
    <row r="29" spans="1:16" x14ac:dyDescent="0.25">
      <c r="A29">
        <f t="shared" si="6"/>
        <v>25</v>
      </c>
      <c r="B29">
        <f t="shared" si="2"/>
        <v>16852</v>
      </c>
      <c r="C29" t="str">
        <f>IFERROR(INDEX(Starter!B:B,MATCH(B29,Starter!A:A,0)),"")</f>
        <v>Wendel, Dominik</v>
      </c>
      <c r="D29" t="str">
        <f>IFERROR(INDEX(Starter!C:C,MATCH(B29,Starter!A:A,0)),"")</f>
        <v>SG Rottendorf</v>
      </c>
      <c r="E29" s="102">
        <f t="shared" si="3"/>
        <v>1686</v>
      </c>
      <c r="F29">
        <f t="shared" si="4"/>
        <v>9</v>
      </c>
      <c r="G29" s="137">
        <f t="shared" si="5"/>
        <v>187.33333332333333</v>
      </c>
      <c r="L29" s="227">
        <f>INDEX(Starter!A:A,ROW()-1)</f>
        <v>7724</v>
      </c>
      <c r="M29">
        <f>SUMIF(Erfassung2!BD:BD,L29,Erfassung2!BW:BW)</f>
        <v>1766</v>
      </c>
      <c r="N29">
        <f>SUMIF(Erfassung2!BD:BD,L29,Erfassung2!BG:BG)</f>
        <v>9</v>
      </c>
      <c r="O29">
        <f t="shared" si="0"/>
        <v>196.22222219322222</v>
      </c>
      <c r="P29">
        <f t="shared" si="1"/>
        <v>15</v>
      </c>
    </row>
    <row r="30" spans="1:16" x14ac:dyDescent="0.25">
      <c r="A30">
        <f t="shared" si="6"/>
        <v>26</v>
      </c>
      <c r="B30">
        <f t="shared" si="2"/>
        <v>41008</v>
      </c>
      <c r="C30" t="str">
        <f>IFERROR(INDEX(Starter!B:B,MATCH(B30,Starter!A:A,0)),"")</f>
        <v>Richter, Benjamin</v>
      </c>
      <c r="D30" t="str">
        <f>IFERROR(INDEX(Starter!C:C,MATCH(B30,Starter!A:A,0)),"")</f>
        <v>BC EMAX</v>
      </c>
      <c r="E30" s="102">
        <f t="shared" si="3"/>
        <v>1308</v>
      </c>
      <c r="F30">
        <f t="shared" si="4"/>
        <v>7</v>
      </c>
      <c r="G30" s="137">
        <f t="shared" si="5"/>
        <v>186.85714279214287</v>
      </c>
      <c r="L30" s="227">
        <f>INDEX(Starter!A:A,ROW()-1)</f>
        <v>16896</v>
      </c>
      <c r="M30">
        <f>SUMIF(Erfassung2!BD:BD,L30,Erfassung2!BW:BW)</f>
        <v>1719</v>
      </c>
      <c r="N30">
        <f>SUMIF(Erfassung2!BD:BD,L30,Erfassung2!BG:BG)</f>
        <v>9</v>
      </c>
      <c r="O30">
        <f t="shared" si="0"/>
        <v>190.99999997</v>
      </c>
      <c r="P30">
        <f t="shared" si="1"/>
        <v>22</v>
      </c>
    </row>
    <row r="31" spans="1:16" x14ac:dyDescent="0.25">
      <c r="A31">
        <f t="shared" si="6"/>
        <v>27</v>
      </c>
      <c r="B31">
        <f t="shared" si="2"/>
        <v>16495</v>
      </c>
      <c r="C31" t="str">
        <f>IFERROR(INDEX(Starter!B:B,MATCH(B31,Starter!A:A,0)),"")</f>
        <v>Stemmler, Patrick</v>
      </c>
      <c r="D31" t="str">
        <f>IFERROR(INDEX(Starter!C:C,MATCH(B31,Starter!A:A,0)),"")</f>
        <v>SG Rottendorf</v>
      </c>
      <c r="E31" s="102">
        <f t="shared" si="3"/>
        <v>1660</v>
      </c>
      <c r="F31">
        <f t="shared" si="4"/>
        <v>9</v>
      </c>
      <c r="G31" s="137">
        <f t="shared" si="5"/>
        <v>184.44444443244447</v>
      </c>
      <c r="L31" s="227">
        <f>INDEX(Starter!A:A,ROW()-1)</f>
        <v>7102</v>
      </c>
      <c r="M31">
        <f>SUMIF(Erfassung2!BD:BD,L31,Erfassung2!BW:BW)</f>
        <v>1823</v>
      </c>
      <c r="N31">
        <f>SUMIF(Erfassung2!BD:BD,L31,Erfassung2!BG:BG)</f>
        <v>9</v>
      </c>
      <c r="O31">
        <f t="shared" si="0"/>
        <v>202.55555552455553</v>
      </c>
      <c r="P31">
        <f t="shared" si="1"/>
        <v>9</v>
      </c>
    </row>
    <row r="32" spans="1:16" x14ac:dyDescent="0.25">
      <c r="A32">
        <f t="shared" si="6"/>
        <v>28</v>
      </c>
      <c r="B32">
        <f t="shared" si="2"/>
        <v>16762</v>
      </c>
      <c r="C32" t="str">
        <f>IFERROR(INDEX(Starter!B:B,MATCH(B32,Starter!A:A,0)),"")</f>
        <v>Glasl sen., Hans</v>
      </c>
      <c r="D32" t="str">
        <f>IFERROR(INDEX(Starter!C:C,MATCH(B32,Starter!A:A,0)),"")</f>
        <v>BC Bajuwaren 1976 München</v>
      </c>
      <c r="E32" s="102">
        <f t="shared" si="3"/>
        <v>1657</v>
      </c>
      <c r="F32">
        <f t="shared" si="4"/>
        <v>9</v>
      </c>
      <c r="G32" s="137">
        <f t="shared" si="5"/>
        <v>184.11111109211112</v>
      </c>
      <c r="L32" s="227">
        <f>INDEX(Starter!A:A,ROW()-1)</f>
        <v>16245</v>
      </c>
      <c r="M32">
        <f>SUMIF(Erfassung2!BD:BD,L32,Erfassung2!BW:BW)</f>
        <v>0</v>
      </c>
      <c r="N32">
        <f>SUMIF(Erfassung2!BD:BD,L32,Erfassung2!BG:BG)</f>
        <v>0</v>
      </c>
      <c r="O32">
        <f t="shared" si="0"/>
        <v>0</v>
      </c>
      <c r="P32">
        <f t="shared" si="1"/>
        <v>50</v>
      </c>
    </row>
    <row r="33" spans="1:16" x14ac:dyDescent="0.25">
      <c r="A33">
        <f t="shared" si="6"/>
        <v>29</v>
      </c>
      <c r="B33">
        <f t="shared" si="2"/>
        <v>25297</v>
      </c>
      <c r="C33" t="str">
        <f>IFERROR(INDEX(Starter!B:B,MATCH(B33,Starter!A:A,0)),"")</f>
        <v>Lengen, Peter</v>
      </c>
      <c r="D33" t="str">
        <f>IFERROR(INDEX(Starter!C:C,MATCH(B33,Starter!A:A,0)),"")</f>
        <v>BSC Highroller Rosenheim</v>
      </c>
      <c r="E33" s="102">
        <f t="shared" si="3"/>
        <v>1637</v>
      </c>
      <c r="F33">
        <f t="shared" si="4"/>
        <v>9</v>
      </c>
      <c r="G33" s="137">
        <f t="shared" si="5"/>
        <v>181.88888886588887</v>
      </c>
      <c r="L33" s="227">
        <f>INDEX(Starter!A:A,ROW()-1)</f>
        <v>27134</v>
      </c>
      <c r="M33">
        <f>SUMIF(Erfassung2!BD:BD,L33,Erfassung2!BW:BW)</f>
        <v>1444</v>
      </c>
      <c r="N33">
        <f>SUMIF(Erfassung2!BD:BD,L33,Erfassung2!BG:BG)</f>
        <v>8</v>
      </c>
      <c r="O33">
        <f t="shared" si="0"/>
        <v>180.49999996700001</v>
      </c>
      <c r="P33">
        <f t="shared" si="1"/>
        <v>31</v>
      </c>
    </row>
    <row r="34" spans="1:16" x14ac:dyDescent="0.25">
      <c r="A34">
        <f t="shared" si="6"/>
        <v>30</v>
      </c>
      <c r="B34">
        <f t="shared" si="2"/>
        <v>10124</v>
      </c>
      <c r="C34" t="str">
        <f>IFERROR(INDEX(Starter!B:B,MATCH(B34,Starter!A:A,0)),"")</f>
        <v>Kristof, Robert</v>
      </c>
      <c r="D34" t="str">
        <f>IFERROR(INDEX(Starter!C:C,MATCH(B34,Starter!A:A,0)),"")</f>
        <v>BF Rot-Weiß Lichtenhof 69</v>
      </c>
      <c r="E34" s="102">
        <f t="shared" si="3"/>
        <v>1631</v>
      </c>
      <c r="F34">
        <f t="shared" si="4"/>
        <v>9</v>
      </c>
      <c r="G34" s="137">
        <f t="shared" si="5"/>
        <v>181.22222218022222</v>
      </c>
      <c r="L34" s="227">
        <f>INDEX(Starter!A:A,ROW()-1)</f>
        <v>7883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50</v>
      </c>
    </row>
    <row r="35" spans="1:16" x14ac:dyDescent="0.25">
      <c r="A35">
        <f t="shared" si="6"/>
        <v>31</v>
      </c>
      <c r="B35">
        <f t="shared" si="2"/>
        <v>27134</v>
      </c>
      <c r="C35" t="str">
        <f>IFERROR(INDEX(Starter!B:B,MATCH(B35,Starter!A:A,0)),"")</f>
        <v>Lohse, Sebastian</v>
      </c>
      <c r="D35" t="str">
        <f>IFERROR(INDEX(Starter!C:C,MATCH(B35,Starter!A:A,0)),"")</f>
        <v>BC EMAX</v>
      </c>
      <c r="E35" s="102">
        <f t="shared" si="3"/>
        <v>1444</v>
      </c>
      <c r="F35">
        <f t="shared" si="4"/>
        <v>8</v>
      </c>
      <c r="G35" s="137">
        <f t="shared" si="5"/>
        <v>180.49999996700001</v>
      </c>
      <c r="L35" s="227">
        <f>INDEX(Starter!A:A,ROW()-1)</f>
        <v>7653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50</v>
      </c>
    </row>
    <row r="36" spans="1:16" x14ac:dyDescent="0.25">
      <c r="A36">
        <f t="shared" si="6"/>
        <v>32</v>
      </c>
      <c r="B36">
        <f t="shared" si="2"/>
        <v>38092</v>
      </c>
      <c r="C36" t="str">
        <f>IFERROR(INDEX(Starter!B:B,MATCH(B36,Starter!A:A,0)),"")</f>
        <v>Kabel, Nicolas</v>
      </c>
      <c r="D36" t="str">
        <f>IFERROR(INDEX(Starter!C:C,MATCH(B36,Starter!A:A,0)),"")</f>
        <v>BSC Highroller Rosenheim</v>
      </c>
      <c r="E36" s="102">
        <f t="shared" si="3"/>
        <v>1261</v>
      </c>
      <c r="F36">
        <f t="shared" si="4"/>
        <v>7</v>
      </c>
      <c r="G36" s="137">
        <f t="shared" si="5"/>
        <v>180.14285711785715</v>
      </c>
      <c r="L36" s="227">
        <f>INDEX(Starter!A:A,ROW()-1)</f>
        <v>25554</v>
      </c>
      <c r="M36">
        <f>SUMIF(Erfassung2!BD:BD,L36,Erfassung2!BW:BW)</f>
        <v>874</v>
      </c>
      <c r="N36">
        <f>SUMIF(Erfassung2!BD:BD,L36,Erfassung2!BG:BG)</f>
        <v>5</v>
      </c>
      <c r="O36">
        <f t="shared" si="0"/>
        <v>174.79999996400002</v>
      </c>
      <c r="P36">
        <f t="shared" si="1"/>
        <v>38</v>
      </c>
    </row>
    <row r="37" spans="1:16" x14ac:dyDescent="0.25">
      <c r="A37">
        <f t="shared" si="6"/>
        <v>33</v>
      </c>
      <c r="B37">
        <f t="shared" ref="B37:B68" si="7">IFERROR(INDEX(L:L,MATCH(A37,P:P,0)),"")</f>
        <v>16263</v>
      </c>
      <c r="C37" t="str">
        <f>IFERROR(INDEX(Starter!B:B,MATCH(B37,Starter!A:A,0)),"")</f>
        <v>Jackwerth, Enno</v>
      </c>
      <c r="D37" t="str">
        <f>IFERROR(INDEX(Starter!C:C,MATCH(B37,Starter!A:A,0)),"")</f>
        <v>BF Rot-Weiß Lichtenhof 69</v>
      </c>
      <c r="E37" s="102">
        <f t="shared" ref="E37:E68" si="8">IFERROR(INDEX(M:M,MATCH(A37,P:P,0)),"")</f>
        <v>1614</v>
      </c>
      <c r="F37">
        <f t="shared" ref="F37:F68" si="9">IFERROR(INDEX(N:N,MATCH(A37,P:P,0)),"")</f>
        <v>9</v>
      </c>
      <c r="G37" s="137">
        <f t="shared" ref="G37:G68" si="10">IFERROR(INDEX(O:O,MATCH(A37,P:P,0)),"")</f>
        <v>179.33333329033334</v>
      </c>
      <c r="L37" s="227">
        <f>INDEX(Starter!A:A,ROW()-1)</f>
        <v>7099</v>
      </c>
      <c r="M37">
        <f>SUMIF(Erfassung2!BD:BD,L37,Erfassung2!BW:BW)</f>
        <v>1910</v>
      </c>
      <c r="N37">
        <f>SUMIF(Erfassung2!BD:BD,L37,Erfassung2!BG:BG)</f>
        <v>9</v>
      </c>
      <c r="O37">
        <f t="shared" si="0"/>
        <v>212.22222218522222</v>
      </c>
      <c r="P37">
        <f t="shared" si="1"/>
        <v>1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8"/>
        <v>715</v>
      </c>
      <c r="F38">
        <f t="shared" si="9"/>
        <v>4</v>
      </c>
      <c r="G38" s="137">
        <f t="shared" si="10"/>
        <v>178.74999994000001</v>
      </c>
      <c r="L38" s="227">
        <f>INDEX(Starter!A:A,ROW()-1)</f>
        <v>38041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50</v>
      </c>
    </row>
    <row r="39" spans="1:16" x14ac:dyDescent="0.25">
      <c r="A39">
        <f t="shared" si="11"/>
        <v>35</v>
      </c>
      <c r="B39">
        <f t="shared" si="7"/>
        <v>7601</v>
      </c>
      <c r="C39" t="str">
        <f>IFERROR(INDEX(Starter!B:B,MATCH(B39,Starter!A:A,0)),"")</f>
        <v>Lüthje, Volker</v>
      </c>
      <c r="D39" t="str">
        <f>IFERROR(INDEX(Starter!C:C,MATCH(B39,Starter!A:A,0)),"")</f>
        <v>BC Bajuwaren 1976 München</v>
      </c>
      <c r="E39" s="102">
        <f t="shared" si="8"/>
        <v>1072</v>
      </c>
      <c r="F39">
        <f t="shared" si="9"/>
        <v>6</v>
      </c>
      <c r="G39" s="137">
        <f t="shared" si="10"/>
        <v>178.66666662166665</v>
      </c>
      <c r="L39" s="227">
        <f>INDEX(Starter!A:A,ROW()-1)</f>
        <v>25516</v>
      </c>
      <c r="M39">
        <f>SUMIF(Erfassung2!BD:BD,L39,Erfassung2!BW:BW)</f>
        <v>532</v>
      </c>
      <c r="N39">
        <f>SUMIF(Erfassung2!BD:BD,L39,Erfassung2!BG:BG)</f>
        <v>3</v>
      </c>
      <c r="O39">
        <f t="shared" si="0"/>
        <v>177.33333329433333</v>
      </c>
      <c r="P39">
        <f t="shared" si="1"/>
        <v>37</v>
      </c>
    </row>
    <row r="40" spans="1:16" x14ac:dyDescent="0.25">
      <c r="A40">
        <f t="shared" si="11"/>
        <v>36</v>
      </c>
      <c r="B40">
        <f t="shared" si="7"/>
        <v>38043</v>
      </c>
      <c r="C40" t="str">
        <f>IFERROR(INDEX(Starter!B:B,MATCH(B40,Starter!A:A,0)),"")</f>
        <v>Badum, Daniel</v>
      </c>
      <c r="D40" t="str">
        <f>IFERROR(INDEX(Starter!C:C,MATCH(B40,Starter!A:A,0)),"")</f>
        <v>BC Bamberger Bowlinghaus</v>
      </c>
      <c r="E40" s="102">
        <f t="shared" si="8"/>
        <v>1248</v>
      </c>
      <c r="F40">
        <f t="shared" si="9"/>
        <v>7</v>
      </c>
      <c r="G40" s="137">
        <f t="shared" si="10"/>
        <v>178.28571422771427</v>
      </c>
      <c r="L40" s="227">
        <f>INDEX(Starter!A:A,ROW()-1)</f>
        <v>16873</v>
      </c>
      <c r="M40">
        <f>SUMIF(Erfassung2!BD:BD,L40,Erfassung2!BW:BW)</f>
        <v>1761</v>
      </c>
      <c r="N40">
        <f>SUMIF(Erfassung2!BD:BD,L40,Erfassung2!BG:BG)</f>
        <v>9</v>
      </c>
      <c r="O40">
        <f t="shared" si="0"/>
        <v>195.66666662666665</v>
      </c>
      <c r="P40">
        <f t="shared" si="1"/>
        <v>16</v>
      </c>
    </row>
    <row r="41" spans="1:16" x14ac:dyDescent="0.25">
      <c r="A41">
        <f t="shared" si="11"/>
        <v>37</v>
      </c>
      <c r="B41">
        <f t="shared" si="7"/>
        <v>25516</v>
      </c>
      <c r="C41" t="str">
        <f>IFERROR(INDEX(Starter!B:B,MATCH(B41,Starter!A:A,0)),"")</f>
        <v>Nikoleit, Thomas</v>
      </c>
      <c r="D41" t="str">
        <f>IFERROR(INDEX(Starter!C:C,MATCH(B41,Starter!A:A,0)),"")</f>
        <v>BC Bamberger Bowlinghaus</v>
      </c>
      <c r="E41" s="102">
        <f t="shared" si="8"/>
        <v>532</v>
      </c>
      <c r="F41">
        <f t="shared" si="9"/>
        <v>3</v>
      </c>
      <c r="G41" s="137">
        <f t="shared" si="10"/>
        <v>177.33333329433333</v>
      </c>
      <c r="L41" s="227">
        <f>INDEX(Starter!A:A,ROW()-1)</f>
        <v>7937</v>
      </c>
      <c r="M41">
        <f>SUMIF(Erfassung2!BD:BD,L41,Erfassung2!BW:BW)</f>
        <v>1704</v>
      </c>
      <c r="N41">
        <f>SUMIF(Erfassung2!BD:BD,L41,Erfassung2!BG:BG)</f>
        <v>9</v>
      </c>
      <c r="O41">
        <f t="shared" si="0"/>
        <v>189.33333329233335</v>
      </c>
      <c r="P41">
        <f t="shared" si="1"/>
        <v>24</v>
      </c>
    </row>
    <row r="42" spans="1:16" x14ac:dyDescent="0.25">
      <c r="A42">
        <f t="shared" si="11"/>
        <v>38</v>
      </c>
      <c r="B42">
        <f t="shared" si="7"/>
        <v>25554</v>
      </c>
      <c r="C42" t="str">
        <f>IFERROR(INDEX(Starter!B:B,MATCH(B42,Starter!A:A,0)),"")</f>
        <v>Blasits, Ernst</v>
      </c>
      <c r="D42" t="str">
        <f>IFERROR(INDEX(Starter!C:C,MATCH(B42,Starter!A:A,0)),"")</f>
        <v>BC EMAX</v>
      </c>
      <c r="E42" s="102">
        <f t="shared" si="8"/>
        <v>874</v>
      </c>
      <c r="F42">
        <f t="shared" si="9"/>
        <v>5</v>
      </c>
      <c r="G42" s="137">
        <f t="shared" si="10"/>
        <v>174.79999996400002</v>
      </c>
      <c r="L42" s="227">
        <f>INDEX(Starter!A:A,ROW()-1)</f>
        <v>10124</v>
      </c>
      <c r="M42">
        <f>SUMIF(Erfassung2!BD:BD,L42,Erfassung2!BW:BW)</f>
        <v>1631</v>
      </c>
      <c r="N42">
        <f>SUMIF(Erfassung2!BD:BD,L42,Erfassung2!BG:BG)</f>
        <v>9</v>
      </c>
      <c r="O42">
        <f t="shared" si="0"/>
        <v>181.22222218022222</v>
      </c>
      <c r="P42">
        <f t="shared" si="1"/>
        <v>30</v>
      </c>
    </row>
    <row r="43" spans="1:16" x14ac:dyDescent="0.25">
      <c r="A43">
        <f t="shared" si="11"/>
        <v>39</v>
      </c>
      <c r="B43">
        <f t="shared" si="7"/>
        <v>16862</v>
      </c>
      <c r="C43" t="str">
        <f>IFERROR(INDEX(Starter!B:B,MATCH(B43,Starter!A:A,0)),"")</f>
        <v>Büttner, Christian</v>
      </c>
      <c r="D43" t="str">
        <f>IFERROR(INDEX(Starter!C:C,MATCH(B43,Starter!A:A,0)),"")</f>
        <v>SG Rottendorf</v>
      </c>
      <c r="E43" s="102">
        <f t="shared" si="8"/>
        <v>1218</v>
      </c>
      <c r="F43">
        <f t="shared" si="9"/>
        <v>7</v>
      </c>
      <c r="G43" s="137">
        <f t="shared" si="10"/>
        <v>173.99999994999999</v>
      </c>
      <c r="L43" s="227">
        <f>INDEX(Starter!A:A,ROW()-1)</f>
        <v>16263</v>
      </c>
      <c r="M43">
        <f>SUMIF(Erfassung2!BD:BD,L43,Erfassung2!BW:BW)</f>
        <v>1614</v>
      </c>
      <c r="N43">
        <f>SUMIF(Erfassung2!BD:BD,L43,Erfassung2!BG:BG)</f>
        <v>9</v>
      </c>
      <c r="O43">
        <f t="shared" si="0"/>
        <v>179.33333329033334</v>
      </c>
      <c r="P43">
        <f t="shared" si="1"/>
        <v>33</v>
      </c>
    </row>
    <row r="44" spans="1:16" x14ac:dyDescent="0.25">
      <c r="A44">
        <f t="shared" si="11"/>
        <v>40</v>
      </c>
      <c r="B44">
        <f t="shared" si="7"/>
        <v>7485</v>
      </c>
      <c r="C44" t="str">
        <f>IFERROR(INDEX(Starter!B:B,MATCH(B44,Starter!A:A,0)),"")</f>
        <v>Singer, Michael</v>
      </c>
      <c r="D44" t="str">
        <f>IFERROR(INDEX(Starter!C:C,MATCH(B44,Starter!A:A,0)),"")</f>
        <v>BK München</v>
      </c>
      <c r="E44" s="102">
        <f t="shared" si="8"/>
        <v>862</v>
      </c>
      <c r="F44">
        <f t="shared" si="9"/>
        <v>5</v>
      </c>
      <c r="G44" s="137">
        <f t="shared" si="10"/>
        <v>172.399999939</v>
      </c>
      <c r="L44" s="227">
        <f>INDEX(Starter!A:A,ROW()-1)</f>
        <v>7959</v>
      </c>
      <c r="M44">
        <f>SUMIF(Erfassung2!BD:BD,L44,Erfassung2!BW:BW)</f>
        <v>1013</v>
      </c>
      <c r="N44">
        <f>SUMIF(Erfassung2!BD:BD,L44,Erfassung2!BG:BG)</f>
        <v>6</v>
      </c>
      <c r="O44">
        <f t="shared" si="0"/>
        <v>168.83333328933335</v>
      </c>
      <c r="P44">
        <f t="shared" si="1"/>
        <v>43</v>
      </c>
    </row>
    <row r="45" spans="1:16" x14ac:dyDescent="0.25">
      <c r="A45">
        <f t="shared" si="11"/>
        <v>41</v>
      </c>
      <c r="B45">
        <f t="shared" si="7"/>
        <v>38411</v>
      </c>
      <c r="C45" t="str">
        <f>IFERROR(INDEX(Starter!B:B,MATCH(B45,Starter!A:A,0)),"")</f>
        <v>Hartl, Thomas</v>
      </c>
      <c r="D45" t="str">
        <f>IFERROR(INDEX(Starter!C:C,MATCH(B45,Starter!A:A,0)),"")</f>
        <v>BC Schanzer Strikers</v>
      </c>
      <c r="E45" s="102">
        <f t="shared" si="8"/>
        <v>1550</v>
      </c>
      <c r="F45">
        <f t="shared" si="9"/>
        <v>9</v>
      </c>
      <c r="G45" s="137">
        <f t="shared" si="10"/>
        <v>172.22222221622224</v>
      </c>
      <c r="L45" s="227">
        <f>INDEX(Starter!A:A,ROW()-1)</f>
        <v>7601</v>
      </c>
      <c r="M45">
        <f>SUMIF(Erfassung2!BD:BD,L45,Erfassung2!BW:BW)</f>
        <v>1072</v>
      </c>
      <c r="N45">
        <f>SUMIF(Erfassung2!BD:BD,L45,Erfassung2!BG:BG)</f>
        <v>6</v>
      </c>
      <c r="O45">
        <f t="shared" si="0"/>
        <v>178.66666662166665</v>
      </c>
      <c r="P45">
        <f t="shared" si="1"/>
        <v>35</v>
      </c>
    </row>
    <row r="46" spans="1:16" x14ac:dyDescent="0.25">
      <c r="A46">
        <f t="shared" si="11"/>
        <v>42</v>
      </c>
      <c r="B46">
        <f t="shared" si="7"/>
        <v>25061</v>
      </c>
      <c r="C46" t="str">
        <f>IFERROR(INDEX(Starter!B:B,MATCH(B46,Starter!A:A,0)),"")</f>
        <v>Schwarz, Christian</v>
      </c>
      <c r="D46" t="str">
        <f>IFERROR(INDEX(Starter!C:C,MATCH(B46,Starter!A:A,0)),"")</f>
        <v>BSC Highroller Rosenheim</v>
      </c>
      <c r="E46" s="102">
        <f t="shared" si="8"/>
        <v>1193</v>
      </c>
      <c r="F46">
        <f t="shared" si="9"/>
        <v>7</v>
      </c>
      <c r="G46" s="137">
        <f t="shared" si="10"/>
        <v>170.42857136957142</v>
      </c>
      <c r="L46" s="227">
        <f>INDEX(Starter!A:A,ROW()-1)</f>
        <v>7593</v>
      </c>
      <c r="M46">
        <f>SUMIF(Erfassung2!BD:BD,L46,Erfassung2!BW:BW)</f>
        <v>1768</v>
      </c>
      <c r="N46">
        <f>SUMIF(Erfassung2!BD:BD,L46,Erfassung2!BG:BG)</f>
        <v>9</v>
      </c>
      <c r="O46">
        <f t="shared" si="0"/>
        <v>196.44444439844446</v>
      </c>
      <c r="P46">
        <f t="shared" si="1"/>
        <v>14</v>
      </c>
    </row>
    <row r="47" spans="1:16" x14ac:dyDescent="0.25">
      <c r="A47">
        <f t="shared" si="11"/>
        <v>43</v>
      </c>
      <c r="B47">
        <f t="shared" si="7"/>
        <v>7959</v>
      </c>
      <c r="C47" t="str">
        <f>IFERROR(INDEX(Starter!B:B,MATCH(B47,Starter!A:A,0)),"")</f>
        <v>Netscheporenko, Marco</v>
      </c>
      <c r="D47" t="str">
        <f>IFERROR(INDEX(Starter!C:C,MATCH(B47,Starter!A:A,0)),"")</f>
        <v>BF Rot-Weiß Lichtenhof 69</v>
      </c>
      <c r="E47" s="102">
        <f t="shared" si="8"/>
        <v>1013</v>
      </c>
      <c r="F47">
        <f t="shared" si="9"/>
        <v>6</v>
      </c>
      <c r="G47" s="137">
        <f t="shared" si="10"/>
        <v>168.83333328933335</v>
      </c>
      <c r="L47" s="227">
        <f>INDEX(Starter!A:A,ROW()-1)</f>
        <v>7591</v>
      </c>
      <c r="M47">
        <f>SUMIF(Erfassung2!BD:BD,L47,Erfassung2!BW:BW)</f>
        <v>1885</v>
      </c>
      <c r="N47">
        <f>SUMIF(Erfassung2!BD:BD,L47,Erfassung2!BG:BG)</f>
        <v>9</v>
      </c>
      <c r="O47">
        <f t="shared" si="0"/>
        <v>209.44444439744447</v>
      </c>
      <c r="P47">
        <f t="shared" si="1"/>
        <v>3</v>
      </c>
    </row>
    <row r="48" spans="1:16" x14ac:dyDescent="0.25">
      <c r="A48">
        <f t="shared" si="11"/>
        <v>44</v>
      </c>
      <c r="B48">
        <f t="shared" si="7"/>
        <v>38360</v>
      </c>
      <c r="C48" t="str">
        <f>IFERROR(INDEX(Starter!B:B,MATCH(B48,Starter!A:A,0)),"")</f>
        <v>Hutter, Sebastian</v>
      </c>
      <c r="D48" t="str">
        <f>IFERROR(INDEX(Starter!C:C,MATCH(B48,Starter!A:A,0)),"")</f>
        <v>BC Schanzer Strikers</v>
      </c>
      <c r="E48" s="102">
        <f t="shared" si="8"/>
        <v>842</v>
      </c>
      <c r="F48">
        <f t="shared" si="9"/>
        <v>5</v>
      </c>
      <c r="G48" s="137">
        <f t="shared" si="10"/>
        <v>168.399999936</v>
      </c>
      <c r="L48" s="227">
        <f>INDEX(Starter!A:A,ROW()-1)</f>
        <v>38039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50</v>
      </c>
    </row>
    <row r="49" spans="1:16" x14ac:dyDescent="0.25">
      <c r="A49">
        <f t="shared" si="11"/>
        <v>45</v>
      </c>
      <c r="B49">
        <f t="shared" si="7"/>
        <v>7597</v>
      </c>
      <c r="C49" t="str">
        <f>IFERROR(INDEX(Starter!B:B,MATCH(B49,Starter!A:A,0)),"")</f>
        <v>Laub, Harald</v>
      </c>
      <c r="D49" t="str">
        <f>IFERROR(INDEX(Starter!C:C,MATCH(B49,Starter!A:A,0)),"")</f>
        <v>BK München</v>
      </c>
      <c r="E49" s="102">
        <f t="shared" si="8"/>
        <v>1341</v>
      </c>
      <c r="F49">
        <f t="shared" si="9"/>
        <v>8</v>
      </c>
      <c r="G49" s="137">
        <f t="shared" si="10"/>
        <v>167.62499998499999</v>
      </c>
      <c r="L49" s="227">
        <f>INDEX(Starter!A:A,ROW()-1)</f>
        <v>7738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50</v>
      </c>
    </row>
    <row r="50" spans="1:16" x14ac:dyDescent="0.25">
      <c r="A50">
        <f t="shared" si="11"/>
        <v>46</v>
      </c>
      <c r="B50">
        <f t="shared" si="7"/>
        <v>38361</v>
      </c>
      <c r="C50" t="str">
        <f>IFERROR(INDEX(Starter!B:B,MATCH(B50,Starter!A:A,0)),"")</f>
        <v>Schmied, Markus</v>
      </c>
      <c r="D50" t="str">
        <f>IFERROR(INDEX(Starter!C:C,MATCH(B50,Starter!A:A,0)),"")</f>
        <v>BC Schanzer Strikers</v>
      </c>
      <c r="E50" s="102">
        <f t="shared" si="8"/>
        <v>1507</v>
      </c>
      <c r="F50">
        <f t="shared" si="9"/>
        <v>9</v>
      </c>
      <c r="G50" s="137">
        <f t="shared" si="10"/>
        <v>167.44444443744445</v>
      </c>
      <c r="L50" s="227">
        <f>INDEX(Starter!A:A,ROW()-1)</f>
        <v>16862</v>
      </c>
      <c r="M50">
        <f>SUMIF(Erfassung2!BD:BD,L50,Erfassung2!BW:BW)</f>
        <v>1218</v>
      </c>
      <c r="N50">
        <f>SUMIF(Erfassung2!BD:BD,L50,Erfassung2!BG:BG)</f>
        <v>7</v>
      </c>
      <c r="O50">
        <f t="shared" si="0"/>
        <v>173.99999994999999</v>
      </c>
      <c r="P50">
        <f t="shared" si="1"/>
        <v>39</v>
      </c>
    </row>
    <row r="51" spans="1:16" x14ac:dyDescent="0.25">
      <c r="A51">
        <f t="shared" si="11"/>
        <v>47</v>
      </c>
      <c r="B51">
        <f t="shared" si="7"/>
        <v>16398</v>
      </c>
      <c r="C51" t="str">
        <f>IFERROR(INDEX(Starter!B:B,MATCH(B51,Starter!A:A,0)),"")</f>
        <v>Denz, Günter</v>
      </c>
      <c r="D51" t="str">
        <f>IFERROR(INDEX(Starter!C:C,MATCH(B51,Starter!A:A,0)),"")</f>
        <v>BC EMAX</v>
      </c>
      <c r="E51" s="102">
        <f t="shared" si="8"/>
        <v>1157</v>
      </c>
      <c r="F51">
        <f t="shared" si="9"/>
        <v>7</v>
      </c>
      <c r="G51" s="137">
        <f t="shared" si="10"/>
        <v>165.28571421971427</v>
      </c>
      <c r="L51" s="227">
        <f>INDEX(Starter!A:A,ROW()-1)</f>
        <v>16346</v>
      </c>
      <c r="M51">
        <f>SUMIF(Erfassung2!BD:BD,L51,Erfassung2!BW:BW)</f>
        <v>422</v>
      </c>
      <c r="N51">
        <f>SUMIF(Erfassung2!BD:BD,L51,Erfassung2!BG:BG)</f>
        <v>2</v>
      </c>
      <c r="O51">
        <f t="shared" si="0"/>
        <v>210.999999949</v>
      </c>
      <c r="P51">
        <f t="shared" si="1"/>
        <v>2</v>
      </c>
    </row>
    <row r="52" spans="1:16" x14ac:dyDescent="0.25">
      <c r="A52">
        <f t="shared" si="11"/>
        <v>48</v>
      </c>
      <c r="B52">
        <f t="shared" si="7"/>
        <v>7740</v>
      </c>
      <c r="C52" t="str">
        <f>IFERROR(INDEX(Starter!B:B,MATCH(B52,Starter!A:A,0)),"")</f>
        <v>Mesch, John</v>
      </c>
      <c r="D52" t="str">
        <f>IFERROR(INDEX(Starter!C:C,MATCH(B52,Starter!A:A,0)),"")</f>
        <v>BF Rot-Weiß Lichtenhof 69</v>
      </c>
      <c r="E52" s="102">
        <f t="shared" si="8"/>
        <v>459</v>
      </c>
      <c r="F52">
        <f t="shared" si="9"/>
        <v>3</v>
      </c>
      <c r="G52" s="137">
        <f t="shared" si="10"/>
        <v>152.999999938</v>
      </c>
      <c r="L52" s="227">
        <f>INDEX(Starter!A:A,ROW()-1)</f>
        <v>25024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50</v>
      </c>
    </row>
    <row r="53" spans="1:16" x14ac:dyDescent="0.25">
      <c r="A53">
        <f t="shared" si="11"/>
        <v>49</v>
      </c>
      <c r="B53">
        <f t="shared" si="7"/>
        <v>7600</v>
      </c>
      <c r="C53" t="str">
        <f>IFERROR(INDEX(Starter!B:B,MATCH(B53,Starter!A:A,0)),"")</f>
        <v>Lüthje, Dennis</v>
      </c>
      <c r="D53" t="str">
        <f>IFERROR(INDEX(Starter!C:C,MATCH(B53,Starter!A:A,0)),"")</f>
        <v>BC Bajuwaren 1976 München</v>
      </c>
      <c r="E53" s="102">
        <f t="shared" si="8"/>
        <v>409</v>
      </c>
      <c r="F53">
        <f t="shared" si="9"/>
        <v>3</v>
      </c>
      <c r="G53" s="137">
        <f t="shared" si="10"/>
        <v>136.33333331333336</v>
      </c>
      <c r="L53" s="227">
        <f>INDEX(Starter!A:A,ROW()-1)</f>
        <v>7344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50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SUMIF(Erfassung2!BD:BD,L54,Erfassung2!BW:BW)</f>
        <v>0</v>
      </c>
      <c r="N54">
        <f>SUMIF(Erfassung2!BD:BD,L54,Erfassung2!BG:BG)</f>
        <v>0</v>
      </c>
      <c r="O54">
        <f t="shared" si="0"/>
        <v>0</v>
      </c>
      <c r="P54">
        <f t="shared" si="1"/>
        <v>50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SUMIF(Erfassung2!BD:BD,L55,Erfassung2!BW:BW)</f>
        <v>0</v>
      </c>
      <c r="N55">
        <f>SUMIF(Erfassung2!BD:BD,L55,Erfassung2!BG:BG)</f>
        <v>0</v>
      </c>
      <c r="O55">
        <f t="shared" si="0"/>
        <v>0</v>
      </c>
      <c r="P55">
        <f t="shared" si="1"/>
        <v>50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SUMIF(Erfassung2!BD:BD,L56,Erfassung2!BW:BW)</f>
        <v>1873</v>
      </c>
      <c r="N56">
        <f>SUMIF(Erfassung2!BD:BD,L56,Erfassung2!BG:BG)</f>
        <v>9</v>
      </c>
      <c r="O56">
        <f t="shared" si="0"/>
        <v>208.11111105511111</v>
      </c>
      <c r="P56">
        <f t="shared" si="1"/>
        <v>4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SUMIF(Erfassung2!BD:BD,L57,Erfassung2!BW:BW)</f>
        <v>771</v>
      </c>
      <c r="N57">
        <f>SUMIF(Erfassung2!BD:BD,L57,Erfassung2!BG:BG)</f>
        <v>4</v>
      </c>
      <c r="O57">
        <f t="shared" si="0"/>
        <v>192.74999994300001</v>
      </c>
      <c r="P57">
        <f t="shared" si="1"/>
        <v>20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SUMIF(Erfassung2!BD:BD,L58,Erfassung2!BW:BW)</f>
        <v>1248</v>
      </c>
      <c r="N58">
        <f>SUMIF(Erfassung2!BD:BD,L58,Erfassung2!BG:BG)</f>
        <v>7</v>
      </c>
      <c r="O58">
        <f t="shared" si="0"/>
        <v>178.28571422771427</v>
      </c>
      <c r="P58">
        <f t="shared" si="1"/>
        <v>36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SUMIF(Erfassung2!BD:BD,L59,Erfassung2!BW:BW)</f>
        <v>1193</v>
      </c>
      <c r="N59">
        <f>SUMIF(Erfassung2!BD:BD,L59,Erfassung2!BG:BG)</f>
        <v>7</v>
      </c>
      <c r="O59">
        <f t="shared" si="0"/>
        <v>170.42857136957142</v>
      </c>
      <c r="P59">
        <f t="shared" si="1"/>
        <v>42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SUMIF(Erfassung2!BD:BD,L60,Erfassung2!BW:BW)</f>
        <v>715</v>
      </c>
      <c r="N60">
        <f>SUMIF(Erfassung2!BD:BD,L60,Erfassung2!BG:BG)</f>
        <v>4</v>
      </c>
      <c r="O60">
        <f t="shared" si="0"/>
        <v>178.74999994000001</v>
      </c>
      <c r="P60">
        <f t="shared" si="1"/>
        <v>34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SUMIF(Erfassung2!BD:BD,L61,Erfassung2!BW:BW)</f>
        <v>862</v>
      </c>
      <c r="N61">
        <f>SUMIF(Erfassung2!BD:BD,L61,Erfassung2!BG:BG)</f>
        <v>5</v>
      </c>
      <c r="O61">
        <f t="shared" si="0"/>
        <v>172.399999939</v>
      </c>
      <c r="P61">
        <f t="shared" si="1"/>
        <v>40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SUMIF(Erfassung2!BD:BD,L62,Erfassung2!BW:BW)</f>
        <v>459</v>
      </c>
      <c r="N62">
        <f>SUMIF(Erfassung2!BD:BD,L62,Erfassung2!BG:BG)</f>
        <v>3</v>
      </c>
      <c r="O62">
        <f t="shared" si="0"/>
        <v>152.999999938</v>
      </c>
      <c r="P62">
        <f t="shared" si="1"/>
        <v>48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SUMIF(Erfassung2!BD:BD,L63,Erfassung2!BW:BW)</f>
        <v>777</v>
      </c>
      <c r="N63">
        <f>SUMIF(Erfassung2!BD:BD,L63,Erfassung2!BG:BG)</f>
        <v>4</v>
      </c>
      <c r="O63">
        <f t="shared" si="0"/>
        <v>194.24999993700001</v>
      </c>
      <c r="P63">
        <f t="shared" si="1"/>
        <v>19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SUMIF(Erfassung2!BD:BD,L64,Erfassung2!BW:BW)</f>
        <v>842</v>
      </c>
      <c r="N64">
        <f>SUMIF(Erfassung2!BD:BD,L64,Erfassung2!BG:BG)</f>
        <v>5</v>
      </c>
      <c r="O64">
        <f t="shared" si="0"/>
        <v>168.399999936</v>
      </c>
      <c r="P64">
        <f t="shared" si="1"/>
        <v>44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SUMIF(Erfassung2!BD:BD,L65,Erfassung2!BW:BW)</f>
        <v>1308</v>
      </c>
      <c r="N65">
        <f>SUMIF(Erfassung2!BD:BD,L65,Erfassung2!BG:BG)</f>
        <v>7</v>
      </c>
      <c r="O65">
        <f t="shared" si="0"/>
        <v>186.85714279214287</v>
      </c>
      <c r="P65">
        <f t="shared" si="1"/>
        <v>26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SUMIF(Erfassung2!BD:BD,L66,Erfassung2!BW:BW)</f>
        <v>1157</v>
      </c>
      <c r="N66">
        <f>SUMIF(Erfassung2!BD:BD,L66,Erfassung2!BG:BG)</f>
        <v>7</v>
      </c>
      <c r="O66">
        <f t="shared" ref="O66:O104" si="12">IF(N66=0,0,M66/N66-ROW()/1000000000)</f>
        <v>165.28571421971427</v>
      </c>
      <c r="P66">
        <f t="shared" ref="P66:P104" si="13">RANK(O66,O:O)</f>
        <v>47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SUMIF(Erfassung2!BD:BD,L67,Erfassung2!BW:BW)</f>
        <v>586</v>
      </c>
      <c r="N67">
        <f>SUMIF(Erfassung2!BD:BD,L67,Erfassung2!BG:BG)</f>
        <v>3</v>
      </c>
      <c r="O67">
        <f t="shared" si="12"/>
        <v>195.33333326633334</v>
      </c>
      <c r="P67">
        <f t="shared" si="13"/>
        <v>18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50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SUMIF(Erfassung2!BD:BD,L69,Erfassung2!BW:BW)</f>
        <v>0</v>
      </c>
      <c r="N69">
        <f>SUMIF(Erfassung2!BD:BD,L69,Erfassung2!BG:BG)</f>
        <v>0</v>
      </c>
      <c r="O69">
        <f t="shared" si="12"/>
        <v>0</v>
      </c>
      <c r="P69">
        <f t="shared" si="13"/>
        <v>50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SUMIF(Erfassung2!BD:BD,L70,Erfassung2!BW:BW)</f>
        <v>0</v>
      </c>
      <c r="N70">
        <f>SUMIF(Erfassung2!BD:BD,L70,Erfassung2!BG:BG)</f>
        <v>0</v>
      </c>
      <c r="O70">
        <f t="shared" si="12"/>
        <v>0</v>
      </c>
      <c r="P70">
        <f t="shared" si="13"/>
        <v>50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SUMIF(Erfassung2!BD:BD,L71,Erfassung2!BW:BW)</f>
        <v>0</v>
      </c>
      <c r="N71">
        <f>SUMIF(Erfassung2!BD:BD,L71,Erfassung2!BG:BG)</f>
        <v>0</v>
      </c>
      <c r="O71">
        <f t="shared" si="12"/>
        <v>0</v>
      </c>
      <c r="P71">
        <f t="shared" si="13"/>
        <v>50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SUMIF(Erfassung2!BD:BD,L72,Erfassung2!BW:BW)</f>
        <v>0</v>
      </c>
      <c r="N72">
        <f>SUMIF(Erfassung2!BD:BD,L72,Erfassung2!BG:BG)</f>
        <v>0</v>
      </c>
      <c r="O72">
        <f t="shared" si="12"/>
        <v>0</v>
      </c>
      <c r="P72">
        <f t="shared" si="13"/>
        <v>50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SUMIF(Erfassung2!BD:BD,L73,Erfassung2!BW:BW)</f>
        <v>0</v>
      </c>
      <c r="N73">
        <f>SUMIF(Erfassung2!BD:BD,L73,Erfassung2!BG:BG)</f>
        <v>0</v>
      </c>
      <c r="O73">
        <f t="shared" si="12"/>
        <v>0</v>
      </c>
      <c r="P73">
        <f t="shared" si="13"/>
        <v>50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38018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50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25465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50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50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50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50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50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50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50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50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50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50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50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50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50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50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50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50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50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50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50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50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50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50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50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50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50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50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50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50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50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50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16253</v>
      </c>
      <c r="M2">
        <f>INDEX(Schnitt1!M:M,MATCH(L2,Schnitt1!L:L,0))+INDEX(Schnitt2!M:M,MATCH(L2,Schnitt2!L:L,0))</f>
        <v>3921</v>
      </c>
      <c r="N2">
        <f>INDEX(Schnitt1!N:N,MATCH(L2,Schnitt1!L:L,0))+INDEX(Schnitt2!N:N,MATCH(L2,Schnitt2!L:L,0))</f>
        <v>18</v>
      </c>
      <c r="O2">
        <f t="shared" ref="O2:O11" si="0">IF(N2=0,0,M2/N2-ROW()/1000000000)</f>
        <v>217.83333333133334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INDEX(Schnitt1!M:M,MATCH(L3,Schnitt1!L:L,0))+INDEX(Schnitt2!M:M,MATCH(L3,Schnitt2!L:L,0))</f>
        <v>2745</v>
      </c>
      <c r="N3">
        <f>INDEX(Schnitt1!N:N,MATCH(L3,Schnitt1!L:L,0))+INDEX(Schnitt2!N:N,MATCH(L3,Schnitt2!L:L,0))</f>
        <v>14</v>
      </c>
      <c r="O3">
        <f t="shared" si="0"/>
        <v>196.07142856842859</v>
      </c>
      <c r="P3">
        <f t="shared" si="1"/>
        <v>24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INDEX(Schnitt1!M:M,MATCH(L4,Schnitt1!L:L,0))+INDEX(Schnitt2!M:M,MATCH(L4,Schnitt2!L:L,0))</f>
        <v>3678</v>
      </c>
      <c r="N4">
        <f>INDEX(Schnitt1!N:N,MATCH(L4,Schnitt1!L:L,0))+INDEX(Schnitt2!N:N,MATCH(L4,Schnitt2!L:L,0))</f>
        <v>18</v>
      </c>
      <c r="O4">
        <f t="shared" si="0"/>
        <v>204.33333332933336</v>
      </c>
      <c r="P4">
        <f t="shared" si="1"/>
        <v>12</v>
      </c>
    </row>
    <row r="5" spans="1:16" x14ac:dyDescent="0.25">
      <c r="A5">
        <v>1</v>
      </c>
      <c r="B5">
        <f t="shared" ref="B5:B36" si="2">IFERROR(INDEX(L:L,MATCH(A5,P:P,0)),"")</f>
        <v>7885</v>
      </c>
      <c r="C5" t="str">
        <f>IFERROR(INDEX(Starter!B:B,MATCH(B5,Starter!A:A,0)),"")</f>
        <v>Hinterwimmer, Sebastian</v>
      </c>
      <c r="D5" t="str">
        <f>IFERROR(INDEX(Starter!C:C,MATCH(B5,Starter!A:A,0)),"")</f>
        <v>BK München</v>
      </c>
      <c r="E5" s="102">
        <f t="shared" ref="E5:E36" si="3">IFERROR(INDEX(M:M,MATCH(A5,P:P,0)),"")</f>
        <v>2057</v>
      </c>
      <c r="F5">
        <f t="shared" ref="F5:F36" si="4">IFERROR(INDEX(N:N,MATCH(A5,P:P,0)),"")</f>
        <v>9</v>
      </c>
      <c r="G5" s="137">
        <f t="shared" ref="G5:G36" si="5">IFERROR(INDEX(O:O,MATCH(A5,P:P,0)),"")</f>
        <v>228.55555553855555</v>
      </c>
      <c r="L5" s="227">
        <f>INDEX(Starter!A:A,ROW()-1)</f>
        <v>16301</v>
      </c>
      <c r="M5">
        <f>INDEX(Schnitt1!M:M,MATCH(L5,Schnitt1!L:L,0))+INDEX(Schnitt2!M:M,MATCH(L5,Schnitt2!L:L,0))</f>
        <v>3212</v>
      </c>
      <c r="N5">
        <f>INDEX(Schnitt1!N:N,MATCH(L5,Schnitt1!L:L,0))+INDEX(Schnitt2!N:N,MATCH(L5,Schnitt2!L:L,0))</f>
        <v>16</v>
      </c>
      <c r="O5">
        <f t="shared" si="0"/>
        <v>200.749999995</v>
      </c>
      <c r="P5">
        <f t="shared" si="1"/>
        <v>17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3921</v>
      </c>
      <c r="F6">
        <f t="shared" si="4"/>
        <v>18</v>
      </c>
      <c r="G6" s="137">
        <f t="shared" si="5"/>
        <v>217.83333333133334</v>
      </c>
      <c r="L6" s="227">
        <f>INDEX(Starter!A:A,ROW()-1)</f>
        <v>38411</v>
      </c>
      <c r="M6">
        <f>INDEX(Schnitt1!M:M,MATCH(L6,Schnitt1!L:L,0))+INDEX(Schnitt2!M:M,MATCH(L6,Schnitt2!L:L,0))</f>
        <v>1550</v>
      </c>
      <c r="N6">
        <f>INDEX(Schnitt1!N:N,MATCH(L6,Schnitt1!L:L,0))+INDEX(Schnitt2!N:N,MATCH(L6,Schnitt2!L:L,0))</f>
        <v>9</v>
      </c>
      <c r="O6">
        <f t="shared" si="0"/>
        <v>172.22222221622224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3031</v>
      </c>
      <c r="F7">
        <f t="shared" si="4"/>
        <v>14</v>
      </c>
      <c r="G7" s="137">
        <f t="shared" si="5"/>
        <v>216.49999995300001</v>
      </c>
      <c r="L7" s="227">
        <f>INDEX(Starter!A:A,ROW()-1)</f>
        <v>38361</v>
      </c>
      <c r="M7">
        <f>INDEX(Schnitt1!M:M,MATCH(L7,Schnitt1!L:L,0))+INDEX(Schnitt2!M:M,MATCH(L7,Schnitt2!L:L,0))</f>
        <v>3058</v>
      </c>
      <c r="N7">
        <f>INDEX(Schnitt1!N:N,MATCH(L7,Schnitt1!L:L,0))+INDEX(Schnitt2!N:N,MATCH(L7,Schnitt2!L:L,0))</f>
        <v>18</v>
      </c>
      <c r="O7">
        <f t="shared" si="0"/>
        <v>169.88888888188887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38041</v>
      </c>
      <c r="C8" t="str">
        <f>IFERROR(INDEX(Starter!B:B,MATCH(B8,Starter!A:A,0)),"")</f>
        <v>Röhlig, Jörg</v>
      </c>
      <c r="D8" t="str">
        <f>IFERROR(INDEX(Starter!C:C,MATCH(B8,Starter!A:A,0)),"")</f>
        <v>BC Bamberger Bowlinghaus</v>
      </c>
      <c r="E8" s="102">
        <f t="shared" si="3"/>
        <v>1285</v>
      </c>
      <c r="F8">
        <f t="shared" si="4"/>
        <v>6</v>
      </c>
      <c r="G8" s="137">
        <f t="shared" si="5"/>
        <v>214.16666662866666</v>
      </c>
      <c r="L8" s="227">
        <f>INDEX(Starter!A:A,ROW()-1)</f>
        <v>38550</v>
      </c>
      <c r="M8">
        <f>INDEX(Schnitt1!M:M,MATCH(L8,Schnitt1!L:L,0))+INDEX(Schnitt2!M:M,MATCH(L8,Schnitt2!L:L,0))</f>
        <v>0</v>
      </c>
      <c r="N8">
        <f>INDEX(Schnitt1!N:N,MATCH(L8,Schnitt1!L:L,0))+INDEX(Schnitt2!N:N,MATCH(L8,Schnitt2!L:L,0))</f>
        <v>0</v>
      </c>
      <c r="O8">
        <f t="shared" si="0"/>
        <v>0</v>
      </c>
      <c r="P8">
        <f t="shared" si="1"/>
        <v>60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3805</v>
      </c>
      <c r="F9">
        <f t="shared" si="4"/>
        <v>18</v>
      </c>
      <c r="G9" s="137">
        <f t="shared" si="5"/>
        <v>211.38888886788888</v>
      </c>
      <c r="L9" s="227">
        <f>INDEX(Starter!A:A,ROW()-1)</f>
        <v>7348</v>
      </c>
      <c r="M9">
        <f>INDEX(Schnitt1!M:M,MATCH(L9,Schnitt1!L:L,0))+INDEX(Schnitt2!M:M,MATCH(L9,Schnitt2!L:L,0))</f>
        <v>3463</v>
      </c>
      <c r="N9">
        <f>INDEX(Schnitt1!N:N,MATCH(L9,Schnitt1!L:L,0))+INDEX(Schnitt2!N:N,MATCH(L9,Schnitt2!L:L,0))</f>
        <v>18</v>
      </c>
      <c r="O9">
        <f t="shared" si="0"/>
        <v>192.3888888798889</v>
      </c>
      <c r="P9">
        <f t="shared" si="1"/>
        <v>30</v>
      </c>
    </row>
    <row r="10" spans="1:16" x14ac:dyDescent="0.25">
      <c r="A10">
        <f t="shared" si="6"/>
        <v>6</v>
      </c>
      <c r="B10">
        <f t="shared" si="2"/>
        <v>16346</v>
      </c>
      <c r="C10" t="str">
        <f>IFERROR(INDEX(Starter!B:B,MATCH(B10,Starter!A:A,0)),"")</f>
        <v>Schön, Horst</v>
      </c>
      <c r="D10" t="str">
        <f>IFERROR(INDEX(Starter!C:C,MATCH(B10,Starter!A:A,0)),"")</f>
        <v>SG Rottendorf</v>
      </c>
      <c r="E10" s="102">
        <f t="shared" si="3"/>
        <v>422</v>
      </c>
      <c r="F10">
        <f t="shared" si="4"/>
        <v>2</v>
      </c>
      <c r="G10" s="137">
        <f t="shared" si="5"/>
        <v>210.999999949</v>
      </c>
      <c r="L10" s="227">
        <f>INDEX(Starter!A:A,ROW()-1)</f>
        <v>16852</v>
      </c>
      <c r="M10">
        <f>INDEX(Schnitt1!M:M,MATCH(L10,Schnitt1!L:L,0))+INDEX(Schnitt2!M:M,MATCH(L10,Schnitt2!L:L,0))</f>
        <v>3220</v>
      </c>
      <c r="N10">
        <f>INDEX(Schnitt1!N:N,MATCH(L10,Schnitt1!L:L,0))+INDEX(Schnitt2!N:N,MATCH(L10,Schnitt2!L:L,0))</f>
        <v>17</v>
      </c>
      <c r="O10">
        <f t="shared" si="0"/>
        <v>189.41176469588234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3789</v>
      </c>
      <c r="F11">
        <f t="shared" si="4"/>
        <v>18</v>
      </c>
      <c r="G11" s="137">
        <f t="shared" si="5"/>
        <v>210.49999998199999</v>
      </c>
      <c r="L11" s="227">
        <f>INDEX(Starter!A:A,ROW()-1)</f>
        <v>16352</v>
      </c>
      <c r="M11">
        <f>INDEX(Schnitt1!M:M,MATCH(L11,Schnitt1!L:L,0))+INDEX(Schnitt2!M:M,MATCH(L11,Schnitt2!L:L,0))</f>
        <v>0</v>
      </c>
      <c r="N11">
        <f>INDEX(Schnitt1!N:N,MATCH(L11,Schnitt1!L:L,0))+INDEX(Schnitt2!N:N,MATCH(L11,Schnitt2!L:L,0))</f>
        <v>0</v>
      </c>
      <c r="O11">
        <f t="shared" si="0"/>
        <v>0</v>
      </c>
      <c r="P11">
        <f t="shared" si="1"/>
        <v>60</v>
      </c>
    </row>
    <row r="12" spans="1:16" x14ac:dyDescent="0.25">
      <c r="A12">
        <f t="shared" si="6"/>
        <v>8</v>
      </c>
      <c r="B12">
        <f t="shared" si="2"/>
        <v>7099</v>
      </c>
      <c r="C12" t="str">
        <f>IFERROR(INDEX(Starter!B:B,MATCH(B12,Starter!A:A,0)),"")</f>
        <v>Holzinger, Sebastian</v>
      </c>
      <c r="D12" t="str">
        <f>IFERROR(INDEX(Starter!C:C,MATCH(B12,Starter!A:A,0)),"")</f>
        <v>BC Bamberger Bowlinghaus</v>
      </c>
      <c r="E12" s="102">
        <f t="shared" si="3"/>
        <v>2919</v>
      </c>
      <c r="F12">
        <f t="shared" si="4"/>
        <v>14</v>
      </c>
      <c r="G12" s="137">
        <f t="shared" si="5"/>
        <v>208.49999996299999</v>
      </c>
      <c r="L12" s="227">
        <f>INDEX(Starter!A:A,ROW()-1)</f>
        <v>16495</v>
      </c>
      <c r="M12">
        <f>INDEX(Schnitt1!M:M,MATCH(L12,Schnitt1!L:L,0))+INDEX(Schnitt2!M:M,MATCH(L12,Schnitt2!L:L,0))</f>
        <v>3362</v>
      </c>
      <c r="N12">
        <f>INDEX(Schnitt1!N:N,MATCH(L12,Schnitt1!L:L,0))+INDEX(Schnitt2!N:N,MATCH(L12,Schnitt2!L:L,0))</f>
        <v>18</v>
      </c>
      <c r="O12">
        <f t="shared" ref="O12:O75" si="7">IF(N12=0,0,M12/N12-ROW()/1000000000)</f>
        <v>186.77777776577778</v>
      </c>
      <c r="P12">
        <f t="shared" si="1"/>
        <v>36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3721</v>
      </c>
      <c r="F13">
        <f t="shared" si="4"/>
        <v>18</v>
      </c>
      <c r="G13" s="137">
        <f t="shared" si="5"/>
        <v>206.72222216622222</v>
      </c>
      <c r="L13" s="227">
        <f>INDEX(Starter!A:A,ROW()-1)</f>
        <v>16945</v>
      </c>
      <c r="M13">
        <f>INDEX(Schnitt1!M:M,MATCH(L13,Schnitt1!L:L,0))+INDEX(Schnitt2!M:M,MATCH(L13,Schnitt2!L:L,0))</f>
        <v>3606</v>
      </c>
      <c r="N13">
        <f>INDEX(Schnitt1!N:N,MATCH(L13,Schnitt1!L:L,0))+INDEX(Schnitt2!N:N,MATCH(L13,Schnitt2!L:L,0))</f>
        <v>18</v>
      </c>
      <c r="O13">
        <f t="shared" si="7"/>
        <v>200.33333332033334</v>
      </c>
      <c r="P13">
        <f t="shared" si="1"/>
        <v>20</v>
      </c>
    </row>
    <row r="14" spans="1:16" x14ac:dyDescent="0.25">
      <c r="A14">
        <f t="shared" si="6"/>
        <v>10</v>
      </c>
      <c r="B14">
        <f t="shared" si="2"/>
        <v>7593</v>
      </c>
      <c r="C14" t="str">
        <f>IFERROR(INDEX(Starter!B:B,MATCH(B14,Starter!A:A,0)),"")</f>
        <v>Börding, Peter</v>
      </c>
      <c r="D14" t="str">
        <f>IFERROR(INDEX(Starter!C:C,MATCH(B14,Starter!A:A,0)),"")</f>
        <v>BK München</v>
      </c>
      <c r="E14" s="102">
        <f t="shared" si="3"/>
        <v>3697</v>
      </c>
      <c r="F14">
        <f t="shared" si="4"/>
        <v>18</v>
      </c>
      <c r="G14" s="137">
        <f t="shared" si="5"/>
        <v>205.38888884288889</v>
      </c>
      <c r="L14" s="227">
        <f>INDEX(Starter!A:A,ROW()-1)</f>
        <v>7867</v>
      </c>
      <c r="M14">
        <f>INDEX(Schnitt1!M:M,MATCH(L14,Schnitt1!L:L,0))+INDEX(Schnitt2!M:M,MATCH(L14,Schnitt2!L:L,0))</f>
        <v>0</v>
      </c>
      <c r="N14">
        <f>INDEX(Schnitt1!N:N,MATCH(L14,Schnitt1!L:L,0))+INDEX(Schnitt2!N:N,MATCH(L14,Schnitt2!L:L,0))</f>
        <v>0</v>
      </c>
      <c r="O14">
        <f t="shared" si="7"/>
        <v>0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25325</v>
      </c>
      <c r="C15" t="str">
        <f>IFERROR(INDEX(Starter!B:B,MATCH(B15,Starter!A:A,0)),"")</f>
        <v>Wegenast, Robert</v>
      </c>
      <c r="D15" t="str">
        <f>IFERROR(INDEX(Starter!C:C,MATCH(B15,Starter!A:A,0)),"")</f>
        <v>BC EMAX</v>
      </c>
      <c r="E15" s="102">
        <f t="shared" si="3"/>
        <v>1848</v>
      </c>
      <c r="F15">
        <f t="shared" si="4"/>
        <v>9</v>
      </c>
      <c r="G15" s="137">
        <f t="shared" si="5"/>
        <v>205.33333327833336</v>
      </c>
      <c r="L15" s="227">
        <f>INDEX(Starter!A:A,ROW()-1)</f>
        <v>7597</v>
      </c>
      <c r="M15">
        <f>INDEX(Schnitt1!M:M,MATCH(L15,Schnitt1!L:L,0))+INDEX(Schnitt2!M:M,MATCH(L15,Schnitt2!L:L,0))</f>
        <v>2052</v>
      </c>
      <c r="N15">
        <f>INDEX(Schnitt1!N:N,MATCH(L15,Schnitt1!L:L,0))+INDEX(Schnitt2!N:N,MATCH(L15,Schnitt2!L:L,0))</f>
        <v>12</v>
      </c>
      <c r="O15">
        <f t="shared" si="7"/>
        <v>170.99999998499999</v>
      </c>
      <c r="P15">
        <f t="shared" si="1"/>
        <v>52</v>
      </c>
    </row>
    <row r="16" spans="1:16" x14ac:dyDescent="0.25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3678</v>
      </c>
      <c r="F16">
        <f t="shared" si="4"/>
        <v>18</v>
      </c>
      <c r="G16" s="137">
        <f t="shared" si="5"/>
        <v>204.33333332933336</v>
      </c>
      <c r="L16" s="227">
        <f>INDEX(Starter!A:A,ROW()-1)</f>
        <v>16912</v>
      </c>
      <c r="M16">
        <f>INDEX(Schnitt1!M:M,MATCH(L16,Schnitt1!L:L,0))+INDEX(Schnitt2!M:M,MATCH(L16,Schnitt2!L:L,0))</f>
        <v>2837</v>
      </c>
      <c r="N16">
        <f>INDEX(Schnitt1!N:N,MATCH(L16,Schnitt1!L:L,0))+INDEX(Schnitt2!N:N,MATCH(L16,Schnitt2!L:L,0))</f>
        <v>14</v>
      </c>
      <c r="O16">
        <f t="shared" si="7"/>
        <v>202.64285712685714</v>
      </c>
      <c r="P16">
        <f t="shared" si="1"/>
        <v>15</v>
      </c>
    </row>
    <row r="17" spans="1:16" x14ac:dyDescent="0.25">
      <c r="A17">
        <f t="shared" si="6"/>
        <v>13</v>
      </c>
      <c r="B17">
        <f t="shared" si="2"/>
        <v>7937</v>
      </c>
      <c r="C17" t="str">
        <f>IFERROR(INDEX(Starter!B:B,MATCH(B17,Starter!A:A,0)),"")</f>
        <v>Birkner, Jochen</v>
      </c>
      <c r="D17" t="str">
        <f>IFERROR(INDEX(Starter!C:C,MATCH(B17,Starter!A:A,0)),"")</f>
        <v>BF Rot-Weiß Lichtenhof 69</v>
      </c>
      <c r="E17" s="102">
        <f t="shared" si="3"/>
        <v>3662</v>
      </c>
      <c r="F17">
        <f t="shared" si="4"/>
        <v>18</v>
      </c>
      <c r="G17" s="137">
        <f t="shared" si="5"/>
        <v>203.44444440344446</v>
      </c>
      <c r="L17" s="227">
        <f>INDEX(Starter!A:A,ROW()-1)</f>
        <v>7885</v>
      </c>
      <c r="M17">
        <f>INDEX(Schnitt1!M:M,MATCH(L17,Schnitt1!L:L,0))+INDEX(Schnitt2!M:M,MATCH(L17,Schnitt2!L:L,0))</f>
        <v>2057</v>
      </c>
      <c r="N17">
        <f>INDEX(Schnitt1!N:N,MATCH(L17,Schnitt1!L:L,0))+INDEX(Schnitt2!N:N,MATCH(L17,Schnitt2!L:L,0))</f>
        <v>9</v>
      </c>
      <c r="O17">
        <f t="shared" si="7"/>
        <v>228.55555553855555</v>
      </c>
      <c r="P17">
        <f t="shared" si="1"/>
        <v>1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3657</v>
      </c>
      <c r="F18">
        <f t="shared" si="4"/>
        <v>18</v>
      </c>
      <c r="G18" s="137">
        <f t="shared" si="5"/>
        <v>203.16666663766665</v>
      </c>
      <c r="L18" s="227">
        <f>INDEX(Starter!A:A,ROW()-1)</f>
        <v>7408</v>
      </c>
      <c r="M18">
        <f>INDEX(Schnitt1!M:M,MATCH(L18,Schnitt1!L:L,0))+INDEX(Schnitt2!M:M,MATCH(L18,Schnitt2!L:L,0))</f>
        <v>3789</v>
      </c>
      <c r="N18">
        <f>INDEX(Schnitt1!N:N,MATCH(L18,Schnitt1!L:L,0))+INDEX(Schnitt2!N:N,MATCH(L18,Schnitt2!L:L,0))</f>
        <v>18</v>
      </c>
      <c r="O18">
        <f t="shared" si="7"/>
        <v>210.49999998199999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2837</v>
      </c>
      <c r="F19">
        <f t="shared" si="4"/>
        <v>14</v>
      </c>
      <c r="G19" s="137">
        <f t="shared" si="5"/>
        <v>202.64285712685714</v>
      </c>
      <c r="L19" s="227">
        <f>INDEX(Starter!A:A,ROW()-1)</f>
        <v>16762</v>
      </c>
      <c r="M19">
        <f>INDEX(Schnitt1!M:M,MATCH(L19,Schnitt1!L:L,0))+INDEX(Schnitt2!M:M,MATCH(L19,Schnitt2!L:L,0))</f>
        <v>2389</v>
      </c>
      <c r="N19">
        <f>INDEX(Schnitt1!N:N,MATCH(L19,Schnitt1!L:L,0))+INDEX(Schnitt2!N:N,MATCH(L19,Schnitt2!L:L,0))</f>
        <v>13</v>
      </c>
      <c r="O19">
        <f t="shared" si="7"/>
        <v>183.76923075023078</v>
      </c>
      <c r="P19">
        <f t="shared" si="1"/>
        <v>39</v>
      </c>
    </row>
    <row r="20" spans="1:16" x14ac:dyDescent="0.25">
      <c r="A20">
        <f t="shared" si="6"/>
        <v>16</v>
      </c>
      <c r="B20">
        <f t="shared" si="2"/>
        <v>7102</v>
      </c>
      <c r="C20" t="str">
        <f>IFERROR(INDEX(Starter!B:B,MATCH(B20,Starter!A:A,0)),"")</f>
        <v>Schick, Andreas</v>
      </c>
      <c r="D20" t="str">
        <f>IFERROR(INDEX(Starter!C:C,MATCH(B20,Starter!A:A,0)),"")</f>
        <v>Comet</v>
      </c>
      <c r="E20" s="102">
        <f t="shared" si="3"/>
        <v>1823</v>
      </c>
      <c r="F20">
        <f t="shared" si="4"/>
        <v>9</v>
      </c>
      <c r="G20" s="137">
        <f t="shared" si="5"/>
        <v>202.55555552455553</v>
      </c>
      <c r="L20" s="227">
        <f>INDEX(Starter!A:A,ROW()-1)</f>
        <v>7600</v>
      </c>
      <c r="M20">
        <f>INDEX(Schnitt1!M:M,MATCH(L20,Schnitt1!L:L,0))+INDEX(Schnitt2!M:M,MATCH(L20,Schnitt2!L:L,0))</f>
        <v>2169</v>
      </c>
      <c r="N20">
        <f>INDEX(Schnitt1!N:N,MATCH(L20,Schnitt1!L:L,0))+INDEX(Schnitt2!N:N,MATCH(L20,Schnitt2!L:L,0))</f>
        <v>12</v>
      </c>
      <c r="O20">
        <f t="shared" si="7"/>
        <v>180.74999998000001</v>
      </c>
      <c r="P20">
        <f t="shared" si="1"/>
        <v>40</v>
      </c>
    </row>
    <row r="21" spans="1:16" x14ac:dyDescent="0.25">
      <c r="A21">
        <f t="shared" si="6"/>
        <v>17</v>
      </c>
      <c r="B21">
        <f t="shared" si="2"/>
        <v>16301</v>
      </c>
      <c r="C21" t="str">
        <f>IFERROR(INDEX(Starter!B:B,MATCH(B21,Starter!A:A,0)),"")</f>
        <v>Werder, Jan-Uwe</v>
      </c>
      <c r="D21" t="str">
        <f>IFERROR(INDEX(Starter!C:C,MATCH(B21,Starter!A:A,0)),"")</f>
        <v>DJK Rimpar</v>
      </c>
      <c r="E21" s="102">
        <f t="shared" si="3"/>
        <v>3212</v>
      </c>
      <c r="F21">
        <f t="shared" si="4"/>
        <v>16</v>
      </c>
      <c r="G21" s="137">
        <f t="shared" si="5"/>
        <v>200.749999995</v>
      </c>
      <c r="L21" s="227">
        <f>INDEX(Starter!A:A,ROW()-1)</f>
        <v>7416</v>
      </c>
      <c r="M21">
        <f>INDEX(Schnitt1!M:M,MATCH(L21,Schnitt1!L:L,0))+INDEX(Schnitt2!M:M,MATCH(L21,Schnitt2!L:L,0))</f>
        <v>3805</v>
      </c>
      <c r="N21">
        <f>INDEX(Schnitt1!N:N,MATCH(L21,Schnitt1!L:L,0))+INDEX(Schnitt2!N:N,MATCH(L21,Schnitt2!L:L,0))</f>
        <v>18</v>
      </c>
      <c r="O21">
        <f t="shared" si="7"/>
        <v>211.38888886788888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16243</v>
      </c>
      <c r="C22" t="str">
        <f>IFERROR(INDEX(Starter!B:B,MATCH(B22,Starter!A:A,0)),"")</f>
        <v>Glatzer, Daniel</v>
      </c>
      <c r="D22" t="str">
        <f>IFERROR(INDEX(Starter!C:C,MATCH(B22,Starter!A:A,0)),"")</f>
        <v>Comet</v>
      </c>
      <c r="E22" s="102">
        <f t="shared" si="3"/>
        <v>1805</v>
      </c>
      <c r="F22">
        <f t="shared" si="4"/>
        <v>9</v>
      </c>
      <c r="G22" s="137">
        <f t="shared" si="5"/>
        <v>200.55555552955553</v>
      </c>
      <c r="L22" s="227">
        <f>INDEX(Starter!A:A,ROW()-1)</f>
        <v>7425</v>
      </c>
      <c r="M22">
        <f>INDEX(Schnitt1!M:M,MATCH(L22,Schnitt1!L:L,0))+INDEX(Schnitt2!M:M,MATCH(L22,Schnitt2!L:L,0))</f>
        <v>300</v>
      </c>
      <c r="N22">
        <f>INDEX(Schnitt1!N:N,MATCH(L22,Schnitt1!L:L,0))+INDEX(Schnitt2!N:N,MATCH(L22,Schnitt2!L:L,0))</f>
        <v>2</v>
      </c>
      <c r="O22">
        <f t="shared" si="7"/>
        <v>149.99999997800001</v>
      </c>
      <c r="P22">
        <f t="shared" si="1"/>
        <v>59</v>
      </c>
    </row>
    <row r="23" spans="1:16" x14ac:dyDescent="0.25">
      <c r="A23">
        <f t="shared" si="6"/>
        <v>19</v>
      </c>
      <c r="B23">
        <f t="shared" si="2"/>
        <v>16888</v>
      </c>
      <c r="C23" t="str">
        <f>IFERROR(INDEX(Starter!B:B,MATCH(B23,Starter!A:A,0)),"")</f>
        <v>Auer, Thomas</v>
      </c>
      <c r="D23" t="str">
        <f>IFERROR(INDEX(Starter!C:C,MATCH(B23,Starter!A:A,0)),"")</f>
        <v>BSC Highroller Rosenheim</v>
      </c>
      <c r="E23" s="102">
        <f t="shared" si="3"/>
        <v>3409</v>
      </c>
      <c r="F23">
        <f t="shared" si="4"/>
        <v>17</v>
      </c>
      <c r="G23" s="137">
        <f t="shared" si="5"/>
        <v>200.52941174070588</v>
      </c>
      <c r="L23" s="227">
        <f>INDEX(Starter!A:A,ROW()-1)</f>
        <v>25297</v>
      </c>
      <c r="M23">
        <f>INDEX(Schnitt1!M:M,MATCH(L23,Schnitt1!L:L,0))+INDEX(Schnitt2!M:M,MATCH(L23,Schnitt2!L:L,0))</f>
        <v>2095</v>
      </c>
      <c r="N23">
        <f>INDEX(Schnitt1!N:N,MATCH(L23,Schnitt1!L:L,0))+INDEX(Schnitt2!N:N,MATCH(L23,Schnitt2!L:L,0))</f>
        <v>12</v>
      </c>
      <c r="O23">
        <f t="shared" si="7"/>
        <v>174.58333331033333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16945</v>
      </c>
      <c r="C24" t="str">
        <f>IFERROR(INDEX(Starter!B:B,MATCH(B24,Starter!A:A,0)),"")</f>
        <v>Reichardt, Stefan</v>
      </c>
      <c r="D24" t="str">
        <f>IFERROR(INDEX(Starter!C:C,MATCH(B24,Starter!A:A,0)),"")</f>
        <v>SG Rottendorf</v>
      </c>
      <c r="E24" s="102">
        <f t="shared" si="3"/>
        <v>3606</v>
      </c>
      <c r="F24">
        <f t="shared" si="4"/>
        <v>18</v>
      </c>
      <c r="G24" s="137">
        <f t="shared" si="5"/>
        <v>200.33333332033334</v>
      </c>
      <c r="L24" s="227">
        <f>INDEX(Starter!A:A,ROW()-1)</f>
        <v>16888</v>
      </c>
      <c r="M24">
        <f>INDEX(Schnitt1!M:M,MATCH(L24,Schnitt1!L:L,0))+INDEX(Schnitt2!M:M,MATCH(L24,Schnitt2!L:L,0))</f>
        <v>3409</v>
      </c>
      <c r="N24">
        <f>INDEX(Schnitt1!N:N,MATCH(L24,Schnitt1!L:L,0))+INDEX(Schnitt2!N:N,MATCH(L24,Schnitt2!L:L,0))</f>
        <v>17</v>
      </c>
      <c r="O24">
        <f t="shared" si="7"/>
        <v>200.52941174070588</v>
      </c>
      <c r="P24">
        <f t="shared" si="1"/>
        <v>19</v>
      </c>
    </row>
    <row r="25" spans="1:16" x14ac:dyDescent="0.25">
      <c r="A25">
        <f t="shared" si="6"/>
        <v>21</v>
      </c>
      <c r="B25">
        <f t="shared" si="2"/>
        <v>16896</v>
      </c>
      <c r="C25" t="str">
        <f>IFERROR(INDEX(Starter!B:B,MATCH(B25,Starter!A:A,0)),"")</f>
        <v>Mittelmaier, Andreas</v>
      </c>
      <c r="D25" t="str">
        <f>IFERROR(INDEX(Starter!C:C,MATCH(B25,Starter!A:A,0)),"")</f>
        <v>Comet</v>
      </c>
      <c r="E25" s="102">
        <f t="shared" si="3"/>
        <v>3596</v>
      </c>
      <c r="F25">
        <f t="shared" si="4"/>
        <v>18</v>
      </c>
      <c r="G25" s="137">
        <f t="shared" si="5"/>
        <v>199.77777774777778</v>
      </c>
      <c r="L25" s="227">
        <f>INDEX(Starter!A:A,ROW()-1)</f>
        <v>38092</v>
      </c>
      <c r="M25">
        <f>INDEX(Schnitt1!M:M,MATCH(L25,Schnitt1!L:L,0))+INDEX(Schnitt2!M:M,MATCH(L25,Schnitt2!L:L,0))</f>
        <v>3044</v>
      </c>
      <c r="N25">
        <f>INDEX(Schnitt1!N:N,MATCH(L25,Schnitt1!L:L,0))+INDEX(Schnitt2!N:N,MATCH(L25,Schnitt2!L:L,0))</f>
        <v>16</v>
      </c>
      <c r="O25">
        <f t="shared" si="7"/>
        <v>190.24999997500001</v>
      </c>
      <c r="P25">
        <f t="shared" si="1"/>
        <v>31</v>
      </c>
    </row>
    <row r="26" spans="1:16" x14ac:dyDescent="0.25">
      <c r="A26">
        <f t="shared" si="6"/>
        <v>22</v>
      </c>
      <c r="B26">
        <f t="shared" si="2"/>
        <v>7602</v>
      </c>
      <c r="C26" t="str">
        <f>IFERROR(INDEX(Starter!B:B,MATCH(B26,Starter!A:A,0)),"")</f>
        <v>Probst, Marco</v>
      </c>
      <c r="D26" t="str">
        <f>IFERROR(INDEX(Starter!C:C,MATCH(B26,Starter!A:A,0)),"")</f>
        <v>BC EMAX</v>
      </c>
      <c r="E26" s="102">
        <f t="shared" si="3"/>
        <v>1774</v>
      </c>
      <c r="F26">
        <f t="shared" si="4"/>
        <v>9</v>
      </c>
      <c r="G26" s="137">
        <f t="shared" si="5"/>
        <v>197.11111105711112</v>
      </c>
      <c r="L26" s="227">
        <f>INDEX(Starter!A:A,ROW()-1)</f>
        <v>16243</v>
      </c>
      <c r="M26">
        <f>INDEX(Schnitt1!M:M,MATCH(L26,Schnitt1!L:L,0))+INDEX(Schnitt2!M:M,MATCH(L26,Schnitt2!L:L,0))</f>
        <v>1805</v>
      </c>
      <c r="N26">
        <f>INDEX(Schnitt1!N:N,MATCH(L26,Schnitt1!L:L,0))+INDEX(Schnitt2!N:N,MATCH(L26,Schnitt2!L:L,0))</f>
        <v>9</v>
      </c>
      <c r="O26">
        <f t="shared" si="7"/>
        <v>200.55555552955553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3543</v>
      </c>
      <c r="F27">
        <f t="shared" si="4"/>
        <v>18</v>
      </c>
      <c r="G27" s="137">
        <f t="shared" si="5"/>
        <v>196.83333330633334</v>
      </c>
      <c r="L27" s="227">
        <f>INDEX(Starter!A:A,ROW()-1)</f>
        <v>7725</v>
      </c>
      <c r="M27">
        <f>INDEX(Schnitt1!M:M,MATCH(L27,Schnitt1!L:L,0))+INDEX(Schnitt2!M:M,MATCH(L27,Schnitt2!L:L,0))</f>
        <v>3543</v>
      </c>
      <c r="N27">
        <f>INDEX(Schnitt1!N:N,MATCH(L27,Schnitt1!L:L,0))+INDEX(Schnitt2!N:N,MATCH(L27,Schnitt2!L:L,0))</f>
        <v>18</v>
      </c>
      <c r="O27">
        <f t="shared" si="7"/>
        <v>196.83333330633334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38687</v>
      </c>
      <c r="C28" t="str">
        <f>IFERROR(INDEX(Starter!B:B,MATCH(B28,Starter!A:A,0)),"")</f>
        <v>Gräfe, Sebastian</v>
      </c>
      <c r="D28" t="str">
        <f>IFERROR(INDEX(Starter!C:C,MATCH(B28,Starter!A:A,0)),"")</f>
        <v>DJK Rimpar</v>
      </c>
      <c r="E28" s="102">
        <f t="shared" si="3"/>
        <v>2745</v>
      </c>
      <c r="F28">
        <f t="shared" si="4"/>
        <v>14</v>
      </c>
      <c r="G28" s="137">
        <f t="shared" si="5"/>
        <v>196.07142856842859</v>
      </c>
      <c r="L28" s="227">
        <f>INDEX(Starter!A:A,ROW()-1)</f>
        <v>7734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60</v>
      </c>
    </row>
    <row r="29" spans="1:16" x14ac:dyDescent="0.25">
      <c r="A29">
        <f t="shared" si="6"/>
        <v>25</v>
      </c>
      <c r="B29">
        <f t="shared" si="2"/>
        <v>16532</v>
      </c>
      <c r="C29" t="str">
        <f>IFERROR(INDEX(Starter!B:B,MATCH(B29,Starter!A:A,0)),"")</f>
        <v>Karl, William</v>
      </c>
      <c r="D29" t="str">
        <f>IFERROR(INDEX(Starter!C:C,MATCH(B29,Starter!A:A,0)),"")</f>
        <v>BC Bamberger Bowlinghaus</v>
      </c>
      <c r="E29" s="102">
        <f t="shared" si="3"/>
        <v>2155</v>
      </c>
      <c r="F29">
        <f t="shared" si="4"/>
        <v>11</v>
      </c>
      <c r="G29" s="137">
        <f t="shared" si="5"/>
        <v>195.90909085209091</v>
      </c>
      <c r="L29" s="227">
        <f>INDEX(Starter!A:A,ROW()-1)</f>
        <v>7724</v>
      </c>
      <c r="M29">
        <f>INDEX(Schnitt1!M:M,MATCH(L29,Schnitt1!L:L,0))+INDEX(Schnitt2!M:M,MATCH(L29,Schnitt2!L:L,0))</f>
        <v>3657</v>
      </c>
      <c r="N29">
        <f>INDEX(Schnitt1!N:N,MATCH(L29,Schnitt1!L:L,0))+INDEX(Schnitt2!N:N,MATCH(L29,Schnitt2!L:L,0))</f>
        <v>18</v>
      </c>
      <c r="O29">
        <f t="shared" si="7"/>
        <v>203.16666663766665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16251</v>
      </c>
      <c r="C30" t="str">
        <f>IFERROR(INDEX(Starter!B:B,MATCH(B30,Starter!A:A,0)),"")</f>
        <v>Renner, Alexander</v>
      </c>
      <c r="D30" t="str">
        <f>IFERROR(INDEX(Starter!C:C,MATCH(B30,Starter!A:A,0)),"")</f>
        <v>BC Bamberger Bowlinghaus</v>
      </c>
      <c r="E30" s="102">
        <f t="shared" si="3"/>
        <v>586</v>
      </c>
      <c r="F30">
        <f t="shared" si="4"/>
        <v>3</v>
      </c>
      <c r="G30" s="137">
        <f t="shared" si="5"/>
        <v>195.33333326633334</v>
      </c>
      <c r="L30" s="227">
        <f>INDEX(Starter!A:A,ROW()-1)</f>
        <v>16896</v>
      </c>
      <c r="M30">
        <f>INDEX(Schnitt1!M:M,MATCH(L30,Schnitt1!L:L,0))+INDEX(Schnitt2!M:M,MATCH(L30,Schnitt2!L:L,0))</f>
        <v>3596</v>
      </c>
      <c r="N30">
        <f>INDEX(Schnitt1!N:N,MATCH(L30,Schnitt1!L:L,0))+INDEX(Schnitt2!N:N,MATCH(L30,Schnitt2!L:L,0))</f>
        <v>18</v>
      </c>
      <c r="O30">
        <f t="shared" si="7"/>
        <v>199.77777774777778</v>
      </c>
      <c r="P30">
        <f t="shared" si="1"/>
        <v>21</v>
      </c>
    </row>
    <row r="31" spans="1:16" x14ac:dyDescent="0.25">
      <c r="A31">
        <f t="shared" si="6"/>
        <v>27</v>
      </c>
      <c r="B31">
        <f t="shared" si="2"/>
        <v>7337</v>
      </c>
      <c r="C31" t="str">
        <f>IFERROR(INDEX(Starter!B:B,MATCH(B31,Starter!A:A,0)),"")</f>
        <v>Haunschild, Thomas</v>
      </c>
      <c r="D31" t="str">
        <f>IFERROR(INDEX(Starter!C:C,MATCH(B31,Starter!A:A,0)),"")</f>
        <v>BC Schanzer Strikers</v>
      </c>
      <c r="E31" s="102">
        <f t="shared" si="3"/>
        <v>777</v>
      </c>
      <c r="F31">
        <f t="shared" si="4"/>
        <v>4</v>
      </c>
      <c r="G31" s="137">
        <f t="shared" si="5"/>
        <v>194.24999993700001</v>
      </c>
      <c r="L31" s="227">
        <f>INDEX(Starter!A:A,ROW()-1)</f>
        <v>7102</v>
      </c>
      <c r="M31">
        <f>INDEX(Schnitt1!M:M,MATCH(L31,Schnitt1!L:L,0))+INDEX(Schnitt2!M:M,MATCH(L31,Schnitt2!L:L,0))</f>
        <v>1823</v>
      </c>
      <c r="N31">
        <f>INDEX(Schnitt1!N:N,MATCH(L31,Schnitt1!L:L,0))+INDEX(Schnitt2!N:N,MATCH(L31,Schnitt2!L:L,0))</f>
        <v>9</v>
      </c>
      <c r="O31">
        <f t="shared" si="7"/>
        <v>202.55555552455553</v>
      </c>
      <c r="P31">
        <f t="shared" si="1"/>
        <v>16</v>
      </c>
    </row>
    <row r="32" spans="1:16" x14ac:dyDescent="0.25">
      <c r="A32">
        <f t="shared" si="6"/>
        <v>28</v>
      </c>
      <c r="B32">
        <f t="shared" si="2"/>
        <v>16873</v>
      </c>
      <c r="C32" t="str">
        <f>IFERROR(INDEX(Starter!B:B,MATCH(B32,Starter!A:A,0)),"")</f>
        <v>Nolan, Jonathan</v>
      </c>
      <c r="D32" t="str">
        <f>IFERROR(INDEX(Starter!C:C,MATCH(B32,Starter!A:A,0)),"")</f>
        <v>BC Bamberger Bowlinghaus</v>
      </c>
      <c r="E32" s="102">
        <f t="shared" si="3"/>
        <v>3471</v>
      </c>
      <c r="F32">
        <f t="shared" si="4"/>
        <v>18</v>
      </c>
      <c r="G32" s="137">
        <f t="shared" si="5"/>
        <v>192.83333329333334</v>
      </c>
      <c r="L32" s="227">
        <f>INDEX(Starter!A:A,ROW()-1)</f>
        <v>16245</v>
      </c>
      <c r="M32">
        <f>INDEX(Schnitt1!M:M,MATCH(L32,Schnitt1!L:L,0))+INDEX(Schnitt2!M:M,MATCH(L32,Schnitt2!L:L,0))</f>
        <v>0</v>
      </c>
      <c r="N32">
        <f>INDEX(Schnitt1!N:N,MATCH(L32,Schnitt1!L:L,0))+INDEX(Schnitt2!N:N,MATCH(L32,Schnitt2!L:L,0))</f>
        <v>0</v>
      </c>
      <c r="O32">
        <f t="shared" si="7"/>
        <v>0</v>
      </c>
      <c r="P32">
        <f t="shared" si="1"/>
        <v>60</v>
      </c>
    </row>
    <row r="33" spans="1:16" x14ac:dyDescent="0.25">
      <c r="A33">
        <f t="shared" si="6"/>
        <v>29</v>
      </c>
      <c r="B33">
        <f t="shared" si="2"/>
        <v>38039</v>
      </c>
      <c r="C33" t="str">
        <f>IFERROR(INDEX(Starter!B:B,MATCH(B33,Starter!A:A,0)),"")</f>
        <v>Plaschka, Nico</v>
      </c>
      <c r="D33" t="str">
        <f>IFERROR(INDEX(Starter!C:C,MATCH(B33,Starter!A:A,0)),"")</f>
        <v>DJK Rimpar</v>
      </c>
      <c r="E33" s="102">
        <f t="shared" si="3"/>
        <v>1157</v>
      </c>
      <c r="F33">
        <f t="shared" si="4"/>
        <v>6</v>
      </c>
      <c r="G33" s="137">
        <f t="shared" si="5"/>
        <v>192.83333328533334</v>
      </c>
      <c r="L33" s="227">
        <f>INDEX(Starter!A:A,ROW()-1)</f>
        <v>27134</v>
      </c>
      <c r="M33">
        <f>INDEX(Schnitt1!M:M,MATCH(L33,Schnitt1!L:L,0))+INDEX(Schnitt2!M:M,MATCH(L33,Schnitt2!L:L,0))</f>
        <v>1444</v>
      </c>
      <c r="N33">
        <f>INDEX(Schnitt1!N:N,MATCH(L33,Schnitt1!L:L,0))+INDEX(Schnitt2!N:N,MATCH(L33,Schnitt2!L:L,0))</f>
        <v>8</v>
      </c>
      <c r="O33">
        <f t="shared" si="7"/>
        <v>180.49999996700001</v>
      </c>
      <c r="P33">
        <f t="shared" si="1"/>
        <v>41</v>
      </c>
    </row>
    <row r="34" spans="1:16" x14ac:dyDescent="0.25">
      <c r="A34">
        <f t="shared" si="6"/>
        <v>30</v>
      </c>
      <c r="B34">
        <f t="shared" si="2"/>
        <v>7348</v>
      </c>
      <c r="C34" t="str">
        <f>IFERROR(INDEX(Starter!B:B,MATCH(B34,Starter!A:A,0)),"")</f>
        <v>Spielvogel, Jochen</v>
      </c>
      <c r="D34" t="str">
        <f>IFERROR(INDEX(Starter!C:C,MATCH(B34,Starter!A:A,0)),"")</f>
        <v>BC Schanzer Strikers</v>
      </c>
      <c r="E34" s="102">
        <f t="shared" si="3"/>
        <v>3463</v>
      </c>
      <c r="F34">
        <f t="shared" si="4"/>
        <v>18</v>
      </c>
      <c r="G34" s="137">
        <f t="shared" si="5"/>
        <v>192.3888888798889</v>
      </c>
      <c r="L34" s="227">
        <f>INDEX(Starter!A:A,ROW()-1)</f>
        <v>7883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60</v>
      </c>
    </row>
    <row r="35" spans="1:16" x14ac:dyDescent="0.25">
      <c r="A35">
        <f t="shared" si="6"/>
        <v>31</v>
      </c>
      <c r="B35">
        <f t="shared" si="2"/>
        <v>38092</v>
      </c>
      <c r="C35" t="str">
        <f>IFERROR(INDEX(Starter!B:B,MATCH(B35,Starter!A:A,0)),"")</f>
        <v>Kabel, Nicolas</v>
      </c>
      <c r="D35" t="str">
        <f>IFERROR(INDEX(Starter!C:C,MATCH(B35,Starter!A:A,0)),"")</f>
        <v>BSC Highroller Rosenheim</v>
      </c>
      <c r="E35" s="102">
        <f t="shared" si="3"/>
        <v>3044</v>
      </c>
      <c r="F35">
        <f t="shared" si="4"/>
        <v>16</v>
      </c>
      <c r="G35" s="137">
        <f t="shared" si="5"/>
        <v>190.24999997500001</v>
      </c>
      <c r="L35" s="227">
        <f>INDEX(Starter!A:A,ROW()-1)</f>
        <v>7653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60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3220</v>
      </c>
      <c r="F36">
        <f t="shared" si="4"/>
        <v>17</v>
      </c>
      <c r="G36" s="137">
        <f t="shared" si="5"/>
        <v>189.41176469588234</v>
      </c>
      <c r="L36" s="227">
        <f>INDEX(Starter!A:A,ROW()-1)</f>
        <v>25554</v>
      </c>
      <c r="M36">
        <f>INDEX(Schnitt1!M:M,MATCH(L36,Schnitt1!L:L,0))+INDEX(Schnitt2!M:M,MATCH(L36,Schnitt2!L:L,0))</f>
        <v>2609</v>
      </c>
      <c r="N36">
        <f>INDEX(Schnitt1!N:N,MATCH(L36,Schnitt1!L:L,0))+INDEX(Schnitt2!N:N,MATCH(L36,Schnitt2!L:L,0))</f>
        <v>14</v>
      </c>
      <c r="O36">
        <f t="shared" si="7"/>
        <v>186.35714282114287</v>
      </c>
      <c r="P36">
        <f t="shared" si="8"/>
        <v>37</v>
      </c>
    </row>
    <row r="37" spans="1:16" x14ac:dyDescent="0.25">
      <c r="A37">
        <f t="shared" si="6"/>
        <v>33</v>
      </c>
      <c r="B37">
        <f t="shared" ref="B37:B68" si="9">IFERROR(INDEX(L:L,MATCH(A37,P:P,0)),"")</f>
        <v>16862</v>
      </c>
      <c r="C37" t="str">
        <f>IFERROR(INDEX(Starter!B:B,MATCH(B37,Starter!A:A,0)),"")</f>
        <v>Büttner, Christian</v>
      </c>
      <c r="D37" t="str">
        <f>IFERROR(INDEX(Starter!C:C,MATCH(B37,Starter!A:A,0)),"")</f>
        <v>SG Rottendorf</v>
      </c>
      <c r="E37" s="102">
        <f t="shared" ref="E37:E68" si="10">IFERROR(INDEX(M:M,MATCH(A37,P:P,0)),"")</f>
        <v>3008</v>
      </c>
      <c r="F37">
        <f t="shared" ref="F37:F68" si="11">IFERROR(INDEX(N:N,MATCH(A37,P:P,0)),"")</f>
        <v>16</v>
      </c>
      <c r="G37" s="137">
        <f t="shared" ref="G37:G68" si="12">IFERROR(INDEX(O:O,MATCH(A37,P:P,0)),"")</f>
        <v>187.99999994999999</v>
      </c>
      <c r="L37" s="227">
        <f>INDEX(Starter!A:A,ROW()-1)</f>
        <v>7099</v>
      </c>
      <c r="M37">
        <f>INDEX(Schnitt1!M:M,MATCH(L37,Schnitt1!L:L,0))+INDEX(Schnitt2!M:M,MATCH(L37,Schnitt2!L:L,0))</f>
        <v>2919</v>
      </c>
      <c r="N37">
        <f>INDEX(Schnitt1!N:N,MATCH(L37,Schnitt1!L:L,0))+INDEX(Schnitt2!N:N,MATCH(L37,Schnitt2!L:L,0))</f>
        <v>14</v>
      </c>
      <c r="O37">
        <f t="shared" si="7"/>
        <v>208.49999996299999</v>
      </c>
      <c r="P37">
        <f t="shared" si="8"/>
        <v>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10"/>
        <v>2060</v>
      </c>
      <c r="F38">
        <f t="shared" si="11"/>
        <v>11</v>
      </c>
      <c r="G38" s="137">
        <f t="shared" si="12"/>
        <v>187.27272721272729</v>
      </c>
      <c r="L38" s="227">
        <f>INDEX(Starter!A:A,ROW()-1)</f>
        <v>38041</v>
      </c>
      <c r="M38">
        <f>INDEX(Schnitt1!M:M,MATCH(L38,Schnitt1!L:L,0))+INDEX(Schnitt2!M:M,MATCH(L38,Schnitt2!L:L,0))</f>
        <v>1285</v>
      </c>
      <c r="N38">
        <f>INDEX(Schnitt1!N:N,MATCH(L38,Schnitt1!L:L,0))+INDEX(Schnitt2!N:N,MATCH(L38,Schnitt2!L:L,0))</f>
        <v>6</v>
      </c>
      <c r="O38">
        <f t="shared" si="7"/>
        <v>214.16666662866666</v>
      </c>
      <c r="P38">
        <f t="shared" si="8"/>
        <v>4</v>
      </c>
    </row>
    <row r="39" spans="1:16" x14ac:dyDescent="0.25">
      <c r="A39">
        <f t="shared" si="13"/>
        <v>35</v>
      </c>
      <c r="B39">
        <f t="shared" si="9"/>
        <v>41008</v>
      </c>
      <c r="C39" t="str">
        <f>IFERROR(INDEX(Starter!B:B,MATCH(B39,Starter!A:A,0)),"")</f>
        <v>Richter, Benjamin</v>
      </c>
      <c r="D39" t="str">
        <f>IFERROR(INDEX(Starter!C:C,MATCH(B39,Starter!A:A,0)),"")</f>
        <v>BC EMAX</v>
      </c>
      <c r="E39" s="102">
        <f t="shared" si="10"/>
        <v>1308</v>
      </c>
      <c r="F39">
        <f t="shared" si="11"/>
        <v>7</v>
      </c>
      <c r="G39" s="137">
        <f t="shared" si="12"/>
        <v>186.85714279214287</v>
      </c>
      <c r="L39" s="227">
        <f>INDEX(Starter!A:A,ROW()-1)</f>
        <v>25516</v>
      </c>
      <c r="M39">
        <f>INDEX(Schnitt1!M:M,MATCH(L39,Schnitt1!L:L,0))+INDEX(Schnitt2!M:M,MATCH(L39,Schnitt2!L:L,0))</f>
        <v>1427</v>
      </c>
      <c r="N39">
        <f>INDEX(Schnitt1!N:N,MATCH(L39,Schnitt1!L:L,0))+INDEX(Schnitt2!N:N,MATCH(L39,Schnitt2!L:L,0))</f>
        <v>8</v>
      </c>
      <c r="O39">
        <f t="shared" si="7"/>
        <v>178.37499996099999</v>
      </c>
      <c r="P39">
        <f t="shared" si="8"/>
        <v>42</v>
      </c>
    </row>
    <row r="40" spans="1:16" x14ac:dyDescent="0.25">
      <c r="A40">
        <f t="shared" si="13"/>
        <v>36</v>
      </c>
      <c r="B40">
        <f t="shared" si="9"/>
        <v>16495</v>
      </c>
      <c r="C40" t="str">
        <f>IFERROR(INDEX(Starter!B:B,MATCH(B40,Starter!A:A,0)),"")</f>
        <v>Stemmler, Patrick</v>
      </c>
      <c r="D40" t="str">
        <f>IFERROR(INDEX(Starter!C:C,MATCH(B40,Starter!A:A,0)),"")</f>
        <v>SG Rottendorf</v>
      </c>
      <c r="E40" s="102">
        <f t="shared" si="10"/>
        <v>3362</v>
      </c>
      <c r="F40">
        <f t="shared" si="11"/>
        <v>18</v>
      </c>
      <c r="G40" s="137">
        <f t="shared" si="12"/>
        <v>186.77777776577778</v>
      </c>
      <c r="L40" s="227">
        <f>INDEX(Starter!A:A,ROW()-1)</f>
        <v>16873</v>
      </c>
      <c r="M40">
        <f>INDEX(Schnitt1!M:M,MATCH(L40,Schnitt1!L:L,0))+INDEX(Schnitt2!M:M,MATCH(L40,Schnitt2!L:L,0))</f>
        <v>3471</v>
      </c>
      <c r="N40">
        <f>INDEX(Schnitt1!N:N,MATCH(L40,Schnitt1!L:L,0))+INDEX(Schnitt2!N:N,MATCH(L40,Schnitt2!L:L,0))</f>
        <v>18</v>
      </c>
      <c r="O40">
        <f t="shared" si="7"/>
        <v>192.83333329333334</v>
      </c>
      <c r="P40">
        <f t="shared" si="8"/>
        <v>28</v>
      </c>
    </row>
    <row r="41" spans="1:16" x14ac:dyDescent="0.25">
      <c r="A41">
        <f t="shared" si="13"/>
        <v>37</v>
      </c>
      <c r="B41">
        <f t="shared" si="9"/>
        <v>25554</v>
      </c>
      <c r="C41" t="str">
        <f>IFERROR(INDEX(Starter!B:B,MATCH(B41,Starter!A:A,0)),"")</f>
        <v>Blasits, Ernst</v>
      </c>
      <c r="D41" t="str">
        <f>IFERROR(INDEX(Starter!C:C,MATCH(B41,Starter!A:A,0)),"")</f>
        <v>BC EMAX</v>
      </c>
      <c r="E41" s="102">
        <f t="shared" si="10"/>
        <v>2609</v>
      </c>
      <c r="F41">
        <f t="shared" si="11"/>
        <v>14</v>
      </c>
      <c r="G41" s="137">
        <f t="shared" si="12"/>
        <v>186.35714282114287</v>
      </c>
      <c r="L41" s="227">
        <f>INDEX(Starter!A:A,ROW()-1)</f>
        <v>7937</v>
      </c>
      <c r="M41">
        <f>INDEX(Schnitt1!M:M,MATCH(L41,Schnitt1!L:L,0))+INDEX(Schnitt2!M:M,MATCH(L41,Schnitt2!L:L,0))</f>
        <v>3662</v>
      </c>
      <c r="N41">
        <f>INDEX(Schnitt1!N:N,MATCH(L41,Schnitt1!L:L,0))+INDEX(Schnitt2!N:N,MATCH(L41,Schnitt2!L:L,0))</f>
        <v>18</v>
      </c>
      <c r="O41">
        <f t="shared" si="7"/>
        <v>203.44444440344446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16263</v>
      </c>
      <c r="C42" t="str">
        <f>IFERROR(INDEX(Starter!B:B,MATCH(B42,Starter!A:A,0)),"")</f>
        <v>Jackwerth, Enno</v>
      </c>
      <c r="D42" t="str">
        <f>IFERROR(INDEX(Starter!C:C,MATCH(B42,Starter!A:A,0)),"")</f>
        <v>BF Rot-Weiß Lichtenhof 69</v>
      </c>
      <c r="E42" s="102">
        <f t="shared" si="10"/>
        <v>3333</v>
      </c>
      <c r="F42">
        <f t="shared" si="11"/>
        <v>18</v>
      </c>
      <c r="G42" s="137">
        <f t="shared" si="12"/>
        <v>185.16666662366666</v>
      </c>
      <c r="L42" s="227">
        <f>INDEX(Starter!A:A,ROW()-1)</f>
        <v>10124</v>
      </c>
      <c r="M42">
        <f>INDEX(Schnitt1!M:M,MATCH(L42,Schnitt1!L:L,0))+INDEX(Schnitt2!M:M,MATCH(L42,Schnitt2!L:L,0))</f>
        <v>3174</v>
      </c>
      <c r="N42">
        <f>INDEX(Schnitt1!N:N,MATCH(L42,Schnitt1!L:L,0))+INDEX(Schnitt2!N:N,MATCH(L42,Schnitt2!L:L,0))</f>
        <v>18</v>
      </c>
      <c r="O42">
        <f t="shared" si="7"/>
        <v>176.33333329133333</v>
      </c>
      <c r="P42">
        <f t="shared" si="8"/>
        <v>45</v>
      </c>
    </row>
    <row r="43" spans="1:16" x14ac:dyDescent="0.25">
      <c r="A43">
        <f t="shared" si="13"/>
        <v>39</v>
      </c>
      <c r="B43">
        <f t="shared" si="9"/>
        <v>16762</v>
      </c>
      <c r="C43" t="str">
        <f>IFERROR(INDEX(Starter!B:B,MATCH(B43,Starter!A:A,0)),"")</f>
        <v>Glasl sen., Hans</v>
      </c>
      <c r="D43" t="str">
        <f>IFERROR(INDEX(Starter!C:C,MATCH(B43,Starter!A:A,0)),"")</f>
        <v>BC Bajuwaren 1976 München</v>
      </c>
      <c r="E43" s="102">
        <f t="shared" si="10"/>
        <v>2389</v>
      </c>
      <c r="F43">
        <f t="shared" si="11"/>
        <v>13</v>
      </c>
      <c r="G43" s="137">
        <f t="shared" si="12"/>
        <v>183.76923075023078</v>
      </c>
      <c r="L43" s="227">
        <f>INDEX(Starter!A:A,ROW()-1)</f>
        <v>16263</v>
      </c>
      <c r="M43">
        <f>INDEX(Schnitt1!M:M,MATCH(L43,Schnitt1!L:L,0))+INDEX(Schnitt2!M:M,MATCH(L43,Schnitt2!L:L,0))</f>
        <v>3333</v>
      </c>
      <c r="N43">
        <f>INDEX(Schnitt1!N:N,MATCH(L43,Schnitt1!L:L,0))+INDEX(Schnitt2!N:N,MATCH(L43,Schnitt2!L:L,0))</f>
        <v>18</v>
      </c>
      <c r="O43">
        <f t="shared" si="7"/>
        <v>185.16666662366666</v>
      </c>
      <c r="P43">
        <f t="shared" si="8"/>
        <v>38</v>
      </c>
    </row>
    <row r="44" spans="1:16" x14ac:dyDescent="0.25">
      <c r="A44">
        <f t="shared" si="13"/>
        <v>40</v>
      </c>
      <c r="B44">
        <f t="shared" si="9"/>
        <v>7600</v>
      </c>
      <c r="C44" t="str">
        <f>IFERROR(INDEX(Starter!B:B,MATCH(B44,Starter!A:A,0)),"")</f>
        <v>Lüthje, Dennis</v>
      </c>
      <c r="D44" t="str">
        <f>IFERROR(INDEX(Starter!C:C,MATCH(B44,Starter!A:A,0)),"")</f>
        <v>BC Bajuwaren 1976 München</v>
      </c>
      <c r="E44" s="102">
        <f t="shared" si="10"/>
        <v>2169</v>
      </c>
      <c r="F44">
        <f t="shared" si="11"/>
        <v>12</v>
      </c>
      <c r="G44" s="137">
        <f t="shared" si="12"/>
        <v>180.74999998000001</v>
      </c>
      <c r="L44" s="227">
        <f>INDEX(Starter!A:A,ROW()-1)</f>
        <v>7959</v>
      </c>
      <c r="M44">
        <f>INDEX(Schnitt1!M:M,MATCH(L44,Schnitt1!L:L,0))+INDEX(Schnitt2!M:M,MATCH(L44,Schnitt2!L:L,0))</f>
        <v>1890</v>
      </c>
      <c r="N44">
        <f>INDEX(Schnitt1!N:N,MATCH(L44,Schnitt1!L:L,0))+INDEX(Schnitt2!N:N,MATCH(L44,Schnitt2!L:L,0))</f>
        <v>11</v>
      </c>
      <c r="O44">
        <f t="shared" si="7"/>
        <v>171.81818177418182</v>
      </c>
      <c r="P44">
        <f t="shared" si="8"/>
        <v>51</v>
      </c>
    </row>
    <row r="45" spans="1:16" x14ac:dyDescent="0.25">
      <c r="A45">
        <f t="shared" si="13"/>
        <v>41</v>
      </c>
      <c r="B45">
        <f t="shared" si="9"/>
        <v>27134</v>
      </c>
      <c r="C45" t="str">
        <f>IFERROR(INDEX(Starter!B:B,MATCH(B45,Starter!A:A,0)),"")</f>
        <v>Lohse, Sebastian</v>
      </c>
      <c r="D45" t="str">
        <f>IFERROR(INDEX(Starter!C:C,MATCH(B45,Starter!A:A,0)),"")</f>
        <v>BC EMAX</v>
      </c>
      <c r="E45" s="102">
        <f t="shared" si="10"/>
        <v>1444</v>
      </c>
      <c r="F45">
        <f t="shared" si="11"/>
        <v>8</v>
      </c>
      <c r="G45" s="137">
        <f t="shared" si="12"/>
        <v>180.49999996700001</v>
      </c>
      <c r="L45" s="227">
        <f>INDEX(Starter!A:A,ROW()-1)</f>
        <v>7601</v>
      </c>
      <c r="M45">
        <f>INDEX(Schnitt1!M:M,MATCH(L45,Schnitt1!L:L,0))+INDEX(Schnitt2!M:M,MATCH(L45,Schnitt2!L:L,0))</f>
        <v>1956</v>
      </c>
      <c r="N45">
        <f>INDEX(Schnitt1!N:N,MATCH(L45,Schnitt1!L:L,0))+INDEX(Schnitt2!N:N,MATCH(L45,Schnitt2!L:L,0))</f>
        <v>11</v>
      </c>
      <c r="O45">
        <f t="shared" si="7"/>
        <v>177.81818177318181</v>
      </c>
      <c r="P45">
        <f t="shared" si="8"/>
        <v>43</v>
      </c>
    </row>
    <row r="46" spans="1:16" x14ac:dyDescent="0.25">
      <c r="A46">
        <f t="shared" si="13"/>
        <v>42</v>
      </c>
      <c r="B46">
        <f t="shared" si="9"/>
        <v>25516</v>
      </c>
      <c r="C46" t="str">
        <f>IFERROR(INDEX(Starter!B:B,MATCH(B46,Starter!A:A,0)),"")</f>
        <v>Nikoleit, Thomas</v>
      </c>
      <c r="D46" t="str">
        <f>IFERROR(INDEX(Starter!C:C,MATCH(B46,Starter!A:A,0)),"")</f>
        <v>BC Bamberger Bowlinghaus</v>
      </c>
      <c r="E46" s="102">
        <f t="shared" si="10"/>
        <v>1427</v>
      </c>
      <c r="F46">
        <f t="shared" si="11"/>
        <v>8</v>
      </c>
      <c r="G46" s="137">
        <f t="shared" si="12"/>
        <v>178.37499996099999</v>
      </c>
      <c r="L46" s="227">
        <f>INDEX(Starter!A:A,ROW()-1)</f>
        <v>7593</v>
      </c>
      <c r="M46">
        <f>INDEX(Schnitt1!M:M,MATCH(L46,Schnitt1!L:L,0))+INDEX(Schnitt2!M:M,MATCH(L46,Schnitt2!L:L,0))</f>
        <v>3697</v>
      </c>
      <c r="N46">
        <f>INDEX(Schnitt1!N:N,MATCH(L46,Schnitt1!L:L,0))+INDEX(Schnitt2!N:N,MATCH(L46,Schnitt2!L:L,0))</f>
        <v>18</v>
      </c>
      <c r="O46">
        <f t="shared" si="7"/>
        <v>205.38888884288889</v>
      </c>
      <c r="P46">
        <f t="shared" si="8"/>
        <v>10</v>
      </c>
    </row>
    <row r="47" spans="1:16" x14ac:dyDescent="0.25">
      <c r="A47">
        <f t="shared" si="13"/>
        <v>43</v>
      </c>
      <c r="B47">
        <f t="shared" si="9"/>
        <v>7601</v>
      </c>
      <c r="C47" t="str">
        <f>IFERROR(INDEX(Starter!B:B,MATCH(B47,Starter!A:A,0)),"")</f>
        <v>Lüthje, Volker</v>
      </c>
      <c r="D47" t="str">
        <f>IFERROR(INDEX(Starter!C:C,MATCH(B47,Starter!A:A,0)),"")</f>
        <v>BC Bajuwaren 1976 München</v>
      </c>
      <c r="E47" s="102">
        <f t="shared" si="10"/>
        <v>1956</v>
      </c>
      <c r="F47">
        <f t="shared" si="11"/>
        <v>11</v>
      </c>
      <c r="G47" s="137">
        <f t="shared" si="12"/>
        <v>177.81818177318181</v>
      </c>
      <c r="L47" s="227">
        <f>INDEX(Starter!A:A,ROW()-1)</f>
        <v>7591</v>
      </c>
      <c r="M47">
        <f>INDEX(Schnitt1!M:M,MATCH(L47,Schnitt1!L:L,0))+INDEX(Schnitt2!M:M,MATCH(L47,Schnitt2!L:L,0))</f>
        <v>3031</v>
      </c>
      <c r="N47">
        <f>INDEX(Schnitt1!N:N,MATCH(L47,Schnitt1!L:L,0))+INDEX(Schnitt2!N:N,MATCH(L47,Schnitt2!L:L,0))</f>
        <v>14</v>
      </c>
      <c r="O47">
        <f t="shared" si="7"/>
        <v>216.49999995300001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38043</v>
      </c>
      <c r="C48" t="str">
        <f>IFERROR(INDEX(Starter!B:B,MATCH(B48,Starter!A:A,0)),"")</f>
        <v>Badum, Daniel</v>
      </c>
      <c r="D48" t="str">
        <f>IFERROR(INDEX(Starter!C:C,MATCH(B48,Starter!A:A,0)),"")</f>
        <v>BC Bamberger Bowlinghaus</v>
      </c>
      <c r="E48" s="102">
        <f t="shared" si="10"/>
        <v>1951</v>
      </c>
      <c r="F48">
        <f t="shared" si="11"/>
        <v>11</v>
      </c>
      <c r="G48" s="137">
        <f t="shared" si="12"/>
        <v>177.36363630563636</v>
      </c>
      <c r="L48" s="227">
        <f>INDEX(Starter!A:A,ROW()-1)</f>
        <v>38039</v>
      </c>
      <c r="M48">
        <f>INDEX(Schnitt1!M:M,MATCH(L48,Schnitt1!L:L,0))+INDEX(Schnitt2!M:M,MATCH(L48,Schnitt2!L:L,0))</f>
        <v>1157</v>
      </c>
      <c r="N48">
        <f>INDEX(Schnitt1!N:N,MATCH(L48,Schnitt1!L:L,0))+INDEX(Schnitt2!N:N,MATCH(L48,Schnitt2!L:L,0))</f>
        <v>6</v>
      </c>
      <c r="O48">
        <f t="shared" si="7"/>
        <v>192.83333328533334</v>
      </c>
      <c r="P48">
        <f t="shared" si="8"/>
        <v>29</v>
      </c>
    </row>
    <row r="49" spans="1:16" x14ac:dyDescent="0.25">
      <c r="A49">
        <f t="shared" si="13"/>
        <v>45</v>
      </c>
      <c r="B49">
        <f t="shared" si="9"/>
        <v>10124</v>
      </c>
      <c r="C49" t="str">
        <f>IFERROR(INDEX(Starter!B:B,MATCH(B49,Starter!A:A,0)),"")</f>
        <v>Kristof, Robert</v>
      </c>
      <c r="D49" t="str">
        <f>IFERROR(INDEX(Starter!C:C,MATCH(B49,Starter!A:A,0)),"")</f>
        <v>BF Rot-Weiß Lichtenhof 69</v>
      </c>
      <c r="E49" s="102">
        <f t="shared" si="10"/>
        <v>3174</v>
      </c>
      <c r="F49">
        <f t="shared" si="11"/>
        <v>18</v>
      </c>
      <c r="G49" s="137">
        <f t="shared" si="12"/>
        <v>176.33333329133333</v>
      </c>
      <c r="L49" s="227">
        <f>INDEX(Starter!A:A,ROW()-1)</f>
        <v>7738</v>
      </c>
      <c r="M49">
        <f>INDEX(Schnitt1!M:M,MATCH(L49,Schnitt1!L:L,0))+INDEX(Schnitt2!M:M,MATCH(L49,Schnitt2!L:L,0))</f>
        <v>704</v>
      </c>
      <c r="N49">
        <f>INDEX(Schnitt1!N:N,MATCH(L49,Schnitt1!L:L,0))+INDEX(Schnitt2!N:N,MATCH(L49,Schnitt2!L:L,0))</f>
        <v>4</v>
      </c>
      <c r="O49">
        <f t="shared" si="7"/>
        <v>175.99999995100001</v>
      </c>
      <c r="P49">
        <f t="shared" si="8"/>
        <v>46</v>
      </c>
    </row>
    <row r="50" spans="1:16" x14ac:dyDescent="0.25">
      <c r="A50">
        <f t="shared" si="13"/>
        <v>46</v>
      </c>
      <c r="B50">
        <f t="shared" si="9"/>
        <v>7738</v>
      </c>
      <c r="C50" t="str">
        <f>IFERROR(INDEX(Starter!B:B,MATCH(B50,Starter!A:A,0)),"")</f>
        <v>Stöhr, Jürgen</v>
      </c>
      <c r="D50" t="str">
        <f>IFERROR(INDEX(Starter!C:C,MATCH(B50,Starter!A:A,0)),"")</f>
        <v>BF Rot-Weiß Lichtenhof 69</v>
      </c>
      <c r="E50" s="102">
        <f t="shared" si="10"/>
        <v>704</v>
      </c>
      <c r="F50">
        <f t="shared" si="11"/>
        <v>4</v>
      </c>
      <c r="G50" s="137">
        <f t="shared" si="12"/>
        <v>175.99999995100001</v>
      </c>
      <c r="L50" s="227">
        <f>INDEX(Starter!A:A,ROW()-1)</f>
        <v>16862</v>
      </c>
      <c r="M50">
        <f>INDEX(Schnitt1!M:M,MATCH(L50,Schnitt1!L:L,0))+INDEX(Schnitt2!M:M,MATCH(L50,Schnitt2!L:L,0))</f>
        <v>3008</v>
      </c>
      <c r="N50">
        <f>INDEX(Schnitt1!N:N,MATCH(L50,Schnitt1!L:L,0))+INDEX(Schnitt2!N:N,MATCH(L50,Schnitt2!L:L,0))</f>
        <v>16</v>
      </c>
      <c r="O50">
        <f t="shared" si="7"/>
        <v>187.99999994999999</v>
      </c>
      <c r="P50">
        <f t="shared" si="8"/>
        <v>33</v>
      </c>
    </row>
    <row r="51" spans="1:16" x14ac:dyDescent="0.25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2095</v>
      </c>
      <c r="F51">
        <f t="shared" si="11"/>
        <v>12</v>
      </c>
      <c r="G51" s="137">
        <f t="shared" si="12"/>
        <v>174.58333331033333</v>
      </c>
      <c r="L51" s="227">
        <f>INDEX(Starter!A:A,ROW()-1)</f>
        <v>16346</v>
      </c>
      <c r="M51">
        <f>INDEX(Schnitt1!M:M,MATCH(L51,Schnitt1!L:L,0))+INDEX(Schnitt2!M:M,MATCH(L51,Schnitt2!L:L,0))</f>
        <v>422</v>
      </c>
      <c r="N51">
        <f>INDEX(Schnitt1!N:N,MATCH(L51,Schnitt1!L:L,0))+INDEX(Schnitt2!N:N,MATCH(L51,Schnitt2!L:L,0))</f>
        <v>2</v>
      </c>
      <c r="O51">
        <f t="shared" si="7"/>
        <v>210.999999949</v>
      </c>
      <c r="P51">
        <f t="shared" si="8"/>
        <v>6</v>
      </c>
    </row>
    <row r="52" spans="1:16" x14ac:dyDescent="0.25">
      <c r="A52">
        <f t="shared" si="13"/>
        <v>48</v>
      </c>
      <c r="B52">
        <f t="shared" si="9"/>
        <v>25061</v>
      </c>
      <c r="C52" t="str">
        <f>IFERROR(INDEX(Starter!B:B,MATCH(B52,Starter!A:A,0)),"")</f>
        <v>Schwarz, Christian</v>
      </c>
      <c r="D52" t="str">
        <f>IFERROR(INDEX(Starter!C:C,MATCH(B52,Starter!A:A,0)),"")</f>
        <v>BSC Highroller Rosenheim</v>
      </c>
      <c r="E52" s="102">
        <f t="shared" si="10"/>
        <v>2429</v>
      </c>
      <c r="F52">
        <f t="shared" si="11"/>
        <v>14</v>
      </c>
      <c r="G52" s="137">
        <f t="shared" si="12"/>
        <v>173.499999941</v>
      </c>
      <c r="L52" s="227">
        <f>INDEX(Starter!A:A,ROW()-1)</f>
        <v>25024</v>
      </c>
      <c r="M52">
        <f>INDEX(Schnitt1!M:M,MATCH(L52,Schnitt1!L:L,0))+INDEX(Schnitt2!M:M,MATCH(L52,Schnitt2!L:L,0))</f>
        <v>1434</v>
      </c>
      <c r="N52">
        <f>INDEX(Schnitt1!N:N,MATCH(L52,Schnitt1!L:L,0))+INDEX(Schnitt2!N:N,MATCH(L52,Schnitt2!L:L,0))</f>
        <v>9</v>
      </c>
      <c r="O52">
        <f t="shared" si="7"/>
        <v>159.33333328133335</v>
      </c>
      <c r="P52">
        <f t="shared" si="8"/>
        <v>57</v>
      </c>
    </row>
    <row r="53" spans="1:16" x14ac:dyDescent="0.25">
      <c r="A53">
        <f t="shared" si="13"/>
        <v>49</v>
      </c>
      <c r="B53">
        <f t="shared" si="9"/>
        <v>7485</v>
      </c>
      <c r="C53" t="str">
        <f>IFERROR(INDEX(Starter!B:B,MATCH(B53,Starter!A:A,0)),"")</f>
        <v>Singer, Michael</v>
      </c>
      <c r="D53" t="str">
        <f>IFERROR(INDEX(Starter!C:C,MATCH(B53,Starter!A:A,0)),"")</f>
        <v>BK München</v>
      </c>
      <c r="E53" s="102">
        <f t="shared" si="10"/>
        <v>862</v>
      </c>
      <c r="F53">
        <f t="shared" si="11"/>
        <v>5</v>
      </c>
      <c r="G53" s="137">
        <f t="shared" si="12"/>
        <v>172.399999939</v>
      </c>
      <c r="L53" s="227">
        <f>INDEX(Starter!A:A,ROW()-1)</f>
        <v>7344</v>
      </c>
      <c r="M53">
        <f>INDEX(Schnitt1!M:M,MATCH(L53,Schnitt1!L:L,0))+INDEX(Schnitt2!M:M,MATCH(L53,Schnitt2!L:L,0))</f>
        <v>1528</v>
      </c>
      <c r="N53">
        <f>INDEX(Schnitt1!N:N,MATCH(L53,Schnitt1!L:L,0))+INDEX(Schnitt2!N:N,MATCH(L53,Schnitt2!L:L,0))</f>
        <v>9</v>
      </c>
      <c r="O53">
        <f t="shared" si="7"/>
        <v>169.77777772477776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1550</v>
      </c>
      <c r="F54">
        <f t="shared" si="11"/>
        <v>9</v>
      </c>
      <c r="G54" s="137">
        <f t="shared" si="12"/>
        <v>172.22222221622224</v>
      </c>
      <c r="L54" s="227">
        <f>INDEX(Starter!A:A,ROW()-1)</f>
        <v>7602</v>
      </c>
      <c r="M54">
        <f>INDEX(Schnitt1!M:M,MATCH(L54,Schnitt1!L:L,0))+INDEX(Schnitt2!M:M,MATCH(L54,Schnitt2!L:L,0))</f>
        <v>1774</v>
      </c>
      <c r="N54">
        <f>INDEX(Schnitt1!N:N,MATCH(L54,Schnitt1!L:L,0))+INDEX(Schnitt2!N:N,MATCH(L54,Schnitt2!L:L,0))</f>
        <v>9</v>
      </c>
      <c r="O54">
        <f t="shared" si="7"/>
        <v>197.11111105711112</v>
      </c>
      <c r="P54">
        <f t="shared" si="8"/>
        <v>22</v>
      </c>
    </row>
    <row r="55" spans="1:16" x14ac:dyDescent="0.25">
      <c r="A55">
        <f t="shared" si="13"/>
        <v>51</v>
      </c>
      <c r="B55">
        <f t="shared" si="9"/>
        <v>7959</v>
      </c>
      <c r="C55" t="str">
        <f>IFERROR(INDEX(Starter!B:B,MATCH(B55,Starter!A:A,0)),"")</f>
        <v>Netscheporenko, Marco</v>
      </c>
      <c r="D55" t="str">
        <f>IFERROR(INDEX(Starter!C:C,MATCH(B55,Starter!A:A,0)),"")</f>
        <v>BF Rot-Weiß Lichtenhof 69</v>
      </c>
      <c r="E55" s="102">
        <f t="shared" si="10"/>
        <v>1890</v>
      </c>
      <c r="F55">
        <f t="shared" si="11"/>
        <v>11</v>
      </c>
      <c r="G55" s="137">
        <f t="shared" si="12"/>
        <v>171.81818177418182</v>
      </c>
      <c r="L55" s="227">
        <f>INDEX(Starter!A:A,ROW()-1)</f>
        <v>25325</v>
      </c>
      <c r="M55">
        <f>INDEX(Schnitt1!M:M,MATCH(L55,Schnitt1!L:L,0))+INDEX(Schnitt2!M:M,MATCH(L55,Schnitt2!L:L,0))</f>
        <v>1848</v>
      </c>
      <c r="N55">
        <f>INDEX(Schnitt1!N:N,MATCH(L55,Schnitt1!L:L,0))+INDEX(Schnitt2!N:N,MATCH(L55,Schnitt2!L:L,0))</f>
        <v>9</v>
      </c>
      <c r="O55">
        <f t="shared" si="7"/>
        <v>205.33333327833336</v>
      </c>
      <c r="P55">
        <f t="shared" si="8"/>
        <v>11</v>
      </c>
    </row>
    <row r="56" spans="1:16" x14ac:dyDescent="0.25">
      <c r="A56">
        <f t="shared" si="13"/>
        <v>52</v>
      </c>
      <c r="B56">
        <f t="shared" si="9"/>
        <v>7597</v>
      </c>
      <c r="C56" t="str">
        <f>IFERROR(INDEX(Starter!B:B,MATCH(B56,Starter!A:A,0)),"")</f>
        <v>Laub, Harald</v>
      </c>
      <c r="D56" t="str">
        <f>IFERROR(INDEX(Starter!C:C,MATCH(B56,Starter!A:A,0)),"")</f>
        <v>BK München</v>
      </c>
      <c r="E56" s="102">
        <f t="shared" si="10"/>
        <v>2052</v>
      </c>
      <c r="F56">
        <f t="shared" si="11"/>
        <v>12</v>
      </c>
      <c r="G56" s="137">
        <f t="shared" si="12"/>
        <v>170.99999998499999</v>
      </c>
      <c r="L56" s="227">
        <f>INDEX(Starter!A:A,ROW()-1)</f>
        <v>7428</v>
      </c>
      <c r="M56">
        <f>INDEX(Schnitt1!M:M,MATCH(L56,Schnitt1!L:L,0))+INDEX(Schnitt2!M:M,MATCH(L56,Schnitt2!L:L,0))</f>
        <v>3721</v>
      </c>
      <c r="N56">
        <f>INDEX(Schnitt1!N:N,MATCH(L56,Schnitt1!L:L,0))+INDEX(Schnitt2!N:N,MATCH(L56,Schnitt2!L:L,0))</f>
        <v>18</v>
      </c>
      <c r="O56">
        <f t="shared" si="7"/>
        <v>206.72222216622222</v>
      </c>
      <c r="P56">
        <f t="shared" si="8"/>
        <v>9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3058</v>
      </c>
      <c r="F57">
        <f t="shared" si="11"/>
        <v>18</v>
      </c>
      <c r="G57" s="137">
        <f t="shared" si="12"/>
        <v>169.88888888188887</v>
      </c>
      <c r="L57" s="227">
        <f>INDEX(Starter!A:A,ROW()-1)</f>
        <v>16532</v>
      </c>
      <c r="M57">
        <f>INDEX(Schnitt1!M:M,MATCH(L57,Schnitt1!L:L,0))+INDEX(Schnitt2!M:M,MATCH(L57,Schnitt2!L:L,0))</f>
        <v>2155</v>
      </c>
      <c r="N57">
        <f>INDEX(Schnitt1!N:N,MATCH(L57,Schnitt1!L:L,0))+INDEX(Schnitt2!N:N,MATCH(L57,Schnitt2!L:L,0))</f>
        <v>11</v>
      </c>
      <c r="O57">
        <f t="shared" si="7"/>
        <v>195.90909085209091</v>
      </c>
      <c r="P57">
        <f t="shared" si="8"/>
        <v>25</v>
      </c>
    </row>
    <row r="58" spans="1:16" x14ac:dyDescent="0.25">
      <c r="A58">
        <f t="shared" si="13"/>
        <v>54</v>
      </c>
      <c r="B58">
        <f t="shared" si="9"/>
        <v>7344</v>
      </c>
      <c r="C58" t="str">
        <f>IFERROR(INDEX(Starter!B:B,MATCH(B58,Starter!A:A,0)),"")</f>
        <v>Kirschenbauer, Frank</v>
      </c>
      <c r="D58" t="str">
        <f>IFERROR(INDEX(Starter!C:C,MATCH(B58,Starter!A:A,0)),"")</f>
        <v>BC Schanzer Strikers</v>
      </c>
      <c r="E58" s="102">
        <f t="shared" si="10"/>
        <v>1528</v>
      </c>
      <c r="F58">
        <f t="shared" si="11"/>
        <v>9</v>
      </c>
      <c r="G58" s="137">
        <f t="shared" si="12"/>
        <v>169.77777772477776</v>
      </c>
      <c r="L58" s="227">
        <f>INDEX(Starter!A:A,ROW()-1)</f>
        <v>38043</v>
      </c>
      <c r="M58">
        <f>INDEX(Schnitt1!M:M,MATCH(L58,Schnitt1!L:L,0))+INDEX(Schnitt2!M:M,MATCH(L58,Schnitt2!L:L,0))</f>
        <v>1951</v>
      </c>
      <c r="N58">
        <f>INDEX(Schnitt1!N:N,MATCH(L58,Schnitt1!L:L,0))+INDEX(Schnitt2!N:N,MATCH(L58,Schnitt2!L:L,0))</f>
        <v>11</v>
      </c>
      <c r="O58">
        <f t="shared" si="7"/>
        <v>177.36363630563636</v>
      </c>
      <c r="P58">
        <f t="shared" si="8"/>
        <v>44</v>
      </c>
    </row>
    <row r="59" spans="1:16" x14ac:dyDescent="0.25">
      <c r="A59">
        <f t="shared" si="13"/>
        <v>55</v>
      </c>
      <c r="B59">
        <f t="shared" si="9"/>
        <v>38360</v>
      </c>
      <c r="C59" t="str">
        <f>IFERROR(INDEX(Starter!B:B,MATCH(B59,Starter!A:A,0)),"")</f>
        <v>Hutter, Sebastian</v>
      </c>
      <c r="D59" t="str">
        <f>IFERROR(INDEX(Starter!C:C,MATCH(B59,Starter!A:A,0)),"")</f>
        <v>BC Schanzer Strikers</v>
      </c>
      <c r="E59" s="102">
        <f t="shared" si="10"/>
        <v>842</v>
      </c>
      <c r="F59">
        <f t="shared" si="11"/>
        <v>5</v>
      </c>
      <c r="G59" s="137">
        <f t="shared" si="12"/>
        <v>168.399999936</v>
      </c>
      <c r="L59" s="227">
        <f>INDEX(Starter!A:A,ROW()-1)</f>
        <v>25061</v>
      </c>
      <c r="M59">
        <f>INDEX(Schnitt1!M:M,MATCH(L59,Schnitt1!L:L,0))+INDEX(Schnitt2!M:M,MATCH(L59,Schnitt2!L:L,0))</f>
        <v>2429</v>
      </c>
      <c r="N59">
        <f>INDEX(Schnitt1!N:N,MATCH(L59,Schnitt1!L:L,0))+INDEX(Schnitt2!N:N,MATCH(L59,Schnitt2!L:L,0))</f>
        <v>14</v>
      </c>
      <c r="O59">
        <f t="shared" si="7"/>
        <v>173.499999941</v>
      </c>
      <c r="P59">
        <f t="shared" si="8"/>
        <v>48</v>
      </c>
    </row>
    <row r="60" spans="1:16" x14ac:dyDescent="0.25">
      <c r="A60">
        <f t="shared" si="13"/>
        <v>56</v>
      </c>
      <c r="B60">
        <f t="shared" si="9"/>
        <v>16398</v>
      </c>
      <c r="C60" t="str">
        <f>IFERROR(INDEX(Starter!B:B,MATCH(B60,Starter!A:A,0)),"")</f>
        <v>Denz, Günter</v>
      </c>
      <c r="D60" t="str">
        <f>IFERROR(INDEX(Starter!C:C,MATCH(B60,Starter!A:A,0)),"")</f>
        <v>BC EMAX</v>
      </c>
      <c r="E60" s="102">
        <f t="shared" si="10"/>
        <v>1157</v>
      </c>
      <c r="F60">
        <f t="shared" si="11"/>
        <v>7</v>
      </c>
      <c r="G60" s="137">
        <f t="shared" si="12"/>
        <v>165.28571421971427</v>
      </c>
      <c r="L60" s="227">
        <f>INDEX(Starter!A:A,ROW()-1)</f>
        <v>16519</v>
      </c>
      <c r="M60">
        <f>INDEX(Schnitt1!M:M,MATCH(L60,Schnitt1!L:L,0))+INDEX(Schnitt2!M:M,MATCH(L60,Schnitt2!L:L,0))</f>
        <v>2060</v>
      </c>
      <c r="N60">
        <f>INDEX(Schnitt1!N:N,MATCH(L60,Schnitt1!L:L,0))+INDEX(Schnitt2!N:N,MATCH(L60,Schnitt2!L:L,0))</f>
        <v>11</v>
      </c>
      <c r="O60">
        <f t="shared" si="7"/>
        <v>187.27272721272729</v>
      </c>
      <c r="P60">
        <f t="shared" si="8"/>
        <v>34</v>
      </c>
    </row>
    <row r="61" spans="1:16" x14ac:dyDescent="0.25">
      <c r="A61">
        <f t="shared" si="13"/>
        <v>57</v>
      </c>
      <c r="B61">
        <f t="shared" si="9"/>
        <v>25024</v>
      </c>
      <c r="C61" t="str">
        <f>IFERROR(INDEX(Starter!B:B,MATCH(B61,Starter!A:A,0)),"")</f>
        <v>Klapper, Michael</v>
      </c>
      <c r="D61" t="str">
        <f>IFERROR(INDEX(Starter!C:C,MATCH(B61,Starter!A:A,0)),"")</f>
        <v>BC Schanzer Strikers</v>
      </c>
      <c r="E61" s="102">
        <f t="shared" si="10"/>
        <v>1434</v>
      </c>
      <c r="F61">
        <f t="shared" si="11"/>
        <v>9</v>
      </c>
      <c r="G61" s="137">
        <f t="shared" si="12"/>
        <v>159.33333328133335</v>
      </c>
      <c r="L61" s="227">
        <f>INDEX(Starter!A:A,ROW()-1)</f>
        <v>7485</v>
      </c>
      <c r="M61">
        <f>INDEX(Schnitt1!M:M,MATCH(L61,Schnitt1!L:L,0))+INDEX(Schnitt2!M:M,MATCH(L61,Schnitt2!L:L,0))</f>
        <v>862</v>
      </c>
      <c r="N61">
        <f>INDEX(Schnitt1!N:N,MATCH(L61,Schnitt1!L:L,0))+INDEX(Schnitt2!N:N,MATCH(L61,Schnitt2!L:L,0))</f>
        <v>5</v>
      </c>
      <c r="O61">
        <f t="shared" si="7"/>
        <v>172.399999939</v>
      </c>
      <c r="P61">
        <f t="shared" si="8"/>
        <v>49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459</v>
      </c>
      <c r="F62">
        <f t="shared" si="11"/>
        <v>3</v>
      </c>
      <c r="G62" s="137">
        <f t="shared" si="12"/>
        <v>152.999999938</v>
      </c>
      <c r="L62" s="227">
        <f>INDEX(Starter!A:A,ROW()-1)</f>
        <v>7740</v>
      </c>
      <c r="M62">
        <f>INDEX(Schnitt1!M:M,MATCH(L62,Schnitt1!L:L,0))+INDEX(Schnitt2!M:M,MATCH(L62,Schnitt2!L:L,0))</f>
        <v>459</v>
      </c>
      <c r="N62">
        <f>INDEX(Schnitt1!N:N,MATCH(L62,Schnitt1!L:L,0))+INDEX(Schnitt2!N:N,MATCH(L62,Schnitt2!L:L,0))</f>
        <v>3</v>
      </c>
      <c r="O62">
        <f t="shared" si="7"/>
        <v>152.999999938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7425</v>
      </c>
      <c r="C63" t="str">
        <f>IFERROR(INDEX(Starter!B:B,MATCH(B63,Starter!A:A,0)),"")</f>
        <v>Wimmer, Peter</v>
      </c>
      <c r="D63" t="str">
        <f>IFERROR(INDEX(Starter!C:C,MATCH(B63,Starter!A:A,0)),"")</f>
        <v>BSC Highroller Rosenheim</v>
      </c>
      <c r="E63" s="102">
        <f t="shared" si="10"/>
        <v>300</v>
      </c>
      <c r="F63">
        <f t="shared" si="11"/>
        <v>2</v>
      </c>
      <c r="G63" s="137">
        <f t="shared" si="12"/>
        <v>149.99999997800001</v>
      </c>
      <c r="L63" s="227">
        <f>INDEX(Starter!A:A,ROW()-1)</f>
        <v>7337</v>
      </c>
      <c r="M63">
        <f>INDEX(Schnitt1!M:M,MATCH(L63,Schnitt1!L:L,0))+INDEX(Schnitt2!M:M,MATCH(L63,Schnitt2!L:L,0))</f>
        <v>777</v>
      </c>
      <c r="N63">
        <f>INDEX(Schnitt1!N:N,MATCH(L63,Schnitt1!L:L,0))+INDEX(Schnitt2!N:N,MATCH(L63,Schnitt2!L:L,0))</f>
        <v>4</v>
      </c>
      <c r="O63">
        <f t="shared" si="7"/>
        <v>194.24999993700001</v>
      </c>
      <c r="P63">
        <f t="shared" si="8"/>
        <v>27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38360</v>
      </c>
      <c r="M64">
        <f>INDEX(Schnitt1!M:M,MATCH(L64,Schnitt1!L:L,0))+INDEX(Schnitt2!M:M,MATCH(L64,Schnitt2!L:L,0))</f>
        <v>842</v>
      </c>
      <c r="N64">
        <f>INDEX(Schnitt1!N:N,MATCH(L64,Schnitt1!L:L,0))+INDEX(Schnitt2!N:N,MATCH(L64,Schnitt2!L:L,0))</f>
        <v>5</v>
      </c>
      <c r="O64">
        <f t="shared" si="7"/>
        <v>168.399999936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41008</v>
      </c>
      <c r="M65">
        <f>INDEX(Schnitt1!M:M,MATCH(L65,Schnitt1!L:L,0))+INDEX(Schnitt2!M:M,MATCH(L65,Schnitt2!L:L,0))</f>
        <v>1308</v>
      </c>
      <c r="N65">
        <f>INDEX(Schnitt1!N:N,MATCH(L65,Schnitt1!L:L,0))+INDEX(Schnitt2!N:N,MATCH(L65,Schnitt2!L:L,0))</f>
        <v>7</v>
      </c>
      <c r="O65">
        <f t="shared" si="7"/>
        <v>186.85714279214287</v>
      </c>
      <c r="P65">
        <f t="shared" si="8"/>
        <v>35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16398</v>
      </c>
      <c r="M66">
        <f>INDEX(Schnitt1!M:M,MATCH(L66,Schnitt1!L:L,0))+INDEX(Schnitt2!M:M,MATCH(L66,Schnitt2!L:L,0))</f>
        <v>1157</v>
      </c>
      <c r="N66">
        <f>INDEX(Schnitt1!N:N,MATCH(L66,Schnitt1!L:L,0))+INDEX(Schnitt2!N:N,MATCH(L66,Schnitt2!L:L,0))</f>
        <v>7</v>
      </c>
      <c r="O66">
        <f t="shared" si="7"/>
        <v>165.28571421971427</v>
      </c>
      <c r="P66">
        <f t="shared" ref="P66:P97" si="14">RANK(O66,O:O)</f>
        <v>56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16251</v>
      </c>
      <c r="M67">
        <f>INDEX(Schnitt1!M:M,MATCH(L67,Schnitt1!L:L,0))+INDEX(Schnitt2!M:M,MATCH(L67,Schnitt2!L:L,0))</f>
        <v>586</v>
      </c>
      <c r="N67">
        <f>INDEX(Schnitt1!N:N,MATCH(L67,Schnitt1!L:L,0))+INDEX(Schnitt2!N:N,MATCH(L67,Schnitt2!L:L,0))</f>
        <v>3</v>
      </c>
      <c r="O67">
        <f t="shared" si="7"/>
        <v>195.33333326633334</v>
      </c>
      <c r="P67">
        <f t="shared" si="14"/>
        <v>26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38686</v>
      </c>
      <c r="M68">
        <f>INDEX(Schnitt1!M:M,MATCH(L68,Schnitt1!L:L,0))+INDEX(Schnitt2!M:M,MATCH(L68,Schnitt2!L:L,0))</f>
        <v>0</v>
      </c>
      <c r="N68">
        <f>INDEX(Schnitt1!N:N,MATCH(L68,Schnitt1!L:L,0))+INDEX(Schnitt2!N:N,MATCH(L68,Schnitt2!L:L,0))</f>
        <v>0</v>
      </c>
      <c r="O68">
        <f t="shared" si="7"/>
        <v>0</v>
      </c>
      <c r="P68">
        <f t="shared" si="14"/>
        <v>60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22116</v>
      </c>
      <c r="M69">
        <f>INDEX(Schnitt1!M:M,MATCH(L69,Schnitt1!L:L,0))+INDEX(Schnitt2!M:M,MATCH(L69,Schnitt2!L:L,0))</f>
        <v>0</v>
      </c>
      <c r="N69">
        <f>INDEX(Schnitt1!N:N,MATCH(L69,Schnitt1!L:L,0))+INDEX(Schnitt2!N:N,MATCH(L69,Schnitt2!L:L,0))</f>
        <v>0</v>
      </c>
      <c r="O69">
        <f t="shared" si="7"/>
        <v>0</v>
      </c>
      <c r="P69">
        <f t="shared" si="14"/>
        <v>60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INDEX(Schnitt1!M:M,MATCH(L70,Schnitt1!L:L,0))+INDEX(Schnitt2!M:M,MATCH(L70,Schnitt2!L:L,0))</f>
        <v>0</v>
      </c>
      <c r="N70">
        <f>INDEX(Schnitt1!N:N,MATCH(L70,Schnitt1!L:L,0))+INDEX(Schnitt2!N:N,MATCH(L70,Schnitt2!L:L,0))</f>
        <v>0</v>
      </c>
      <c r="O70">
        <f t="shared" si="7"/>
        <v>0</v>
      </c>
      <c r="P70">
        <f t="shared" si="14"/>
        <v>60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INDEX(Schnitt1!M:M,MATCH(L71,Schnitt1!L:L,0))+INDEX(Schnitt2!M:M,MATCH(L71,Schnitt2!L:L,0))</f>
        <v>0</v>
      </c>
      <c r="N71">
        <f>INDEX(Schnitt1!N:N,MATCH(L71,Schnitt1!L:L,0))+INDEX(Schnitt2!N:N,MATCH(L71,Schnitt2!L:L,0))</f>
        <v>0</v>
      </c>
      <c r="O71">
        <f t="shared" si="7"/>
        <v>0</v>
      </c>
      <c r="P71">
        <f t="shared" si="14"/>
        <v>60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38907</v>
      </c>
      <c r="M72">
        <f>INDEX(Schnitt1!M:M,MATCH(L72,Schnitt1!L:L,0))+INDEX(Schnitt2!M:M,MATCH(L72,Schnitt2!L:L,0))</f>
        <v>0</v>
      </c>
      <c r="N72">
        <f>INDEX(Schnitt1!N:N,MATCH(L72,Schnitt1!L:L,0))+INDEX(Schnitt2!N:N,MATCH(L72,Schnitt2!L:L,0))</f>
        <v>0</v>
      </c>
      <c r="O72">
        <f t="shared" si="7"/>
        <v>0</v>
      </c>
      <c r="P72">
        <f t="shared" si="14"/>
        <v>60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16469</v>
      </c>
      <c r="M73">
        <f>INDEX(Schnitt1!M:M,MATCH(L73,Schnitt1!L:L,0))+INDEX(Schnitt2!M:M,MATCH(L73,Schnitt2!L:L,0))</f>
        <v>0</v>
      </c>
      <c r="N73">
        <f>INDEX(Schnitt1!N:N,MATCH(L73,Schnitt1!L:L,0))+INDEX(Schnitt2!N:N,MATCH(L73,Schnitt2!L:L,0))</f>
        <v>0</v>
      </c>
      <c r="O73">
        <f t="shared" si="7"/>
        <v>0</v>
      </c>
      <c r="P73">
        <f t="shared" si="14"/>
        <v>60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38018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60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25465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60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60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60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60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60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60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60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60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60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60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60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60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60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60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60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60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60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60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60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60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60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60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60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60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60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60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60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60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60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60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topLeftCell="A58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31" t="s">
        <v>1837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2"/>
      <c r="R4" s="332"/>
      <c r="S4" s="332"/>
      <c r="T4" s="332"/>
      <c r="U4" s="332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3">
        <f>+Spielzettel3!T2</f>
        <v>3</v>
      </c>
      <c r="F6" s="334"/>
      <c r="P6" s="140" t="s">
        <v>1838</v>
      </c>
      <c r="Q6" s="335" t="str">
        <f>+Spielzettel3!U1</f>
        <v>01.02./02.02.</v>
      </c>
      <c r="R6" s="336">
        <v>0</v>
      </c>
      <c r="S6" s="336">
        <v>0</v>
      </c>
      <c r="T6" s="337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8" t="str">
        <f>+Spielzettel3!F2</f>
        <v>Unterföhring Dreambowl Palace</v>
      </c>
      <c r="F8" s="339"/>
      <c r="G8" s="339"/>
      <c r="H8" s="339">
        <v>0</v>
      </c>
      <c r="I8" s="339"/>
      <c r="J8" s="340"/>
      <c r="N8" s="140" t="s">
        <v>1840</v>
      </c>
      <c r="P8" s="338" t="str">
        <f>+Spielzettel3!F1</f>
        <v>Bayernliga Herren</v>
      </c>
      <c r="Q8" s="339"/>
      <c r="R8" s="339"/>
      <c r="S8" s="339"/>
      <c r="T8" s="340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6" t="s">
        <v>1841</v>
      </c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163"/>
    </row>
    <row r="12" spans="2:21" ht="21.75" customHeight="1" x14ac:dyDescent="0.25">
      <c r="B12" s="164"/>
      <c r="C12" s="327" t="s">
        <v>1842</v>
      </c>
      <c r="D12" s="327"/>
      <c r="E12" s="327"/>
      <c r="F12" s="327"/>
      <c r="G12" s="327"/>
      <c r="H12" s="327"/>
      <c r="I12" s="327"/>
      <c r="J12" s="327"/>
      <c r="L12" s="150" t="s">
        <v>2564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9"/>
      <c r="D19" s="320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9" t="s">
        <v>2364</v>
      </c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1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0.51041666666666663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0">
        <v>1</v>
      </c>
      <c r="G30" s="330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9" t="s">
        <v>2565</v>
      </c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5" t="s">
        <v>2365</v>
      </c>
      <c r="G36" s="325"/>
      <c r="H36" s="32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9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6" t="s">
        <v>1863</v>
      </c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9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9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9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9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9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9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2" t="s">
        <v>2566</v>
      </c>
      <c r="D74" s="323"/>
      <c r="E74" s="323"/>
      <c r="F74" s="323"/>
      <c r="G74" s="323"/>
      <c r="H74" s="323"/>
      <c r="I74" s="323"/>
      <c r="J74" s="323"/>
      <c r="K74" s="323"/>
      <c r="L74" s="323"/>
      <c r="M74" s="323"/>
      <c r="N74" s="323"/>
      <c r="O74" s="323"/>
      <c r="P74" s="323"/>
      <c r="Q74" s="323"/>
      <c r="R74" s="323"/>
      <c r="S74" s="323"/>
      <c r="T74" s="324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7" t="s">
        <v>2567</v>
      </c>
      <c r="E77" s="318"/>
      <c r="F77" s="318"/>
      <c r="G77" s="318"/>
      <c r="H77" s="318"/>
      <c r="I77" s="318"/>
      <c r="J77" s="318"/>
      <c r="K77" s="318"/>
      <c r="L77" s="318"/>
      <c r="M77" s="318"/>
      <c r="P77" s="318"/>
      <c r="Q77" s="318"/>
      <c r="R77" s="318"/>
      <c r="S77" s="318"/>
      <c r="T77" s="318"/>
      <c r="U77" s="318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7" t="s">
        <v>2568</v>
      </c>
      <c r="E80" s="318"/>
      <c r="F80" s="318"/>
      <c r="G80" s="318"/>
      <c r="H80" s="318"/>
      <c r="I80" s="318"/>
      <c r="J80" s="318"/>
      <c r="K80" s="318"/>
      <c r="L80" s="318"/>
      <c r="M80" s="318"/>
      <c r="P80" s="318"/>
      <c r="Q80" s="318"/>
      <c r="R80" s="318"/>
      <c r="S80" s="318"/>
      <c r="T80" s="318"/>
      <c r="U80" s="318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5" t="str">
        <f>Schlüssel!$C$1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45"/>
      <c r="Q1" s="45"/>
      <c r="R1" s="48"/>
      <c r="S1" s="49" t="s">
        <v>1794</v>
      </c>
      <c r="T1" s="50"/>
      <c r="U1" s="341" t="str">
        <f>Schlüssel!$BA$1</f>
        <v>01.02./02.02.</v>
      </c>
      <c r="V1" s="342"/>
      <c r="W1" s="34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4" t="str">
        <f>Schlüssel!$AQ$2</f>
        <v>Unterföhring Dreambowl Palace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3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3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3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3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70">
        <f>VLOOKUP(B2,Schlüssel!$A$5:$DZ$14,43)</f>
        <v>5</v>
      </c>
      <c r="E22" s="371"/>
      <c r="F22" s="370">
        <f>VLOOKUP(B2,Schlüssel!$A$5:$DZ$14,44)</f>
        <v>3</v>
      </c>
      <c r="G22" s="371"/>
      <c r="H22" s="370">
        <f>VLOOKUP(B2,Schlüssel!$A$5:$DZ$14,45)</f>
        <v>8</v>
      </c>
      <c r="I22" s="371"/>
      <c r="J22" s="370">
        <f>VLOOKUP(B2,Schlüssel!$A$5:$DZ$14,46)</f>
        <v>2</v>
      </c>
      <c r="K22" s="371"/>
      <c r="L22" s="370">
        <f>VLOOKUP(B2,Schlüssel!$A$5:$DZ$14,47)</f>
        <v>6</v>
      </c>
      <c r="M22" s="371"/>
      <c r="N22" s="370">
        <f>VLOOKUP(B2,Schlüssel!$A$5:$DZ$14,48)</f>
        <v>4</v>
      </c>
      <c r="O22" s="371"/>
      <c r="P22" s="370">
        <f>VLOOKUP(B2,Schlüssel!$A$5:$DZ$14,49)</f>
        <v>7</v>
      </c>
      <c r="Q22" s="371"/>
      <c r="R22" s="370">
        <f>VLOOKUP(B2,Schlüssel!$A$5:$DZ$14,50)</f>
        <v>9</v>
      </c>
      <c r="S22" s="371"/>
      <c r="T22" s="370">
        <f>VLOOKUP(B2,Schlüssel!$A$5:$DZ$14,51)</f>
        <v>10</v>
      </c>
      <c r="U22" s="371"/>
      <c r="V22" s="357"/>
      <c r="W22" s="357"/>
    </row>
    <row r="23" spans="1:29" ht="28.5" customHeight="1" x14ac:dyDescent="0.25">
      <c r="B23" s="90"/>
      <c r="C23" s="86"/>
      <c r="D23" s="358" t="str">
        <f>VLOOKUP(D22,Schlüssel!$A$5:$K$14,2)</f>
        <v>RW Lichtenhof Stein 1</v>
      </c>
      <c r="E23" s="359"/>
      <c r="F23" s="358" t="str">
        <f>VLOOKUP(F22,Schlüssel!$A$5:$K$14,2)</f>
        <v>BK München 3</v>
      </c>
      <c r="G23" s="359"/>
      <c r="H23" s="358" t="str">
        <f>VLOOKUP(H22,Schlüssel!$A$5:$K$14,2)</f>
        <v>BC EMAX Unterföhring 2</v>
      </c>
      <c r="I23" s="359"/>
      <c r="J23" s="358" t="str">
        <f>VLOOKUP(J22,Schlüssel!$A$5:$K$14,2)</f>
        <v>Bajuwaren München 1</v>
      </c>
      <c r="K23" s="359"/>
      <c r="L23" s="358" t="str">
        <f>VLOOKUP(L22,Schlüssel!$A$5:$K$14,2)</f>
        <v>SG Rottendorf 1</v>
      </c>
      <c r="M23" s="359"/>
      <c r="N23" s="358" t="str">
        <f>VLOOKUP(N22,Schlüssel!$A$5:$K$14,2)</f>
        <v>SG DJK Rimpar</v>
      </c>
      <c r="O23" s="359"/>
      <c r="P23" s="358" t="str">
        <f>VLOOKUP(P22,Schlüssel!$A$5:$K$14,2)</f>
        <v>Schanzer Ingolstadt 1</v>
      </c>
      <c r="Q23" s="359"/>
      <c r="R23" s="358" t="str">
        <f>VLOOKUP(R22,Schlüssel!$A$5:$K$14,2)</f>
        <v>Bowlinghaus Bamberg 1</v>
      </c>
      <c r="S23" s="359"/>
      <c r="T23" s="358" t="str">
        <f>VLOOKUP(T22,Schlüssel!$A$5:$K$14,2)</f>
        <v>High Roller Rosenheim 1</v>
      </c>
      <c r="U23" s="359"/>
      <c r="V23" s="363"/>
      <c r="W23" s="363"/>
    </row>
    <row r="24" spans="1:29" ht="12" customHeight="1" x14ac:dyDescent="0.25">
      <c r="B24" s="90"/>
      <c r="C24" s="86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1"/>
      <c r="V24" s="298"/>
      <c r="W24" s="298"/>
    </row>
    <row r="25" spans="1:29" ht="15.9" customHeight="1" x14ac:dyDescent="0.25">
      <c r="B25" s="91" t="s">
        <v>0</v>
      </c>
      <c r="C25" s="9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4"/>
      <c r="W25" s="364"/>
    </row>
    <row r="26" spans="1:29" ht="15.9" customHeight="1" x14ac:dyDescent="0.25">
      <c r="B26" s="91" t="s">
        <v>2</v>
      </c>
      <c r="C26" s="9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4"/>
      <c r="W26" s="364"/>
    </row>
    <row r="27" spans="1:29" ht="15.9" customHeight="1" x14ac:dyDescent="0.25">
      <c r="B27" s="91" t="s">
        <v>3</v>
      </c>
      <c r="C27" s="9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4"/>
      <c r="W27" s="364"/>
    </row>
    <row r="28" spans="1:29" ht="15.9" customHeight="1" x14ac:dyDescent="0.25">
      <c r="B28" s="91" t="s">
        <v>11</v>
      </c>
      <c r="C28" s="9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4"/>
      <c r="W28" s="364"/>
    </row>
    <row r="29" spans="1:29" ht="15.9" customHeight="1" x14ac:dyDescent="0.25">
      <c r="B29" s="93" t="s">
        <v>1799</v>
      </c>
      <c r="C29" s="94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01"/>
      <c r="W29" s="30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5" t="str">
        <f>Schlüssel!$C$1</f>
        <v>Bayernliga Herren</v>
      </c>
      <c r="G30" s="345"/>
      <c r="H30" s="345"/>
      <c r="I30" s="345"/>
      <c r="J30" s="345"/>
      <c r="K30" s="345"/>
      <c r="L30" s="345"/>
      <c r="M30" s="345"/>
      <c r="N30" s="345"/>
      <c r="O30" s="345"/>
      <c r="P30" s="45"/>
      <c r="Q30" s="45"/>
      <c r="R30" s="48"/>
      <c r="S30" s="49" t="s">
        <v>1794</v>
      </c>
      <c r="T30" s="50"/>
      <c r="U30" s="341" t="str">
        <f>Schlüssel!$BA$1</f>
        <v>01.02./02.02.</v>
      </c>
      <c r="V30" s="342"/>
      <c r="W30" s="34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4" t="str">
        <f>Schlüssel!$AQ$2</f>
        <v>Unterföhring Dreambowl Palace</v>
      </c>
      <c r="G31" s="344"/>
      <c r="H31" s="344"/>
      <c r="I31" s="344"/>
      <c r="J31" s="344"/>
      <c r="K31" s="344"/>
      <c r="L31" s="344"/>
      <c r="M31" s="344"/>
      <c r="N31" s="344"/>
      <c r="O31" s="344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25">
      <c r="B34" s="67" t="s">
        <v>1</v>
      </c>
      <c r="C34" s="68"/>
      <c r="D34" s="346" t="s">
        <v>1800</v>
      </c>
      <c r="E34" s="347"/>
      <c r="F34" s="346" t="s">
        <v>1801</v>
      </c>
      <c r="G34" s="347"/>
      <c r="H34" s="346" t="s">
        <v>1802</v>
      </c>
      <c r="I34" s="347"/>
      <c r="J34" s="346" t="s">
        <v>1803</v>
      </c>
      <c r="K34" s="347"/>
      <c r="L34" s="346" t="s">
        <v>1804</v>
      </c>
      <c r="M34" s="347"/>
      <c r="N34" s="346" t="s">
        <v>1805</v>
      </c>
      <c r="O34" s="347"/>
      <c r="P34" s="346" t="s">
        <v>1806</v>
      </c>
      <c r="Q34" s="347"/>
      <c r="R34" s="346" t="s">
        <v>1807</v>
      </c>
      <c r="S34" s="347"/>
      <c r="T34" s="346" t="s">
        <v>1808</v>
      </c>
      <c r="U34" s="347"/>
      <c r="V34" s="354" t="s">
        <v>1799</v>
      </c>
      <c r="W34" s="355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3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3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3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3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70">
        <f>VLOOKUP(B31,Schlüssel!$A$5:$DZ$14,43)</f>
        <v>8</v>
      </c>
      <c r="E51" s="371"/>
      <c r="F51" s="370">
        <f>VLOOKUP(B31,Schlüssel!$A$5:$DZ$14,44)</f>
        <v>10</v>
      </c>
      <c r="G51" s="371"/>
      <c r="H51" s="370">
        <f>VLOOKUP(B31,Schlüssel!$A$5:$DZ$14,45)</f>
        <v>3</v>
      </c>
      <c r="I51" s="371"/>
      <c r="J51" s="370">
        <f>VLOOKUP(B31,Schlüssel!$A$5:$DZ$14,46)</f>
        <v>1</v>
      </c>
      <c r="K51" s="371"/>
      <c r="L51" s="370">
        <f>VLOOKUP(B31,Schlüssel!$A$5:$DZ$14,47)</f>
        <v>7</v>
      </c>
      <c r="M51" s="371"/>
      <c r="N51" s="370">
        <f>VLOOKUP(B31,Schlüssel!$A$5:$DZ$14,48)</f>
        <v>6</v>
      </c>
      <c r="O51" s="371"/>
      <c r="P51" s="370">
        <f>VLOOKUP(B31,Schlüssel!$A$5:$DZ$14,49)</f>
        <v>9</v>
      </c>
      <c r="Q51" s="371"/>
      <c r="R51" s="370">
        <f>VLOOKUP(B31,Schlüssel!$A$5:$DZ$14,50)</f>
        <v>5</v>
      </c>
      <c r="S51" s="371"/>
      <c r="T51" s="370">
        <f>VLOOKUP(B31,Schlüssel!$A$5:$DZ$14,51)</f>
        <v>4</v>
      </c>
      <c r="U51" s="371"/>
      <c r="V51" s="357"/>
      <c r="W51" s="357"/>
    </row>
    <row r="52" spans="1:29" ht="28.5" customHeight="1" x14ac:dyDescent="0.25">
      <c r="B52" s="90"/>
      <c r="C52" s="86"/>
      <c r="D52" s="358" t="str">
        <f>VLOOKUP(D51,Schlüssel!$A$5:$K$14,2)</f>
        <v>BC EMAX Unterföhring 2</v>
      </c>
      <c r="E52" s="359"/>
      <c r="F52" s="358" t="str">
        <f>VLOOKUP(F51,Schlüssel!$A$5:$K$14,2)</f>
        <v>High Roller Rosenheim 1</v>
      </c>
      <c r="G52" s="359"/>
      <c r="H52" s="358" t="str">
        <f>VLOOKUP(H51,Schlüssel!$A$5:$K$14,2)</f>
        <v>BK München 3</v>
      </c>
      <c r="I52" s="359"/>
      <c r="J52" s="358" t="str">
        <f>VLOOKUP(J51,Schlüssel!$A$5:$K$14,2)</f>
        <v>BC Comet Nürnberg</v>
      </c>
      <c r="K52" s="359"/>
      <c r="L52" s="358" t="str">
        <f>VLOOKUP(L51,Schlüssel!$A$5:$K$14,2)</f>
        <v>Schanzer Ingolstadt 1</v>
      </c>
      <c r="M52" s="359"/>
      <c r="N52" s="358" t="str">
        <f>VLOOKUP(N51,Schlüssel!$A$5:$K$14,2)</f>
        <v>SG Rottendorf 1</v>
      </c>
      <c r="O52" s="359"/>
      <c r="P52" s="358" t="str">
        <f>VLOOKUP(P51,Schlüssel!$A$5:$K$14,2)</f>
        <v>Bowlinghaus Bamberg 1</v>
      </c>
      <c r="Q52" s="359"/>
      <c r="R52" s="358" t="str">
        <f>VLOOKUP(R51,Schlüssel!$A$5:$K$14,2)</f>
        <v>RW Lichtenhof Stein 1</v>
      </c>
      <c r="S52" s="359"/>
      <c r="T52" s="358" t="str">
        <f>VLOOKUP(T51,Schlüssel!$A$5:$K$14,2)</f>
        <v>SG DJK Rimpar</v>
      </c>
      <c r="U52" s="359"/>
      <c r="V52" s="363"/>
      <c r="W52" s="363"/>
    </row>
    <row r="53" spans="1:29" ht="12" customHeight="1" x14ac:dyDescent="0.25">
      <c r="B53" s="90"/>
      <c r="C53" s="86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1"/>
      <c r="V53" s="298"/>
      <c r="W53" s="298"/>
    </row>
    <row r="54" spans="1:29" ht="15.9" customHeight="1" x14ac:dyDescent="0.25">
      <c r="B54" s="91" t="s">
        <v>0</v>
      </c>
      <c r="C54" s="9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4"/>
      <c r="W54" s="364"/>
    </row>
    <row r="55" spans="1:29" ht="15.9" customHeight="1" x14ac:dyDescent="0.25">
      <c r="B55" s="91" t="s">
        <v>2</v>
      </c>
      <c r="C55" s="9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4"/>
      <c r="W55" s="364"/>
    </row>
    <row r="56" spans="1:29" ht="15.9" customHeight="1" x14ac:dyDescent="0.25">
      <c r="B56" s="91" t="s">
        <v>3</v>
      </c>
      <c r="C56" s="9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4"/>
      <c r="W56" s="364"/>
    </row>
    <row r="57" spans="1:29" ht="15.9" customHeight="1" x14ac:dyDescent="0.25">
      <c r="B57" s="91" t="s">
        <v>11</v>
      </c>
      <c r="C57" s="9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4"/>
      <c r="W57" s="364"/>
    </row>
    <row r="58" spans="1:29" ht="15.9" customHeight="1" x14ac:dyDescent="0.25">
      <c r="B58" s="93" t="s">
        <v>1799</v>
      </c>
      <c r="C58" s="94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01"/>
      <c r="W58" s="30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5" t="str">
        <f>Schlüssel!$C$1</f>
        <v>Bayernliga Herren</v>
      </c>
      <c r="G59" s="345"/>
      <c r="H59" s="345"/>
      <c r="I59" s="345"/>
      <c r="J59" s="345"/>
      <c r="K59" s="345"/>
      <c r="L59" s="345"/>
      <c r="M59" s="345"/>
      <c r="N59" s="345"/>
      <c r="O59" s="345"/>
      <c r="P59" s="45"/>
      <c r="Q59" s="45"/>
      <c r="R59" s="48"/>
      <c r="S59" s="49" t="s">
        <v>1794</v>
      </c>
      <c r="T59" s="50"/>
      <c r="U59" s="341" t="str">
        <f>Schlüssel!$BA$1</f>
        <v>01.02./02.02.</v>
      </c>
      <c r="V59" s="342"/>
      <c r="W59" s="34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4" t="str">
        <f>Schlüssel!$AQ$2</f>
        <v>Unterföhring Dreambowl Palace</v>
      </c>
      <c r="G60" s="344"/>
      <c r="H60" s="344"/>
      <c r="I60" s="344"/>
      <c r="J60" s="344"/>
      <c r="K60" s="344"/>
      <c r="L60" s="344"/>
      <c r="M60" s="344"/>
      <c r="N60" s="344"/>
      <c r="O60" s="344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25">
      <c r="B63" s="67" t="s">
        <v>1</v>
      </c>
      <c r="C63" s="68"/>
      <c r="D63" s="346" t="s">
        <v>1800</v>
      </c>
      <c r="E63" s="347"/>
      <c r="F63" s="346" t="s">
        <v>1801</v>
      </c>
      <c r="G63" s="347"/>
      <c r="H63" s="346" t="s">
        <v>1802</v>
      </c>
      <c r="I63" s="347"/>
      <c r="J63" s="346" t="s">
        <v>1803</v>
      </c>
      <c r="K63" s="347"/>
      <c r="L63" s="346" t="s">
        <v>1804</v>
      </c>
      <c r="M63" s="347"/>
      <c r="N63" s="346" t="s">
        <v>1805</v>
      </c>
      <c r="O63" s="347"/>
      <c r="P63" s="346" t="s">
        <v>1806</v>
      </c>
      <c r="Q63" s="347"/>
      <c r="R63" s="346" t="s">
        <v>1807</v>
      </c>
      <c r="S63" s="347"/>
      <c r="T63" s="346" t="s">
        <v>1808</v>
      </c>
      <c r="U63" s="347"/>
      <c r="V63" s="354" t="s">
        <v>1799</v>
      </c>
      <c r="W63" s="355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3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3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3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3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70">
        <f>VLOOKUP(B60,Schlüssel!$A$5:$DZ$14,43)</f>
        <v>10</v>
      </c>
      <c r="E80" s="371"/>
      <c r="F80" s="370">
        <f>VLOOKUP(B60,Schlüssel!$A$5:$DZ$14,44)</f>
        <v>1</v>
      </c>
      <c r="G80" s="371"/>
      <c r="H80" s="370">
        <f>VLOOKUP(B60,Schlüssel!$A$5:$DZ$14,45)</f>
        <v>2</v>
      </c>
      <c r="I80" s="371"/>
      <c r="J80" s="370">
        <f>VLOOKUP(B60,Schlüssel!$A$5:$DZ$14,46)</f>
        <v>6</v>
      </c>
      <c r="K80" s="371"/>
      <c r="L80" s="370">
        <f>VLOOKUP(B60,Schlüssel!$A$5:$DZ$14,47)</f>
        <v>9</v>
      </c>
      <c r="M80" s="371"/>
      <c r="N80" s="370">
        <f>VLOOKUP(B60,Schlüssel!$A$5:$DZ$14,48)</f>
        <v>7</v>
      </c>
      <c r="O80" s="371"/>
      <c r="P80" s="370">
        <f>VLOOKUP(B60,Schlüssel!$A$5:$DZ$14,49)</f>
        <v>5</v>
      </c>
      <c r="Q80" s="371"/>
      <c r="R80" s="370">
        <f>VLOOKUP(B60,Schlüssel!$A$5:$DZ$14,50)</f>
        <v>4</v>
      </c>
      <c r="S80" s="371"/>
      <c r="T80" s="370">
        <f>VLOOKUP(B60,Schlüssel!$A$5:$DZ$14,51)</f>
        <v>8</v>
      </c>
      <c r="U80" s="371"/>
      <c r="V80" s="357"/>
      <c r="W80" s="357"/>
    </row>
    <row r="81" spans="1:29" ht="28.5" customHeight="1" x14ac:dyDescent="0.25">
      <c r="B81" s="90"/>
      <c r="C81" s="86"/>
      <c r="D81" s="358" t="str">
        <f>VLOOKUP(D80,Schlüssel!$A$5:$K$14,2)</f>
        <v>High Roller Rosenheim 1</v>
      </c>
      <c r="E81" s="359"/>
      <c r="F81" s="358" t="str">
        <f>VLOOKUP(F80,Schlüssel!$A$5:$K$14,2)</f>
        <v>BC Comet Nürnberg</v>
      </c>
      <c r="G81" s="359"/>
      <c r="H81" s="358" t="str">
        <f>VLOOKUP(H80,Schlüssel!$A$5:$K$14,2)</f>
        <v>Bajuwaren München 1</v>
      </c>
      <c r="I81" s="359"/>
      <c r="J81" s="358" t="str">
        <f>VLOOKUP(J80,Schlüssel!$A$5:$K$14,2)</f>
        <v>SG Rottendorf 1</v>
      </c>
      <c r="K81" s="359"/>
      <c r="L81" s="358" t="str">
        <f>VLOOKUP(L80,Schlüssel!$A$5:$K$14,2)</f>
        <v>Bowlinghaus Bamberg 1</v>
      </c>
      <c r="M81" s="359"/>
      <c r="N81" s="358" t="str">
        <f>VLOOKUP(N80,Schlüssel!$A$5:$K$14,2)</f>
        <v>Schanzer Ingolstadt 1</v>
      </c>
      <c r="O81" s="359"/>
      <c r="P81" s="358" t="str">
        <f>VLOOKUP(P80,Schlüssel!$A$5:$K$14,2)</f>
        <v>RW Lichtenhof Stein 1</v>
      </c>
      <c r="Q81" s="359"/>
      <c r="R81" s="358" t="str">
        <f>VLOOKUP(R80,Schlüssel!$A$5:$K$14,2)</f>
        <v>SG DJK Rimpar</v>
      </c>
      <c r="S81" s="359"/>
      <c r="T81" s="358" t="str">
        <f>VLOOKUP(T80,Schlüssel!$A$5:$K$14,2)</f>
        <v>BC EMAX Unterföhring 2</v>
      </c>
      <c r="U81" s="359"/>
      <c r="V81" s="363"/>
      <c r="W81" s="363"/>
    </row>
    <row r="82" spans="1:29" ht="12" customHeight="1" x14ac:dyDescent="0.25">
      <c r="B82" s="90"/>
      <c r="C82" s="86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1"/>
      <c r="V82" s="298"/>
      <c r="W82" s="298"/>
    </row>
    <row r="83" spans="1:29" ht="15.9" customHeight="1" x14ac:dyDescent="0.25">
      <c r="B83" s="91" t="s">
        <v>0</v>
      </c>
      <c r="C83" s="9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4"/>
      <c r="W83" s="364"/>
    </row>
    <row r="84" spans="1:29" ht="15.9" customHeight="1" x14ac:dyDescent="0.25">
      <c r="B84" s="91" t="s">
        <v>2</v>
      </c>
      <c r="C84" s="9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4"/>
      <c r="W84" s="364"/>
    </row>
    <row r="85" spans="1:29" ht="15.9" customHeight="1" x14ac:dyDescent="0.25">
      <c r="B85" s="91" t="s">
        <v>3</v>
      </c>
      <c r="C85" s="9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4"/>
      <c r="W85" s="364"/>
    </row>
    <row r="86" spans="1:29" ht="15.9" customHeight="1" x14ac:dyDescent="0.25">
      <c r="B86" s="91" t="s">
        <v>11</v>
      </c>
      <c r="C86" s="9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4"/>
      <c r="W86" s="364"/>
    </row>
    <row r="87" spans="1:29" ht="15.9" customHeight="1" x14ac:dyDescent="0.25">
      <c r="B87" s="93" t="s">
        <v>1799</v>
      </c>
      <c r="C87" s="94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01"/>
      <c r="W87" s="30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5" t="str">
        <f>Schlüssel!$C$1</f>
        <v>Bayernliga Herren</v>
      </c>
      <c r="G88" s="345"/>
      <c r="H88" s="345"/>
      <c r="I88" s="345"/>
      <c r="J88" s="345"/>
      <c r="K88" s="345"/>
      <c r="L88" s="345"/>
      <c r="M88" s="345"/>
      <c r="N88" s="345"/>
      <c r="O88" s="345"/>
      <c r="P88" s="45"/>
      <c r="Q88" s="45"/>
      <c r="R88" s="48"/>
      <c r="S88" s="49" t="s">
        <v>1794</v>
      </c>
      <c r="T88" s="50"/>
      <c r="U88" s="341" t="str">
        <f>Schlüssel!$BA$1</f>
        <v>01.02./02.02.</v>
      </c>
      <c r="V88" s="342"/>
      <c r="W88" s="34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4" t="str">
        <f>Schlüssel!$AQ$2</f>
        <v>Unterföhring Dreambowl Palace</v>
      </c>
      <c r="G89" s="344"/>
      <c r="H89" s="344"/>
      <c r="I89" s="344"/>
      <c r="J89" s="344"/>
      <c r="K89" s="344"/>
      <c r="L89" s="344"/>
      <c r="M89" s="344"/>
      <c r="N89" s="344"/>
      <c r="O89" s="344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25">
      <c r="B92" s="67" t="s">
        <v>1</v>
      </c>
      <c r="C92" s="68"/>
      <c r="D92" s="346" t="s">
        <v>1800</v>
      </c>
      <c r="E92" s="347"/>
      <c r="F92" s="346" t="s">
        <v>1801</v>
      </c>
      <c r="G92" s="347"/>
      <c r="H92" s="346" t="s">
        <v>1802</v>
      </c>
      <c r="I92" s="347"/>
      <c r="J92" s="346" t="s">
        <v>1803</v>
      </c>
      <c r="K92" s="347"/>
      <c r="L92" s="346" t="s">
        <v>1804</v>
      </c>
      <c r="M92" s="347"/>
      <c r="N92" s="346" t="s">
        <v>1805</v>
      </c>
      <c r="O92" s="347"/>
      <c r="P92" s="346" t="s">
        <v>1806</v>
      </c>
      <c r="Q92" s="347"/>
      <c r="R92" s="346" t="s">
        <v>1807</v>
      </c>
      <c r="S92" s="347"/>
      <c r="T92" s="346" t="s">
        <v>1808</v>
      </c>
      <c r="U92" s="347"/>
      <c r="V92" s="354" t="s">
        <v>1799</v>
      </c>
      <c r="W92" s="355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3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3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3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3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70">
        <f>VLOOKUP(B89,Schlüssel!$A$5:$DZ$14,43)</f>
        <v>6</v>
      </c>
      <c r="E109" s="371"/>
      <c r="F109" s="370">
        <f>VLOOKUP(B89,Schlüssel!$A$5:$DZ$14,44)</f>
        <v>5</v>
      </c>
      <c r="G109" s="371"/>
      <c r="H109" s="370">
        <f>VLOOKUP(B89,Schlüssel!$A$5:$DZ$14,45)</f>
        <v>9</v>
      </c>
      <c r="I109" s="371"/>
      <c r="J109" s="370">
        <f>VLOOKUP(B89,Schlüssel!$A$5:$DZ$14,46)</f>
        <v>7</v>
      </c>
      <c r="K109" s="371"/>
      <c r="L109" s="370">
        <f>VLOOKUP(B89,Schlüssel!$A$5:$DZ$14,47)</f>
        <v>8</v>
      </c>
      <c r="M109" s="371"/>
      <c r="N109" s="370">
        <f>VLOOKUP(B89,Schlüssel!$A$5:$DZ$14,48)</f>
        <v>1</v>
      </c>
      <c r="O109" s="371"/>
      <c r="P109" s="370">
        <f>VLOOKUP(B89,Schlüssel!$A$5:$DZ$14,49)</f>
        <v>10</v>
      </c>
      <c r="Q109" s="371"/>
      <c r="R109" s="370">
        <f>VLOOKUP(B89,Schlüssel!$A$5:$DZ$14,50)</f>
        <v>3</v>
      </c>
      <c r="S109" s="371"/>
      <c r="T109" s="370">
        <f>VLOOKUP(B89,Schlüssel!$A$5:$DZ$14,51)</f>
        <v>2</v>
      </c>
      <c r="U109" s="371"/>
      <c r="V109" s="357"/>
      <c r="W109" s="357"/>
    </row>
    <row r="110" spans="1:23" ht="28.5" customHeight="1" x14ac:dyDescent="0.25">
      <c r="B110" s="90"/>
      <c r="C110" s="86"/>
      <c r="D110" s="358" t="str">
        <f>VLOOKUP(D109,Schlüssel!$A$5:$K$14,2)</f>
        <v>SG Rottendorf 1</v>
      </c>
      <c r="E110" s="359"/>
      <c r="F110" s="358" t="str">
        <f>VLOOKUP(F109,Schlüssel!$A$5:$K$14,2)</f>
        <v>RW Lichtenhof Stein 1</v>
      </c>
      <c r="G110" s="359"/>
      <c r="H110" s="358" t="str">
        <f>VLOOKUP(H109,Schlüssel!$A$5:$K$14,2)</f>
        <v>Bowlinghaus Bamberg 1</v>
      </c>
      <c r="I110" s="359"/>
      <c r="J110" s="358" t="str">
        <f>VLOOKUP(J109,Schlüssel!$A$5:$K$14,2)</f>
        <v>Schanzer Ingolstadt 1</v>
      </c>
      <c r="K110" s="359"/>
      <c r="L110" s="358" t="str">
        <f>VLOOKUP(L109,Schlüssel!$A$5:$K$14,2)</f>
        <v>BC EMAX Unterföhring 2</v>
      </c>
      <c r="M110" s="359"/>
      <c r="N110" s="358" t="str">
        <f>VLOOKUP(N109,Schlüssel!$A$5:$K$14,2)</f>
        <v>BC Comet Nürnberg</v>
      </c>
      <c r="O110" s="359"/>
      <c r="P110" s="358" t="str">
        <f>VLOOKUP(P109,Schlüssel!$A$5:$K$14,2)</f>
        <v>High Roller Rosenheim 1</v>
      </c>
      <c r="Q110" s="359"/>
      <c r="R110" s="358" t="str">
        <f>VLOOKUP(R109,Schlüssel!$A$5:$K$14,2)</f>
        <v>BK München 3</v>
      </c>
      <c r="S110" s="359"/>
      <c r="T110" s="358" t="str">
        <f>VLOOKUP(T109,Schlüssel!$A$5:$K$14,2)</f>
        <v>Bajuwaren München 1</v>
      </c>
      <c r="U110" s="359"/>
      <c r="V110" s="363"/>
      <c r="W110" s="363"/>
    </row>
    <row r="111" spans="1:23" ht="12" customHeight="1" x14ac:dyDescent="0.25">
      <c r="B111" s="90"/>
      <c r="C111" s="86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1"/>
      <c r="V111" s="298"/>
      <c r="W111" s="298"/>
    </row>
    <row r="112" spans="1:23" ht="15.9" customHeight="1" x14ac:dyDescent="0.25">
      <c r="B112" s="91" t="s">
        <v>0</v>
      </c>
      <c r="C112" s="92"/>
      <c r="D112" s="362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2"/>
      <c r="S112" s="362"/>
      <c r="T112" s="362"/>
      <c r="U112" s="362"/>
      <c r="V112" s="364"/>
      <c r="W112" s="364"/>
    </row>
    <row r="113" spans="1:29" ht="15.9" customHeight="1" x14ac:dyDescent="0.25">
      <c r="B113" s="91" t="s">
        <v>2</v>
      </c>
      <c r="C113" s="92"/>
      <c r="D113" s="362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4"/>
      <c r="W113" s="364"/>
    </row>
    <row r="114" spans="1:29" ht="15.9" customHeight="1" x14ac:dyDescent="0.25">
      <c r="B114" s="91" t="s">
        <v>3</v>
      </c>
      <c r="C114" s="92"/>
      <c r="D114" s="362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4"/>
      <c r="W114" s="364"/>
    </row>
    <row r="115" spans="1:29" ht="15.9" customHeight="1" x14ac:dyDescent="0.25">
      <c r="B115" s="91" t="s">
        <v>11</v>
      </c>
      <c r="C115" s="92"/>
      <c r="D115" s="362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4"/>
      <c r="W115" s="364"/>
    </row>
    <row r="116" spans="1:29" ht="15.9" customHeight="1" x14ac:dyDescent="0.25">
      <c r="B116" s="93" t="s">
        <v>1799</v>
      </c>
      <c r="C116" s="94"/>
      <c r="D116" s="365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01"/>
      <c r="W116" s="30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5" t="str">
        <f>Schlüssel!$C$1</f>
        <v>Bayernliga Herren</v>
      </c>
      <c r="G117" s="345"/>
      <c r="H117" s="345"/>
      <c r="I117" s="345"/>
      <c r="J117" s="345"/>
      <c r="K117" s="345"/>
      <c r="L117" s="345"/>
      <c r="M117" s="345"/>
      <c r="N117" s="345"/>
      <c r="O117" s="345"/>
      <c r="P117" s="45"/>
      <c r="Q117" s="45"/>
      <c r="R117" s="48"/>
      <c r="S117" s="49" t="s">
        <v>1794</v>
      </c>
      <c r="T117" s="50"/>
      <c r="U117" s="341" t="str">
        <f>Schlüssel!$BA$1</f>
        <v>01.02./02.02.</v>
      </c>
      <c r="V117" s="342"/>
      <c r="W117" s="34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4" t="str">
        <f>Schlüssel!$AQ$2</f>
        <v>Unterföhring Dreambowl Palace</v>
      </c>
      <c r="G118" s="344"/>
      <c r="H118" s="344"/>
      <c r="I118" s="344"/>
      <c r="J118" s="344"/>
      <c r="K118" s="344"/>
      <c r="L118" s="344"/>
      <c r="M118" s="344"/>
      <c r="N118" s="344"/>
      <c r="O118" s="344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25">
      <c r="B121" s="67" t="s">
        <v>1</v>
      </c>
      <c r="C121" s="68"/>
      <c r="D121" s="346" t="s">
        <v>1800</v>
      </c>
      <c r="E121" s="347"/>
      <c r="F121" s="346" t="s">
        <v>1801</v>
      </c>
      <c r="G121" s="347"/>
      <c r="H121" s="346" t="s">
        <v>1802</v>
      </c>
      <c r="I121" s="347"/>
      <c r="J121" s="346" t="s">
        <v>1803</v>
      </c>
      <c r="K121" s="347"/>
      <c r="L121" s="346" t="s">
        <v>1804</v>
      </c>
      <c r="M121" s="347"/>
      <c r="N121" s="346" t="s">
        <v>1805</v>
      </c>
      <c r="O121" s="347"/>
      <c r="P121" s="346" t="s">
        <v>1806</v>
      </c>
      <c r="Q121" s="347"/>
      <c r="R121" s="346" t="s">
        <v>1807</v>
      </c>
      <c r="S121" s="347"/>
      <c r="T121" s="346" t="s">
        <v>1808</v>
      </c>
      <c r="U121" s="347"/>
      <c r="V121" s="354" t="s">
        <v>1799</v>
      </c>
      <c r="W121" s="355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3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3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3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3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70">
        <f>VLOOKUP(B118,Schlüssel!$A$5:$DZ$14,43)</f>
        <v>1</v>
      </c>
      <c r="E138" s="371"/>
      <c r="F138" s="370">
        <f>VLOOKUP(B118,Schlüssel!$A$5:$DZ$14,44)</f>
        <v>4</v>
      </c>
      <c r="G138" s="371"/>
      <c r="H138" s="370">
        <f>VLOOKUP(B118,Schlüssel!$A$5:$DZ$14,45)</f>
        <v>6</v>
      </c>
      <c r="I138" s="371"/>
      <c r="J138" s="370">
        <f>VLOOKUP(B118,Schlüssel!$A$5:$DZ$14,46)</f>
        <v>9</v>
      </c>
      <c r="K138" s="371"/>
      <c r="L138" s="370">
        <f>VLOOKUP(B118,Schlüssel!$A$5:$DZ$14,47)</f>
        <v>10</v>
      </c>
      <c r="M138" s="371"/>
      <c r="N138" s="370">
        <f>VLOOKUP(B118,Schlüssel!$A$5:$DZ$14,48)</f>
        <v>8</v>
      </c>
      <c r="O138" s="371"/>
      <c r="P138" s="370">
        <f>VLOOKUP(B118,Schlüssel!$A$5:$DZ$14,49)</f>
        <v>3</v>
      </c>
      <c r="Q138" s="371"/>
      <c r="R138" s="370">
        <f>VLOOKUP(B118,Schlüssel!$A$5:$DZ$14,50)</f>
        <v>2</v>
      </c>
      <c r="S138" s="371"/>
      <c r="T138" s="370">
        <f>VLOOKUP(B118,Schlüssel!$A$5:$DZ$14,51)</f>
        <v>7</v>
      </c>
      <c r="U138" s="371"/>
      <c r="V138" s="357"/>
      <c r="W138" s="357"/>
    </row>
    <row r="139" spans="1:23" ht="28.5" customHeight="1" x14ac:dyDescent="0.25">
      <c r="B139" s="90"/>
      <c r="C139" s="86"/>
      <c r="D139" s="358" t="str">
        <f>VLOOKUP(D138,Schlüssel!$A$5:$K$14,2)</f>
        <v>BC Comet Nürnberg</v>
      </c>
      <c r="E139" s="359"/>
      <c r="F139" s="358" t="str">
        <f>VLOOKUP(F138,Schlüssel!$A$5:$K$14,2)</f>
        <v>SG DJK Rimpar</v>
      </c>
      <c r="G139" s="359"/>
      <c r="H139" s="358" t="str">
        <f>VLOOKUP(H138,Schlüssel!$A$5:$K$14,2)</f>
        <v>SG Rottendorf 1</v>
      </c>
      <c r="I139" s="359"/>
      <c r="J139" s="358" t="str">
        <f>VLOOKUP(J138,Schlüssel!$A$5:$K$14,2)</f>
        <v>Bowlinghaus Bamberg 1</v>
      </c>
      <c r="K139" s="359"/>
      <c r="L139" s="358" t="str">
        <f>VLOOKUP(L138,Schlüssel!$A$5:$K$14,2)</f>
        <v>High Roller Rosenheim 1</v>
      </c>
      <c r="M139" s="359"/>
      <c r="N139" s="358" t="str">
        <f>VLOOKUP(N138,Schlüssel!$A$5:$K$14,2)</f>
        <v>BC EMAX Unterföhring 2</v>
      </c>
      <c r="O139" s="359"/>
      <c r="P139" s="358" t="str">
        <f>VLOOKUP(P138,Schlüssel!$A$5:$K$14,2)</f>
        <v>BK München 3</v>
      </c>
      <c r="Q139" s="359"/>
      <c r="R139" s="358" t="str">
        <f>VLOOKUP(R138,Schlüssel!$A$5:$K$14,2)</f>
        <v>Bajuwaren München 1</v>
      </c>
      <c r="S139" s="359"/>
      <c r="T139" s="358" t="str">
        <f>VLOOKUP(T138,Schlüssel!$A$5:$K$14,2)</f>
        <v>Schanzer Ingolstadt 1</v>
      </c>
      <c r="U139" s="359"/>
      <c r="V139" s="363"/>
      <c r="W139" s="363"/>
    </row>
    <row r="140" spans="1:23" ht="12" customHeight="1" x14ac:dyDescent="0.25">
      <c r="B140" s="90"/>
      <c r="C140" s="86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  <c r="O140" s="360"/>
      <c r="P140" s="360"/>
      <c r="Q140" s="360"/>
      <c r="R140" s="360"/>
      <c r="S140" s="360"/>
      <c r="T140" s="360"/>
      <c r="U140" s="361"/>
      <c r="V140" s="298"/>
      <c r="W140" s="298"/>
    </row>
    <row r="141" spans="1:23" ht="15.9" customHeight="1" x14ac:dyDescent="0.25">
      <c r="B141" s="91" t="s">
        <v>0</v>
      </c>
      <c r="C141" s="92"/>
      <c r="D141" s="362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4"/>
      <c r="W141" s="364"/>
    </row>
    <row r="142" spans="1:23" ht="15.9" customHeight="1" x14ac:dyDescent="0.25">
      <c r="B142" s="91" t="s">
        <v>2</v>
      </c>
      <c r="C142" s="92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4"/>
      <c r="W142" s="364"/>
    </row>
    <row r="143" spans="1:23" ht="15.9" customHeight="1" x14ac:dyDescent="0.25">
      <c r="B143" s="91" t="s">
        <v>3</v>
      </c>
      <c r="C143" s="92"/>
      <c r="D143" s="362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4"/>
      <c r="W143" s="364"/>
    </row>
    <row r="144" spans="1:23" ht="15.9" customHeight="1" x14ac:dyDescent="0.25">
      <c r="B144" s="91" t="s">
        <v>11</v>
      </c>
      <c r="C144" s="9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4"/>
      <c r="W144" s="364"/>
    </row>
    <row r="145" spans="1:29" ht="15.9" customHeight="1" x14ac:dyDescent="0.25">
      <c r="B145" s="93" t="s">
        <v>1799</v>
      </c>
      <c r="C145" s="94"/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01"/>
      <c r="W145" s="30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5" t="str">
        <f>Schlüssel!$C$1</f>
        <v>Bayernliga Herren</v>
      </c>
      <c r="G146" s="345"/>
      <c r="H146" s="345"/>
      <c r="I146" s="345"/>
      <c r="J146" s="345"/>
      <c r="K146" s="345"/>
      <c r="L146" s="345"/>
      <c r="M146" s="345"/>
      <c r="N146" s="345"/>
      <c r="O146" s="345"/>
      <c r="P146" s="45"/>
      <c r="Q146" s="45"/>
      <c r="R146" s="48"/>
      <c r="S146" s="49" t="s">
        <v>1794</v>
      </c>
      <c r="T146" s="50"/>
      <c r="U146" s="341" t="str">
        <f>Schlüssel!$BA$1</f>
        <v>01.02./02.02.</v>
      </c>
      <c r="V146" s="342"/>
      <c r="W146" s="34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4" t="str">
        <f>Schlüssel!$AQ$2</f>
        <v>Unterföhring Dreambowl Palace</v>
      </c>
      <c r="G147" s="344"/>
      <c r="H147" s="344"/>
      <c r="I147" s="344"/>
      <c r="J147" s="344"/>
      <c r="K147" s="344"/>
      <c r="L147" s="344"/>
      <c r="M147" s="344"/>
      <c r="N147" s="344"/>
      <c r="O147" s="344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25">
      <c r="B150" s="67" t="s">
        <v>1</v>
      </c>
      <c r="C150" s="68"/>
      <c r="D150" s="346" t="s">
        <v>1800</v>
      </c>
      <c r="E150" s="347"/>
      <c r="F150" s="346" t="s">
        <v>1801</v>
      </c>
      <c r="G150" s="347"/>
      <c r="H150" s="346" t="s">
        <v>1802</v>
      </c>
      <c r="I150" s="347"/>
      <c r="J150" s="346" t="s">
        <v>1803</v>
      </c>
      <c r="K150" s="347"/>
      <c r="L150" s="346" t="s">
        <v>1804</v>
      </c>
      <c r="M150" s="347"/>
      <c r="N150" s="346" t="s">
        <v>1805</v>
      </c>
      <c r="O150" s="347"/>
      <c r="P150" s="346" t="s">
        <v>1806</v>
      </c>
      <c r="Q150" s="347"/>
      <c r="R150" s="346" t="s">
        <v>1807</v>
      </c>
      <c r="S150" s="347"/>
      <c r="T150" s="346" t="s">
        <v>1808</v>
      </c>
      <c r="U150" s="347"/>
      <c r="V150" s="354" t="s">
        <v>1799</v>
      </c>
      <c r="W150" s="355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3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3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3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3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70">
        <f>VLOOKUP(B147,Schlüssel!$A$5:$DZ$14,43)</f>
        <v>4</v>
      </c>
      <c r="E167" s="371"/>
      <c r="F167" s="370">
        <f>VLOOKUP(B147,Schlüssel!$A$5:$DZ$14,44)</f>
        <v>7</v>
      </c>
      <c r="G167" s="371"/>
      <c r="H167" s="370">
        <f>VLOOKUP(B147,Schlüssel!$A$5:$DZ$14,45)</f>
        <v>5</v>
      </c>
      <c r="I167" s="371"/>
      <c r="J167" s="370">
        <f>VLOOKUP(B147,Schlüssel!$A$5:$DZ$14,46)</f>
        <v>3</v>
      </c>
      <c r="K167" s="371"/>
      <c r="L167" s="370">
        <f>VLOOKUP(B147,Schlüssel!$A$5:$DZ$14,47)</f>
        <v>1</v>
      </c>
      <c r="M167" s="371"/>
      <c r="N167" s="370">
        <f>VLOOKUP(B147,Schlüssel!$A$5:$DZ$14,48)</f>
        <v>2</v>
      </c>
      <c r="O167" s="371"/>
      <c r="P167" s="370">
        <f>VLOOKUP(B147,Schlüssel!$A$5:$DZ$14,49)</f>
        <v>8</v>
      </c>
      <c r="Q167" s="371"/>
      <c r="R167" s="370">
        <f>VLOOKUP(B147,Schlüssel!$A$5:$DZ$14,50)</f>
        <v>10</v>
      </c>
      <c r="S167" s="371"/>
      <c r="T167" s="370">
        <f>VLOOKUP(B147,Schlüssel!$A$5:$DZ$14,51)</f>
        <v>9</v>
      </c>
      <c r="U167" s="371"/>
      <c r="V167" s="357"/>
      <c r="W167" s="357"/>
    </row>
    <row r="168" spans="1:29" ht="28.5" customHeight="1" x14ac:dyDescent="0.25">
      <c r="B168" s="90"/>
      <c r="C168" s="86"/>
      <c r="D168" s="358" t="str">
        <f>VLOOKUP(D167,Schlüssel!$A$5:$K$14,2)</f>
        <v>SG DJK Rimpar</v>
      </c>
      <c r="E168" s="359"/>
      <c r="F168" s="358" t="str">
        <f>VLOOKUP(F167,Schlüssel!$A$5:$K$14,2)</f>
        <v>Schanzer Ingolstadt 1</v>
      </c>
      <c r="G168" s="359"/>
      <c r="H168" s="358" t="str">
        <f>VLOOKUP(H167,Schlüssel!$A$5:$K$14,2)</f>
        <v>RW Lichtenhof Stein 1</v>
      </c>
      <c r="I168" s="359"/>
      <c r="J168" s="358" t="str">
        <f>VLOOKUP(J167,Schlüssel!$A$5:$K$14,2)</f>
        <v>BK München 3</v>
      </c>
      <c r="K168" s="359"/>
      <c r="L168" s="358" t="str">
        <f>VLOOKUP(L167,Schlüssel!$A$5:$K$14,2)</f>
        <v>BC Comet Nürnberg</v>
      </c>
      <c r="M168" s="359"/>
      <c r="N168" s="358" t="str">
        <f>VLOOKUP(N167,Schlüssel!$A$5:$K$14,2)</f>
        <v>Bajuwaren München 1</v>
      </c>
      <c r="O168" s="359"/>
      <c r="P168" s="358" t="str">
        <f>VLOOKUP(P167,Schlüssel!$A$5:$K$14,2)</f>
        <v>BC EMAX Unterföhring 2</v>
      </c>
      <c r="Q168" s="359"/>
      <c r="R168" s="358" t="str">
        <f>VLOOKUP(R167,Schlüssel!$A$5:$K$14,2)</f>
        <v>High Roller Rosenheim 1</v>
      </c>
      <c r="S168" s="359"/>
      <c r="T168" s="358" t="str">
        <f>VLOOKUP(T167,Schlüssel!$A$5:$K$14,2)</f>
        <v>Bowlinghaus Bamberg 1</v>
      </c>
      <c r="U168" s="359"/>
      <c r="V168" s="363"/>
      <c r="W168" s="363"/>
    </row>
    <row r="169" spans="1:29" ht="12" customHeight="1" x14ac:dyDescent="0.25">
      <c r="B169" s="90"/>
      <c r="C169" s="86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  <c r="O169" s="360"/>
      <c r="P169" s="360"/>
      <c r="Q169" s="360"/>
      <c r="R169" s="360"/>
      <c r="S169" s="360"/>
      <c r="T169" s="360"/>
      <c r="U169" s="361"/>
      <c r="V169" s="298"/>
      <c r="W169" s="298"/>
    </row>
    <row r="170" spans="1:29" ht="15.9" customHeight="1" x14ac:dyDescent="0.25">
      <c r="B170" s="91" t="s">
        <v>0</v>
      </c>
      <c r="C170" s="92"/>
      <c r="D170" s="362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4"/>
      <c r="W170" s="364"/>
    </row>
    <row r="171" spans="1:29" ht="15.9" customHeight="1" x14ac:dyDescent="0.25">
      <c r="B171" s="91" t="s">
        <v>2</v>
      </c>
      <c r="C171" s="92"/>
      <c r="D171" s="362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4"/>
      <c r="W171" s="364"/>
    </row>
    <row r="172" spans="1:29" ht="15.9" customHeight="1" x14ac:dyDescent="0.25">
      <c r="B172" s="91" t="s">
        <v>3</v>
      </c>
      <c r="C172" s="92"/>
      <c r="D172" s="362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4"/>
      <c r="W172" s="364"/>
    </row>
    <row r="173" spans="1:29" ht="15.9" customHeight="1" x14ac:dyDescent="0.25">
      <c r="B173" s="91" t="s">
        <v>11</v>
      </c>
      <c r="C173" s="92"/>
      <c r="D173" s="362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4"/>
      <c r="W173" s="364"/>
    </row>
    <row r="174" spans="1:29" ht="15.9" customHeight="1" x14ac:dyDescent="0.25">
      <c r="B174" s="93" t="s">
        <v>1799</v>
      </c>
      <c r="C174" s="94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01"/>
      <c r="W174" s="30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5" t="str">
        <f>Schlüssel!$C$1</f>
        <v>Bayernliga Herren</v>
      </c>
      <c r="G175" s="345"/>
      <c r="H175" s="345"/>
      <c r="I175" s="345"/>
      <c r="J175" s="345"/>
      <c r="K175" s="345"/>
      <c r="L175" s="345"/>
      <c r="M175" s="345"/>
      <c r="N175" s="345"/>
      <c r="O175" s="345"/>
      <c r="P175" s="45"/>
      <c r="Q175" s="45"/>
      <c r="R175" s="48"/>
      <c r="S175" s="49" t="s">
        <v>1794</v>
      </c>
      <c r="T175" s="50"/>
      <c r="U175" s="341" t="str">
        <f>Schlüssel!$BA$1</f>
        <v>01.02./02.02.</v>
      </c>
      <c r="V175" s="342"/>
      <c r="W175" s="34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4" t="str">
        <f>Schlüssel!$AQ$2</f>
        <v>Unterföhring Dreambowl Palace</v>
      </c>
      <c r="G176" s="344"/>
      <c r="H176" s="344"/>
      <c r="I176" s="344"/>
      <c r="J176" s="344"/>
      <c r="K176" s="344"/>
      <c r="L176" s="344"/>
      <c r="M176" s="344"/>
      <c r="N176" s="344"/>
      <c r="O176" s="344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25">
      <c r="B179" s="67" t="s">
        <v>1</v>
      </c>
      <c r="C179" s="68"/>
      <c r="D179" s="346" t="s">
        <v>1800</v>
      </c>
      <c r="E179" s="347"/>
      <c r="F179" s="346" t="s">
        <v>1801</v>
      </c>
      <c r="G179" s="347"/>
      <c r="H179" s="346" t="s">
        <v>1802</v>
      </c>
      <c r="I179" s="347"/>
      <c r="J179" s="346" t="s">
        <v>1803</v>
      </c>
      <c r="K179" s="347"/>
      <c r="L179" s="346" t="s">
        <v>1804</v>
      </c>
      <c r="M179" s="347"/>
      <c r="N179" s="346" t="s">
        <v>1805</v>
      </c>
      <c r="O179" s="347"/>
      <c r="P179" s="346" t="s">
        <v>1806</v>
      </c>
      <c r="Q179" s="347"/>
      <c r="R179" s="346" t="s">
        <v>1807</v>
      </c>
      <c r="S179" s="347"/>
      <c r="T179" s="346" t="s">
        <v>1808</v>
      </c>
      <c r="U179" s="347"/>
      <c r="V179" s="354" t="s">
        <v>1799</v>
      </c>
      <c r="W179" s="355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3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3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3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3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70">
        <f>VLOOKUP(B176,Schlüssel!$A$5:$DZ$14,43)</f>
        <v>9</v>
      </c>
      <c r="E196" s="371"/>
      <c r="F196" s="370">
        <f>VLOOKUP(B176,Schlüssel!$A$5:$DZ$14,44)</f>
        <v>6</v>
      </c>
      <c r="G196" s="371"/>
      <c r="H196" s="370">
        <f>VLOOKUP(B176,Schlüssel!$A$5:$DZ$14,45)</f>
        <v>10</v>
      </c>
      <c r="I196" s="371"/>
      <c r="J196" s="370">
        <f>VLOOKUP(B176,Schlüssel!$A$5:$DZ$14,46)</f>
        <v>4</v>
      </c>
      <c r="K196" s="371"/>
      <c r="L196" s="370">
        <f>VLOOKUP(B176,Schlüssel!$A$5:$DZ$14,47)</f>
        <v>2</v>
      </c>
      <c r="M196" s="371"/>
      <c r="N196" s="370">
        <f>VLOOKUP(B176,Schlüssel!$A$5:$DZ$14,48)</f>
        <v>3</v>
      </c>
      <c r="O196" s="371"/>
      <c r="P196" s="370">
        <f>VLOOKUP(B176,Schlüssel!$A$5:$DZ$14,49)</f>
        <v>1</v>
      </c>
      <c r="Q196" s="371"/>
      <c r="R196" s="370">
        <f>VLOOKUP(B176,Schlüssel!$A$5:$DZ$14,50)</f>
        <v>8</v>
      </c>
      <c r="S196" s="371"/>
      <c r="T196" s="370">
        <f>VLOOKUP(B176,Schlüssel!$A$5:$DZ$14,51)</f>
        <v>5</v>
      </c>
      <c r="U196" s="371"/>
      <c r="V196" s="357"/>
      <c r="W196" s="357"/>
    </row>
    <row r="197" spans="1:29" ht="28.5" customHeight="1" x14ac:dyDescent="0.25">
      <c r="B197" s="90"/>
      <c r="C197" s="86"/>
      <c r="D197" s="358" t="str">
        <f>VLOOKUP(D196,Schlüssel!$A$5:$K$14,2)</f>
        <v>Bowlinghaus Bamberg 1</v>
      </c>
      <c r="E197" s="359"/>
      <c r="F197" s="358" t="str">
        <f>VLOOKUP(F196,Schlüssel!$A$5:$K$14,2)</f>
        <v>SG Rottendorf 1</v>
      </c>
      <c r="G197" s="359"/>
      <c r="H197" s="358" t="str">
        <f>VLOOKUP(H196,Schlüssel!$A$5:$K$14,2)</f>
        <v>High Roller Rosenheim 1</v>
      </c>
      <c r="I197" s="359"/>
      <c r="J197" s="358" t="str">
        <f>VLOOKUP(J196,Schlüssel!$A$5:$K$14,2)</f>
        <v>SG DJK Rimpar</v>
      </c>
      <c r="K197" s="359"/>
      <c r="L197" s="358" t="str">
        <f>VLOOKUP(L196,Schlüssel!$A$5:$K$14,2)</f>
        <v>Bajuwaren München 1</v>
      </c>
      <c r="M197" s="359"/>
      <c r="N197" s="358" t="str">
        <f>VLOOKUP(N196,Schlüssel!$A$5:$K$14,2)</f>
        <v>BK München 3</v>
      </c>
      <c r="O197" s="359"/>
      <c r="P197" s="358" t="str">
        <f>VLOOKUP(P196,Schlüssel!$A$5:$K$14,2)</f>
        <v>BC Comet Nürnberg</v>
      </c>
      <c r="Q197" s="359"/>
      <c r="R197" s="358" t="str">
        <f>VLOOKUP(R196,Schlüssel!$A$5:$K$14,2)</f>
        <v>BC EMAX Unterföhring 2</v>
      </c>
      <c r="S197" s="359"/>
      <c r="T197" s="358" t="str">
        <f>VLOOKUP(T196,Schlüssel!$A$5:$K$14,2)</f>
        <v>RW Lichtenhof Stein 1</v>
      </c>
      <c r="U197" s="359"/>
      <c r="V197" s="363"/>
      <c r="W197" s="363"/>
    </row>
    <row r="198" spans="1:29" ht="12" customHeight="1" x14ac:dyDescent="0.25">
      <c r="B198" s="90"/>
      <c r="C198" s="86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1"/>
      <c r="V198" s="298"/>
      <c r="W198" s="298"/>
    </row>
    <row r="199" spans="1:29" ht="15.9" customHeight="1" x14ac:dyDescent="0.25">
      <c r="B199" s="91" t="s">
        <v>0</v>
      </c>
      <c r="C199" s="92"/>
      <c r="D199" s="362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4"/>
      <c r="W199" s="364"/>
    </row>
    <row r="200" spans="1:29" ht="15.9" customHeight="1" x14ac:dyDescent="0.25">
      <c r="B200" s="91" t="s">
        <v>2</v>
      </c>
      <c r="C200" s="92"/>
      <c r="D200" s="362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4"/>
      <c r="W200" s="364"/>
    </row>
    <row r="201" spans="1:29" ht="15.9" customHeight="1" x14ac:dyDescent="0.25">
      <c r="B201" s="91" t="s">
        <v>3</v>
      </c>
      <c r="C201" s="92"/>
      <c r="D201" s="362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4"/>
      <c r="W201" s="364"/>
    </row>
    <row r="202" spans="1:29" ht="15.9" customHeight="1" x14ac:dyDescent="0.25">
      <c r="B202" s="91" t="s">
        <v>11</v>
      </c>
      <c r="C202" s="92"/>
      <c r="D202" s="362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4"/>
      <c r="W202" s="364"/>
    </row>
    <row r="203" spans="1:29" ht="15.9" customHeight="1" x14ac:dyDescent="0.25">
      <c r="B203" s="93" t="s">
        <v>1799</v>
      </c>
      <c r="C203" s="94"/>
      <c r="D203" s="365"/>
      <c r="E203" s="365"/>
      <c r="F203" s="365"/>
      <c r="G203" s="365"/>
      <c r="H203" s="365"/>
      <c r="I203" s="365"/>
      <c r="J203" s="365"/>
      <c r="K203" s="365"/>
      <c r="L203" s="365"/>
      <c r="M203" s="365"/>
      <c r="N203" s="365"/>
      <c r="O203" s="365"/>
      <c r="P203" s="365"/>
      <c r="Q203" s="365"/>
      <c r="R203" s="365"/>
      <c r="S203" s="365"/>
      <c r="T203" s="365"/>
      <c r="U203" s="365"/>
      <c r="V203" s="301"/>
      <c r="W203" s="30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5" t="str">
        <f>Schlüssel!$C$1</f>
        <v>Bayernliga Herren</v>
      </c>
      <c r="G204" s="345"/>
      <c r="H204" s="345"/>
      <c r="I204" s="345"/>
      <c r="J204" s="345"/>
      <c r="K204" s="345"/>
      <c r="L204" s="345"/>
      <c r="M204" s="345"/>
      <c r="N204" s="345"/>
      <c r="O204" s="345"/>
      <c r="P204" s="45"/>
      <c r="Q204" s="45"/>
      <c r="R204" s="48"/>
      <c r="S204" s="49" t="s">
        <v>1794</v>
      </c>
      <c r="T204" s="50"/>
      <c r="U204" s="341" t="str">
        <f>Schlüssel!$BA$1</f>
        <v>01.02./02.02.</v>
      </c>
      <c r="V204" s="342"/>
      <c r="W204" s="34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4" t="str">
        <f>Schlüssel!$AQ$2</f>
        <v>Unterföhring Dreambowl Palace</v>
      </c>
      <c r="G205" s="344"/>
      <c r="H205" s="344"/>
      <c r="I205" s="344"/>
      <c r="J205" s="344"/>
      <c r="K205" s="344"/>
      <c r="L205" s="344"/>
      <c r="M205" s="344"/>
      <c r="N205" s="344"/>
      <c r="O205" s="344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25">
      <c r="B208" s="67" t="s">
        <v>1</v>
      </c>
      <c r="C208" s="68"/>
      <c r="D208" s="346" t="s">
        <v>1800</v>
      </c>
      <c r="E208" s="347"/>
      <c r="F208" s="346" t="s">
        <v>1801</v>
      </c>
      <c r="G208" s="347"/>
      <c r="H208" s="346" t="s">
        <v>1802</v>
      </c>
      <c r="I208" s="347"/>
      <c r="J208" s="346" t="s">
        <v>1803</v>
      </c>
      <c r="K208" s="347"/>
      <c r="L208" s="346" t="s">
        <v>1804</v>
      </c>
      <c r="M208" s="347"/>
      <c r="N208" s="346" t="s">
        <v>1805</v>
      </c>
      <c r="O208" s="347"/>
      <c r="P208" s="346" t="s">
        <v>1806</v>
      </c>
      <c r="Q208" s="347"/>
      <c r="R208" s="346" t="s">
        <v>1807</v>
      </c>
      <c r="S208" s="347"/>
      <c r="T208" s="346" t="s">
        <v>1808</v>
      </c>
      <c r="U208" s="347"/>
      <c r="V208" s="354" t="s">
        <v>1799</v>
      </c>
      <c r="W208" s="355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3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3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3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3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70">
        <f>VLOOKUP(B205,Schlüssel!$A$5:$DZ$14,43)</f>
        <v>2</v>
      </c>
      <c r="E225" s="371"/>
      <c r="F225" s="370">
        <f>VLOOKUP(B205,Schlüssel!$A$5:$DZ$14,44)</f>
        <v>9</v>
      </c>
      <c r="G225" s="371"/>
      <c r="H225" s="370">
        <f>VLOOKUP(B205,Schlüssel!$A$5:$DZ$14,45)</f>
        <v>1</v>
      </c>
      <c r="I225" s="371"/>
      <c r="J225" s="370">
        <f>VLOOKUP(B205,Schlüssel!$A$5:$DZ$14,46)</f>
        <v>10</v>
      </c>
      <c r="K225" s="371"/>
      <c r="L225" s="370">
        <f>VLOOKUP(B205,Schlüssel!$A$5:$DZ$14,47)</f>
        <v>4</v>
      </c>
      <c r="M225" s="371"/>
      <c r="N225" s="370">
        <f>VLOOKUP(B205,Schlüssel!$A$5:$DZ$14,48)</f>
        <v>5</v>
      </c>
      <c r="O225" s="371"/>
      <c r="P225" s="370">
        <f>VLOOKUP(B205,Schlüssel!$A$5:$DZ$14,49)</f>
        <v>6</v>
      </c>
      <c r="Q225" s="371"/>
      <c r="R225" s="370">
        <f>VLOOKUP(B205,Schlüssel!$A$5:$DZ$14,50)</f>
        <v>7</v>
      </c>
      <c r="S225" s="371"/>
      <c r="T225" s="370">
        <f>VLOOKUP(B205,Schlüssel!$A$5:$DZ$14,51)</f>
        <v>3</v>
      </c>
      <c r="U225" s="371"/>
      <c r="V225" s="357"/>
      <c r="W225" s="357"/>
    </row>
    <row r="226" spans="1:29" ht="28.5" customHeight="1" x14ac:dyDescent="0.25">
      <c r="B226" s="90"/>
      <c r="C226" s="86"/>
      <c r="D226" s="358" t="str">
        <f>VLOOKUP(D225,Schlüssel!$A$5:$K$14,2)</f>
        <v>Bajuwaren München 1</v>
      </c>
      <c r="E226" s="359"/>
      <c r="F226" s="358" t="str">
        <f>VLOOKUP(F225,Schlüssel!$A$5:$K$14,2)</f>
        <v>Bowlinghaus Bamberg 1</v>
      </c>
      <c r="G226" s="359"/>
      <c r="H226" s="358" t="str">
        <f>VLOOKUP(H225,Schlüssel!$A$5:$K$14,2)</f>
        <v>BC Comet Nürnberg</v>
      </c>
      <c r="I226" s="359"/>
      <c r="J226" s="358" t="str">
        <f>VLOOKUP(J225,Schlüssel!$A$5:$K$14,2)</f>
        <v>High Roller Rosenheim 1</v>
      </c>
      <c r="K226" s="359"/>
      <c r="L226" s="358" t="str">
        <f>VLOOKUP(L225,Schlüssel!$A$5:$K$14,2)</f>
        <v>SG DJK Rimpar</v>
      </c>
      <c r="M226" s="359"/>
      <c r="N226" s="358" t="str">
        <f>VLOOKUP(N225,Schlüssel!$A$5:$K$14,2)</f>
        <v>RW Lichtenhof Stein 1</v>
      </c>
      <c r="O226" s="359"/>
      <c r="P226" s="358" t="str">
        <f>VLOOKUP(P225,Schlüssel!$A$5:$K$14,2)</f>
        <v>SG Rottendorf 1</v>
      </c>
      <c r="Q226" s="359"/>
      <c r="R226" s="358" t="str">
        <f>VLOOKUP(R225,Schlüssel!$A$5:$K$14,2)</f>
        <v>Schanzer Ingolstadt 1</v>
      </c>
      <c r="S226" s="359"/>
      <c r="T226" s="358" t="str">
        <f>VLOOKUP(T225,Schlüssel!$A$5:$K$14,2)</f>
        <v>BK München 3</v>
      </c>
      <c r="U226" s="359"/>
      <c r="V226" s="363"/>
      <c r="W226" s="363"/>
    </row>
    <row r="227" spans="1:29" ht="12" customHeight="1" x14ac:dyDescent="0.25">
      <c r="B227" s="90"/>
      <c r="C227" s="86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1"/>
      <c r="V227" s="298"/>
      <c r="W227" s="298"/>
    </row>
    <row r="228" spans="1:29" ht="15.9" customHeight="1" x14ac:dyDescent="0.25">
      <c r="B228" s="91" t="s">
        <v>0</v>
      </c>
      <c r="C228" s="92"/>
      <c r="D228" s="362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4"/>
      <c r="W228" s="364"/>
    </row>
    <row r="229" spans="1:29" ht="15.9" customHeight="1" x14ac:dyDescent="0.25">
      <c r="B229" s="91" t="s">
        <v>2</v>
      </c>
      <c r="C229" s="92"/>
      <c r="D229" s="362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4"/>
      <c r="W229" s="364"/>
    </row>
    <row r="230" spans="1:29" ht="15.9" customHeight="1" x14ac:dyDescent="0.25">
      <c r="B230" s="91" t="s">
        <v>3</v>
      </c>
      <c r="C230" s="92"/>
      <c r="D230" s="362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4"/>
      <c r="W230" s="364"/>
    </row>
    <row r="231" spans="1:29" ht="15.9" customHeight="1" x14ac:dyDescent="0.25">
      <c r="B231" s="91" t="s">
        <v>11</v>
      </c>
      <c r="C231" s="92"/>
      <c r="D231" s="362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4"/>
      <c r="W231" s="364"/>
    </row>
    <row r="232" spans="1:29" ht="15.9" customHeight="1" x14ac:dyDescent="0.25">
      <c r="B232" s="93" t="s">
        <v>1799</v>
      </c>
      <c r="C232" s="94"/>
      <c r="D232" s="365"/>
      <c r="E232" s="36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01"/>
      <c r="W232" s="30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5" t="str">
        <f>Schlüssel!$C$1</f>
        <v>Bayernliga Herren</v>
      </c>
      <c r="G233" s="345"/>
      <c r="H233" s="345"/>
      <c r="I233" s="345"/>
      <c r="J233" s="345"/>
      <c r="K233" s="345"/>
      <c r="L233" s="345"/>
      <c r="M233" s="345"/>
      <c r="N233" s="345"/>
      <c r="O233" s="345"/>
      <c r="P233" s="45"/>
      <c r="Q233" s="45"/>
      <c r="R233" s="48"/>
      <c r="S233" s="49" t="s">
        <v>1794</v>
      </c>
      <c r="T233" s="50"/>
      <c r="U233" s="341" t="str">
        <f>Schlüssel!$BA$1</f>
        <v>01.02./02.02.</v>
      </c>
      <c r="V233" s="342"/>
      <c r="W233" s="34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4" t="str">
        <f>Schlüssel!$AQ$2</f>
        <v>Unterföhring Dreambowl Palace</v>
      </c>
      <c r="G234" s="344"/>
      <c r="H234" s="344"/>
      <c r="I234" s="344"/>
      <c r="J234" s="344"/>
      <c r="K234" s="344"/>
      <c r="L234" s="344"/>
      <c r="M234" s="344"/>
      <c r="N234" s="344"/>
      <c r="O234" s="344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25">
      <c r="B237" s="67" t="s">
        <v>1</v>
      </c>
      <c r="C237" s="68"/>
      <c r="D237" s="346" t="s">
        <v>1800</v>
      </c>
      <c r="E237" s="347"/>
      <c r="F237" s="346" t="s">
        <v>1801</v>
      </c>
      <c r="G237" s="347"/>
      <c r="H237" s="346" t="s">
        <v>1802</v>
      </c>
      <c r="I237" s="347"/>
      <c r="J237" s="346" t="s">
        <v>1803</v>
      </c>
      <c r="K237" s="347"/>
      <c r="L237" s="346" t="s">
        <v>1804</v>
      </c>
      <c r="M237" s="347"/>
      <c r="N237" s="346" t="s">
        <v>1805</v>
      </c>
      <c r="O237" s="347"/>
      <c r="P237" s="346" t="s">
        <v>1806</v>
      </c>
      <c r="Q237" s="347"/>
      <c r="R237" s="346" t="s">
        <v>1807</v>
      </c>
      <c r="S237" s="347"/>
      <c r="T237" s="346" t="s">
        <v>1808</v>
      </c>
      <c r="U237" s="347"/>
      <c r="V237" s="354" t="s">
        <v>1799</v>
      </c>
      <c r="W237" s="355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3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3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3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3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70">
        <f>VLOOKUP(B234,Schlüssel!$A$5:$DZ$14,43)</f>
        <v>7</v>
      </c>
      <c r="E254" s="371"/>
      <c r="F254" s="370">
        <f>VLOOKUP(B234,Schlüssel!$A$5:$DZ$14,44)</f>
        <v>8</v>
      </c>
      <c r="G254" s="371"/>
      <c r="H254" s="370">
        <f>VLOOKUP(B234,Schlüssel!$A$5:$DZ$14,45)</f>
        <v>4</v>
      </c>
      <c r="I254" s="371"/>
      <c r="J254" s="370">
        <f>VLOOKUP(B234,Schlüssel!$A$5:$DZ$14,46)</f>
        <v>5</v>
      </c>
      <c r="K254" s="371"/>
      <c r="L254" s="370">
        <f>VLOOKUP(B234,Schlüssel!$A$5:$DZ$14,47)</f>
        <v>3</v>
      </c>
      <c r="M254" s="371"/>
      <c r="N254" s="370">
        <f>VLOOKUP(B234,Schlüssel!$A$5:$DZ$14,48)</f>
        <v>10</v>
      </c>
      <c r="O254" s="371"/>
      <c r="P254" s="370">
        <f>VLOOKUP(B234,Schlüssel!$A$5:$DZ$14,49)</f>
        <v>2</v>
      </c>
      <c r="Q254" s="371"/>
      <c r="R254" s="370">
        <f>VLOOKUP(B234,Schlüssel!$A$5:$DZ$14,50)</f>
        <v>1</v>
      </c>
      <c r="S254" s="371"/>
      <c r="T254" s="370">
        <f>VLOOKUP(B234,Schlüssel!$A$5:$DZ$14,51)</f>
        <v>6</v>
      </c>
      <c r="U254" s="371"/>
      <c r="V254" s="357"/>
      <c r="W254" s="357"/>
    </row>
    <row r="255" spans="1:23" ht="28.5" customHeight="1" x14ac:dyDescent="0.25">
      <c r="B255" s="90"/>
      <c r="C255" s="86"/>
      <c r="D255" s="358" t="str">
        <f>VLOOKUP(D254,Schlüssel!$A$5:$K$14,2)</f>
        <v>Schanzer Ingolstadt 1</v>
      </c>
      <c r="E255" s="359"/>
      <c r="F255" s="358" t="str">
        <f>VLOOKUP(F254,Schlüssel!$A$5:$K$14,2)</f>
        <v>BC EMAX Unterföhring 2</v>
      </c>
      <c r="G255" s="359"/>
      <c r="H255" s="358" t="str">
        <f>VLOOKUP(H254,Schlüssel!$A$5:$K$14,2)</f>
        <v>SG DJK Rimpar</v>
      </c>
      <c r="I255" s="359"/>
      <c r="J255" s="358" t="str">
        <f>VLOOKUP(J254,Schlüssel!$A$5:$K$14,2)</f>
        <v>RW Lichtenhof Stein 1</v>
      </c>
      <c r="K255" s="359"/>
      <c r="L255" s="358" t="str">
        <f>VLOOKUP(L254,Schlüssel!$A$5:$K$14,2)</f>
        <v>BK München 3</v>
      </c>
      <c r="M255" s="359"/>
      <c r="N255" s="358" t="str">
        <f>VLOOKUP(N254,Schlüssel!$A$5:$K$14,2)</f>
        <v>High Roller Rosenheim 1</v>
      </c>
      <c r="O255" s="359"/>
      <c r="P255" s="358" t="str">
        <f>VLOOKUP(P254,Schlüssel!$A$5:$K$14,2)</f>
        <v>Bajuwaren München 1</v>
      </c>
      <c r="Q255" s="359"/>
      <c r="R255" s="358" t="str">
        <f>VLOOKUP(R254,Schlüssel!$A$5:$K$14,2)</f>
        <v>BC Comet Nürnberg</v>
      </c>
      <c r="S255" s="359"/>
      <c r="T255" s="358" t="str">
        <f>VLOOKUP(T254,Schlüssel!$A$5:$K$14,2)</f>
        <v>SG Rottendorf 1</v>
      </c>
      <c r="U255" s="359"/>
      <c r="V255" s="363"/>
      <c r="W255" s="363"/>
    </row>
    <row r="256" spans="1:23" ht="12" customHeight="1" x14ac:dyDescent="0.25">
      <c r="B256" s="90"/>
      <c r="C256" s="86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1"/>
      <c r="V256" s="298"/>
      <c r="W256" s="298"/>
    </row>
    <row r="257" spans="1:29" ht="15.9" customHeight="1" x14ac:dyDescent="0.25">
      <c r="B257" s="91" t="s">
        <v>0</v>
      </c>
      <c r="C257" s="92"/>
      <c r="D257" s="362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4"/>
      <c r="W257" s="364"/>
    </row>
    <row r="258" spans="1:29" ht="15.9" customHeight="1" x14ac:dyDescent="0.25">
      <c r="B258" s="91" t="s">
        <v>2</v>
      </c>
      <c r="C258" s="92"/>
      <c r="D258" s="362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4"/>
      <c r="W258" s="364"/>
    </row>
    <row r="259" spans="1:29" ht="15.9" customHeight="1" x14ac:dyDescent="0.25">
      <c r="B259" s="91" t="s">
        <v>3</v>
      </c>
      <c r="C259" s="92"/>
      <c r="D259" s="362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4"/>
      <c r="W259" s="364"/>
    </row>
    <row r="260" spans="1:29" ht="15.9" customHeight="1" x14ac:dyDescent="0.25">
      <c r="B260" s="91" t="s">
        <v>11</v>
      </c>
      <c r="C260" s="9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4"/>
      <c r="W260" s="364"/>
    </row>
    <row r="261" spans="1:29" ht="15.9" customHeight="1" x14ac:dyDescent="0.25">
      <c r="B261" s="93" t="s">
        <v>1799</v>
      </c>
      <c r="C261" s="94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01"/>
      <c r="W261" s="30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5" t="str">
        <f>Schlüssel!$C$1</f>
        <v>Bayernliga Herren</v>
      </c>
      <c r="G262" s="345"/>
      <c r="H262" s="345"/>
      <c r="I262" s="345"/>
      <c r="J262" s="345"/>
      <c r="K262" s="345"/>
      <c r="L262" s="345"/>
      <c r="M262" s="345"/>
      <c r="N262" s="345"/>
      <c r="O262" s="345"/>
      <c r="P262" s="45"/>
      <c r="Q262" s="45"/>
      <c r="R262" s="48"/>
      <c r="S262" s="49" t="s">
        <v>1794</v>
      </c>
      <c r="T262" s="50"/>
      <c r="U262" s="341" t="str">
        <f>Schlüssel!$BA$1</f>
        <v>01.02./02.02.</v>
      </c>
      <c r="V262" s="342"/>
      <c r="W262" s="34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4" t="str">
        <f>Schlüssel!$AQ$2</f>
        <v>Unterföhring Dreambowl Palace</v>
      </c>
      <c r="G263" s="344"/>
      <c r="H263" s="344"/>
      <c r="I263" s="344"/>
      <c r="J263" s="344"/>
      <c r="K263" s="344"/>
      <c r="L263" s="344"/>
      <c r="M263" s="344"/>
      <c r="N263" s="344"/>
      <c r="O263" s="344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25">
      <c r="B266" s="67" t="s">
        <v>1</v>
      </c>
      <c r="C266" s="68"/>
      <c r="D266" s="346" t="s">
        <v>1800</v>
      </c>
      <c r="E266" s="347"/>
      <c r="F266" s="346" t="s">
        <v>1801</v>
      </c>
      <c r="G266" s="347"/>
      <c r="H266" s="346" t="s">
        <v>1802</v>
      </c>
      <c r="I266" s="347"/>
      <c r="J266" s="346" t="s">
        <v>1803</v>
      </c>
      <c r="K266" s="347"/>
      <c r="L266" s="346" t="s">
        <v>1804</v>
      </c>
      <c r="M266" s="347"/>
      <c r="N266" s="346" t="s">
        <v>1805</v>
      </c>
      <c r="O266" s="347"/>
      <c r="P266" s="346" t="s">
        <v>1806</v>
      </c>
      <c r="Q266" s="347"/>
      <c r="R266" s="346" t="s">
        <v>1807</v>
      </c>
      <c r="S266" s="347"/>
      <c r="T266" s="346" t="s">
        <v>1808</v>
      </c>
      <c r="U266" s="347"/>
      <c r="V266" s="354" t="s">
        <v>1799</v>
      </c>
      <c r="W266" s="355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3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3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3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3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70">
        <f>VLOOKUP(B263,Schlüssel!$A$5:$DZ$14,43)</f>
        <v>3</v>
      </c>
      <c r="E283" s="371"/>
      <c r="F283" s="370">
        <f>VLOOKUP(B263,Schlüssel!$A$5:$DZ$14,44)</f>
        <v>2</v>
      </c>
      <c r="G283" s="371"/>
      <c r="H283" s="370">
        <f>VLOOKUP(B263,Schlüssel!$A$5:$DZ$14,45)</f>
        <v>7</v>
      </c>
      <c r="I283" s="371"/>
      <c r="J283" s="370">
        <f>VLOOKUP(B263,Schlüssel!$A$5:$DZ$14,46)</f>
        <v>8</v>
      </c>
      <c r="K283" s="371"/>
      <c r="L283" s="370">
        <f>VLOOKUP(B263,Schlüssel!$A$5:$DZ$14,47)</f>
        <v>5</v>
      </c>
      <c r="M283" s="371"/>
      <c r="N283" s="370">
        <f>VLOOKUP(B263,Schlüssel!$A$5:$DZ$14,48)</f>
        <v>9</v>
      </c>
      <c r="O283" s="371"/>
      <c r="P283" s="370">
        <f>VLOOKUP(B263,Schlüssel!$A$5:$DZ$14,49)</f>
        <v>4</v>
      </c>
      <c r="Q283" s="371"/>
      <c r="R283" s="370">
        <f>VLOOKUP(B263,Schlüssel!$A$5:$DZ$14,50)</f>
        <v>6</v>
      </c>
      <c r="S283" s="371"/>
      <c r="T283" s="370">
        <f>VLOOKUP(B263,Schlüssel!$A$5:$DZ$14,51)</f>
        <v>1</v>
      </c>
      <c r="U283" s="371"/>
      <c r="V283" s="357"/>
      <c r="W283" s="357"/>
    </row>
    <row r="284" spans="1:23" ht="28.5" customHeight="1" x14ac:dyDescent="0.25">
      <c r="B284" s="90"/>
      <c r="C284" s="86"/>
      <c r="D284" s="358" t="str">
        <f>VLOOKUP(D283,Schlüssel!$A$5:$K$14,2)</f>
        <v>BK München 3</v>
      </c>
      <c r="E284" s="359"/>
      <c r="F284" s="358" t="str">
        <f>VLOOKUP(F283,Schlüssel!$A$5:$K$14,2)</f>
        <v>Bajuwaren München 1</v>
      </c>
      <c r="G284" s="359"/>
      <c r="H284" s="358" t="str">
        <f>VLOOKUP(H283,Schlüssel!$A$5:$K$14,2)</f>
        <v>Schanzer Ingolstadt 1</v>
      </c>
      <c r="I284" s="359"/>
      <c r="J284" s="358" t="str">
        <f>VLOOKUP(J283,Schlüssel!$A$5:$K$14,2)</f>
        <v>BC EMAX Unterföhring 2</v>
      </c>
      <c r="K284" s="359"/>
      <c r="L284" s="358" t="str">
        <f>VLOOKUP(L283,Schlüssel!$A$5:$K$14,2)</f>
        <v>RW Lichtenhof Stein 1</v>
      </c>
      <c r="M284" s="359"/>
      <c r="N284" s="358" t="str">
        <f>VLOOKUP(N283,Schlüssel!$A$5:$K$14,2)</f>
        <v>Bowlinghaus Bamberg 1</v>
      </c>
      <c r="O284" s="359"/>
      <c r="P284" s="358" t="str">
        <f>VLOOKUP(P283,Schlüssel!$A$5:$K$14,2)</f>
        <v>SG DJK Rimpar</v>
      </c>
      <c r="Q284" s="359"/>
      <c r="R284" s="358" t="str">
        <f>VLOOKUP(R283,Schlüssel!$A$5:$K$14,2)</f>
        <v>SG Rottendorf 1</v>
      </c>
      <c r="S284" s="359"/>
      <c r="T284" s="358" t="str">
        <f>VLOOKUP(T283,Schlüssel!$A$5:$K$14,2)</f>
        <v>BC Comet Nürnberg</v>
      </c>
      <c r="U284" s="359"/>
      <c r="V284" s="363"/>
      <c r="W284" s="363"/>
    </row>
    <row r="285" spans="1:23" ht="12" customHeight="1" x14ac:dyDescent="0.25">
      <c r="B285" s="90"/>
      <c r="C285" s="86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0"/>
      <c r="O285" s="360"/>
      <c r="P285" s="360"/>
      <c r="Q285" s="360"/>
      <c r="R285" s="360"/>
      <c r="S285" s="360"/>
      <c r="T285" s="360"/>
      <c r="U285" s="361"/>
      <c r="V285" s="298"/>
      <c r="W285" s="298"/>
    </row>
    <row r="286" spans="1:23" ht="15.9" customHeight="1" x14ac:dyDescent="0.25">
      <c r="B286" s="91" t="s">
        <v>0</v>
      </c>
      <c r="C286" s="92"/>
      <c r="D286" s="362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4"/>
      <c r="W286" s="364"/>
    </row>
    <row r="287" spans="1:23" ht="15.9" customHeight="1" x14ac:dyDescent="0.25">
      <c r="B287" s="91" t="s">
        <v>2</v>
      </c>
      <c r="C287" s="92"/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4"/>
      <c r="W287" s="364"/>
    </row>
    <row r="288" spans="1:23" ht="15.9" customHeight="1" x14ac:dyDescent="0.25">
      <c r="B288" s="91" t="s">
        <v>3</v>
      </c>
      <c r="C288" s="92"/>
      <c r="D288" s="36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4"/>
      <c r="W288" s="364"/>
    </row>
    <row r="289" spans="2:23" ht="15.9" customHeight="1" x14ac:dyDescent="0.25">
      <c r="B289" s="91" t="s">
        <v>11</v>
      </c>
      <c r="C289" s="92"/>
      <c r="D289" s="36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4"/>
      <c r="W289" s="364"/>
    </row>
    <row r="290" spans="2:23" ht="15.9" customHeight="1" x14ac:dyDescent="0.25">
      <c r="B290" s="93" t="s">
        <v>1799</v>
      </c>
      <c r="C290" s="94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01"/>
      <c r="W290" s="301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view="pageBreakPreview" topLeftCell="Z21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5" t="str">
        <f>AE1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48"/>
      <c r="S1" s="49" t="s">
        <v>1794</v>
      </c>
      <c r="T1" s="50"/>
      <c r="U1" s="341" t="str">
        <f>AT1</f>
        <v>01.02./02.02.</v>
      </c>
      <c r="V1" s="342"/>
      <c r="W1" s="343"/>
      <c r="X1" s="372"/>
      <c r="Y1" s="373"/>
      <c r="Z1" s="373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41" t="str">
        <f>VLOOKUP(AS2,Spielorte!$A$1:$C$6,2)</f>
        <v>01.02./02.02.</v>
      </c>
      <c r="AU1" s="342"/>
      <c r="AV1" s="34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4" t="str">
        <f>AE2</f>
        <v>Unterföhring Dreambowl Palace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6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164</v>
      </c>
      <c r="E7" s="348">
        <f>IF(AD7="","",AD7)</f>
        <v>0</v>
      </c>
      <c r="F7" s="75">
        <f t="shared" ref="F7:F20" si="0">IF(AE7=0,"",AE7)</f>
        <v>172</v>
      </c>
      <c r="G7" s="348">
        <f>IF(AF7="","",AF7)</f>
        <v>0</v>
      </c>
      <c r="H7" s="75" t="str">
        <f t="shared" ref="H7:H20" si="1">IF(AG7=0,"",AG7)</f>
        <v/>
      </c>
      <c r="I7" s="348">
        <f>IF(AH7="","",AH7)</f>
        <v>1</v>
      </c>
      <c r="J7" s="75" t="str">
        <f t="shared" ref="J7:J20" si="2">IF(AI7=0,"",AI7)</f>
        <v/>
      </c>
      <c r="K7" s="348">
        <f>IF(AJ7="","",AJ7)</f>
        <v>0</v>
      </c>
      <c r="L7" s="75" t="str">
        <f t="shared" ref="L7:L20" si="3">IF(AK7=0,"",AK7)</f>
        <v/>
      </c>
      <c r="M7" s="348">
        <f>IF(AL7="","",AL7)</f>
        <v>1</v>
      </c>
      <c r="N7" s="75" t="str">
        <f>IF(AM7=0,"",AM7)</f>
        <v/>
      </c>
      <c r="O7" s="348">
        <f>IF(AN7="","",AN7)</f>
        <v>1</v>
      </c>
      <c r="P7" s="75" t="str">
        <f t="shared" ref="P7:P20" si="4">IF(AO7=0,"",AO7)</f>
        <v/>
      </c>
      <c r="Q7" s="348">
        <f>IF(AP7="","",AP7)</f>
        <v>0</v>
      </c>
      <c r="R7" s="75">
        <f t="shared" ref="R7:R20" si="5">IF(AQ7=0,"",AQ7)</f>
        <v>226</v>
      </c>
      <c r="S7" s="348">
        <f>IF(AR7="","",AR7)</f>
        <v>1</v>
      </c>
      <c r="T7" s="75">
        <f t="shared" ref="T7:T20" si="6">IF(AS7=0,"",AS7)</f>
        <v>209</v>
      </c>
      <c r="U7" s="348">
        <f>IF(AT7="","",AT7)</f>
        <v>1</v>
      </c>
      <c r="V7" s="75">
        <f t="shared" ref="V7:V20" si="7">IF(AU7=0,"",AU7)</f>
        <v>771</v>
      </c>
      <c r="W7" s="348">
        <f>IF(AV7="","",AV7)</f>
        <v>5</v>
      </c>
      <c r="Z7" s="351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164</v>
      </c>
      <c r="AD7" s="109">
        <f>IF(SUM(AC7:AC9)+AC25=0,0,IF(SUM(AC7:AC9)=AC25,0.5,IF(SUM(AC7:AC9)&gt;AC25,1,0)))</f>
        <v>0</v>
      </c>
      <c r="AE7" s="185">
        <v>172</v>
      </c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1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1</v>
      </c>
      <c r="AM7" s="185"/>
      <c r="AN7" s="109">
        <f>IF(SUM(AM7:AM9)+AM25=0,0,IF(SUM(AM7:AM9)=AM25,0.5,IF(SUM(AM7:AM9)&gt;AM25,1,0)))</f>
        <v>1</v>
      </c>
      <c r="AO7" s="185"/>
      <c r="AP7" s="109">
        <f>IF(SUM(AO7:AO9)+AO25=0,0,IF(SUM(AO7:AO9)=AO25,0.5,IF(SUM(AO7:AO9)&gt;AO25,1,0)))</f>
        <v>0</v>
      </c>
      <c r="AQ7" s="185">
        <v>226</v>
      </c>
      <c r="AR7" s="109">
        <f>IF(SUM(AQ7:AQ9)+AQ25=0,0,IF(SUM(AQ7:AQ9)=AQ25,0.5,IF(SUM(AQ7:AQ9)&gt;AQ25,1,0)))</f>
        <v>1</v>
      </c>
      <c r="AS7" s="185">
        <v>209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771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771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164</v>
      </c>
      <c r="BI7" s="215">
        <f t="shared" ref="BI7:BI18" si="10">IF(AE7=0,"",AE7)</f>
        <v>172</v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>
        <f t="shared" ref="BO7:BO18" si="16">IF(AQ7=0,"",AQ7)</f>
        <v>226</v>
      </c>
      <c r="BP7" s="215">
        <f t="shared" ref="BP7:BP18" si="17">IF(AS7=0,"",AS7)</f>
        <v>209</v>
      </c>
      <c r="BQ7" s="216"/>
      <c r="BR7" s="214"/>
      <c r="BS7" s="215">
        <f>MAX(BH7:BP7)</f>
        <v>226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771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7"/>
      <c r="B8" s="76" t="str">
        <f t="shared" ref="B8:D20" si="19">IF(AA8=0,"",AA8)</f>
        <v>Fischbach, Max</v>
      </c>
      <c r="C8" s="77">
        <f t="shared" si="19"/>
        <v>16245</v>
      </c>
      <c r="D8" s="78" t="str">
        <f t="shared" si="19"/>
        <v/>
      </c>
      <c r="E8" s="349"/>
      <c r="F8" s="78" t="str">
        <f t="shared" si="0"/>
        <v/>
      </c>
      <c r="G8" s="349"/>
      <c r="H8" s="78">
        <f t="shared" si="1"/>
        <v>160</v>
      </c>
      <c r="I8" s="349"/>
      <c r="J8" s="78">
        <f t="shared" si="2"/>
        <v>141</v>
      </c>
      <c r="K8" s="349"/>
      <c r="L8" s="78">
        <f t="shared" si="3"/>
        <v>166</v>
      </c>
      <c r="M8" s="349"/>
      <c r="N8" s="78">
        <f t="shared" ref="N8:N20" si="20">IF(AM8=0,"",AM8)</f>
        <v>199</v>
      </c>
      <c r="O8" s="349"/>
      <c r="P8" s="78">
        <f t="shared" si="4"/>
        <v>164</v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>
        <f t="shared" si="7"/>
        <v>830</v>
      </c>
      <c r="W8" s="349"/>
      <c r="Z8" s="352"/>
      <c r="AA8" s="108" t="str">
        <f>IF(AB8=0,"",VLOOKUP(AB8,Starter!$A$1:$D$199,2,FALSE))</f>
        <v>Fischbach, Max</v>
      </c>
      <c r="AB8" s="98">
        <v>16245</v>
      </c>
      <c r="AC8" s="186"/>
      <c r="AD8" s="112"/>
      <c r="AE8" s="186"/>
      <c r="AF8" s="112"/>
      <c r="AG8" s="186">
        <v>160</v>
      </c>
      <c r="AH8" s="112"/>
      <c r="AI8" s="186">
        <v>141</v>
      </c>
      <c r="AJ8" s="112"/>
      <c r="AK8" s="186">
        <v>166</v>
      </c>
      <c r="AL8" s="112"/>
      <c r="AM8" s="186">
        <v>199</v>
      </c>
      <c r="AN8" s="112"/>
      <c r="AO8" s="186">
        <v>164</v>
      </c>
      <c r="AP8" s="112"/>
      <c r="AQ8" s="186"/>
      <c r="AR8" s="112"/>
      <c r="AS8" s="186"/>
      <c r="AT8" s="112"/>
      <c r="AU8" s="113">
        <f t="shared" si="8"/>
        <v>830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16245</v>
      </c>
      <c r="BE8" s="213">
        <f t="shared" ref="BE8:BE18" si="22">+AU8</f>
        <v>830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>
        <f t="shared" si="11"/>
        <v>160</v>
      </c>
      <c r="BK8" s="215">
        <f t="shared" si="12"/>
        <v>141</v>
      </c>
      <c r="BL8" s="215">
        <f t="shared" si="13"/>
        <v>166</v>
      </c>
      <c r="BM8" s="215">
        <f t="shared" si="14"/>
        <v>199</v>
      </c>
      <c r="BN8" s="215">
        <f t="shared" si="15"/>
        <v>164</v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199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830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8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6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183</v>
      </c>
      <c r="E10" s="348">
        <f>IF(AD10="","",AD10)</f>
        <v>1</v>
      </c>
      <c r="F10" s="75">
        <f t="shared" si="0"/>
        <v>158</v>
      </c>
      <c r="G10" s="348">
        <f>IF(AF10="","",AF10)</f>
        <v>0</v>
      </c>
      <c r="H10" s="75">
        <f t="shared" si="1"/>
        <v>266</v>
      </c>
      <c r="I10" s="348">
        <f>IF(AH10="","",AH10)</f>
        <v>1</v>
      </c>
      <c r="J10" s="75">
        <f t="shared" si="2"/>
        <v>220</v>
      </c>
      <c r="K10" s="348">
        <f>IF(AJ10="","",AJ10)</f>
        <v>1</v>
      </c>
      <c r="L10" s="75">
        <f t="shared" si="3"/>
        <v>243</v>
      </c>
      <c r="M10" s="348">
        <f>IF(AL10="","",AL10)</f>
        <v>1</v>
      </c>
      <c r="N10" s="75">
        <f t="shared" si="20"/>
        <v>171</v>
      </c>
      <c r="O10" s="348">
        <f>IF(AN10="","",AN10)</f>
        <v>0</v>
      </c>
      <c r="P10" s="75">
        <f t="shared" si="4"/>
        <v>201</v>
      </c>
      <c r="Q10" s="348">
        <f>IF(AP10="","",AP10)</f>
        <v>1</v>
      </c>
      <c r="R10" s="75">
        <f t="shared" si="5"/>
        <v>160</v>
      </c>
      <c r="S10" s="348">
        <f>IF(AR10="","",AR10)</f>
        <v>0</v>
      </c>
      <c r="T10" s="75">
        <f t="shared" si="6"/>
        <v>174</v>
      </c>
      <c r="U10" s="348">
        <f>IF(AT10="","",AT10)</f>
        <v>1</v>
      </c>
      <c r="V10" s="75">
        <f t="shared" si="7"/>
        <v>1776</v>
      </c>
      <c r="W10" s="348">
        <f>IF(AV10="","",AV10)</f>
        <v>6</v>
      </c>
      <c r="Z10" s="351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183</v>
      </c>
      <c r="AD10" s="109">
        <f>IF(SUM(AC10:AC12)+AC26=0,0,IF(SUM(AC10:AC12)=AC26,0.5,IF(SUM(AC10:AC12)&gt;AC26,1,0)))</f>
        <v>1</v>
      </c>
      <c r="AE10" s="188">
        <v>158</v>
      </c>
      <c r="AF10" s="109">
        <f>IF(SUM(AE10:AE12)+AE26=0,0,IF(SUM(AE10:AE12)=AE26,0.5,IF(SUM(AE10:AE12)&gt;AE26,1,0)))</f>
        <v>0</v>
      </c>
      <c r="AG10" s="188">
        <v>266</v>
      </c>
      <c r="AH10" s="109">
        <f>IF(SUM(AG10:AG12)+AG26=0,0,IF(SUM(AG10:AG12)=AG26,0.5,IF(SUM(AG10:AG12)&gt;AG26,1,0)))</f>
        <v>1</v>
      </c>
      <c r="AI10" s="188">
        <v>220</v>
      </c>
      <c r="AJ10" s="109">
        <f>IF(SUM(AI10:AI12)+AI26=0,0,IF(SUM(AI10:AI12)=AI26,0.5,IF(SUM(AI10:AI12)&gt;AI26,1,0)))</f>
        <v>1</v>
      </c>
      <c r="AK10" s="188">
        <v>243</v>
      </c>
      <c r="AL10" s="109">
        <f>IF(SUM(AK10:AK12)+AK26=0,0,IF(SUM(AK10:AK12)=AK26,0.5,IF(SUM(AK10:AK12)&gt;AK26,1,0)))</f>
        <v>1</v>
      </c>
      <c r="AM10" s="188">
        <v>171</v>
      </c>
      <c r="AN10" s="109">
        <f>IF(SUM(AM10:AM12)+AM26=0,0,IF(SUM(AM10:AM12)=AM26,0.5,IF(SUM(AM10:AM12)&gt;AM26,1,0)))</f>
        <v>0</v>
      </c>
      <c r="AO10" s="188">
        <v>201</v>
      </c>
      <c r="AP10" s="109">
        <f>IF(SUM(AO10:AO12)+AO26=0,0,IF(SUM(AO10:AO12)=AO26,0.5,IF(SUM(AO10:AO12)&gt;AO26,1,0)))</f>
        <v>1</v>
      </c>
      <c r="AQ10" s="188">
        <v>160</v>
      </c>
      <c r="AR10" s="109">
        <f>IF(SUM(AQ10:AQ12)+AQ26=0,0,IF(SUM(AQ10:AQ12)=AQ26,0.5,IF(SUM(AQ10:AQ12)&gt;AQ26,1,0)))</f>
        <v>0</v>
      </c>
      <c r="AS10" s="188">
        <v>174</v>
      </c>
      <c r="AT10" s="109">
        <f>IF(SUM(AS10:AS12)+AS26=0,0,IF(SUM(AS10:AS12)=AS26,0.5,IF(SUM(AS10:AS12)&gt;AS26,1,0)))</f>
        <v>1</v>
      </c>
      <c r="AU10" s="110">
        <f t="shared" si="8"/>
        <v>1776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1776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158</v>
      </c>
      <c r="BJ10" s="215">
        <f t="shared" si="11"/>
        <v>266</v>
      </c>
      <c r="BK10" s="215">
        <f t="shared" si="12"/>
        <v>220</v>
      </c>
      <c r="BL10" s="215">
        <f t="shared" si="13"/>
        <v>243</v>
      </c>
      <c r="BM10" s="215">
        <f t="shared" si="14"/>
        <v>171</v>
      </c>
      <c r="BN10" s="215">
        <f t="shared" si="15"/>
        <v>201</v>
      </c>
      <c r="BO10" s="215">
        <f t="shared" si="16"/>
        <v>160</v>
      </c>
      <c r="BP10" s="215">
        <f t="shared" si="17"/>
        <v>174</v>
      </c>
      <c r="BQ10" s="216"/>
      <c r="BR10" s="214"/>
      <c r="BS10" s="215">
        <f t="shared" si="25"/>
        <v>266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1776</v>
      </c>
      <c r="BX10" s="215">
        <f>IF(COUNTIF(BH10:BP10,"&gt;0")&lt;Spielorte!$A$23,0,BE10/Spielorte!$A$23)</f>
        <v>197.33333333333334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7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8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6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221</v>
      </c>
      <c r="E13" s="348">
        <f>IF(AD13="","",AD13)</f>
        <v>1</v>
      </c>
      <c r="F13" s="75">
        <f t="shared" si="0"/>
        <v>179</v>
      </c>
      <c r="G13" s="348">
        <f>IF(AF13="","",AF13)</f>
        <v>0</v>
      </c>
      <c r="H13" s="75">
        <f t="shared" si="1"/>
        <v>215</v>
      </c>
      <c r="I13" s="348">
        <f>IF(AH13="","",AH13)</f>
        <v>1</v>
      </c>
      <c r="J13" s="75">
        <f t="shared" si="2"/>
        <v>184</v>
      </c>
      <c r="K13" s="348">
        <f>IF(AJ13="","",AJ13)</f>
        <v>0</v>
      </c>
      <c r="L13" s="75">
        <f t="shared" si="3"/>
        <v>199</v>
      </c>
      <c r="M13" s="348">
        <f>IF(AL13="","",AL13)</f>
        <v>1</v>
      </c>
      <c r="N13" s="75">
        <f t="shared" si="20"/>
        <v>234</v>
      </c>
      <c r="O13" s="348">
        <f>IF(AN13="","",AN13)</f>
        <v>1</v>
      </c>
      <c r="P13" s="75">
        <f t="shared" si="4"/>
        <v>218</v>
      </c>
      <c r="Q13" s="348">
        <f>IF(AP13="","",AP13)</f>
        <v>0</v>
      </c>
      <c r="R13" s="75">
        <f t="shared" si="5"/>
        <v>196</v>
      </c>
      <c r="S13" s="348">
        <f>IF(AR13="","",AR13)</f>
        <v>0</v>
      </c>
      <c r="T13" s="75">
        <f t="shared" si="6"/>
        <v>206</v>
      </c>
      <c r="U13" s="348">
        <f>IF(AT13="","",AT13)</f>
        <v>1</v>
      </c>
      <c r="V13" s="75">
        <f t="shared" si="7"/>
        <v>1852</v>
      </c>
      <c r="W13" s="348">
        <f>IF(AV13="","",AV13)</f>
        <v>5</v>
      </c>
      <c r="Z13" s="351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221</v>
      </c>
      <c r="AD13" s="109">
        <f>IF(SUM(AC13:AC15)+AC27=0,0,IF(SUM(AC13:AC15)=AC27,0.5,IF(SUM(AC13:AC15)&gt;AC27,1,0)))</f>
        <v>1</v>
      </c>
      <c r="AE13" s="188">
        <v>179</v>
      </c>
      <c r="AF13" s="109">
        <f>IF(SUM(AE13:AE15)+AE27=0,0,IF(SUM(AE13:AE15)=AE27,0.5,IF(SUM(AE13:AE15)&gt;AE27,1,0)))</f>
        <v>0</v>
      </c>
      <c r="AG13" s="188">
        <v>215</v>
      </c>
      <c r="AH13" s="109">
        <f>IF(SUM(AG13:AG15)+AG27=0,0,IF(SUM(AG13:AG15)=AG27,0.5,IF(SUM(AG13:AG15)&gt;AG27,1,0)))</f>
        <v>1</v>
      </c>
      <c r="AI13" s="188">
        <v>184</v>
      </c>
      <c r="AJ13" s="109">
        <f>IF(SUM(AI13:AI15)+AI27=0,0,IF(SUM(AI13:AI15)=AI27,0.5,IF(SUM(AI13:AI15)&gt;AI27,1,0)))</f>
        <v>0</v>
      </c>
      <c r="AK13" s="188">
        <v>199</v>
      </c>
      <c r="AL13" s="109">
        <f>IF(SUM(AK13:AK15)+AK27=0,0,IF(SUM(AK13:AK15)=AK27,0.5,IF(SUM(AK13:AK15)&gt;AK27,1,0)))</f>
        <v>1</v>
      </c>
      <c r="AM13" s="188">
        <v>234</v>
      </c>
      <c r="AN13" s="109">
        <f>IF(SUM(AM13:AM15)+AM27=0,0,IF(SUM(AM13:AM15)=AM27,0.5,IF(SUM(AM13:AM15)&gt;AM27,1,0)))</f>
        <v>1</v>
      </c>
      <c r="AO13" s="188">
        <v>218</v>
      </c>
      <c r="AP13" s="109">
        <f>IF(SUM(AO13:AO15)+AO27=0,0,IF(SUM(AO13:AO15)=AO27,0.5,IF(SUM(AO13:AO15)&gt;AO27,1,0)))</f>
        <v>0</v>
      </c>
      <c r="AQ13" s="188">
        <v>196</v>
      </c>
      <c r="AR13" s="109">
        <f>IF(SUM(AQ13:AQ15)+AQ27=0,0,IF(SUM(AQ13:AQ15)=AQ27,0.5,IF(SUM(AQ13:AQ15)&gt;AQ27,1,0)))</f>
        <v>0</v>
      </c>
      <c r="AS13" s="188">
        <v>206</v>
      </c>
      <c r="AT13" s="109">
        <f>IF(SUM(AS13:AS15)+AS27=0,0,IF(SUM(AS13:AS15)=AS27,0.5,IF(SUM(AS13:AS15)&gt;AS27,1,0)))</f>
        <v>1</v>
      </c>
      <c r="AU13" s="110">
        <f t="shared" si="8"/>
        <v>1852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1852</v>
      </c>
      <c r="BF13" s="215">
        <f t="shared" si="23"/>
        <v>9</v>
      </c>
      <c r="BG13" s="215">
        <f t="shared" si="24"/>
        <v>9</v>
      </c>
      <c r="BH13" s="215">
        <f t="shared" si="9"/>
        <v>221</v>
      </c>
      <c r="BI13" s="215">
        <f t="shared" si="10"/>
        <v>179</v>
      </c>
      <c r="BJ13" s="215">
        <f t="shared" si="11"/>
        <v>215</v>
      </c>
      <c r="BK13" s="215">
        <f t="shared" si="12"/>
        <v>184</v>
      </c>
      <c r="BL13" s="215">
        <f t="shared" si="13"/>
        <v>199</v>
      </c>
      <c r="BM13" s="215">
        <f t="shared" si="14"/>
        <v>234</v>
      </c>
      <c r="BN13" s="215">
        <f t="shared" si="15"/>
        <v>218</v>
      </c>
      <c r="BO13" s="215">
        <f t="shared" si="16"/>
        <v>196</v>
      </c>
      <c r="BP13" s="215">
        <f t="shared" si="17"/>
        <v>206</v>
      </c>
      <c r="BQ13" s="216"/>
      <c r="BR13" s="214"/>
      <c r="BS13" s="215">
        <f t="shared" si="25"/>
        <v>234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1852</v>
      </c>
      <c r="BX13" s="215">
        <f>IF(COUNTIF(BH13:BP13,"&gt;0")&lt;Spielorte!$A$23,0,BE13/Spielorte!$A$23)</f>
        <v>205.77777777777777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7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8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6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215</v>
      </c>
      <c r="E16" s="348">
        <f>IF(AD16="","",AD16)</f>
        <v>1</v>
      </c>
      <c r="F16" s="75">
        <f t="shared" si="0"/>
        <v>267</v>
      </c>
      <c r="G16" s="348">
        <f>IF(AF16="","",AF16)</f>
        <v>1</v>
      </c>
      <c r="H16" s="75">
        <f t="shared" si="1"/>
        <v>252</v>
      </c>
      <c r="I16" s="348">
        <f>IF(AH16="","",AH16)</f>
        <v>1</v>
      </c>
      <c r="J16" s="75">
        <f t="shared" si="2"/>
        <v>221</v>
      </c>
      <c r="K16" s="348">
        <f>IF(AJ16="","",AJ16)</f>
        <v>1</v>
      </c>
      <c r="L16" s="75">
        <f t="shared" si="3"/>
        <v>195</v>
      </c>
      <c r="M16" s="348">
        <f>IF(AL16="","",AL16)</f>
        <v>1</v>
      </c>
      <c r="N16" s="75">
        <f t="shared" si="20"/>
        <v>209</v>
      </c>
      <c r="O16" s="348">
        <f>IF(AN16="","",AN16)</f>
        <v>1</v>
      </c>
      <c r="P16" s="75">
        <f t="shared" si="4"/>
        <v>202</v>
      </c>
      <c r="Q16" s="348">
        <f>IF(AP16="","",AP16)</f>
        <v>1</v>
      </c>
      <c r="R16" s="75">
        <f t="shared" si="5"/>
        <v>206</v>
      </c>
      <c r="S16" s="348">
        <f>IF(AR16="","",AR16)</f>
        <v>1</v>
      </c>
      <c r="T16" s="75">
        <f t="shared" si="6"/>
        <v>219</v>
      </c>
      <c r="U16" s="348">
        <f>IF(AT16="","",AT16)</f>
        <v>1</v>
      </c>
      <c r="V16" s="75">
        <f t="shared" si="7"/>
        <v>1986</v>
      </c>
      <c r="W16" s="348">
        <f>IF(AV16="","",AV16)</f>
        <v>9</v>
      </c>
      <c r="Z16" s="351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215</v>
      </c>
      <c r="AD16" s="109">
        <f>IF(SUM(AC16:AC18)+AC28=0,0,IF(SUM(AC16:AC18)=AC28,0.5,IF(SUM(AC16:AC18)&gt;AC28,1,0)))</f>
        <v>1</v>
      </c>
      <c r="AE16" s="188">
        <v>267</v>
      </c>
      <c r="AF16" s="109">
        <f>IF(SUM(AE16:AE18)+AE28=0,0,IF(SUM(AE16:AE18)=AE28,0.5,IF(SUM(AE16:AE18)&gt;AE28,1,0)))</f>
        <v>1</v>
      </c>
      <c r="AG16" s="188">
        <v>252</v>
      </c>
      <c r="AH16" s="109">
        <f>IF(SUM(AG16:AG18)+AG28=0,0,IF(SUM(AG16:AG18)=AG28,0.5,IF(SUM(AG16:AG18)&gt;AG28,1,0)))</f>
        <v>1</v>
      </c>
      <c r="AI16" s="188">
        <v>221</v>
      </c>
      <c r="AJ16" s="109">
        <f>IF(SUM(AI16:AI18)+AI28=0,0,IF(SUM(AI16:AI18)=AI28,0.5,IF(SUM(AI16:AI18)&gt;AI28,1,0)))</f>
        <v>1</v>
      </c>
      <c r="AK16" s="188">
        <v>195</v>
      </c>
      <c r="AL16" s="109">
        <f>IF(SUM(AK16:AK18)+AK28=0,0,IF(SUM(AK16:AK18)=AK28,0.5,IF(SUM(AK16:AK18)&gt;AK28,1,0)))</f>
        <v>1</v>
      </c>
      <c r="AM16" s="188">
        <v>209</v>
      </c>
      <c r="AN16" s="109">
        <f>IF(SUM(AM16:AM18)+AM28=0,0,IF(SUM(AM16:AM18)=AM28,0.5,IF(SUM(AM16:AM18)&gt;AM28,1,0)))</f>
        <v>1</v>
      </c>
      <c r="AO16" s="188">
        <v>202</v>
      </c>
      <c r="AP16" s="109">
        <f>IF(SUM(AO16:AO18)+AO28=0,0,IF(SUM(AO16:AO18)=AO28,0.5,IF(SUM(AO16:AO18)&gt;AO28,1,0)))</f>
        <v>1</v>
      </c>
      <c r="AQ16" s="188">
        <v>206</v>
      </c>
      <c r="AR16" s="109">
        <f>IF(SUM(AQ16:AQ18)+AQ28=0,0,IF(SUM(AQ16:AQ18)=AQ28,0.5,IF(SUM(AQ16:AQ18)&gt;AQ28,1,0)))</f>
        <v>1</v>
      </c>
      <c r="AS16" s="188">
        <v>219</v>
      </c>
      <c r="AT16" s="109">
        <f>IF(SUM(AS16:AS18)+AS28=0,0,IF(SUM(AS16:AS18)=AS28,0.5,IF(SUM(AS16:AS18)&gt;AS28,1,0)))</f>
        <v>1</v>
      </c>
      <c r="AU16" s="110">
        <f t="shared" si="8"/>
        <v>1986</v>
      </c>
      <c r="AV16" s="111">
        <f>SUM(AD16+AF16+AH16+AJ16+AL16+AN16+AP16+AR16+AT16)</f>
        <v>9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1986</v>
      </c>
      <c r="BF16" s="215">
        <f t="shared" si="23"/>
        <v>9</v>
      </c>
      <c r="BG16" s="215">
        <f t="shared" si="24"/>
        <v>9</v>
      </c>
      <c r="BH16" s="215">
        <f t="shared" si="9"/>
        <v>215</v>
      </c>
      <c r="BI16" s="215">
        <f t="shared" si="10"/>
        <v>267</v>
      </c>
      <c r="BJ16" s="215">
        <f t="shared" si="11"/>
        <v>252</v>
      </c>
      <c r="BK16" s="215">
        <f t="shared" si="12"/>
        <v>221</v>
      </c>
      <c r="BL16" s="215">
        <f t="shared" si="13"/>
        <v>195</v>
      </c>
      <c r="BM16" s="215">
        <f t="shared" si="14"/>
        <v>209</v>
      </c>
      <c r="BN16" s="215">
        <f t="shared" si="15"/>
        <v>202</v>
      </c>
      <c r="BO16" s="215">
        <f t="shared" si="16"/>
        <v>206</v>
      </c>
      <c r="BP16" s="215">
        <f t="shared" si="17"/>
        <v>219</v>
      </c>
      <c r="BQ16" s="216"/>
      <c r="BR16" s="214"/>
      <c r="BS16" s="215">
        <f t="shared" si="25"/>
        <v>267</v>
      </c>
      <c r="BT16" s="215">
        <f t="shared" si="26"/>
        <v>267.000000016</v>
      </c>
      <c r="BU16" s="215" t="str">
        <f t="shared" si="27"/>
        <v>BC Comet Nürnberg</v>
      </c>
      <c r="BV16" s="214">
        <f t="shared" si="28"/>
        <v>1</v>
      </c>
      <c r="BW16" s="215">
        <f t="shared" si="29"/>
        <v>1986</v>
      </c>
      <c r="BX16" s="215">
        <f>IF(COUNTIF(BH16:BP16,"&gt;0")&lt;Spielorte!$A$23,0,BE16/Spielorte!$A$23)</f>
        <v>220.66666666666666</v>
      </c>
      <c r="BY16" s="215">
        <f t="shared" si="30"/>
        <v>220.66666668266666</v>
      </c>
      <c r="BZ16" s="214">
        <f t="shared" si="18"/>
        <v>1</v>
      </c>
    </row>
    <row r="17" spans="1:78" ht="17.100000000000001" customHeight="1" x14ac:dyDescent="0.25">
      <c r="A17" s="377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8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783</v>
      </c>
      <c r="E19" s="84">
        <f>IF(AD19="","",AD19)</f>
        <v>2</v>
      </c>
      <c r="F19" s="83">
        <f t="shared" si="0"/>
        <v>776</v>
      </c>
      <c r="G19" s="84">
        <f>IF(AF19="","",AF19)</f>
        <v>0</v>
      </c>
      <c r="H19" s="83">
        <f t="shared" si="1"/>
        <v>893</v>
      </c>
      <c r="I19" s="84">
        <f>IF(AH19="","",AH19)</f>
        <v>2</v>
      </c>
      <c r="J19" s="83">
        <f t="shared" si="2"/>
        <v>766</v>
      </c>
      <c r="K19" s="84">
        <f>IF(AJ19="","",AJ19)</f>
        <v>2</v>
      </c>
      <c r="L19" s="83">
        <f t="shared" si="3"/>
        <v>803</v>
      </c>
      <c r="M19" s="84">
        <f>IF(AL19="","",AL19)</f>
        <v>2</v>
      </c>
      <c r="N19" s="83">
        <f t="shared" si="20"/>
        <v>813</v>
      </c>
      <c r="O19" s="84">
        <f>IF(AN19="","",AN19)</f>
        <v>2</v>
      </c>
      <c r="P19" s="83">
        <f t="shared" si="4"/>
        <v>785</v>
      </c>
      <c r="Q19" s="84">
        <f>IF(AP19="","",AP19)</f>
        <v>2</v>
      </c>
      <c r="R19" s="83">
        <f t="shared" si="5"/>
        <v>788</v>
      </c>
      <c r="S19" s="84">
        <f>IF(AR19="","",AR19)</f>
        <v>0</v>
      </c>
      <c r="T19" s="83">
        <f t="shared" si="6"/>
        <v>808</v>
      </c>
      <c r="U19" s="84">
        <f>IF(AT19="","",AT19)</f>
        <v>2</v>
      </c>
      <c r="V19" s="83">
        <f t="shared" si="7"/>
        <v>7215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783</v>
      </c>
      <c r="AD19" s="121">
        <f>IF(AC19+AC29=0,0,IF(AC19=AC29,1,IF(AC19&gt;AC29,2,0)))</f>
        <v>2</v>
      </c>
      <c r="AE19" s="211">
        <f>ABS(SUM(AE7:AE9))+ABS(SUM(AE10:AE12))+ABS(SUM(AE13:AE15))+ABS(SUM(AE16:AE18))</f>
        <v>776</v>
      </c>
      <c r="AF19" s="121">
        <f>IF(AE19+AE29=0,0,IF(AE19=AE29,1,IF(AE19&gt;AE29,2,0)))</f>
        <v>0</v>
      </c>
      <c r="AG19" s="211">
        <f>ABS(SUM(AG7:AG9))+ABS(SUM(AG10:AG12))+ABS(SUM(AG13:AG15))+ABS(SUM(AG16:AG18))</f>
        <v>893</v>
      </c>
      <c r="AH19" s="121">
        <f>IF(AG19+AG29=0,0,IF(AG19=AG29,1,IF(AG19&gt;AG29,2,0)))</f>
        <v>2</v>
      </c>
      <c r="AI19" s="211">
        <f>ABS(SUM(AI7:AI9))+ABS(SUM(AI10:AI12))+ABS(SUM(AI13:AI15))+ABS(SUM(AI16:AI18))</f>
        <v>766</v>
      </c>
      <c r="AJ19" s="121">
        <f>IF(AI19+AI29=0,0,IF(AI19=AI29,1,IF(AI19&gt;AI29,2,0)))</f>
        <v>2</v>
      </c>
      <c r="AK19" s="211">
        <f>ABS(SUM(AK7:AK9))+ABS(SUM(AK10:AK12))+ABS(SUM(AK13:AK15))+ABS(SUM(AK16:AK18))</f>
        <v>803</v>
      </c>
      <c r="AL19" s="121">
        <f>IF(AK19+AK29=0,0,IF(AK19=AK29,1,IF(AK19&gt;AK29,2,0)))</f>
        <v>2</v>
      </c>
      <c r="AM19" s="211">
        <f>ABS(SUM(AM7:AM9))+ABS(SUM(AM10:AM12))+ABS(SUM(AM13:AM15))+ABS(SUM(AM16:AM18))</f>
        <v>813</v>
      </c>
      <c r="AN19" s="121">
        <f>IF(AM19+AM29=0,0,IF(AM19=AM29,1,IF(AM19&gt;AM29,2,0)))</f>
        <v>2</v>
      </c>
      <c r="AO19" s="211">
        <f>ABS(SUM(AO7:AO9))+ABS(SUM(AO10:AO12))+ABS(SUM(AO13:AO15))+ABS(SUM(AO16:AO18))</f>
        <v>785</v>
      </c>
      <c r="AP19" s="121">
        <f>IF(AO19+AO29=0,0,IF(AO19=AO29,1,IF(AO19&gt;AO29,2,0)))</f>
        <v>2</v>
      </c>
      <c r="AQ19" s="211">
        <f>ABS(SUM(AQ7:AQ9))+ABS(SUM(AQ10:AQ12))+ABS(SUM(AQ13:AQ15))+ABS(SUM(AQ16:AQ18))</f>
        <v>788</v>
      </c>
      <c r="AR19" s="121">
        <f>IF(AQ19+AQ29=0,0,IF(AQ19=AQ29,1,IF(AQ19&gt;AQ29,2,0)))</f>
        <v>0</v>
      </c>
      <c r="AS19" s="211">
        <f>ABS(SUM(AS7:AS9))+ABS(SUM(AS10:AS12))+ABS(SUM(AS13:AS15))+ABS(SUM(AS16:AS18))</f>
        <v>808</v>
      </c>
      <c r="AT19" s="121">
        <f>IF(AS19+AS29=0,0,IF(AS19=AS29,1,IF(AS19&gt;AS29,2,0)))</f>
        <v>2</v>
      </c>
      <c r="AU19" s="122">
        <f>SUM(AC19+AE19+AG19+AI19+AK19+AM19+AO19+AQ19+AS19)</f>
        <v>7215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1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39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1</v>
      </c>
      <c r="AG20" s="86"/>
      <c r="AH20" s="124">
        <f>SUM(AH7:AH19)</f>
        <v>6</v>
      </c>
      <c r="AI20" s="86"/>
      <c r="AJ20" s="124">
        <f>SUM(AJ7:AJ19)</f>
        <v>4</v>
      </c>
      <c r="AK20" s="86"/>
      <c r="AL20" s="124">
        <f>SUM(AL7:AL19)</f>
        <v>6</v>
      </c>
      <c r="AM20" s="86"/>
      <c r="AN20" s="124">
        <f>SUM(AN7:AN19)</f>
        <v>5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6</v>
      </c>
      <c r="AU20" s="86"/>
      <c r="AV20" s="125">
        <f>SUM(AV7:AV19)</f>
        <v>39</v>
      </c>
      <c r="AW20" s="101"/>
      <c r="AX20" s="102"/>
      <c r="BA20" s="212">
        <f>+AV20</f>
        <v>39</v>
      </c>
      <c r="BB20" s="213">
        <f>+AU19</f>
        <v>7215</v>
      </c>
      <c r="BC20" s="214">
        <f>+AA2</f>
        <v>1</v>
      </c>
      <c r="BF20" s="215">
        <f>SUM(BF1:BF19)</f>
        <v>36</v>
      </c>
      <c r="BQ20" s="212">
        <f>+BB20/1000000+BA20</f>
        <v>39.007215000000002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6">
        <f t="shared" si="31"/>
        <v>5</v>
      </c>
      <c r="E22" s="356" t="str">
        <f t="shared" si="31"/>
        <v/>
      </c>
      <c r="F22" s="356">
        <f t="shared" si="31"/>
        <v>3</v>
      </c>
      <c r="G22" s="356" t="str">
        <f t="shared" si="31"/>
        <v/>
      </c>
      <c r="H22" s="356">
        <f t="shared" si="31"/>
        <v>8</v>
      </c>
      <c r="I22" s="356" t="str">
        <f t="shared" si="31"/>
        <v/>
      </c>
      <c r="J22" s="356">
        <f t="shared" si="31"/>
        <v>2</v>
      </c>
      <c r="K22" s="356" t="str">
        <f t="shared" si="31"/>
        <v/>
      </c>
      <c r="L22" s="356">
        <f t="shared" si="31"/>
        <v>6</v>
      </c>
      <c r="M22" s="356" t="str">
        <f t="shared" si="31"/>
        <v/>
      </c>
      <c r="N22" s="356">
        <f t="shared" si="31"/>
        <v>4</v>
      </c>
      <c r="O22" s="356" t="str">
        <f t="shared" si="31"/>
        <v/>
      </c>
      <c r="P22" s="356">
        <f t="shared" si="31"/>
        <v>7</v>
      </c>
      <c r="Q22" s="356" t="str">
        <f t="shared" si="31"/>
        <v/>
      </c>
      <c r="R22" s="356">
        <f t="shared" ref="L22:U24" si="32">IF(AQ22=0,"",AQ22)</f>
        <v>9</v>
      </c>
      <c r="S22" s="356" t="str">
        <f t="shared" si="32"/>
        <v/>
      </c>
      <c r="T22" s="356">
        <f t="shared" si="32"/>
        <v>10</v>
      </c>
      <c r="U22" s="356" t="str">
        <f t="shared" si="32"/>
        <v/>
      </c>
      <c r="V22" s="357"/>
      <c r="W22" s="357"/>
      <c r="AA22" s="88" t="s">
        <v>1797</v>
      </c>
      <c r="AB22" s="89" t="s">
        <v>1798</v>
      </c>
      <c r="AC22" s="370">
        <f>VLOOKUP($AA2,Schlüssel!$A$5:$DG$14,43)</f>
        <v>5</v>
      </c>
      <c r="AD22" s="371"/>
      <c r="AE22" s="370">
        <f>VLOOKUP($AA2,Schlüssel!$A$5:$EK$14,44)</f>
        <v>3</v>
      </c>
      <c r="AF22" s="371"/>
      <c r="AG22" s="370">
        <f>VLOOKUP($AA2,Schlüssel!$A$5:$EK$14,45)</f>
        <v>8</v>
      </c>
      <c r="AH22" s="371"/>
      <c r="AI22" s="370">
        <f>VLOOKUP($AA2,Schlüssel!$A$5:$EK$14,46)</f>
        <v>2</v>
      </c>
      <c r="AJ22" s="371"/>
      <c r="AK22" s="370">
        <f>VLOOKUP($AA2,Schlüssel!$A$5:$EK$14,47)</f>
        <v>6</v>
      </c>
      <c r="AL22" s="371"/>
      <c r="AM22" s="370">
        <f>VLOOKUP($AA2,Schlüssel!$A$5:$EK$14,48)</f>
        <v>4</v>
      </c>
      <c r="AN22" s="371"/>
      <c r="AO22" s="370">
        <f>VLOOKUP($AA2,Schlüssel!$A$5:$EK$14,49)</f>
        <v>7</v>
      </c>
      <c r="AP22" s="371"/>
      <c r="AQ22" s="370">
        <f>VLOOKUP($AA2,Schlüssel!$A$5:$EK$14,50)</f>
        <v>9</v>
      </c>
      <c r="AR22" s="371"/>
      <c r="AS22" s="370">
        <f>VLOOKUP($AA2,Schlüssel!$A$5:$EK$14,51)</f>
        <v>10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8" t="str">
        <f t="shared" si="33"/>
        <v>RW Lichtenhof Stein 1</v>
      </c>
      <c r="E23" s="359" t="str">
        <f t="shared" si="33"/>
        <v/>
      </c>
      <c r="F23" s="358" t="str">
        <f t="shared" si="33"/>
        <v>BK München 3</v>
      </c>
      <c r="G23" s="359" t="str">
        <f t="shared" si="33"/>
        <v/>
      </c>
      <c r="H23" s="358" t="str">
        <f t="shared" si="33"/>
        <v>BC EMAX Unterföhring 2</v>
      </c>
      <c r="I23" s="359" t="str">
        <f t="shared" si="33"/>
        <v/>
      </c>
      <c r="J23" s="358" t="str">
        <f t="shared" si="33"/>
        <v>Bajuwaren München 1</v>
      </c>
      <c r="K23" s="359" t="str">
        <f t="shared" si="33"/>
        <v/>
      </c>
      <c r="L23" s="358" t="str">
        <f t="shared" si="32"/>
        <v>SG Rottendorf 1</v>
      </c>
      <c r="M23" s="359" t="str">
        <f t="shared" si="32"/>
        <v/>
      </c>
      <c r="N23" s="358" t="str">
        <f t="shared" si="32"/>
        <v>SG DJK Rimpar</v>
      </c>
      <c r="O23" s="359" t="str">
        <f t="shared" si="32"/>
        <v/>
      </c>
      <c r="P23" s="358" t="str">
        <f t="shared" si="32"/>
        <v>Schanzer Ingolstadt 1</v>
      </c>
      <c r="Q23" s="359" t="str">
        <f t="shared" si="32"/>
        <v/>
      </c>
      <c r="R23" s="358" t="str">
        <f t="shared" si="32"/>
        <v>Bowlinghaus Bamberg 1</v>
      </c>
      <c r="S23" s="359" t="str">
        <f t="shared" si="32"/>
        <v/>
      </c>
      <c r="T23" s="358" t="str">
        <f t="shared" si="32"/>
        <v>High Roller Rosenheim 1</v>
      </c>
      <c r="U23" s="359" t="str">
        <f t="shared" si="32"/>
        <v/>
      </c>
      <c r="V23" s="363"/>
      <c r="W23" s="363"/>
      <c r="AA23" s="90"/>
      <c r="AB23" s="86"/>
      <c r="AC23" s="358" t="str">
        <f>VLOOKUP(AC22,Schlüssel!$A$5:$K$14,2)</f>
        <v>RW Lichtenhof Stein 1</v>
      </c>
      <c r="AD23" s="359"/>
      <c r="AE23" s="358" t="str">
        <f>VLOOKUP(AE22,Schlüssel!$A$5:$K$14,2)</f>
        <v>BK München 3</v>
      </c>
      <c r="AF23" s="359"/>
      <c r="AG23" s="358" t="str">
        <f>VLOOKUP(AG22,Schlüssel!$A$5:$K$14,2)</f>
        <v>BC EMAX Unterföhring 2</v>
      </c>
      <c r="AH23" s="359"/>
      <c r="AI23" s="358" t="str">
        <f>VLOOKUP(AI22,Schlüssel!$A$5:$K$14,2)</f>
        <v>Bajuwaren München 1</v>
      </c>
      <c r="AJ23" s="359"/>
      <c r="AK23" s="358" t="str">
        <f>VLOOKUP(AK22,Schlüssel!$A$5:$K$14,2)</f>
        <v>SG Rottendorf 1</v>
      </c>
      <c r="AL23" s="359"/>
      <c r="AM23" s="358" t="str">
        <f>VLOOKUP(AM22,Schlüssel!$A$5:$K$14,2)</f>
        <v>SG DJK Rimpar</v>
      </c>
      <c r="AN23" s="359"/>
      <c r="AO23" s="358" t="str">
        <f>VLOOKUP(AO22,Schlüssel!$A$5:$K$14,2)</f>
        <v>Schanzer Ingolstadt 1</v>
      </c>
      <c r="AP23" s="359"/>
      <c r="AQ23" s="358" t="str">
        <f>VLOOKUP(AQ22,Schlüssel!$A$5:$K$14,2)</f>
        <v>Bowlinghaus Bamberg 1</v>
      </c>
      <c r="AR23" s="359"/>
      <c r="AS23" s="358" t="str">
        <f>VLOOKUP(AS22,Schlüssel!$A$5:$K$14,2)</f>
        <v>High Roller Rosenheim 1</v>
      </c>
      <c r="AT23" s="359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60" t="str">
        <f t="shared" si="33"/>
        <v/>
      </c>
      <c r="E24" s="360" t="str">
        <f t="shared" si="33"/>
        <v/>
      </c>
      <c r="F24" s="360" t="str">
        <f t="shared" si="33"/>
        <v/>
      </c>
      <c r="G24" s="360" t="str">
        <f t="shared" si="33"/>
        <v/>
      </c>
      <c r="H24" s="360" t="str">
        <f t="shared" si="33"/>
        <v/>
      </c>
      <c r="I24" s="360" t="str">
        <f t="shared" si="33"/>
        <v/>
      </c>
      <c r="J24" s="360" t="str">
        <f t="shared" si="33"/>
        <v/>
      </c>
      <c r="K24" s="360" t="str">
        <f t="shared" si="33"/>
        <v/>
      </c>
      <c r="L24" s="360" t="str">
        <f t="shared" si="32"/>
        <v/>
      </c>
      <c r="M24" s="360" t="str">
        <f t="shared" si="32"/>
        <v/>
      </c>
      <c r="N24" s="360" t="str">
        <f t="shared" si="32"/>
        <v/>
      </c>
      <c r="O24" s="360" t="str">
        <f t="shared" si="32"/>
        <v/>
      </c>
      <c r="P24" s="360" t="str">
        <f t="shared" si="32"/>
        <v/>
      </c>
      <c r="Q24" s="360" t="str">
        <f t="shared" si="32"/>
        <v/>
      </c>
      <c r="R24" s="360" t="str">
        <f t="shared" si="32"/>
        <v/>
      </c>
      <c r="S24" s="360" t="str">
        <f t="shared" si="32"/>
        <v/>
      </c>
      <c r="T24" s="360" t="str">
        <f t="shared" si="32"/>
        <v/>
      </c>
      <c r="U24" s="361" t="str">
        <f t="shared" si="32"/>
        <v/>
      </c>
      <c r="V24" s="298"/>
      <c r="W24" s="298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4" t="str">
        <f t="shared" ref="B25:C29" si="34">IF(AA25=0,"",AA25)</f>
        <v>Spieler 1</v>
      </c>
      <c r="C25" s="375" t="str">
        <f t="shared" si="34"/>
        <v/>
      </c>
      <c r="D25" s="362">
        <f>IF(AC25=301,"",AC25)</f>
        <v>180</v>
      </c>
      <c r="E25" s="362" t="str">
        <f>IF(AD25=0,"",AD25)</f>
        <v/>
      </c>
      <c r="F25" s="362">
        <f>IF(AE25=301,"",AE25)</f>
        <v>231</v>
      </c>
      <c r="G25" s="362" t="str">
        <f>IF(AF25=0,"",AF25)</f>
        <v/>
      </c>
      <c r="H25" s="362">
        <f>IF(AG25=301,"",AG25)</f>
        <v>148</v>
      </c>
      <c r="I25" s="362" t="str">
        <f>IF(AH25=0,"",AH25)</f>
        <v/>
      </c>
      <c r="J25" s="362">
        <f>IF(AI25=301,"",AI25)</f>
        <v>210</v>
      </c>
      <c r="K25" s="362" t="str">
        <f>IF(AJ25=0,"",AJ25)</f>
        <v/>
      </c>
      <c r="L25" s="362">
        <f>IF(AK25=301,"",AK25)</f>
        <v>158</v>
      </c>
      <c r="M25" s="362" t="str">
        <f>IF(AL25=0,"",AL25)</f>
        <v/>
      </c>
      <c r="N25" s="362">
        <f>IF(AM25=301,"",AM25)</f>
        <v>135</v>
      </c>
      <c r="O25" s="362" t="str">
        <f>IF(AN25=0,"",AN25)</f>
        <v/>
      </c>
      <c r="P25" s="362">
        <f>IF(AO25=301,"",AO25)</f>
        <v>184</v>
      </c>
      <c r="Q25" s="362" t="str">
        <f>IF(AP25=0,"",AP25)</f>
        <v/>
      </c>
      <c r="R25" s="362">
        <f>IF(AQ25=301,"",AQ25)</f>
        <v>222</v>
      </c>
      <c r="S25" s="362" t="str">
        <f>IF(AR25=0,"",AR25)</f>
        <v/>
      </c>
      <c r="T25" s="362">
        <f>IF(AS25=301,"",AS25)</f>
        <v>125</v>
      </c>
      <c r="U25" s="362" t="str">
        <f>IF(AT25=0,"",AT25)</f>
        <v/>
      </c>
      <c r="V25" s="364"/>
      <c r="W25" s="364"/>
      <c r="AA25" s="91" t="s">
        <v>0</v>
      </c>
      <c r="AB25" s="92"/>
      <c r="AC25" s="368">
        <f>ABS(INDEX(AC:AC,MATCH(AC22,$AA:$AA,0)+5)+INDEX(AC:AC,MATCH(AC22,$AA:$AA,0)+6)+INDEX(AC:AC,MATCH(AC22,$AA:$AA,0)+7))</f>
        <v>180</v>
      </c>
      <c r="AD25" s="369"/>
      <c r="AE25" s="368">
        <f>ABS(INDEX(AE:AE,MATCH(AE22,$AA:$AA,0)+5)+INDEX(AE:AE,MATCH(AE22,$AA:$AA,0)+6)+INDEX(AE:AE,MATCH(AE22,$AA:$AA,0)+7))</f>
        <v>231</v>
      </c>
      <c r="AF25" s="369"/>
      <c r="AG25" s="368">
        <f>ABS(INDEX(AG:AG,MATCH(AG22,$AA:$AA,0)+5)+INDEX(AG:AG,MATCH(AG22,$AA:$AA,0)+6)+INDEX(AG:AG,MATCH(AG22,$AA:$AA,0)+7))</f>
        <v>148</v>
      </c>
      <c r="AH25" s="369"/>
      <c r="AI25" s="368">
        <f>ABS(INDEX(AI:AI,MATCH(AI22,$AA:$AA,0)+5)+INDEX(AI:AI,MATCH(AI22,$AA:$AA,0)+6)+INDEX(AI:AI,MATCH(AI22,$AA:$AA,0)+7))</f>
        <v>210</v>
      </c>
      <c r="AJ25" s="369"/>
      <c r="AK25" s="368">
        <f>ABS(INDEX(AK:AK,MATCH(AK22,$AA:$AA,0)+5)+INDEX(AK:AK,MATCH(AK22,$AA:$AA,0)+6)+INDEX(AK:AK,MATCH(AK22,$AA:$AA,0)+7))</f>
        <v>158</v>
      </c>
      <c r="AL25" s="369"/>
      <c r="AM25" s="368">
        <f>ABS(INDEX(AM:AM,MATCH(AM22,$AA:$AA,0)+5)+INDEX(AM:AM,MATCH(AM22,$AA:$AA,0)+6)+INDEX(AM:AM,MATCH(AM22,$AA:$AA,0)+7))</f>
        <v>135</v>
      </c>
      <c r="AN25" s="369"/>
      <c r="AO25" s="368">
        <f>ABS(INDEX(AO:AO,MATCH(AO22,$AA:$AA,0)+5)+INDEX(AO:AO,MATCH(AO22,$AA:$AA,0)+6)+INDEX(AO:AO,MATCH(AO22,$AA:$AA,0)+7))</f>
        <v>184</v>
      </c>
      <c r="AP25" s="369"/>
      <c r="AQ25" s="368">
        <f>ABS(INDEX(AQ:AQ,MATCH(AQ22,$AA:$AA,0)+5)+INDEX(AQ:AQ,MATCH(AQ22,$AA:$AA,0)+6)+INDEX(AQ:AQ,MATCH(AQ22,$AA:$AA,0)+7))</f>
        <v>222</v>
      </c>
      <c r="AR25" s="369"/>
      <c r="AS25" s="368">
        <f>ABS(INDEX(AS:AS,MATCH(AS22,$AA:$AA,0)+5)+INDEX(AS:AS,MATCH(AS22,$AA:$AA,0)+6)+INDEX(AS:AS,MATCH(AS22,$AA:$AA,0)+7))</f>
        <v>125</v>
      </c>
      <c r="AT25" s="369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4" t="str">
        <f t="shared" si="34"/>
        <v>Spieler 2</v>
      </c>
      <c r="C26" s="375" t="str">
        <f t="shared" si="34"/>
        <v/>
      </c>
      <c r="D26" s="362">
        <f>IF(AC26=301,"",AC26)</f>
        <v>167</v>
      </c>
      <c r="E26" s="362" t="str">
        <f>IF(AD26=0,"",AD26)</f>
        <v/>
      </c>
      <c r="F26" s="362">
        <f>IF(AE26=301,"",AE26)</f>
        <v>222</v>
      </c>
      <c r="G26" s="362" t="str">
        <f>IF(AF26=0,"",AF26)</f>
        <v/>
      </c>
      <c r="H26" s="362">
        <f>IF(AG26=301,"",AG26)</f>
        <v>155</v>
      </c>
      <c r="I26" s="362" t="str">
        <f>IF(AH26=0,"",AH26)</f>
        <v/>
      </c>
      <c r="J26" s="362">
        <f>IF(AI26=301,"",AI26)</f>
        <v>175</v>
      </c>
      <c r="K26" s="362" t="str">
        <f>IF(AJ26=0,"",AJ26)</f>
        <v/>
      </c>
      <c r="L26" s="362">
        <f>IF(AK26=301,"",AK26)</f>
        <v>210</v>
      </c>
      <c r="M26" s="362" t="str">
        <f>IF(AL26=0,"",AL26)</f>
        <v/>
      </c>
      <c r="N26" s="362">
        <f>IF(AM26=301,"",AM26)</f>
        <v>184</v>
      </c>
      <c r="O26" s="362" t="str">
        <f>IF(AN26=0,"",AN26)</f>
        <v/>
      </c>
      <c r="P26" s="362">
        <f>IF(AO26=301,"",AO26)</f>
        <v>154</v>
      </c>
      <c r="Q26" s="362" t="str">
        <f>IF(AP26=0,"",AP26)</f>
        <v/>
      </c>
      <c r="R26" s="362">
        <f>IF(AQ26=301,"",AQ26)</f>
        <v>166</v>
      </c>
      <c r="S26" s="362" t="str">
        <f>IF(AR26=0,"",AR26)</f>
        <v/>
      </c>
      <c r="T26" s="362">
        <f>IF(AS26=301,"",AS26)</f>
        <v>167</v>
      </c>
      <c r="U26" s="362" t="str">
        <f>IF(AT26=0,"",AT26)</f>
        <v/>
      </c>
      <c r="V26" s="364"/>
      <c r="W26" s="364"/>
      <c r="AA26" s="91" t="s">
        <v>2</v>
      </c>
      <c r="AB26" s="92"/>
      <c r="AC26" s="366">
        <f>ABS(INDEX(AC:AC,MATCH(AC22,$AA:$AA,0)+8)+INDEX(AC:AC,MATCH(AC22,$AA:$AA,0)+9)+INDEX(AC:AC,MATCH(AC22,$AA:$AA,0)+10))</f>
        <v>167</v>
      </c>
      <c r="AD26" s="367"/>
      <c r="AE26" s="366">
        <f>ABS(INDEX(AE:AE,MATCH(AE22,$AA:$AA,0)+8)+INDEX(AE:AE,MATCH(AE22,$AA:$AA,0)+9)+INDEX(AE:AE,MATCH(AE22,$AA:$AA,0)+10))</f>
        <v>222</v>
      </c>
      <c r="AF26" s="367"/>
      <c r="AG26" s="366">
        <f>ABS(INDEX(AG:AG,MATCH(AG22,$AA:$AA,0)+8)+INDEX(AG:AG,MATCH(AG22,$AA:$AA,0)+9)+INDEX(AG:AG,MATCH(AG22,$AA:$AA,0)+10))</f>
        <v>155</v>
      </c>
      <c r="AH26" s="367"/>
      <c r="AI26" s="366">
        <f>ABS(INDEX(AI:AI,MATCH(AI22,$AA:$AA,0)+8)+INDEX(AI:AI,MATCH(AI22,$AA:$AA,0)+9)+INDEX(AI:AI,MATCH(AI22,$AA:$AA,0)+10))</f>
        <v>175</v>
      </c>
      <c r="AJ26" s="367"/>
      <c r="AK26" s="366">
        <f>ABS(INDEX(AK:AK,MATCH(AK22,$AA:$AA,0)+8)+INDEX(AK:AK,MATCH(AK22,$AA:$AA,0)+9)+INDEX(AK:AK,MATCH(AK22,$AA:$AA,0)+10))</f>
        <v>210</v>
      </c>
      <c r="AL26" s="367"/>
      <c r="AM26" s="366">
        <f>ABS(INDEX(AM:AM,MATCH(AM22,$AA:$AA,0)+8)+INDEX(AM:AM,MATCH(AM22,$AA:$AA,0)+9)+INDEX(AM:AM,MATCH(AM22,$AA:$AA,0)+10))</f>
        <v>184</v>
      </c>
      <c r="AN26" s="367"/>
      <c r="AO26" s="366">
        <f>ABS(INDEX(AO:AO,MATCH(AO22,$AA:$AA,0)+8)+INDEX(AO:AO,MATCH(AO22,$AA:$AA,0)+9)+INDEX(AO:AO,MATCH(AO22,$AA:$AA,0)+10))</f>
        <v>154</v>
      </c>
      <c r="AP26" s="367"/>
      <c r="AQ26" s="366">
        <f>ABS(INDEX(AQ:AQ,MATCH(AQ22,$AA:$AA,0)+8)+INDEX(AQ:AQ,MATCH(AQ22,$AA:$AA,0)+9)+INDEX(AQ:AQ,MATCH(AQ22,$AA:$AA,0)+10))</f>
        <v>166</v>
      </c>
      <c r="AR26" s="367"/>
      <c r="AS26" s="366">
        <f>ABS(INDEX(AS:AS,MATCH(AS22,$AA:$AA,0)+8)+INDEX(AS:AS,MATCH(AS22,$AA:$AA,0)+9)+INDEX(AS:AS,MATCH(AS22,$AA:$AA,0)+10))</f>
        <v>167</v>
      </c>
      <c r="AT26" s="367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4" t="str">
        <f t="shared" si="34"/>
        <v>Spieler 3</v>
      </c>
      <c r="C27" s="375" t="str">
        <f t="shared" si="34"/>
        <v/>
      </c>
      <c r="D27" s="362">
        <f>IF(AC27=301,"",AC27)</f>
        <v>154</v>
      </c>
      <c r="E27" s="362" t="str">
        <f>IF(AD27=0,"",AD27)</f>
        <v/>
      </c>
      <c r="F27" s="362">
        <f>IF(AE27=301,"",AE27)</f>
        <v>194</v>
      </c>
      <c r="G27" s="362" t="str">
        <f>IF(AF27=0,"",AF27)</f>
        <v/>
      </c>
      <c r="H27" s="362">
        <f>IF(AG27=301,"",AG27)</f>
        <v>179</v>
      </c>
      <c r="I27" s="362" t="str">
        <f>IF(AH27=0,"",AH27)</f>
        <v/>
      </c>
      <c r="J27" s="362">
        <f>IF(AI27=301,"",AI27)</f>
        <v>207</v>
      </c>
      <c r="K27" s="362" t="str">
        <f>IF(AJ27=0,"",AJ27)</f>
        <v/>
      </c>
      <c r="L27" s="362">
        <f>IF(AK27=301,"",AK27)</f>
        <v>150</v>
      </c>
      <c r="M27" s="362" t="str">
        <f>IF(AL27=0,"",AL27)</f>
        <v/>
      </c>
      <c r="N27" s="362">
        <f>IF(AM27=301,"",AM27)</f>
        <v>163</v>
      </c>
      <c r="O27" s="362" t="str">
        <f>IF(AN27=0,"",AN27)</f>
        <v/>
      </c>
      <c r="P27" s="362">
        <f>IF(AO27=301,"",AO27)</f>
        <v>219</v>
      </c>
      <c r="Q27" s="362" t="str">
        <f>IF(AP27=0,"",AP27)</f>
        <v/>
      </c>
      <c r="R27" s="362">
        <f>IF(AQ27=301,"",AQ27)</f>
        <v>234</v>
      </c>
      <c r="S27" s="362" t="str">
        <f>IF(AR27=0,"",AR27)</f>
        <v/>
      </c>
      <c r="T27" s="362">
        <f>IF(AS27=301,"",AS27)</f>
        <v>150</v>
      </c>
      <c r="U27" s="362" t="str">
        <f>IF(AT27=0,"",AT27)</f>
        <v/>
      </c>
      <c r="V27" s="364"/>
      <c r="W27" s="364"/>
      <c r="AA27" s="91" t="s">
        <v>3</v>
      </c>
      <c r="AB27" s="92"/>
      <c r="AC27" s="366">
        <f>ABS(INDEX(AC:AC,MATCH(AC22,$AA:$AA,0)+11)+INDEX(AC:AC,MATCH(AC22,$AA:$AA,0)+12)+INDEX(AC:AC,MATCH(AC22,$AA:$AA,0)+13))</f>
        <v>154</v>
      </c>
      <c r="AD27" s="367"/>
      <c r="AE27" s="366">
        <f>ABS(INDEX(AE:AE,MATCH(AE22,$AA:$AA,0)+11)+INDEX(AE:AE,MATCH(AE22,$AA:$AA,0)+12)+INDEX(AE:AE,MATCH(AE22,$AA:$AA,0)+13))</f>
        <v>194</v>
      </c>
      <c r="AF27" s="367"/>
      <c r="AG27" s="366">
        <f>ABS(INDEX(AG:AG,MATCH(AG22,$AA:$AA,0)+11)+INDEX(AG:AG,MATCH(AG22,$AA:$AA,0)+12)+INDEX(AG:AG,MATCH(AG22,$AA:$AA,0)+13))</f>
        <v>179</v>
      </c>
      <c r="AH27" s="367"/>
      <c r="AI27" s="366">
        <f>ABS(INDEX(AI:AI,MATCH(AI22,$AA:$AA,0)+11)+INDEX(AI:AI,MATCH(AI22,$AA:$AA,0)+12)+INDEX(AI:AI,MATCH(AI22,$AA:$AA,0)+13))</f>
        <v>207</v>
      </c>
      <c r="AJ27" s="367"/>
      <c r="AK27" s="366">
        <f>ABS(INDEX(AK:AK,MATCH(AK22,$AA:$AA,0)+11)+INDEX(AK:AK,MATCH(AK22,$AA:$AA,0)+12)+INDEX(AK:AK,MATCH(AK22,$AA:$AA,0)+13))</f>
        <v>150</v>
      </c>
      <c r="AL27" s="367"/>
      <c r="AM27" s="366">
        <f>ABS(INDEX(AM:AM,MATCH(AM22,$AA:$AA,0)+11)+INDEX(AM:AM,MATCH(AM22,$AA:$AA,0)+12)+INDEX(AM:AM,MATCH(AM22,$AA:$AA,0)+13))</f>
        <v>163</v>
      </c>
      <c r="AN27" s="367"/>
      <c r="AO27" s="366">
        <f>ABS(INDEX(AO:AO,MATCH(AO22,$AA:$AA,0)+11)+INDEX(AO:AO,MATCH(AO22,$AA:$AA,0)+12)+INDEX(AO:AO,MATCH(AO22,$AA:$AA,0)+13))</f>
        <v>219</v>
      </c>
      <c r="AP27" s="367"/>
      <c r="AQ27" s="366">
        <f>ABS(INDEX(AQ:AQ,MATCH(AQ22,$AA:$AA,0)+11)+INDEX(AQ:AQ,MATCH(AQ22,$AA:$AA,0)+12)+INDEX(AQ:AQ,MATCH(AQ22,$AA:$AA,0)+13))</f>
        <v>234</v>
      </c>
      <c r="AR27" s="367"/>
      <c r="AS27" s="366">
        <f>ABS(INDEX(AS:AS,MATCH(AS22,$AA:$AA,0)+11)+INDEX(AS:AS,MATCH(AS22,$AA:$AA,0)+12)+INDEX(AS:AS,MATCH(AS22,$AA:$AA,0)+13))</f>
        <v>150</v>
      </c>
      <c r="AT27" s="367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4" t="str">
        <f t="shared" si="34"/>
        <v>Spieler 4</v>
      </c>
      <c r="C28" s="375" t="str">
        <f t="shared" si="34"/>
        <v/>
      </c>
      <c r="D28" s="362">
        <f>IF(AC28=301,"",AC28)</f>
        <v>194</v>
      </c>
      <c r="E28" s="362" t="str">
        <f>IF(AD28=0,"",AD28)</f>
        <v/>
      </c>
      <c r="F28" s="362">
        <f>IF(AE28=301,"",AE28)</f>
        <v>212</v>
      </c>
      <c r="G28" s="362" t="str">
        <f>IF(AF28=0,"",AF28)</f>
        <v/>
      </c>
      <c r="H28" s="362">
        <f>IF(AG28=301,"",AG28)</f>
        <v>176</v>
      </c>
      <c r="I28" s="362" t="str">
        <f>IF(AH28=0,"",AH28)</f>
        <v/>
      </c>
      <c r="J28" s="362">
        <f>IF(AI28=301,"",AI28)</f>
        <v>143</v>
      </c>
      <c r="K28" s="362" t="str">
        <f>IF(AJ28=0,"",AJ28)</f>
        <v/>
      </c>
      <c r="L28" s="362">
        <f>IF(AK28=301,"",AK28)</f>
        <v>159</v>
      </c>
      <c r="M28" s="362" t="str">
        <f>IF(AL28=0,"",AL28)</f>
        <v/>
      </c>
      <c r="N28" s="362">
        <f>IF(AM28=301,"",AM28)</f>
        <v>177</v>
      </c>
      <c r="O28" s="362" t="str">
        <f>IF(AN28=0,"",AN28)</f>
        <v/>
      </c>
      <c r="P28" s="362">
        <f>IF(AO28=301,"",AO28)</f>
        <v>188</v>
      </c>
      <c r="Q28" s="362" t="str">
        <f>IF(AP28=0,"",AP28)</f>
        <v/>
      </c>
      <c r="R28" s="362">
        <f>IF(AQ28=301,"",AQ28)</f>
        <v>188</v>
      </c>
      <c r="S28" s="362" t="str">
        <f>IF(AR28=0,"",AR28)</f>
        <v/>
      </c>
      <c r="T28" s="362">
        <f>IF(AS28=301,"",AS28)</f>
        <v>209</v>
      </c>
      <c r="U28" s="362" t="str">
        <f>IF(AT28=0,"",AT28)</f>
        <v/>
      </c>
      <c r="V28" s="364"/>
      <c r="W28" s="364"/>
      <c r="AA28" s="91" t="s">
        <v>11</v>
      </c>
      <c r="AB28" s="92"/>
      <c r="AC28" s="366">
        <f>ABS(INDEX(AC:AC,MATCH(AC22,$AA:$AA,0)+14)+INDEX(AC:AC,MATCH(AC22,$AA:$AA,0)+15)+INDEX(AC:AC,MATCH(AC22,$AA:$AA,0)+16))</f>
        <v>194</v>
      </c>
      <c r="AD28" s="367"/>
      <c r="AE28" s="366">
        <f>ABS(INDEX(AE:AE,MATCH(AE22,$AA:$AA,0)+14)+INDEX(AE:AE,MATCH(AE22,$AA:$AA,0)+15)+INDEX(AE:AE,MATCH(AE22,$AA:$AA,0)+16))</f>
        <v>212</v>
      </c>
      <c r="AF28" s="367"/>
      <c r="AG28" s="366">
        <f>ABS(INDEX(AG:AG,MATCH(AG22,$AA:$AA,0)+14)+INDEX(AG:AG,MATCH(AG22,$AA:$AA,0)+15)+INDEX(AG:AG,MATCH(AG22,$AA:$AA,0)+16))</f>
        <v>176</v>
      </c>
      <c r="AH28" s="367"/>
      <c r="AI28" s="366">
        <f>ABS(INDEX(AI:AI,MATCH(AI22,$AA:$AA,0)+14)+INDEX(AI:AI,MATCH(AI22,$AA:$AA,0)+15)+INDEX(AI:AI,MATCH(AI22,$AA:$AA,0)+16))</f>
        <v>143</v>
      </c>
      <c r="AJ28" s="367"/>
      <c r="AK28" s="366">
        <f>ABS(INDEX(AK:AK,MATCH(AK22,$AA:$AA,0)+14)+INDEX(AK:AK,MATCH(AK22,$AA:$AA,0)+15)+INDEX(AK:AK,MATCH(AK22,$AA:$AA,0)+16))</f>
        <v>159</v>
      </c>
      <c r="AL28" s="367"/>
      <c r="AM28" s="366">
        <f>ABS(INDEX(AM:AM,MATCH(AM22,$AA:$AA,0)+14)+INDEX(AM:AM,MATCH(AM22,$AA:$AA,0)+15)+INDEX(AM:AM,MATCH(AM22,$AA:$AA,0)+16))</f>
        <v>177</v>
      </c>
      <c r="AN28" s="367"/>
      <c r="AO28" s="366">
        <f>ABS(INDEX(AO:AO,MATCH(AO22,$AA:$AA,0)+14)+INDEX(AO:AO,MATCH(AO22,$AA:$AA,0)+15)+INDEX(AO:AO,MATCH(AO22,$AA:$AA,0)+16))</f>
        <v>188</v>
      </c>
      <c r="AP28" s="367"/>
      <c r="AQ28" s="366">
        <f>ABS(INDEX(AQ:AQ,MATCH(AQ22,$AA:$AA,0)+14)+INDEX(AQ:AQ,MATCH(AQ22,$AA:$AA,0)+15)+INDEX(AQ:AQ,MATCH(AQ22,$AA:$AA,0)+16))</f>
        <v>188</v>
      </c>
      <c r="AR28" s="367"/>
      <c r="AS28" s="366">
        <f>ABS(INDEX(AS:AS,MATCH(AS22,$AA:$AA,0)+14)+INDEX(AS:AS,MATCH(AS22,$AA:$AA,0)+15)+INDEX(AS:AS,MATCH(AS22,$AA:$AA,0)+16))</f>
        <v>209</v>
      </c>
      <c r="AT28" s="367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6" t="str">
        <f t="shared" si="34"/>
        <v>Gesamt</v>
      </c>
      <c r="C29" s="347" t="str">
        <f t="shared" si="34"/>
        <v/>
      </c>
      <c r="D29" s="365">
        <f>IF(AC29=1505,"",AC29)</f>
        <v>695</v>
      </c>
      <c r="E29" s="365" t="str">
        <f>IF(AD29=0,"",AD29)</f>
        <v/>
      </c>
      <c r="F29" s="365">
        <f>IF(AE29=1505,"",AE29)</f>
        <v>859</v>
      </c>
      <c r="G29" s="365" t="str">
        <f>IF(AF29=0,"",AF29)</f>
        <v/>
      </c>
      <c r="H29" s="365">
        <f>IF(AG29=1505,"",AG29)</f>
        <v>658</v>
      </c>
      <c r="I29" s="365" t="str">
        <f>IF(AH29=0,"",AH29)</f>
        <v/>
      </c>
      <c r="J29" s="365">
        <f>IF(AI29=1505,"",AI29)</f>
        <v>735</v>
      </c>
      <c r="K29" s="365" t="str">
        <f>IF(AJ29=0,"",AJ29)</f>
        <v/>
      </c>
      <c r="L29" s="365">
        <f>IF(AK29=1505,"",AK29)</f>
        <v>677</v>
      </c>
      <c r="M29" s="365" t="str">
        <f>IF(AL29=0,"",AL29)</f>
        <v/>
      </c>
      <c r="N29" s="365">
        <f>IF(AM29=1505,"",AM29)</f>
        <v>659</v>
      </c>
      <c r="O29" s="365" t="str">
        <f>IF(AN29=0,"",AN29)</f>
        <v/>
      </c>
      <c r="P29" s="365">
        <f>IF(AO29=1505,"",AO29)</f>
        <v>745</v>
      </c>
      <c r="Q29" s="365" t="str">
        <f>IF(AP29=0,"",AP29)</f>
        <v/>
      </c>
      <c r="R29" s="365">
        <f>IF(AQ29=1505,"",AQ29)</f>
        <v>810</v>
      </c>
      <c r="S29" s="365" t="str">
        <f>IF(AR29=0,"",AR29)</f>
        <v/>
      </c>
      <c r="T29" s="365">
        <f>IF(AS29=1505,"",AS29)</f>
        <v>651</v>
      </c>
      <c r="U29" s="365" t="str">
        <f>IF(AT29=0,"",AT29)</f>
        <v/>
      </c>
      <c r="V29" s="301"/>
      <c r="W29" s="301"/>
      <c r="AA29" s="93" t="s">
        <v>1799</v>
      </c>
      <c r="AB29" s="94"/>
      <c r="AC29" s="346">
        <f>SUM(AC25:AC28)</f>
        <v>695</v>
      </c>
      <c r="AD29" s="347"/>
      <c r="AE29" s="346">
        <f>SUM(AE25:AE28)</f>
        <v>859</v>
      </c>
      <c r="AF29" s="347"/>
      <c r="AG29" s="346">
        <f>SUM(AG25:AG28)</f>
        <v>658</v>
      </c>
      <c r="AH29" s="347"/>
      <c r="AI29" s="346">
        <f>SUM(AI25:AI28)</f>
        <v>735</v>
      </c>
      <c r="AJ29" s="347"/>
      <c r="AK29" s="346">
        <f>SUM(AK25:AK28)</f>
        <v>677</v>
      </c>
      <c r="AL29" s="347"/>
      <c r="AM29" s="346">
        <f>SUM(AM25:AM28)</f>
        <v>659</v>
      </c>
      <c r="AN29" s="347"/>
      <c r="AO29" s="346">
        <f>SUM(AO25:AO28)</f>
        <v>745</v>
      </c>
      <c r="AP29" s="347"/>
      <c r="AQ29" s="346">
        <f>SUM(AQ25:AQ28)</f>
        <v>810</v>
      </c>
      <c r="AR29" s="347"/>
      <c r="AS29" s="346">
        <f>SUM(AS25:AS28)</f>
        <v>651</v>
      </c>
      <c r="AT29" s="347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5" t="str">
        <f>AE31</f>
        <v>Bayernliga Herren</v>
      </c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48"/>
      <c r="S31" s="49" t="s">
        <v>1794</v>
      </c>
      <c r="T31" s="50"/>
      <c r="U31" s="341" t="str">
        <f>AT31</f>
        <v>01.02./02.02.</v>
      </c>
      <c r="V31" s="342"/>
      <c r="W31" s="343"/>
      <c r="X31" s="372"/>
      <c r="Y31" s="373"/>
      <c r="Z31" s="373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41" t="str">
        <f>VLOOKUP(AS32,Spielorte!$A$1:$C$6,2)</f>
        <v>01.02./02.02.</v>
      </c>
      <c r="AU31" s="342"/>
      <c r="AV31" s="34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4" t="str">
        <f>AE32</f>
        <v>Unterföhring Dreambowl Palace</v>
      </c>
      <c r="G32" s="344"/>
      <c r="H32" s="344"/>
      <c r="I32" s="344"/>
      <c r="J32" s="344"/>
      <c r="K32" s="344"/>
      <c r="L32" s="344"/>
      <c r="M32" s="344"/>
      <c r="N32" s="344"/>
      <c r="O32" s="344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6" t="s">
        <v>1800</v>
      </c>
      <c r="E35" s="347"/>
      <c r="F35" s="346" t="s">
        <v>1801</v>
      </c>
      <c r="G35" s="347"/>
      <c r="H35" s="346" t="s">
        <v>1802</v>
      </c>
      <c r="I35" s="347"/>
      <c r="J35" s="346" t="s">
        <v>1803</v>
      </c>
      <c r="K35" s="347"/>
      <c r="L35" s="346" t="s">
        <v>1804</v>
      </c>
      <c r="M35" s="347"/>
      <c r="N35" s="346" t="s">
        <v>1805</v>
      </c>
      <c r="O35" s="347"/>
      <c r="P35" s="346" t="s">
        <v>1806</v>
      </c>
      <c r="Q35" s="347"/>
      <c r="R35" s="346" t="s">
        <v>1807</v>
      </c>
      <c r="S35" s="347"/>
      <c r="T35" s="346" t="s">
        <v>1808</v>
      </c>
      <c r="U35" s="347"/>
      <c r="V35" s="354" t="s">
        <v>1799</v>
      </c>
      <c r="W35" s="355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6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176</v>
      </c>
      <c r="E37" s="348">
        <f>IF(AD37="","",AD37)</f>
        <v>0</v>
      </c>
      <c r="F37" s="75">
        <f t="shared" ref="F37:F50" si="35">IF(AE37=0,"",AE37)</f>
        <v>247</v>
      </c>
      <c r="G37" s="348">
        <f>IF(AF37="","",AF37)</f>
        <v>1</v>
      </c>
      <c r="H37" s="75">
        <f t="shared" ref="H37:H50" si="36">IF(AG37=0,"",AG37)</f>
        <v>225</v>
      </c>
      <c r="I37" s="348">
        <f>IF(AH37="","",AH37)</f>
        <v>1</v>
      </c>
      <c r="J37" s="75">
        <f t="shared" ref="J37:J50" si="37">IF(AI37=0,"",AI37)</f>
        <v>210</v>
      </c>
      <c r="K37" s="348">
        <f>IF(AJ37="","",AJ37)</f>
        <v>1</v>
      </c>
      <c r="L37" s="75">
        <f t="shared" ref="L37:L50" si="38">IF(AK37=0,"",AK37)</f>
        <v>171</v>
      </c>
      <c r="M37" s="348">
        <f>IF(AL37="","",AL37)</f>
        <v>0</v>
      </c>
      <c r="N37" s="75">
        <f>IF(AM37=0,"",AM37)</f>
        <v>230</v>
      </c>
      <c r="O37" s="348">
        <f>IF(AN37="","",AN37)</f>
        <v>1</v>
      </c>
      <c r="P37" s="75">
        <f t="shared" ref="P37:P50" si="39">IF(AO37=0,"",AO37)</f>
        <v>186</v>
      </c>
      <c r="Q37" s="348">
        <f>IF(AP37="","",AP37)</f>
        <v>0</v>
      </c>
      <c r="R37" s="75">
        <f t="shared" ref="R37:R50" si="40">IF(AQ37=0,"",AQ37)</f>
        <v>200</v>
      </c>
      <c r="S37" s="348">
        <f>IF(AR37="","",AR37)</f>
        <v>1</v>
      </c>
      <c r="T37" s="75">
        <f t="shared" ref="T37:T50" si="41">IF(AS37=0,"",AS37)</f>
        <v>224</v>
      </c>
      <c r="U37" s="348">
        <f>IF(AT37="","",AT37)</f>
        <v>1</v>
      </c>
      <c r="V37" s="75">
        <f t="shared" ref="V37:V50" si="42">IF(AU37=0,"",AU37)</f>
        <v>1869</v>
      </c>
      <c r="W37" s="348">
        <f>IF(AV37="","",AV37)</f>
        <v>6</v>
      </c>
      <c r="Z37" s="351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176</v>
      </c>
      <c r="AD37" s="109">
        <f>IF(SUM(AC37:AC39)+AC55=0,0,IF(SUM(AC37:AC39)=AC55,0.5,IF(SUM(AC37:AC39)&gt;AC55,1,0)))</f>
        <v>0</v>
      </c>
      <c r="AE37" s="185">
        <v>247</v>
      </c>
      <c r="AF37" s="109">
        <f>IF(SUM(AE37:AE39)+AE55=0,0,IF(SUM(AE37:AE39)=AE55,0.5,IF(SUM(AE37:AE39)&gt;AE55,1,0)))</f>
        <v>1</v>
      </c>
      <c r="AG37" s="185">
        <v>225</v>
      </c>
      <c r="AH37" s="109">
        <f>IF(SUM(AG37:AG39)+AG55=0,0,IF(SUM(AG37:AG39)=AG55,0.5,IF(SUM(AG37:AG39)&gt;AG55,1,0)))</f>
        <v>1</v>
      </c>
      <c r="AI37" s="185">
        <v>210</v>
      </c>
      <c r="AJ37" s="109">
        <f>IF(SUM(AI37:AI39)+AI55=0,0,IF(SUM(AI37:AI39)=AI55,0.5,IF(SUM(AI37:AI39)&gt;AI55,1,0)))</f>
        <v>1</v>
      </c>
      <c r="AK37" s="185">
        <v>171</v>
      </c>
      <c r="AL37" s="109">
        <f>IF(SUM(AK37:AK39)+AK55=0,0,IF(SUM(AK37:AK39)=AK55,0.5,IF(SUM(AK37:AK39)&gt;AK55,1,0)))</f>
        <v>0</v>
      </c>
      <c r="AM37" s="185">
        <v>230</v>
      </c>
      <c r="AN37" s="109">
        <f>IF(SUM(AM37:AM39)+AM55=0,0,IF(SUM(AM37:AM39)=AM55,0.5,IF(SUM(AM37:AM39)&gt;AM55,1,0)))</f>
        <v>1</v>
      </c>
      <c r="AO37" s="185">
        <v>186</v>
      </c>
      <c r="AP37" s="109">
        <f>IF(SUM(AO37:AO39)+AO55=0,0,IF(SUM(AO37:AO39)=AO55,0.5,IF(SUM(AO37:AO39)&gt;AO55,1,0)))</f>
        <v>0</v>
      </c>
      <c r="AQ37" s="185">
        <v>200</v>
      </c>
      <c r="AR37" s="109">
        <f>IF(SUM(AQ37:AQ39)+AQ55=0,0,IF(SUM(AQ37:AQ39)=AQ55,0.5,IF(SUM(AQ37:AQ39)&gt;AQ55,1,0)))</f>
        <v>1</v>
      </c>
      <c r="AS37" s="185">
        <v>224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1869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1869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176</v>
      </c>
      <c r="BI37" s="215">
        <f t="shared" ref="BI37:BI48" si="45">IF(AE37=0,"",AE37)</f>
        <v>247</v>
      </c>
      <c r="BJ37" s="215">
        <f t="shared" ref="BJ37:BJ48" si="46">IF(AG37=0,"",AG37)</f>
        <v>225</v>
      </c>
      <c r="BK37" s="215">
        <f t="shared" ref="BK37:BK48" si="47">IF(AI37=0,"",AI37)</f>
        <v>210</v>
      </c>
      <c r="BL37" s="215">
        <f t="shared" ref="BL37:BL48" si="48">IF(AK37=0,"",AK37)</f>
        <v>171</v>
      </c>
      <c r="BM37" s="215">
        <f t="shared" ref="BM37:BM48" si="49">IF(AM37=0,"",AM37)</f>
        <v>230</v>
      </c>
      <c r="BN37" s="215">
        <f t="shared" ref="BN37:BN48" si="50">IF(AO37=0,"",AO37)</f>
        <v>186</v>
      </c>
      <c r="BO37" s="215">
        <f t="shared" ref="BO37:BO48" si="51">IF(AQ37=0,"",AQ37)</f>
        <v>200</v>
      </c>
      <c r="BP37" s="215">
        <f t="shared" ref="BP37:BP48" si="52">IF(AS37=0,"",AS37)</f>
        <v>224</v>
      </c>
      <c r="BQ37" s="216"/>
      <c r="BR37" s="214"/>
      <c r="BS37" s="215">
        <f>MAX(BH37:BP37)</f>
        <v>247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1869</v>
      </c>
      <c r="BX37" s="215">
        <f>IF(COUNTIF(BH37:BP37,"&gt;0")&lt;Spielorte!$A$23,0,BE37/Spielorte!$A$23)</f>
        <v>207.66666666666666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77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9"/>
      <c r="F38" s="78" t="str">
        <f t="shared" si="35"/>
        <v/>
      </c>
      <c r="G38" s="349"/>
      <c r="H38" s="78" t="str">
        <f t="shared" si="36"/>
        <v/>
      </c>
      <c r="I38" s="349"/>
      <c r="J38" s="78" t="str">
        <f t="shared" si="37"/>
        <v/>
      </c>
      <c r="K38" s="349"/>
      <c r="L38" s="78" t="str">
        <f t="shared" si="38"/>
        <v/>
      </c>
      <c r="M38" s="349"/>
      <c r="N38" s="78" t="str">
        <f t="shared" ref="N38:N50" si="55">IF(AM38=0,"",AM38)</f>
        <v/>
      </c>
      <c r="O38" s="349"/>
      <c r="P38" s="78" t="str">
        <f t="shared" si="39"/>
        <v/>
      </c>
      <c r="Q38" s="349"/>
      <c r="R38" s="78" t="str">
        <f t="shared" si="40"/>
        <v/>
      </c>
      <c r="S38" s="349"/>
      <c r="T38" s="78" t="str">
        <f t="shared" si="41"/>
        <v/>
      </c>
      <c r="U38" s="349"/>
      <c r="V38" s="78" t="str">
        <f t="shared" si="42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Bajuwaren München 1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8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0"/>
      <c r="F39" s="69" t="str">
        <f t="shared" si="35"/>
        <v/>
      </c>
      <c r="G39" s="350"/>
      <c r="H39" s="69" t="str">
        <f t="shared" si="36"/>
        <v/>
      </c>
      <c r="I39" s="350"/>
      <c r="J39" s="69" t="str">
        <f t="shared" si="37"/>
        <v/>
      </c>
      <c r="K39" s="350"/>
      <c r="L39" s="69" t="str">
        <f t="shared" si="38"/>
        <v/>
      </c>
      <c r="M39" s="350"/>
      <c r="N39" s="69" t="str">
        <f t="shared" si="55"/>
        <v/>
      </c>
      <c r="O39" s="350"/>
      <c r="P39" s="69" t="str">
        <f t="shared" si="39"/>
        <v/>
      </c>
      <c r="Q39" s="350"/>
      <c r="R39" s="69" t="str">
        <f t="shared" si="40"/>
        <v/>
      </c>
      <c r="S39" s="350"/>
      <c r="T39" s="69" t="str">
        <f t="shared" si="41"/>
        <v/>
      </c>
      <c r="U39" s="350"/>
      <c r="V39" s="69" t="str">
        <f t="shared" si="42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Bajuwaren München 1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76" t="s">
        <v>2</v>
      </c>
      <c r="B40" s="73" t="str">
        <f t="shared" si="54"/>
        <v>Lüthje, Dennis</v>
      </c>
      <c r="C40" s="74">
        <f t="shared" si="54"/>
        <v>7600</v>
      </c>
      <c r="D40" s="75">
        <f t="shared" si="54"/>
        <v>146</v>
      </c>
      <c r="E40" s="348">
        <f>IF(AD40="","",AD40)</f>
        <v>0</v>
      </c>
      <c r="F40" s="75">
        <f t="shared" si="35"/>
        <v>178</v>
      </c>
      <c r="G40" s="348">
        <f>IF(AF40="","",AF40)</f>
        <v>1</v>
      </c>
      <c r="H40" s="75">
        <f t="shared" si="36"/>
        <v>157</v>
      </c>
      <c r="I40" s="348">
        <f>IF(AH40="","",AH40)</f>
        <v>0</v>
      </c>
      <c r="J40" s="75">
        <f t="shared" si="37"/>
        <v>175</v>
      </c>
      <c r="K40" s="348">
        <f>IF(AJ40="","",AJ40)</f>
        <v>0</v>
      </c>
      <c r="L40" s="75">
        <f t="shared" si="38"/>
        <v>175</v>
      </c>
      <c r="M40" s="348">
        <f>IF(AL40="","",AL40)</f>
        <v>0</v>
      </c>
      <c r="N40" s="75">
        <f t="shared" si="55"/>
        <v>242</v>
      </c>
      <c r="O40" s="348">
        <f>IF(AN40="","",AN40)</f>
        <v>1</v>
      </c>
      <c r="P40" s="75">
        <f t="shared" si="39"/>
        <v>238</v>
      </c>
      <c r="Q40" s="348">
        <f>IF(AP40="","",AP40)</f>
        <v>1</v>
      </c>
      <c r="R40" s="75">
        <f t="shared" si="40"/>
        <v>212</v>
      </c>
      <c r="S40" s="348">
        <f>IF(AR40="","",AR40)</f>
        <v>1</v>
      </c>
      <c r="T40" s="75">
        <f t="shared" si="41"/>
        <v>203</v>
      </c>
      <c r="U40" s="348">
        <f>IF(AT40="","",AT40)</f>
        <v>0</v>
      </c>
      <c r="V40" s="75">
        <f t="shared" si="42"/>
        <v>1726</v>
      </c>
      <c r="W40" s="348">
        <f>IF(AV40="","",AV40)</f>
        <v>4</v>
      </c>
      <c r="Z40" s="351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146</v>
      </c>
      <c r="AD40" s="109">
        <f>IF(SUM(AC40:AC42)+AC56=0,0,IF(SUM(AC40:AC42)=AC56,0.5,IF(SUM(AC40:AC42)&gt;AC56,1,0)))</f>
        <v>0</v>
      </c>
      <c r="AE40" s="188">
        <v>178</v>
      </c>
      <c r="AF40" s="109">
        <f>IF(SUM(AE40:AE42)+AE56=0,0,IF(SUM(AE40:AE42)=AE56,0.5,IF(SUM(AE40:AE42)&gt;AE56,1,0)))</f>
        <v>1</v>
      </c>
      <c r="AG40" s="188">
        <v>157</v>
      </c>
      <c r="AH40" s="109">
        <f>IF(SUM(AG40:AG42)+AG56=0,0,IF(SUM(AG40:AG42)=AG56,0.5,IF(SUM(AG40:AG42)&gt;AG56,1,0)))</f>
        <v>0</v>
      </c>
      <c r="AI40" s="188">
        <v>175</v>
      </c>
      <c r="AJ40" s="109">
        <f>IF(SUM(AI40:AI42)+AI56=0,0,IF(SUM(AI40:AI42)=AI56,0.5,IF(SUM(AI40:AI42)&gt;AI56,1,0)))</f>
        <v>0</v>
      </c>
      <c r="AK40" s="188">
        <v>175</v>
      </c>
      <c r="AL40" s="109">
        <f>IF(SUM(AK40:AK42)+AK56=0,0,IF(SUM(AK40:AK42)=AK56,0.5,IF(SUM(AK40:AK42)&gt;AK56,1,0)))</f>
        <v>0</v>
      </c>
      <c r="AM40" s="188">
        <v>242</v>
      </c>
      <c r="AN40" s="109">
        <f>IF(SUM(AM40:AM42)+AM56=0,0,IF(SUM(AM40:AM42)=AM56,0.5,IF(SUM(AM40:AM42)&gt;AM56,1,0)))</f>
        <v>1</v>
      </c>
      <c r="AO40" s="188">
        <v>238</v>
      </c>
      <c r="AP40" s="109">
        <f>IF(SUM(AO40:AO42)+AO56=0,0,IF(SUM(AO40:AO42)=AO56,0.5,IF(SUM(AO40:AO42)&gt;AO56,1,0)))</f>
        <v>1</v>
      </c>
      <c r="AQ40" s="188">
        <v>212</v>
      </c>
      <c r="AR40" s="109">
        <f>IF(SUM(AQ40:AQ42)+AQ56=0,0,IF(SUM(AQ40:AQ42)=AQ56,0.5,IF(SUM(AQ40:AQ42)&gt;AQ56,1,0)))</f>
        <v>1</v>
      </c>
      <c r="AS40" s="188">
        <v>203</v>
      </c>
      <c r="AT40" s="109">
        <f>IF(SUM(AS40:AS42)+AS56=0,0,IF(SUM(AS40:AS42)=AS56,0.5,IF(SUM(AS40:AS42)&gt;AS56,1,0)))</f>
        <v>0</v>
      </c>
      <c r="AU40" s="110">
        <f t="shared" si="43"/>
        <v>1726</v>
      </c>
      <c r="AV40" s="111">
        <f>SUM(AD40+AF40+AH40+AJ40+AL40+AN40+AP40+AR40+AT40)</f>
        <v>4</v>
      </c>
      <c r="AW40" s="101"/>
      <c r="AX40" s="102"/>
      <c r="AZ40" s="63"/>
      <c r="BA40" s="212"/>
      <c r="BB40" s="213"/>
      <c r="BC40" s="214"/>
      <c r="BD40" s="217">
        <f t="shared" si="56"/>
        <v>7600</v>
      </c>
      <c r="BE40" s="213">
        <f t="shared" si="57"/>
        <v>1726</v>
      </c>
      <c r="BF40" s="215">
        <f t="shared" si="58"/>
        <v>9</v>
      </c>
      <c r="BG40" s="215">
        <f t="shared" si="59"/>
        <v>9</v>
      </c>
      <c r="BH40" s="215">
        <f t="shared" si="44"/>
        <v>146</v>
      </c>
      <c r="BI40" s="215">
        <f t="shared" si="45"/>
        <v>178</v>
      </c>
      <c r="BJ40" s="215">
        <f t="shared" si="46"/>
        <v>157</v>
      </c>
      <c r="BK40" s="215">
        <f t="shared" si="47"/>
        <v>175</v>
      </c>
      <c r="BL40" s="215">
        <f t="shared" si="48"/>
        <v>175</v>
      </c>
      <c r="BM40" s="215">
        <f t="shared" si="49"/>
        <v>242</v>
      </c>
      <c r="BN40" s="215">
        <f t="shared" si="50"/>
        <v>238</v>
      </c>
      <c r="BO40" s="215">
        <f t="shared" si="51"/>
        <v>212</v>
      </c>
      <c r="BP40" s="215">
        <f t="shared" si="52"/>
        <v>203</v>
      </c>
      <c r="BQ40" s="216"/>
      <c r="BR40" s="214"/>
      <c r="BS40" s="215">
        <f t="shared" si="60"/>
        <v>242</v>
      </c>
      <c r="BT40" s="215">
        <f t="shared" si="61"/>
        <v>0</v>
      </c>
      <c r="BU40" s="215" t="str">
        <f t="shared" si="62"/>
        <v>Bajuwaren München 1</v>
      </c>
      <c r="BV40" s="214">
        <f t="shared" si="63"/>
        <v>2</v>
      </c>
      <c r="BW40" s="215">
        <f t="shared" si="64"/>
        <v>1726</v>
      </c>
      <c r="BX40" s="215">
        <f>IF(COUNTIF(BH40:BP40,"&gt;0")&lt;Spielorte!$A$23,0,BE40/Spielorte!$A$23)</f>
        <v>191.77777777777777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77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49"/>
      <c r="F41" s="78" t="str">
        <f t="shared" si="35"/>
        <v/>
      </c>
      <c r="G41" s="349"/>
      <c r="H41" s="78" t="str">
        <f t="shared" si="36"/>
        <v/>
      </c>
      <c r="I41" s="349"/>
      <c r="J41" s="78" t="str">
        <f t="shared" si="37"/>
        <v/>
      </c>
      <c r="K41" s="349"/>
      <c r="L41" s="78" t="str">
        <f t="shared" si="38"/>
        <v/>
      </c>
      <c r="M41" s="349"/>
      <c r="N41" s="78" t="str">
        <f t="shared" si="55"/>
        <v/>
      </c>
      <c r="O41" s="349"/>
      <c r="P41" s="78" t="str">
        <f t="shared" si="39"/>
        <v/>
      </c>
      <c r="Q41" s="349"/>
      <c r="R41" s="78" t="str">
        <f t="shared" si="40"/>
        <v/>
      </c>
      <c r="S41" s="349"/>
      <c r="T41" s="78" t="str">
        <f t="shared" si="41"/>
        <v/>
      </c>
      <c r="U41" s="349"/>
      <c r="V41" s="78" t="str">
        <f t="shared" si="42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0</v>
      </c>
      <c r="BU41" s="215" t="str">
        <f t="shared" si="62"/>
        <v>Bajuwaren München 1</v>
      </c>
      <c r="BV41" s="214">
        <f t="shared" si="63"/>
        <v>2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8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0"/>
      <c r="F42" s="69" t="str">
        <f t="shared" si="35"/>
        <v/>
      </c>
      <c r="G42" s="350"/>
      <c r="H42" s="69" t="str">
        <f t="shared" si="36"/>
        <v/>
      </c>
      <c r="I42" s="350"/>
      <c r="J42" s="69" t="str">
        <f t="shared" si="37"/>
        <v/>
      </c>
      <c r="K42" s="350"/>
      <c r="L42" s="69" t="str">
        <f t="shared" si="38"/>
        <v/>
      </c>
      <c r="M42" s="350"/>
      <c r="N42" s="69" t="str">
        <f t="shared" si="55"/>
        <v/>
      </c>
      <c r="O42" s="350"/>
      <c r="P42" s="69" t="str">
        <f t="shared" si="39"/>
        <v/>
      </c>
      <c r="Q42" s="350"/>
      <c r="R42" s="69" t="str">
        <f t="shared" si="40"/>
        <v/>
      </c>
      <c r="S42" s="350"/>
      <c r="T42" s="69" t="str">
        <f t="shared" si="41"/>
        <v/>
      </c>
      <c r="U42" s="350"/>
      <c r="V42" s="69" t="str">
        <f t="shared" si="42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Bajuwaren München 1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76" t="s">
        <v>3</v>
      </c>
      <c r="B43" s="73" t="str">
        <f t="shared" si="54"/>
        <v>Reichert, Ralph</v>
      </c>
      <c r="C43" s="74">
        <f t="shared" si="54"/>
        <v>7416</v>
      </c>
      <c r="D43" s="75">
        <f t="shared" si="54"/>
        <v>139</v>
      </c>
      <c r="E43" s="348">
        <f>IF(AD43="","",AD43)</f>
        <v>0</v>
      </c>
      <c r="F43" s="75">
        <f t="shared" si="35"/>
        <v>212</v>
      </c>
      <c r="G43" s="348">
        <f>IF(AF43="","",AF43)</f>
        <v>1</v>
      </c>
      <c r="H43" s="75">
        <f t="shared" si="36"/>
        <v>190</v>
      </c>
      <c r="I43" s="348">
        <f>IF(AH43="","",AH43)</f>
        <v>1</v>
      </c>
      <c r="J43" s="75">
        <f t="shared" si="37"/>
        <v>207</v>
      </c>
      <c r="K43" s="348">
        <f>IF(AJ43="","",AJ43)</f>
        <v>1</v>
      </c>
      <c r="L43" s="75">
        <f t="shared" si="38"/>
        <v>213</v>
      </c>
      <c r="M43" s="348">
        <f>IF(AL43="","",AL43)</f>
        <v>1</v>
      </c>
      <c r="N43" s="75">
        <f t="shared" si="55"/>
        <v>201</v>
      </c>
      <c r="O43" s="348">
        <f>IF(AN43="","",AN43)</f>
        <v>1</v>
      </c>
      <c r="P43" s="75">
        <f t="shared" si="39"/>
        <v>186</v>
      </c>
      <c r="Q43" s="348">
        <f>IF(AP43="","",AP43)</f>
        <v>0</v>
      </c>
      <c r="R43" s="75">
        <f t="shared" si="40"/>
        <v>174</v>
      </c>
      <c r="S43" s="348">
        <f>IF(AR43="","",AR43)</f>
        <v>1</v>
      </c>
      <c r="T43" s="75">
        <f t="shared" si="41"/>
        <v>182</v>
      </c>
      <c r="U43" s="348">
        <f>IF(AT43="","",AT43)</f>
        <v>1</v>
      </c>
      <c r="V43" s="75">
        <f t="shared" si="42"/>
        <v>1704</v>
      </c>
      <c r="W43" s="348">
        <f>IF(AV43="","",AV43)</f>
        <v>7</v>
      </c>
      <c r="Z43" s="351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139</v>
      </c>
      <c r="AD43" s="109">
        <f>IF(SUM(AC43:AC45)+AC57=0,0,IF(SUM(AC43:AC45)=AC57,0.5,IF(SUM(AC43:AC45)&gt;AC57,1,0)))</f>
        <v>0</v>
      </c>
      <c r="AE43" s="188">
        <v>212</v>
      </c>
      <c r="AF43" s="109">
        <f>IF(SUM(AE43:AE45)+AE57=0,0,IF(SUM(AE43:AE45)=AE57,0.5,IF(SUM(AE43:AE45)&gt;AE57,1,0)))</f>
        <v>1</v>
      </c>
      <c r="AG43" s="188">
        <v>190</v>
      </c>
      <c r="AH43" s="109">
        <f>IF(SUM(AG43:AG45)+AG57=0,0,IF(SUM(AG43:AG45)=AG57,0.5,IF(SUM(AG43:AG45)&gt;AG57,1,0)))</f>
        <v>1</v>
      </c>
      <c r="AI43" s="188">
        <v>207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1</v>
      </c>
      <c r="AM43" s="188">
        <v>201</v>
      </c>
      <c r="AN43" s="109">
        <f>IF(SUM(AM43:AM45)+AM57=0,0,IF(SUM(AM43:AM45)=AM57,0.5,IF(SUM(AM43:AM45)&gt;AM57,1,0)))</f>
        <v>1</v>
      </c>
      <c r="AO43" s="188">
        <v>186</v>
      </c>
      <c r="AP43" s="109">
        <f>IF(SUM(AO43:AO45)+AO57=0,0,IF(SUM(AO43:AO45)=AO57,0.5,IF(SUM(AO43:AO45)&gt;AO57,1,0)))</f>
        <v>0</v>
      </c>
      <c r="AQ43" s="188">
        <v>174</v>
      </c>
      <c r="AR43" s="109">
        <f>IF(SUM(AQ43:AQ45)+AQ57=0,0,IF(SUM(AQ43:AQ45)=AQ57,0.5,IF(SUM(AQ43:AQ45)&gt;AQ57,1,0)))</f>
        <v>1</v>
      </c>
      <c r="AS43" s="188">
        <v>182</v>
      </c>
      <c r="AT43" s="109">
        <f>IF(SUM(AS43:AS45)+AS57=0,0,IF(SUM(AS43:AS45)=AS57,0.5,IF(SUM(AS43:AS45)&gt;AS57,1,0)))</f>
        <v>1</v>
      </c>
      <c r="AU43" s="110">
        <f t="shared" si="43"/>
        <v>1704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6"/>
        <v>7416</v>
      </c>
      <c r="BE43" s="213">
        <f t="shared" si="57"/>
        <v>1704</v>
      </c>
      <c r="BF43" s="215">
        <f t="shared" si="58"/>
        <v>9</v>
      </c>
      <c r="BG43" s="215">
        <f t="shared" si="59"/>
        <v>9</v>
      </c>
      <c r="BH43" s="215">
        <f t="shared" si="44"/>
        <v>139</v>
      </c>
      <c r="BI43" s="215">
        <f t="shared" si="45"/>
        <v>212</v>
      </c>
      <c r="BJ43" s="215">
        <f t="shared" si="46"/>
        <v>190</v>
      </c>
      <c r="BK43" s="215">
        <f t="shared" si="47"/>
        <v>207</v>
      </c>
      <c r="BL43" s="215">
        <f t="shared" si="48"/>
        <v>213</v>
      </c>
      <c r="BM43" s="215">
        <f t="shared" si="49"/>
        <v>201</v>
      </c>
      <c r="BN43" s="215">
        <f t="shared" si="50"/>
        <v>186</v>
      </c>
      <c r="BO43" s="215">
        <f t="shared" si="51"/>
        <v>174</v>
      </c>
      <c r="BP43" s="215">
        <f t="shared" si="52"/>
        <v>182</v>
      </c>
      <c r="BQ43" s="216"/>
      <c r="BR43" s="214"/>
      <c r="BS43" s="215">
        <f t="shared" si="60"/>
        <v>213</v>
      </c>
      <c r="BT43" s="215">
        <f t="shared" si="61"/>
        <v>0</v>
      </c>
      <c r="BU43" s="215" t="str">
        <f t="shared" si="62"/>
        <v>Bajuwaren München 1</v>
      </c>
      <c r="BV43" s="214">
        <f t="shared" si="63"/>
        <v>2</v>
      </c>
      <c r="BW43" s="215">
        <f t="shared" si="64"/>
        <v>1704</v>
      </c>
      <c r="BX43" s="215">
        <f>IF(COUNTIF(BH43:BP43,"&gt;0")&lt;Spielorte!$A$23,0,BE43/Spielorte!$A$23)</f>
        <v>189.33333333333334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77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9"/>
      <c r="F44" s="78" t="str">
        <f t="shared" si="35"/>
        <v/>
      </c>
      <c r="G44" s="349"/>
      <c r="H44" s="78" t="str">
        <f t="shared" si="36"/>
        <v/>
      </c>
      <c r="I44" s="349"/>
      <c r="J44" s="78" t="str">
        <f t="shared" si="37"/>
        <v/>
      </c>
      <c r="K44" s="349"/>
      <c r="L44" s="78" t="str">
        <f t="shared" si="38"/>
        <v/>
      </c>
      <c r="M44" s="349"/>
      <c r="N44" s="78" t="str">
        <f t="shared" si="55"/>
        <v/>
      </c>
      <c r="O44" s="349"/>
      <c r="P44" s="78" t="str">
        <f t="shared" si="39"/>
        <v/>
      </c>
      <c r="Q44" s="349"/>
      <c r="R44" s="78" t="str">
        <f t="shared" si="40"/>
        <v/>
      </c>
      <c r="S44" s="349"/>
      <c r="T44" s="78" t="str">
        <f t="shared" si="41"/>
        <v/>
      </c>
      <c r="U44" s="349"/>
      <c r="V44" s="78" t="str">
        <f t="shared" si="42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Bajuwaren München 1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8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0"/>
      <c r="F45" s="69" t="str">
        <f t="shared" si="35"/>
        <v/>
      </c>
      <c r="G45" s="350"/>
      <c r="H45" s="69" t="str">
        <f t="shared" si="36"/>
        <v/>
      </c>
      <c r="I45" s="350"/>
      <c r="J45" s="69" t="str">
        <f t="shared" si="37"/>
        <v/>
      </c>
      <c r="K45" s="350"/>
      <c r="L45" s="69" t="str">
        <f t="shared" si="38"/>
        <v/>
      </c>
      <c r="M45" s="350"/>
      <c r="N45" s="69" t="str">
        <f t="shared" si="55"/>
        <v/>
      </c>
      <c r="O45" s="350"/>
      <c r="P45" s="69" t="str">
        <f t="shared" si="39"/>
        <v/>
      </c>
      <c r="Q45" s="350"/>
      <c r="R45" s="69" t="str">
        <f t="shared" si="40"/>
        <v/>
      </c>
      <c r="S45" s="350"/>
      <c r="T45" s="69" t="str">
        <f t="shared" si="41"/>
        <v/>
      </c>
      <c r="U45" s="350"/>
      <c r="V45" s="69" t="str">
        <f t="shared" si="42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Bajuwaren München 1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76" t="s">
        <v>11</v>
      </c>
      <c r="B46" s="73" t="str">
        <f>IF(AA46=0,"",AA46)</f>
        <v>Lüthje, Volker</v>
      </c>
      <c r="C46" s="74">
        <f t="shared" si="54"/>
        <v>7601</v>
      </c>
      <c r="D46" s="75">
        <f t="shared" si="54"/>
        <v>145</v>
      </c>
      <c r="E46" s="348">
        <f>IF(AD46="","",AD46)</f>
        <v>0</v>
      </c>
      <c r="F46" s="75">
        <f t="shared" si="35"/>
        <v>187</v>
      </c>
      <c r="G46" s="348">
        <f>IF(AF46="","",AF46)</f>
        <v>1</v>
      </c>
      <c r="H46" s="75">
        <f t="shared" si="36"/>
        <v>187</v>
      </c>
      <c r="I46" s="348">
        <f>IF(AH46="","",AH46)</f>
        <v>1</v>
      </c>
      <c r="J46" s="75">
        <f t="shared" si="37"/>
        <v>143</v>
      </c>
      <c r="K46" s="348">
        <f>IF(AJ46="","",AJ46)</f>
        <v>0</v>
      </c>
      <c r="L46" s="75" t="str">
        <f t="shared" si="38"/>
        <v/>
      </c>
      <c r="M46" s="348">
        <f>IF(AL46="","",AL46)</f>
        <v>0</v>
      </c>
      <c r="N46" s="75" t="str">
        <f t="shared" si="55"/>
        <v/>
      </c>
      <c r="O46" s="348">
        <f>IF(AN46="","",AN46)</f>
        <v>1</v>
      </c>
      <c r="P46" s="75" t="str">
        <f t="shared" si="39"/>
        <v/>
      </c>
      <c r="Q46" s="348">
        <f>IF(AP46="","",AP46)</f>
        <v>0</v>
      </c>
      <c r="R46" s="75" t="str">
        <f t="shared" si="40"/>
        <v/>
      </c>
      <c r="S46" s="348">
        <f>IF(AR46="","",AR46)</f>
        <v>0</v>
      </c>
      <c r="T46" s="75" t="str">
        <f t="shared" si="41"/>
        <v/>
      </c>
      <c r="U46" s="348">
        <f>IF(AT46="","",AT46)</f>
        <v>1</v>
      </c>
      <c r="V46" s="75">
        <f t="shared" si="42"/>
        <v>662</v>
      </c>
      <c r="W46" s="348">
        <f>IF(AV46="","",AV46)</f>
        <v>4</v>
      </c>
      <c r="Z46" s="351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145</v>
      </c>
      <c r="AD46" s="109">
        <f>IF(SUM(AC46:AC48)+AC58=0,0,IF(SUM(AC46:AC48)=AC58,0.5,IF(SUM(AC46:AC48)&gt;AC58,1,0)))</f>
        <v>0</v>
      </c>
      <c r="AE46" s="188">
        <v>187</v>
      </c>
      <c r="AF46" s="109">
        <f>IF(SUM(AE46:AE48)+AE58=0,0,IF(SUM(AE46:AE48)=AE58,0.5,IF(SUM(AE46:AE48)&gt;AE58,1,0)))</f>
        <v>1</v>
      </c>
      <c r="AG46" s="188">
        <v>187</v>
      </c>
      <c r="AH46" s="109">
        <f>IF(SUM(AG46:AG48)+AG58=0,0,IF(SUM(AG46:AG48)=AG58,0.5,IF(SUM(AG46:AG48)&gt;AG58,1,0)))</f>
        <v>1</v>
      </c>
      <c r="AI46" s="188">
        <v>143</v>
      </c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1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1</v>
      </c>
      <c r="AU46" s="110">
        <f t="shared" si="43"/>
        <v>662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7601</v>
      </c>
      <c r="BE46" s="213">
        <f t="shared" si="57"/>
        <v>662</v>
      </c>
      <c r="BF46" s="215">
        <f t="shared" si="58"/>
        <v>4</v>
      </c>
      <c r="BG46" s="215">
        <f t="shared" si="59"/>
        <v>4</v>
      </c>
      <c r="BH46" s="215">
        <f t="shared" si="44"/>
        <v>145</v>
      </c>
      <c r="BI46" s="215">
        <f t="shared" si="45"/>
        <v>187</v>
      </c>
      <c r="BJ46" s="215">
        <f t="shared" si="46"/>
        <v>187</v>
      </c>
      <c r="BK46" s="215">
        <f t="shared" si="47"/>
        <v>143</v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187</v>
      </c>
      <c r="BT46" s="215">
        <f t="shared" si="61"/>
        <v>0</v>
      </c>
      <c r="BU46" s="215" t="str">
        <f t="shared" si="62"/>
        <v>Bajuwaren München 1</v>
      </c>
      <c r="BV46" s="214">
        <f t="shared" si="63"/>
        <v>2</v>
      </c>
      <c r="BW46" s="215">
        <f t="shared" si="64"/>
        <v>662</v>
      </c>
      <c r="BX46" s="215">
        <f>IF(COUNTIF(BH46:BP46,"&gt;0")&lt;Spielorte!$A$23,0,BE46/Spielorte!$A$23)</f>
        <v>0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77"/>
      <c r="B47" s="76" t="str">
        <f>IF(AA47=0,"",AA47)</f>
        <v>Glasl sen., Hans</v>
      </c>
      <c r="C47" s="77">
        <f t="shared" si="54"/>
        <v>16762</v>
      </c>
      <c r="D47" s="78" t="str">
        <f t="shared" si="54"/>
        <v/>
      </c>
      <c r="E47" s="349"/>
      <c r="F47" s="78" t="str">
        <f t="shared" si="35"/>
        <v/>
      </c>
      <c r="G47" s="349"/>
      <c r="H47" s="78" t="str">
        <f t="shared" si="36"/>
        <v/>
      </c>
      <c r="I47" s="349"/>
      <c r="J47" s="78" t="str">
        <f t="shared" si="37"/>
        <v/>
      </c>
      <c r="K47" s="349"/>
      <c r="L47" s="78">
        <f t="shared" si="38"/>
        <v>164</v>
      </c>
      <c r="M47" s="349"/>
      <c r="N47" s="78">
        <f t="shared" si="55"/>
        <v>188</v>
      </c>
      <c r="O47" s="349"/>
      <c r="P47" s="78">
        <f t="shared" si="39"/>
        <v>160</v>
      </c>
      <c r="Q47" s="349"/>
      <c r="R47" s="78">
        <f t="shared" si="40"/>
        <v>167</v>
      </c>
      <c r="S47" s="349"/>
      <c r="T47" s="78">
        <f t="shared" si="41"/>
        <v>159</v>
      </c>
      <c r="U47" s="349"/>
      <c r="V47" s="78">
        <f t="shared" si="42"/>
        <v>838</v>
      </c>
      <c r="W47" s="349"/>
      <c r="Z47" s="352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>
        <v>164</v>
      </c>
      <c r="AL47" s="112"/>
      <c r="AM47" s="186">
        <v>188</v>
      </c>
      <c r="AN47" s="112"/>
      <c r="AO47" s="186">
        <v>160</v>
      </c>
      <c r="AP47" s="112"/>
      <c r="AQ47" s="186">
        <v>167</v>
      </c>
      <c r="AR47" s="112"/>
      <c r="AS47" s="186">
        <v>159</v>
      </c>
      <c r="AT47" s="112"/>
      <c r="AU47" s="113">
        <f t="shared" si="43"/>
        <v>838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16762</v>
      </c>
      <c r="BE47" s="213">
        <f t="shared" si="57"/>
        <v>838</v>
      </c>
      <c r="BF47" s="215">
        <f t="shared" si="58"/>
        <v>5</v>
      </c>
      <c r="BG47" s="215">
        <f t="shared" si="59"/>
        <v>5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>
        <f t="shared" si="48"/>
        <v>164</v>
      </c>
      <c r="BM47" s="215">
        <f t="shared" si="49"/>
        <v>188</v>
      </c>
      <c r="BN47" s="215">
        <f t="shared" si="50"/>
        <v>160</v>
      </c>
      <c r="BO47" s="215">
        <f t="shared" si="51"/>
        <v>167</v>
      </c>
      <c r="BP47" s="215">
        <f t="shared" si="52"/>
        <v>159</v>
      </c>
      <c r="BQ47" s="216"/>
      <c r="BR47" s="214"/>
      <c r="BS47" s="215">
        <f t="shared" si="60"/>
        <v>188</v>
      </c>
      <c r="BT47" s="215">
        <f t="shared" si="61"/>
        <v>0</v>
      </c>
      <c r="BU47" s="215" t="str">
        <f t="shared" si="62"/>
        <v>Bajuwaren München 1</v>
      </c>
      <c r="BV47" s="214">
        <f t="shared" si="63"/>
        <v>2</v>
      </c>
      <c r="BW47" s="215">
        <f t="shared" si="64"/>
        <v>838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8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0"/>
      <c r="F48" s="69" t="str">
        <f t="shared" si="35"/>
        <v/>
      </c>
      <c r="G48" s="350"/>
      <c r="H48" s="69" t="str">
        <f t="shared" si="36"/>
        <v/>
      </c>
      <c r="I48" s="350"/>
      <c r="J48" s="69" t="str">
        <f t="shared" si="37"/>
        <v/>
      </c>
      <c r="K48" s="350"/>
      <c r="L48" s="69" t="str">
        <f t="shared" si="38"/>
        <v/>
      </c>
      <c r="M48" s="350"/>
      <c r="N48" s="69" t="str">
        <f t="shared" si="55"/>
        <v/>
      </c>
      <c r="O48" s="350"/>
      <c r="P48" s="69" t="str">
        <f t="shared" si="39"/>
        <v/>
      </c>
      <c r="Q48" s="350"/>
      <c r="R48" s="69" t="str">
        <f t="shared" si="40"/>
        <v/>
      </c>
      <c r="S48" s="350"/>
      <c r="T48" s="69" t="str">
        <f t="shared" si="41"/>
        <v/>
      </c>
      <c r="U48" s="350"/>
      <c r="V48" s="69" t="str">
        <f t="shared" si="42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Bajuwaren München 1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606</v>
      </c>
      <c r="E49" s="84">
        <f>IF(AD49="","",AD49)</f>
        <v>0</v>
      </c>
      <c r="F49" s="83">
        <f t="shared" si="35"/>
        <v>824</v>
      </c>
      <c r="G49" s="84">
        <f>IF(AF49="","",AF49)</f>
        <v>2</v>
      </c>
      <c r="H49" s="83">
        <f t="shared" si="36"/>
        <v>759</v>
      </c>
      <c r="I49" s="84">
        <f>IF(AH49="","",AH49)</f>
        <v>0</v>
      </c>
      <c r="J49" s="83">
        <f t="shared" si="37"/>
        <v>735</v>
      </c>
      <c r="K49" s="84">
        <f>IF(AJ49="","",AJ49)</f>
        <v>0</v>
      </c>
      <c r="L49" s="83">
        <f t="shared" si="38"/>
        <v>723</v>
      </c>
      <c r="M49" s="84">
        <f>IF(AL49="","",AL49)</f>
        <v>0</v>
      </c>
      <c r="N49" s="83">
        <f t="shared" si="55"/>
        <v>861</v>
      </c>
      <c r="O49" s="84">
        <f>IF(AN49="","",AN49)</f>
        <v>2</v>
      </c>
      <c r="P49" s="83">
        <f t="shared" si="39"/>
        <v>770</v>
      </c>
      <c r="Q49" s="84">
        <f>IF(AP49="","",AP49)</f>
        <v>0</v>
      </c>
      <c r="R49" s="83">
        <f t="shared" si="40"/>
        <v>753</v>
      </c>
      <c r="S49" s="84">
        <f>IF(AR49="","",AR49)</f>
        <v>2</v>
      </c>
      <c r="T49" s="83">
        <f t="shared" si="41"/>
        <v>768</v>
      </c>
      <c r="U49" s="84">
        <f>IF(AT49="","",AT49)</f>
        <v>2</v>
      </c>
      <c r="V49" s="83">
        <f t="shared" si="42"/>
        <v>6799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606</v>
      </c>
      <c r="AD49" s="121">
        <f>IF(AC49+AC59=0,0,IF(AC49=AC59,1,IF(AC49&gt;AC59,2,0)))</f>
        <v>0</v>
      </c>
      <c r="AE49" s="211">
        <f>ABS(SUM(AE37:AE39))+ABS(SUM(AE40:AE42))+ABS(SUM(AE43:AE45))+ABS(SUM(AE46:AE48))</f>
        <v>824</v>
      </c>
      <c r="AF49" s="121">
        <f>IF(AE49+AE59=0,0,IF(AE49=AE59,1,IF(AE49&gt;AE59,2,0)))</f>
        <v>2</v>
      </c>
      <c r="AG49" s="211">
        <f>ABS(SUM(AG37:AG39))+ABS(SUM(AG40:AG42))+ABS(SUM(AG43:AG45))+ABS(SUM(AG46:AG48))</f>
        <v>759</v>
      </c>
      <c r="AH49" s="121">
        <f>IF(AG49+AG59=0,0,IF(AG49=AG59,1,IF(AG49&gt;AG59,2,0)))</f>
        <v>0</v>
      </c>
      <c r="AI49" s="211">
        <f>ABS(SUM(AI37:AI39))+ABS(SUM(AI40:AI42))+ABS(SUM(AI43:AI45))+ABS(SUM(AI46:AI48))</f>
        <v>735</v>
      </c>
      <c r="AJ49" s="121">
        <f>IF(AI49+AI59=0,0,IF(AI49=AI59,1,IF(AI49&gt;AI59,2,0)))</f>
        <v>0</v>
      </c>
      <c r="AK49" s="211">
        <f>ABS(SUM(AK37:AK39))+ABS(SUM(AK40:AK42))+ABS(SUM(AK43:AK45))+ABS(SUM(AK46:AK48))</f>
        <v>723</v>
      </c>
      <c r="AL49" s="121">
        <f>IF(AK49+AK59=0,0,IF(AK49=AK59,1,IF(AK49&gt;AK59,2,0)))</f>
        <v>0</v>
      </c>
      <c r="AM49" s="211">
        <f>ABS(SUM(AM37:AM39))+ABS(SUM(AM40:AM42))+ABS(SUM(AM43:AM45))+ABS(SUM(AM46:AM48))</f>
        <v>861</v>
      </c>
      <c r="AN49" s="121">
        <f>IF(AM49+AM59=0,0,IF(AM49=AM59,1,IF(AM49&gt;AM59,2,0)))</f>
        <v>2</v>
      </c>
      <c r="AO49" s="211">
        <f>ABS(SUM(AO37:AO39))+ABS(SUM(AO40:AO42))+ABS(SUM(AO43:AO45))+ABS(SUM(AO46:AO48))</f>
        <v>770</v>
      </c>
      <c r="AP49" s="121">
        <f>IF(AO49+AO59=0,0,IF(AO49=AO59,1,IF(AO49&gt;AO59,2,0)))</f>
        <v>0</v>
      </c>
      <c r="AQ49" s="211">
        <f>ABS(SUM(AQ37:AQ39))+ABS(SUM(AQ40:AQ42))+ABS(SUM(AQ43:AQ45))+ABS(SUM(AQ46:AQ48))</f>
        <v>753</v>
      </c>
      <c r="AR49" s="121">
        <f>IF(AQ49+AQ59=0,0,IF(AQ49=AQ59,1,IF(AQ49&gt;AQ59,2,0)))</f>
        <v>2</v>
      </c>
      <c r="AS49" s="211">
        <f>ABS(SUM(AS37:AS39))+ABS(SUM(AS40:AS42))+ABS(SUM(AS43:AS45))+ABS(SUM(AS46:AS48))</f>
        <v>768</v>
      </c>
      <c r="AT49" s="121">
        <f>IF(AS49+AS59=0,0,IF(AS49=AS59,1,IF(AS49&gt;AS59,2,0)))</f>
        <v>2</v>
      </c>
      <c r="AU49" s="122">
        <f>SUM(AC49+AE49+AG49+AI49+AK49+AM49+AO49+AQ49+AS49)</f>
        <v>6799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0</v>
      </c>
      <c r="F50" s="86" t="str">
        <f t="shared" si="35"/>
        <v/>
      </c>
      <c r="G50" s="87">
        <f>IF(AF50="","",AF50)</f>
        <v>6</v>
      </c>
      <c r="H50" s="86" t="str">
        <f t="shared" si="36"/>
        <v/>
      </c>
      <c r="I50" s="87">
        <f>IF(AH50="","",AH50)</f>
        <v>3</v>
      </c>
      <c r="J50" s="86" t="str">
        <f t="shared" si="37"/>
        <v/>
      </c>
      <c r="K50" s="87">
        <f>IF(AJ50="","",AJ50)</f>
        <v>2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6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5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29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6</v>
      </c>
      <c r="AG50" s="86"/>
      <c r="AH50" s="124">
        <f>SUM(AH37:AH49)</f>
        <v>3</v>
      </c>
      <c r="AI50" s="86"/>
      <c r="AJ50" s="124">
        <f>SUM(AJ37:AJ49)</f>
        <v>2</v>
      </c>
      <c r="AK50" s="86"/>
      <c r="AL50" s="124">
        <f>SUM(AL37:AL49)</f>
        <v>1</v>
      </c>
      <c r="AM50" s="86"/>
      <c r="AN50" s="124">
        <f>SUM(AN37:AN49)</f>
        <v>6</v>
      </c>
      <c r="AO50" s="86"/>
      <c r="AP50" s="124">
        <f>SUM(AP37:AP49)</f>
        <v>1</v>
      </c>
      <c r="AQ50" s="86"/>
      <c r="AR50" s="124">
        <f>SUM(AR37:AR49)</f>
        <v>5</v>
      </c>
      <c r="AS50" s="86"/>
      <c r="AT50" s="124">
        <f>SUM(AT37:AT49)</f>
        <v>5</v>
      </c>
      <c r="AU50" s="86"/>
      <c r="AV50" s="125">
        <f>SUM(AV37:AV49)</f>
        <v>29</v>
      </c>
      <c r="AW50" s="101"/>
      <c r="AX50" s="102"/>
      <c r="BA50" s="212">
        <f>+AV50</f>
        <v>29</v>
      </c>
      <c r="BB50" s="213">
        <f>+AU49</f>
        <v>6799</v>
      </c>
      <c r="BC50" s="214">
        <f>+AA32</f>
        <v>2</v>
      </c>
      <c r="BF50" s="215">
        <f>SUM(BF31:BF49)</f>
        <v>36</v>
      </c>
      <c r="BQ50" s="212">
        <f>+BB50/1000000+BA50</f>
        <v>29.006799000000001</v>
      </c>
      <c r="BR50" s="214">
        <f>RANK(BQ50,BQ:BQ)</f>
        <v>4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56">
        <f t="shared" si="66"/>
        <v>8</v>
      </c>
      <c r="E52" s="356" t="str">
        <f t="shared" si="66"/>
        <v/>
      </c>
      <c r="F52" s="356">
        <f t="shared" si="66"/>
        <v>10</v>
      </c>
      <c r="G52" s="356" t="str">
        <f t="shared" si="66"/>
        <v/>
      </c>
      <c r="H52" s="356">
        <f t="shared" si="66"/>
        <v>3</v>
      </c>
      <c r="I52" s="356" t="str">
        <f t="shared" si="66"/>
        <v/>
      </c>
      <c r="J52" s="356">
        <f t="shared" si="66"/>
        <v>1</v>
      </c>
      <c r="K52" s="356" t="str">
        <f t="shared" si="66"/>
        <v/>
      </c>
      <c r="L52" s="356">
        <f t="shared" ref="L52:U54" si="67">IF(AK52=0,"",AK52)</f>
        <v>7</v>
      </c>
      <c r="M52" s="356" t="str">
        <f t="shared" si="67"/>
        <v/>
      </c>
      <c r="N52" s="356">
        <f t="shared" si="67"/>
        <v>6</v>
      </c>
      <c r="O52" s="356" t="str">
        <f t="shared" si="67"/>
        <v/>
      </c>
      <c r="P52" s="356">
        <f t="shared" si="67"/>
        <v>9</v>
      </c>
      <c r="Q52" s="356" t="str">
        <f t="shared" si="67"/>
        <v/>
      </c>
      <c r="R52" s="356">
        <f t="shared" si="67"/>
        <v>5</v>
      </c>
      <c r="S52" s="356" t="str">
        <f t="shared" si="67"/>
        <v/>
      </c>
      <c r="T52" s="356">
        <f t="shared" si="67"/>
        <v>4</v>
      </c>
      <c r="U52" s="356" t="str">
        <f t="shared" si="67"/>
        <v/>
      </c>
      <c r="V52" s="357"/>
      <c r="W52" s="357"/>
      <c r="AA52" s="88" t="s">
        <v>1797</v>
      </c>
      <c r="AB52" s="89" t="s">
        <v>1798</v>
      </c>
      <c r="AC52" s="370">
        <f>VLOOKUP($AA32,Schlüssel!$A$5:$DG$14,43)</f>
        <v>8</v>
      </c>
      <c r="AD52" s="371"/>
      <c r="AE52" s="370">
        <f>VLOOKUP($AA32,Schlüssel!$A$5:$EK$14,44)</f>
        <v>10</v>
      </c>
      <c r="AF52" s="371"/>
      <c r="AG52" s="370">
        <f>VLOOKUP($AA32,Schlüssel!$A$5:$EK$14,45)</f>
        <v>3</v>
      </c>
      <c r="AH52" s="371"/>
      <c r="AI52" s="370">
        <f>VLOOKUP($AA32,Schlüssel!$A$5:$EK$14,46)</f>
        <v>1</v>
      </c>
      <c r="AJ52" s="371"/>
      <c r="AK52" s="370">
        <f>VLOOKUP($AA32,Schlüssel!$A$5:$EK$14,47)</f>
        <v>7</v>
      </c>
      <c r="AL52" s="371"/>
      <c r="AM52" s="370">
        <f>VLOOKUP($AA32,Schlüssel!$A$5:$EK$14,48)</f>
        <v>6</v>
      </c>
      <c r="AN52" s="371"/>
      <c r="AO52" s="370">
        <f>VLOOKUP($AA32,Schlüssel!$A$5:$EK$14,49)</f>
        <v>9</v>
      </c>
      <c r="AP52" s="371"/>
      <c r="AQ52" s="370">
        <f>VLOOKUP($AA32,Schlüssel!$A$5:$EK$14,50)</f>
        <v>5</v>
      </c>
      <c r="AR52" s="371"/>
      <c r="AS52" s="370">
        <f>VLOOKUP($AA32,Schlüssel!$A$5:$EK$14,51)</f>
        <v>4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58" t="str">
        <f t="shared" si="66"/>
        <v>BC EMAX Unterföhring 2</v>
      </c>
      <c r="E53" s="359" t="str">
        <f t="shared" si="66"/>
        <v/>
      </c>
      <c r="F53" s="358" t="str">
        <f t="shared" si="66"/>
        <v>High Roller Rosenheim 1</v>
      </c>
      <c r="G53" s="359" t="str">
        <f t="shared" si="66"/>
        <v/>
      </c>
      <c r="H53" s="358" t="str">
        <f t="shared" si="66"/>
        <v>BK München 3</v>
      </c>
      <c r="I53" s="359" t="str">
        <f t="shared" si="66"/>
        <v/>
      </c>
      <c r="J53" s="358" t="str">
        <f t="shared" si="66"/>
        <v>BC Comet Nürnberg</v>
      </c>
      <c r="K53" s="359" t="str">
        <f t="shared" si="66"/>
        <v/>
      </c>
      <c r="L53" s="358" t="str">
        <f t="shared" si="67"/>
        <v>Schanzer Ingolstadt 1</v>
      </c>
      <c r="M53" s="359" t="str">
        <f t="shared" si="67"/>
        <v/>
      </c>
      <c r="N53" s="358" t="str">
        <f t="shared" si="67"/>
        <v>SG Rottendorf 1</v>
      </c>
      <c r="O53" s="359" t="str">
        <f t="shared" si="67"/>
        <v/>
      </c>
      <c r="P53" s="358" t="str">
        <f t="shared" si="67"/>
        <v>Bowlinghaus Bamberg 1</v>
      </c>
      <c r="Q53" s="359" t="str">
        <f t="shared" si="67"/>
        <v/>
      </c>
      <c r="R53" s="358" t="str">
        <f t="shared" si="67"/>
        <v>RW Lichtenhof Stein 1</v>
      </c>
      <c r="S53" s="359" t="str">
        <f t="shared" si="67"/>
        <v/>
      </c>
      <c r="T53" s="358" t="str">
        <f t="shared" si="67"/>
        <v>SG DJK Rimpar</v>
      </c>
      <c r="U53" s="359" t="str">
        <f t="shared" si="67"/>
        <v/>
      </c>
      <c r="V53" s="363"/>
      <c r="W53" s="363"/>
      <c r="AA53" s="90"/>
      <c r="AB53" s="86"/>
      <c r="AC53" s="358" t="str">
        <f>VLOOKUP(AC52,Schlüssel!$A$5:$K$14,2)</f>
        <v>BC EMAX Unterföhring 2</v>
      </c>
      <c r="AD53" s="359"/>
      <c r="AE53" s="358" t="str">
        <f>VLOOKUP(AE52,Schlüssel!$A$5:$K$14,2)</f>
        <v>High Roller Rosenheim 1</v>
      </c>
      <c r="AF53" s="359"/>
      <c r="AG53" s="358" t="str">
        <f>VLOOKUP(AG52,Schlüssel!$A$5:$K$14,2)</f>
        <v>BK München 3</v>
      </c>
      <c r="AH53" s="359"/>
      <c r="AI53" s="358" t="str">
        <f>VLOOKUP(AI52,Schlüssel!$A$5:$K$14,2)</f>
        <v>BC Comet Nürnberg</v>
      </c>
      <c r="AJ53" s="359"/>
      <c r="AK53" s="358" t="str">
        <f>VLOOKUP(AK52,Schlüssel!$A$5:$K$14,2)</f>
        <v>Schanzer Ingolstadt 1</v>
      </c>
      <c r="AL53" s="359"/>
      <c r="AM53" s="358" t="str">
        <f>VLOOKUP(AM52,Schlüssel!$A$5:$K$14,2)</f>
        <v>SG Rottendorf 1</v>
      </c>
      <c r="AN53" s="359"/>
      <c r="AO53" s="358" t="str">
        <f>VLOOKUP(AO52,Schlüssel!$A$5:$K$14,2)</f>
        <v>Bowlinghaus Bamberg 1</v>
      </c>
      <c r="AP53" s="359"/>
      <c r="AQ53" s="358" t="str">
        <f>VLOOKUP(AQ52,Schlüssel!$A$5:$K$14,2)</f>
        <v>RW Lichtenhof Stein 1</v>
      </c>
      <c r="AR53" s="359"/>
      <c r="AS53" s="358" t="str">
        <f>VLOOKUP(AS52,Schlüssel!$A$5:$K$14,2)</f>
        <v>SG DJK Rimpar</v>
      </c>
      <c r="AT53" s="359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60" t="str">
        <f t="shared" si="66"/>
        <v/>
      </c>
      <c r="E54" s="360" t="str">
        <f t="shared" si="66"/>
        <v/>
      </c>
      <c r="F54" s="360" t="str">
        <f t="shared" si="66"/>
        <v/>
      </c>
      <c r="G54" s="360" t="str">
        <f t="shared" si="66"/>
        <v/>
      </c>
      <c r="H54" s="360" t="str">
        <f t="shared" si="66"/>
        <v/>
      </c>
      <c r="I54" s="360" t="str">
        <f t="shared" si="66"/>
        <v/>
      </c>
      <c r="J54" s="360" t="str">
        <f t="shared" si="66"/>
        <v/>
      </c>
      <c r="K54" s="360" t="str">
        <f t="shared" si="66"/>
        <v/>
      </c>
      <c r="L54" s="360" t="str">
        <f t="shared" si="67"/>
        <v/>
      </c>
      <c r="M54" s="360" t="str">
        <f t="shared" si="67"/>
        <v/>
      </c>
      <c r="N54" s="360" t="str">
        <f t="shared" si="67"/>
        <v/>
      </c>
      <c r="O54" s="360" t="str">
        <f t="shared" si="67"/>
        <v/>
      </c>
      <c r="P54" s="360" t="str">
        <f t="shared" si="67"/>
        <v/>
      </c>
      <c r="Q54" s="360" t="str">
        <f t="shared" si="67"/>
        <v/>
      </c>
      <c r="R54" s="360" t="str">
        <f t="shared" si="67"/>
        <v/>
      </c>
      <c r="S54" s="360" t="str">
        <f t="shared" si="67"/>
        <v/>
      </c>
      <c r="T54" s="360" t="str">
        <f t="shared" si="67"/>
        <v/>
      </c>
      <c r="U54" s="361" t="str">
        <f t="shared" si="67"/>
        <v/>
      </c>
      <c r="V54" s="298"/>
      <c r="W54" s="298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4" t="str">
        <f t="shared" ref="B55:C59" si="68">IF(AA55=0,"",AA55)</f>
        <v>Spieler 1</v>
      </c>
      <c r="C55" s="375" t="str">
        <f t="shared" si="68"/>
        <v/>
      </c>
      <c r="D55" s="362">
        <f>IF(AC55=301,"",AC55)</f>
        <v>190</v>
      </c>
      <c r="E55" s="362" t="str">
        <f>IF(AD55=0,"",AD55)</f>
        <v/>
      </c>
      <c r="F55" s="362">
        <f>IF(AE55=301,"",AE55)</f>
        <v>163</v>
      </c>
      <c r="G55" s="362" t="str">
        <f>IF(AF55=0,"",AF55)</f>
        <v/>
      </c>
      <c r="H55" s="362">
        <f>IF(AG55=301,"",AG55)</f>
        <v>196</v>
      </c>
      <c r="I55" s="362" t="str">
        <f>IF(AH55=0,"",AH55)</f>
        <v/>
      </c>
      <c r="J55" s="362">
        <f>IF(AI55=301,"",AI55)</f>
        <v>141</v>
      </c>
      <c r="K55" s="362" t="str">
        <f>IF(AJ55=0,"",AJ55)</f>
        <v/>
      </c>
      <c r="L55" s="362">
        <f>IF(AK55=301,"",AK55)</f>
        <v>197</v>
      </c>
      <c r="M55" s="362" t="str">
        <f>IF(AL55=0,"",AL55)</f>
        <v/>
      </c>
      <c r="N55" s="362">
        <f>IF(AM55=301,"",AM55)</f>
        <v>151</v>
      </c>
      <c r="O55" s="362" t="str">
        <f>IF(AN55=0,"",AN55)</f>
        <v/>
      </c>
      <c r="P55" s="362">
        <f>IF(AO55=301,"",AO55)</f>
        <v>190</v>
      </c>
      <c r="Q55" s="362" t="str">
        <f>IF(AP55=0,"",AP55)</f>
        <v/>
      </c>
      <c r="R55" s="362">
        <f>IF(AQ55=301,"",AQ55)</f>
        <v>188</v>
      </c>
      <c r="S55" s="362" t="str">
        <f>IF(AR55=0,"",AR55)</f>
        <v/>
      </c>
      <c r="T55" s="362">
        <f>IF(AS55=301,"",AS55)</f>
        <v>193</v>
      </c>
      <c r="U55" s="362" t="str">
        <f>IF(AT55=0,"",AT55)</f>
        <v/>
      </c>
      <c r="V55" s="364"/>
      <c r="W55" s="364"/>
      <c r="AA55" s="91" t="s">
        <v>0</v>
      </c>
      <c r="AB55" s="92"/>
      <c r="AC55" s="368">
        <f>ABS(INDEX(AC:AC,MATCH(AC52,$AA:$AA,0)+5)+INDEX(AC:AC,MATCH(AC52,$AA:$AA,0)+6)+INDEX(AC:AC,MATCH(AC52,$AA:$AA,0)+7))</f>
        <v>190</v>
      </c>
      <c r="AD55" s="369"/>
      <c r="AE55" s="368">
        <f>ABS(INDEX(AE:AE,MATCH(AE52,$AA:$AA,0)+5)+INDEX(AE:AE,MATCH(AE52,$AA:$AA,0)+6)+INDEX(AE:AE,MATCH(AE52,$AA:$AA,0)+7))</f>
        <v>163</v>
      </c>
      <c r="AF55" s="369"/>
      <c r="AG55" s="368">
        <f>ABS(INDEX(AG:AG,MATCH(AG52,$AA:$AA,0)+5)+INDEX(AG:AG,MATCH(AG52,$AA:$AA,0)+6)+INDEX(AG:AG,MATCH(AG52,$AA:$AA,0)+7))</f>
        <v>196</v>
      </c>
      <c r="AH55" s="369"/>
      <c r="AI55" s="368">
        <f>ABS(INDEX(AI:AI,MATCH(AI52,$AA:$AA,0)+5)+INDEX(AI:AI,MATCH(AI52,$AA:$AA,0)+6)+INDEX(AI:AI,MATCH(AI52,$AA:$AA,0)+7))</f>
        <v>141</v>
      </c>
      <c r="AJ55" s="369"/>
      <c r="AK55" s="368">
        <f>ABS(INDEX(AK:AK,MATCH(AK52,$AA:$AA,0)+5)+INDEX(AK:AK,MATCH(AK52,$AA:$AA,0)+6)+INDEX(AK:AK,MATCH(AK52,$AA:$AA,0)+7))</f>
        <v>197</v>
      </c>
      <c r="AL55" s="369"/>
      <c r="AM55" s="368">
        <f>ABS(INDEX(AM:AM,MATCH(AM52,$AA:$AA,0)+5)+INDEX(AM:AM,MATCH(AM52,$AA:$AA,0)+6)+INDEX(AM:AM,MATCH(AM52,$AA:$AA,0)+7))</f>
        <v>151</v>
      </c>
      <c r="AN55" s="369"/>
      <c r="AO55" s="368">
        <f>ABS(INDEX(AO:AO,MATCH(AO52,$AA:$AA,0)+5)+INDEX(AO:AO,MATCH(AO52,$AA:$AA,0)+6)+INDEX(AO:AO,MATCH(AO52,$AA:$AA,0)+7))</f>
        <v>190</v>
      </c>
      <c r="AP55" s="369"/>
      <c r="AQ55" s="368">
        <f>ABS(INDEX(AQ:AQ,MATCH(AQ52,$AA:$AA,0)+5)+INDEX(AQ:AQ,MATCH(AQ52,$AA:$AA,0)+6)+INDEX(AQ:AQ,MATCH(AQ52,$AA:$AA,0)+7))</f>
        <v>188</v>
      </c>
      <c r="AR55" s="369"/>
      <c r="AS55" s="368">
        <f>ABS(INDEX(AS:AS,MATCH(AS52,$AA:$AA,0)+5)+INDEX(AS:AS,MATCH(AS52,$AA:$AA,0)+6)+INDEX(AS:AS,MATCH(AS52,$AA:$AA,0)+7))</f>
        <v>193</v>
      </c>
      <c r="AT55" s="369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4" t="str">
        <f t="shared" si="68"/>
        <v>Spieler 2</v>
      </c>
      <c r="C56" s="375" t="str">
        <f t="shared" si="68"/>
        <v/>
      </c>
      <c r="D56" s="362">
        <f>IF(AC56=301,"",AC56)</f>
        <v>194</v>
      </c>
      <c r="E56" s="362" t="str">
        <f>IF(AD56=0,"",AD56)</f>
        <v/>
      </c>
      <c r="F56" s="362">
        <f>IF(AE56=301,"",AE56)</f>
        <v>173</v>
      </c>
      <c r="G56" s="362" t="str">
        <f>IF(AF56=0,"",AF56)</f>
        <v/>
      </c>
      <c r="H56" s="362">
        <f>IF(AG56=301,"",AG56)</f>
        <v>228</v>
      </c>
      <c r="I56" s="362" t="str">
        <f>IF(AH56=0,"",AH56)</f>
        <v/>
      </c>
      <c r="J56" s="362">
        <f>IF(AI56=301,"",AI56)</f>
        <v>220</v>
      </c>
      <c r="K56" s="362" t="str">
        <f>IF(AJ56=0,"",AJ56)</f>
        <v/>
      </c>
      <c r="L56" s="362">
        <f>IF(AK56=301,"",AK56)</f>
        <v>216</v>
      </c>
      <c r="M56" s="362" t="str">
        <f>IF(AL56=0,"",AL56)</f>
        <v/>
      </c>
      <c r="N56" s="362">
        <f>IF(AM56=301,"",AM56)</f>
        <v>225</v>
      </c>
      <c r="O56" s="362" t="str">
        <f>IF(AN56=0,"",AN56)</f>
        <v/>
      </c>
      <c r="P56" s="362">
        <f>IF(AO56=301,"",AO56)</f>
        <v>203</v>
      </c>
      <c r="Q56" s="362" t="str">
        <f>IF(AP56=0,"",AP56)</f>
        <v/>
      </c>
      <c r="R56" s="362">
        <f>IF(AQ56=301,"",AQ56)</f>
        <v>200</v>
      </c>
      <c r="S56" s="362" t="str">
        <f>IF(AR56=0,"",AR56)</f>
        <v/>
      </c>
      <c r="T56" s="362">
        <f>IF(AS56=301,"",AS56)</f>
        <v>209</v>
      </c>
      <c r="U56" s="362" t="str">
        <f>IF(AT56=0,"",AT56)</f>
        <v/>
      </c>
      <c r="V56" s="364"/>
      <c r="W56" s="364"/>
      <c r="AA56" s="91" t="s">
        <v>2</v>
      </c>
      <c r="AB56" s="92"/>
      <c r="AC56" s="366">
        <f>ABS(INDEX(AC:AC,MATCH(AC52,$AA:$AA,0)+8)+INDEX(AC:AC,MATCH(AC52,$AA:$AA,0)+9)+INDEX(AC:AC,MATCH(AC52,$AA:$AA,0)+10))</f>
        <v>194</v>
      </c>
      <c r="AD56" s="367"/>
      <c r="AE56" s="366">
        <f>ABS(INDEX(AE:AE,MATCH(AE52,$AA:$AA,0)+8)+INDEX(AE:AE,MATCH(AE52,$AA:$AA,0)+9)+INDEX(AE:AE,MATCH(AE52,$AA:$AA,0)+10))</f>
        <v>173</v>
      </c>
      <c r="AF56" s="367"/>
      <c r="AG56" s="366">
        <f>ABS(INDEX(AG:AG,MATCH(AG52,$AA:$AA,0)+8)+INDEX(AG:AG,MATCH(AG52,$AA:$AA,0)+9)+INDEX(AG:AG,MATCH(AG52,$AA:$AA,0)+10))</f>
        <v>228</v>
      </c>
      <c r="AH56" s="367"/>
      <c r="AI56" s="366">
        <f>ABS(INDEX(AI:AI,MATCH(AI52,$AA:$AA,0)+8)+INDEX(AI:AI,MATCH(AI52,$AA:$AA,0)+9)+INDEX(AI:AI,MATCH(AI52,$AA:$AA,0)+10))</f>
        <v>220</v>
      </c>
      <c r="AJ56" s="367"/>
      <c r="AK56" s="366">
        <f>ABS(INDEX(AK:AK,MATCH(AK52,$AA:$AA,0)+8)+INDEX(AK:AK,MATCH(AK52,$AA:$AA,0)+9)+INDEX(AK:AK,MATCH(AK52,$AA:$AA,0)+10))</f>
        <v>216</v>
      </c>
      <c r="AL56" s="367"/>
      <c r="AM56" s="366">
        <f>ABS(INDEX(AM:AM,MATCH(AM52,$AA:$AA,0)+8)+INDEX(AM:AM,MATCH(AM52,$AA:$AA,0)+9)+INDEX(AM:AM,MATCH(AM52,$AA:$AA,0)+10))</f>
        <v>225</v>
      </c>
      <c r="AN56" s="367"/>
      <c r="AO56" s="366">
        <f>ABS(INDEX(AO:AO,MATCH(AO52,$AA:$AA,0)+8)+INDEX(AO:AO,MATCH(AO52,$AA:$AA,0)+9)+INDEX(AO:AO,MATCH(AO52,$AA:$AA,0)+10))</f>
        <v>203</v>
      </c>
      <c r="AP56" s="367"/>
      <c r="AQ56" s="366">
        <f>ABS(INDEX(AQ:AQ,MATCH(AQ52,$AA:$AA,0)+8)+INDEX(AQ:AQ,MATCH(AQ52,$AA:$AA,0)+9)+INDEX(AQ:AQ,MATCH(AQ52,$AA:$AA,0)+10))</f>
        <v>200</v>
      </c>
      <c r="AR56" s="367"/>
      <c r="AS56" s="366">
        <f>ABS(INDEX(AS:AS,MATCH(AS52,$AA:$AA,0)+8)+INDEX(AS:AS,MATCH(AS52,$AA:$AA,0)+9)+INDEX(AS:AS,MATCH(AS52,$AA:$AA,0)+10))</f>
        <v>209</v>
      </c>
      <c r="AT56" s="367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4" t="str">
        <f t="shared" si="68"/>
        <v>Spieler 3</v>
      </c>
      <c r="C57" s="375" t="str">
        <f t="shared" si="68"/>
        <v/>
      </c>
      <c r="D57" s="362">
        <f>IF(AC57=301,"",AC57)</f>
        <v>182</v>
      </c>
      <c r="E57" s="362" t="str">
        <f>IF(AD57=0,"",AD57)</f>
        <v/>
      </c>
      <c r="F57" s="362">
        <f>IF(AE57=301,"",AE57)</f>
        <v>190</v>
      </c>
      <c r="G57" s="362" t="str">
        <f>IF(AF57=0,"",AF57)</f>
        <v/>
      </c>
      <c r="H57" s="362">
        <f>IF(AG57=301,"",AG57)</f>
        <v>176</v>
      </c>
      <c r="I57" s="362" t="str">
        <f>IF(AH57=0,"",AH57)</f>
        <v/>
      </c>
      <c r="J57" s="362">
        <f>IF(AI57=301,"",AI57)</f>
        <v>184</v>
      </c>
      <c r="K57" s="362" t="str">
        <f>IF(AJ57=0,"",AJ57)</f>
        <v/>
      </c>
      <c r="L57" s="362">
        <f>IF(AK57=301,"",AK57)</f>
        <v>168</v>
      </c>
      <c r="M57" s="362" t="str">
        <f>IF(AL57=0,"",AL57)</f>
        <v/>
      </c>
      <c r="N57" s="362">
        <f>IF(AM57=301,"",AM57)</f>
        <v>171</v>
      </c>
      <c r="O57" s="362" t="str">
        <f>IF(AN57=0,"",AN57)</f>
        <v/>
      </c>
      <c r="P57" s="362">
        <f>IF(AO57=301,"",AO57)</f>
        <v>199</v>
      </c>
      <c r="Q57" s="362" t="str">
        <f>IF(AP57=0,"",AP57)</f>
        <v/>
      </c>
      <c r="R57" s="362">
        <f>IF(AQ57=301,"",AQ57)</f>
        <v>171</v>
      </c>
      <c r="S57" s="362" t="str">
        <f>IF(AR57=0,"",AR57)</f>
        <v/>
      </c>
      <c r="T57" s="362">
        <f>IF(AS57=301,"",AS57)</f>
        <v>166</v>
      </c>
      <c r="U57" s="362" t="str">
        <f>IF(AT57=0,"",AT57)</f>
        <v/>
      </c>
      <c r="V57" s="364"/>
      <c r="W57" s="364"/>
      <c r="AA57" s="91" t="s">
        <v>3</v>
      </c>
      <c r="AB57" s="92"/>
      <c r="AC57" s="366">
        <f>ABS(INDEX(AC:AC,MATCH(AC52,$AA:$AA,0)+11)+INDEX(AC:AC,MATCH(AC52,$AA:$AA,0)+12)+INDEX(AC:AC,MATCH(AC52,$AA:$AA,0)+13))</f>
        <v>182</v>
      </c>
      <c r="AD57" s="367"/>
      <c r="AE57" s="366">
        <f>ABS(INDEX(AE:AE,MATCH(AE52,$AA:$AA,0)+11)+INDEX(AE:AE,MATCH(AE52,$AA:$AA,0)+12)+INDEX(AE:AE,MATCH(AE52,$AA:$AA,0)+13))</f>
        <v>190</v>
      </c>
      <c r="AF57" s="367"/>
      <c r="AG57" s="366">
        <f>ABS(INDEX(AG:AG,MATCH(AG52,$AA:$AA,0)+11)+INDEX(AG:AG,MATCH(AG52,$AA:$AA,0)+12)+INDEX(AG:AG,MATCH(AG52,$AA:$AA,0)+13))</f>
        <v>176</v>
      </c>
      <c r="AH57" s="367"/>
      <c r="AI57" s="366">
        <f>ABS(INDEX(AI:AI,MATCH(AI52,$AA:$AA,0)+11)+INDEX(AI:AI,MATCH(AI52,$AA:$AA,0)+12)+INDEX(AI:AI,MATCH(AI52,$AA:$AA,0)+13))</f>
        <v>184</v>
      </c>
      <c r="AJ57" s="367"/>
      <c r="AK57" s="366">
        <f>ABS(INDEX(AK:AK,MATCH(AK52,$AA:$AA,0)+11)+INDEX(AK:AK,MATCH(AK52,$AA:$AA,0)+12)+INDEX(AK:AK,MATCH(AK52,$AA:$AA,0)+13))</f>
        <v>168</v>
      </c>
      <c r="AL57" s="367"/>
      <c r="AM57" s="366">
        <f>ABS(INDEX(AM:AM,MATCH(AM52,$AA:$AA,0)+11)+INDEX(AM:AM,MATCH(AM52,$AA:$AA,0)+12)+INDEX(AM:AM,MATCH(AM52,$AA:$AA,0)+13))</f>
        <v>171</v>
      </c>
      <c r="AN57" s="367"/>
      <c r="AO57" s="366">
        <f>ABS(INDEX(AO:AO,MATCH(AO52,$AA:$AA,0)+11)+INDEX(AO:AO,MATCH(AO52,$AA:$AA,0)+12)+INDEX(AO:AO,MATCH(AO52,$AA:$AA,0)+13))</f>
        <v>199</v>
      </c>
      <c r="AP57" s="367"/>
      <c r="AQ57" s="366">
        <f>ABS(INDEX(AQ:AQ,MATCH(AQ52,$AA:$AA,0)+11)+INDEX(AQ:AQ,MATCH(AQ52,$AA:$AA,0)+12)+INDEX(AQ:AQ,MATCH(AQ52,$AA:$AA,0)+13))</f>
        <v>171</v>
      </c>
      <c r="AR57" s="367"/>
      <c r="AS57" s="366">
        <f>ABS(INDEX(AS:AS,MATCH(AS52,$AA:$AA,0)+11)+INDEX(AS:AS,MATCH(AS52,$AA:$AA,0)+12)+INDEX(AS:AS,MATCH(AS52,$AA:$AA,0)+13))</f>
        <v>166</v>
      </c>
      <c r="AT57" s="367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4" t="str">
        <f t="shared" si="68"/>
        <v>Spieler 4</v>
      </c>
      <c r="C58" s="375" t="str">
        <f t="shared" si="68"/>
        <v/>
      </c>
      <c r="D58" s="362">
        <f>IF(AC58=301,"",AC58)</f>
        <v>181</v>
      </c>
      <c r="E58" s="362" t="str">
        <f>IF(AD58=0,"",AD58)</f>
        <v/>
      </c>
      <c r="F58" s="362">
        <f>IF(AE58=301,"",AE58)</f>
        <v>128</v>
      </c>
      <c r="G58" s="362" t="str">
        <f>IF(AF58=0,"",AF58)</f>
        <v/>
      </c>
      <c r="H58" s="362">
        <f>IF(AG58=301,"",AG58)</f>
        <v>181</v>
      </c>
      <c r="I58" s="362" t="str">
        <f>IF(AH58=0,"",AH58)</f>
        <v/>
      </c>
      <c r="J58" s="362">
        <f>IF(AI58=301,"",AI58)</f>
        <v>221</v>
      </c>
      <c r="K58" s="362" t="str">
        <f>IF(AJ58=0,"",AJ58)</f>
        <v/>
      </c>
      <c r="L58" s="362">
        <f>IF(AK58=301,"",AK58)</f>
        <v>209</v>
      </c>
      <c r="M58" s="362" t="str">
        <f>IF(AL58=0,"",AL58)</f>
        <v/>
      </c>
      <c r="N58" s="362">
        <f>IF(AM58=301,"",AM58)</f>
        <v>126</v>
      </c>
      <c r="O58" s="362" t="str">
        <f>IF(AN58=0,"",AN58)</f>
        <v/>
      </c>
      <c r="P58" s="362">
        <f>IF(AO58=301,"",AO58)</f>
        <v>236</v>
      </c>
      <c r="Q58" s="362" t="str">
        <f>IF(AP58=0,"",AP58)</f>
        <v/>
      </c>
      <c r="R58" s="362">
        <f>IF(AQ58=301,"",AQ58)</f>
        <v>180</v>
      </c>
      <c r="S58" s="362" t="str">
        <f>IF(AR58=0,"",AR58)</f>
        <v/>
      </c>
      <c r="T58" s="362">
        <f>IF(AS58=301,"",AS58)</f>
        <v>158</v>
      </c>
      <c r="U58" s="362" t="str">
        <f>IF(AT58=0,"",AT58)</f>
        <v/>
      </c>
      <c r="V58" s="364"/>
      <c r="W58" s="364"/>
      <c r="AA58" s="91" t="s">
        <v>11</v>
      </c>
      <c r="AB58" s="92"/>
      <c r="AC58" s="366">
        <f>ABS(INDEX(AC:AC,MATCH(AC52,$AA:$AA,0)+14)+INDEX(AC:AC,MATCH(AC52,$AA:$AA,0)+15)+INDEX(AC:AC,MATCH(AC52,$AA:$AA,0)+16))</f>
        <v>181</v>
      </c>
      <c r="AD58" s="367"/>
      <c r="AE58" s="366">
        <f>ABS(INDEX(AE:AE,MATCH(AE52,$AA:$AA,0)+14)+INDEX(AE:AE,MATCH(AE52,$AA:$AA,0)+15)+INDEX(AE:AE,MATCH(AE52,$AA:$AA,0)+16))</f>
        <v>128</v>
      </c>
      <c r="AF58" s="367"/>
      <c r="AG58" s="366">
        <f>ABS(INDEX(AG:AG,MATCH(AG52,$AA:$AA,0)+14)+INDEX(AG:AG,MATCH(AG52,$AA:$AA,0)+15)+INDEX(AG:AG,MATCH(AG52,$AA:$AA,0)+16))</f>
        <v>181</v>
      </c>
      <c r="AH58" s="367"/>
      <c r="AI58" s="366">
        <f>ABS(INDEX(AI:AI,MATCH(AI52,$AA:$AA,0)+14)+INDEX(AI:AI,MATCH(AI52,$AA:$AA,0)+15)+INDEX(AI:AI,MATCH(AI52,$AA:$AA,0)+16))</f>
        <v>221</v>
      </c>
      <c r="AJ58" s="367"/>
      <c r="AK58" s="366">
        <f>ABS(INDEX(AK:AK,MATCH(AK52,$AA:$AA,0)+14)+INDEX(AK:AK,MATCH(AK52,$AA:$AA,0)+15)+INDEX(AK:AK,MATCH(AK52,$AA:$AA,0)+16))</f>
        <v>209</v>
      </c>
      <c r="AL58" s="367"/>
      <c r="AM58" s="366">
        <f>ABS(INDEX(AM:AM,MATCH(AM52,$AA:$AA,0)+14)+INDEX(AM:AM,MATCH(AM52,$AA:$AA,0)+15)+INDEX(AM:AM,MATCH(AM52,$AA:$AA,0)+16))</f>
        <v>126</v>
      </c>
      <c r="AN58" s="367"/>
      <c r="AO58" s="366">
        <f>ABS(INDEX(AO:AO,MATCH(AO52,$AA:$AA,0)+14)+INDEX(AO:AO,MATCH(AO52,$AA:$AA,0)+15)+INDEX(AO:AO,MATCH(AO52,$AA:$AA,0)+16))</f>
        <v>236</v>
      </c>
      <c r="AP58" s="367"/>
      <c r="AQ58" s="366">
        <f>ABS(INDEX(AQ:AQ,MATCH(AQ52,$AA:$AA,0)+14)+INDEX(AQ:AQ,MATCH(AQ52,$AA:$AA,0)+15)+INDEX(AQ:AQ,MATCH(AQ52,$AA:$AA,0)+16))</f>
        <v>180</v>
      </c>
      <c r="AR58" s="367"/>
      <c r="AS58" s="366">
        <f>ABS(INDEX(AS:AS,MATCH(AS52,$AA:$AA,0)+14)+INDEX(AS:AS,MATCH(AS52,$AA:$AA,0)+15)+INDEX(AS:AS,MATCH(AS52,$AA:$AA,0)+16))</f>
        <v>158</v>
      </c>
      <c r="AT58" s="367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6" t="str">
        <f t="shared" si="68"/>
        <v>Gesamt</v>
      </c>
      <c r="C59" s="347" t="str">
        <f t="shared" si="68"/>
        <v/>
      </c>
      <c r="D59" s="365">
        <f>IF(AC59=1505,"",AC59)</f>
        <v>747</v>
      </c>
      <c r="E59" s="365" t="str">
        <f>IF(AD59=0,"",AD59)</f>
        <v/>
      </c>
      <c r="F59" s="365">
        <f>IF(AE59=1505,"",AE59)</f>
        <v>654</v>
      </c>
      <c r="G59" s="365" t="str">
        <f>IF(AF59=0,"",AF59)</f>
        <v/>
      </c>
      <c r="H59" s="365">
        <f>IF(AG59=1505,"",AG59)</f>
        <v>781</v>
      </c>
      <c r="I59" s="365" t="str">
        <f>IF(AH59=0,"",AH59)</f>
        <v/>
      </c>
      <c r="J59" s="365">
        <f>IF(AI59=1505,"",AI59)</f>
        <v>766</v>
      </c>
      <c r="K59" s="365" t="str">
        <f>IF(AJ59=0,"",AJ59)</f>
        <v/>
      </c>
      <c r="L59" s="365">
        <f>IF(AK59=1505,"",AK59)</f>
        <v>790</v>
      </c>
      <c r="M59" s="365" t="str">
        <f>IF(AL59=0,"",AL59)</f>
        <v/>
      </c>
      <c r="N59" s="365">
        <f>IF(AM59=1505,"",AM59)</f>
        <v>673</v>
      </c>
      <c r="O59" s="365" t="str">
        <f>IF(AN59=0,"",AN59)</f>
        <v/>
      </c>
      <c r="P59" s="365">
        <f>IF(AO59=1505,"",AO59)</f>
        <v>828</v>
      </c>
      <c r="Q59" s="365" t="str">
        <f>IF(AP59=0,"",AP59)</f>
        <v/>
      </c>
      <c r="R59" s="365">
        <f>IF(AQ59=1505,"",AQ59)</f>
        <v>739</v>
      </c>
      <c r="S59" s="365" t="str">
        <f>IF(AR59=0,"",AR59)</f>
        <v/>
      </c>
      <c r="T59" s="365">
        <f>IF(AS59=1505,"",AS59)</f>
        <v>726</v>
      </c>
      <c r="U59" s="365" t="str">
        <f>IF(AT59=0,"",AT59)</f>
        <v/>
      </c>
      <c r="V59" s="301"/>
      <c r="W59" s="301"/>
      <c r="AA59" s="93" t="s">
        <v>1799</v>
      </c>
      <c r="AB59" s="94"/>
      <c r="AC59" s="346">
        <f>SUM(AC55:AC58)</f>
        <v>747</v>
      </c>
      <c r="AD59" s="347"/>
      <c r="AE59" s="346">
        <f>SUM(AE55:AE58)</f>
        <v>654</v>
      </c>
      <c r="AF59" s="347"/>
      <c r="AG59" s="346">
        <f>SUM(AG55:AG58)</f>
        <v>781</v>
      </c>
      <c r="AH59" s="347"/>
      <c r="AI59" s="346">
        <f>SUM(AI55:AI58)</f>
        <v>766</v>
      </c>
      <c r="AJ59" s="347"/>
      <c r="AK59" s="346">
        <f>SUM(AK55:AK58)</f>
        <v>790</v>
      </c>
      <c r="AL59" s="347"/>
      <c r="AM59" s="346">
        <f>SUM(AM55:AM58)</f>
        <v>673</v>
      </c>
      <c r="AN59" s="347"/>
      <c r="AO59" s="346">
        <f>SUM(AO55:AO58)</f>
        <v>828</v>
      </c>
      <c r="AP59" s="347"/>
      <c r="AQ59" s="346">
        <f>SUM(AQ55:AQ58)</f>
        <v>739</v>
      </c>
      <c r="AR59" s="347"/>
      <c r="AS59" s="346">
        <f>SUM(AS55:AS58)</f>
        <v>726</v>
      </c>
      <c r="AT59" s="347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5" t="str">
        <f>AE61</f>
        <v>Bayernliga Herren</v>
      </c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48"/>
      <c r="S61" s="49" t="s">
        <v>1794</v>
      </c>
      <c r="T61" s="50"/>
      <c r="U61" s="341" t="str">
        <f>AT61</f>
        <v>01.02./02.02.</v>
      </c>
      <c r="V61" s="342"/>
      <c r="W61" s="343"/>
      <c r="X61" s="372"/>
      <c r="Y61" s="373"/>
      <c r="Z61" s="373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41" t="str">
        <f>VLOOKUP(AS62,Spielorte!$A$1:$C$6,2)</f>
        <v>01.02./02.02.</v>
      </c>
      <c r="AU61" s="342"/>
      <c r="AV61" s="34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4" t="str">
        <f>AE62</f>
        <v>Unterföhring Dreambowl Palace</v>
      </c>
      <c r="G62" s="344"/>
      <c r="H62" s="344"/>
      <c r="I62" s="344"/>
      <c r="J62" s="344"/>
      <c r="K62" s="344"/>
      <c r="L62" s="344"/>
      <c r="M62" s="344"/>
      <c r="N62" s="344"/>
      <c r="O62" s="344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6" t="s">
        <v>1800</v>
      </c>
      <c r="E65" s="347"/>
      <c r="F65" s="346" t="s">
        <v>1801</v>
      </c>
      <c r="G65" s="347"/>
      <c r="H65" s="346" t="s">
        <v>1802</v>
      </c>
      <c r="I65" s="347"/>
      <c r="J65" s="346" t="s">
        <v>1803</v>
      </c>
      <c r="K65" s="347"/>
      <c r="L65" s="346" t="s">
        <v>1804</v>
      </c>
      <c r="M65" s="347"/>
      <c r="N65" s="346" t="s">
        <v>1805</v>
      </c>
      <c r="O65" s="347"/>
      <c r="P65" s="346" t="s">
        <v>1806</v>
      </c>
      <c r="Q65" s="347"/>
      <c r="R65" s="346" t="s">
        <v>1807</v>
      </c>
      <c r="S65" s="347"/>
      <c r="T65" s="346" t="s">
        <v>1808</v>
      </c>
      <c r="U65" s="347"/>
      <c r="V65" s="354" t="s">
        <v>1799</v>
      </c>
      <c r="W65" s="355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6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213</v>
      </c>
      <c r="E67" s="348">
        <f>IF(AD67="","",AD67)</f>
        <v>1</v>
      </c>
      <c r="F67" s="75">
        <f t="shared" ref="F67:F80" si="69">IF(AE67=0,"",AE67)</f>
        <v>231</v>
      </c>
      <c r="G67" s="348">
        <f>IF(AF67="","",AF67)</f>
        <v>1</v>
      </c>
      <c r="H67" s="75">
        <f t="shared" ref="H67:H80" si="70">IF(AG67=0,"",AG67)</f>
        <v>196</v>
      </c>
      <c r="I67" s="348">
        <f>IF(AH67="","",AH67)</f>
        <v>0</v>
      </c>
      <c r="J67" s="75">
        <f t="shared" ref="J67:J80" si="71">IF(AI67=0,"",AI67)</f>
        <v>212</v>
      </c>
      <c r="K67" s="348">
        <f>IF(AJ67="","",AJ67)</f>
        <v>0</v>
      </c>
      <c r="L67" s="75">
        <f t="shared" ref="L67:L80" si="72">IF(AK67=0,"",AK67)</f>
        <v>119</v>
      </c>
      <c r="M67" s="348">
        <f>IF(AL67="","",AL67)</f>
        <v>0</v>
      </c>
      <c r="N67" s="75">
        <f>IF(AM67=0,"",AM67)</f>
        <v>182</v>
      </c>
      <c r="O67" s="348">
        <f>IF(AN67="","",AN67)</f>
        <v>1</v>
      </c>
      <c r="P67" s="75">
        <f t="shared" ref="P67:P80" si="73">IF(AO67=0,"",AO67)</f>
        <v>184</v>
      </c>
      <c r="Q67" s="348">
        <f>IF(AP67="","",AP67)</f>
        <v>1</v>
      </c>
      <c r="R67" s="75">
        <f t="shared" ref="R67:R80" si="74">IF(AQ67=0,"",AQ67)</f>
        <v>164</v>
      </c>
      <c r="S67" s="348">
        <f>IF(AR67="","",AR67)</f>
        <v>0</v>
      </c>
      <c r="T67" s="75">
        <f t="shared" ref="T67:T80" si="75">IF(AS67=0,"",AS67)</f>
        <v>191</v>
      </c>
      <c r="U67" s="348">
        <f>IF(AT67="","",AT67)</f>
        <v>1</v>
      </c>
      <c r="V67" s="75">
        <f t="shared" ref="V67:V80" si="76">IF(AU67=0,"",AU67)</f>
        <v>1692</v>
      </c>
      <c r="W67" s="348">
        <f>IF(AV67="","",AV67)</f>
        <v>5</v>
      </c>
      <c r="Z67" s="351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213</v>
      </c>
      <c r="AD67" s="109">
        <f>IF(SUM(AC67:AC69)+AC85=0,0,IF(SUM(AC67:AC69)=AC85,0.5,IF(SUM(AC67:AC69)&gt;AC85,1,0)))</f>
        <v>1</v>
      </c>
      <c r="AE67" s="185">
        <v>231</v>
      </c>
      <c r="AF67" s="109">
        <f>IF(SUM(AE67:AE69)+AE85=0,0,IF(SUM(AE67:AE69)=AE85,0.5,IF(SUM(AE67:AE69)&gt;AE85,1,0)))</f>
        <v>1</v>
      </c>
      <c r="AG67" s="185">
        <v>196</v>
      </c>
      <c r="AH67" s="109">
        <f>IF(SUM(AG67:AG69)+AG85=0,0,IF(SUM(AG67:AG69)=AG85,0.5,IF(SUM(AG67:AG69)&gt;AG85,1,0)))</f>
        <v>0</v>
      </c>
      <c r="AI67" s="185">
        <v>212</v>
      </c>
      <c r="AJ67" s="109">
        <f>IF(SUM(AI67:AI69)+AI85=0,0,IF(SUM(AI67:AI69)=AI85,0.5,IF(SUM(AI67:AI69)&gt;AI85,1,0)))</f>
        <v>0</v>
      </c>
      <c r="AK67" s="185">
        <v>119</v>
      </c>
      <c r="AL67" s="109">
        <f>IF(SUM(AK67:AK69)+AK85=0,0,IF(SUM(AK67:AK69)=AK85,0.5,IF(SUM(AK67:AK69)&gt;AK85,1,0)))</f>
        <v>0</v>
      </c>
      <c r="AM67" s="185">
        <v>182</v>
      </c>
      <c r="AN67" s="109">
        <f>IF(SUM(AM67:AM69)+AM85=0,0,IF(SUM(AM67:AM69)=AM85,0.5,IF(SUM(AM67:AM69)&gt;AM85,1,0)))</f>
        <v>1</v>
      </c>
      <c r="AO67" s="185">
        <v>184</v>
      </c>
      <c r="AP67" s="109">
        <f>IF(SUM(AO67:AO69)+AO85=0,0,IF(SUM(AO67:AO69)=AO85,0.5,IF(SUM(AO67:AO69)&gt;AO85,1,0)))</f>
        <v>1</v>
      </c>
      <c r="AQ67" s="185">
        <v>164</v>
      </c>
      <c r="AR67" s="109">
        <f>IF(SUM(AQ67:AQ69)+AQ85=0,0,IF(SUM(AQ67:AQ69)=AQ85,0.5,IF(SUM(AQ67:AQ69)&gt;AQ85,1,0)))</f>
        <v>0</v>
      </c>
      <c r="AS67" s="185">
        <v>191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1692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1692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213</v>
      </c>
      <c r="BI67" s="215">
        <f t="shared" ref="BI67:BI78" si="79">IF(AE67=0,"",AE67)</f>
        <v>231</v>
      </c>
      <c r="BJ67" s="215">
        <f t="shared" ref="BJ67:BJ78" si="80">IF(AG67=0,"",AG67)</f>
        <v>196</v>
      </c>
      <c r="BK67" s="215">
        <f t="shared" ref="BK67:BK78" si="81">IF(AI67=0,"",AI67)</f>
        <v>212</v>
      </c>
      <c r="BL67" s="215">
        <f t="shared" ref="BL67:BL78" si="82">IF(AK67=0,"",AK67)</f>
        <v>119</v>
      </c>
      <c r="BM67" s="215">
        <f t="shared" ref="BM67:BM78" si="83">IF(AM67=0,"",AM67)</f>
        <v>182</v>
      </c>
      <c r="BN67" s="215">
        <f t="shared" ref="BN67:BN78" si="84">IF(AO67=0,"",AO67)</f>
        <v>184</v>
      </c>
      <c r="BO67" s="215">
        <f t="shared" ref="BO67:BO78" si="85">IF(AQ67=0,"",AQ67)</f>
        <v>164</v>
      </c>
      <c r="BP67" s="215">
        <f t="shared" ref="BP67:BP78" si="86">IF(AS67=0,"",AS67)</f>
        <v>191</v>
      </c>
      <c r="BQ67" s="216"/>
      <c r="BR67" s="214"/>
      <c r="BS67" s="215">
        <f>MAX(BH67:BP67)</f>
        <v>231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1692</v>
      </c>
      <c r="BX67" s="215">
        <f>IF(COUNTIF(BH67:BP67,"&gt;0")&lt;Spielorte!$A$23,0,BE67/Spielorte!$A$23)</f>
        <v>188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7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8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6" t="s">
        <v>2</v>
      </c>
      <c r="B70" s="73" t="str">
        <f t="shared" si="88"/>
        <v>Hellmessen, Maximilian</v>
      </c>
      <c r="C70" s="74">
        <f t="shared" si="88"/>
        <v>16912</v>
      </c>
      <c r="D70" s="75">
        <f t="shared" si="88"/>
        <v>225</v>
      </c>
      <c r="E70" s="348">
        <f>IF(AD70="","",AD70)</f>
        <v>0</v>
      </c>
      <c r="F70" s="75">
        <f t="shared" si="69"/>
        <v>222</v>
      </c>
      <c r="G70" s="348">
        <f>IF(AF70="","",AF70)</f>
        <v>1</v>
      </c>
      <c r="H70" s="75">
        <f t="shared" si="70"/>
        <v>228</v>
      </c>
      <c r="I70" s="348">
        <f>IF(AH70="","",AH70)</f>
        <v>1</v>
      </c>
      <c r="J70" s="75">
        <f t="shared" si="71"/>
        <v>234</v>
      </c>
      <c r="K70" s="348">
        <f>IF(AJ70="","",AJ70)</f>
        <v>1</v>
      </c>
      <c r="L70" s="75">
        <f t="shared" si="72"/>
        <v>202</v>
      </c>
      <c r="M70" s="348">
        <f>IF(AL70="","",AL70)</f>
        <v>1</v>
      </c>
      <c r="N70" s="75">
        <f t="shared" si="89"/>
        <v>182</v>
      </c>
      <c r="O70" s="348">
        <f>IF(AN70="","",AN70)</f>
        <v>0</v>
      </c>
      <c r="P70" s="75">
        <f t="shared" si="73"/>
        <v>180</v>
      </c>
      <c r="Q70" s="348">
        <f>IF(AP70="","",AP70)</f>
        <v>0</v>
      </c>
      <c r="R70" s="75">
        <f t="shared" si="74"/>
        <v>192</v>
      </c>
      <c r="S70" s="348">
        <f>IF(AR70="","",AR70)</f>
        <v>1</v>
      </c>
      <c r="T70" s="75">
        <f t="shared" si="75"/>
        <v>178</v>
      </c>
      <c r="U70" s="348">
        <f>IF(AT70="","",AT70)</f>
        <v>1</v>
      </c>
      <c r="V70" s="75">
        <f t="shared" si="76"/>
        <v>1843</v>
      </c>
      <c r="W70" s="348">
        <f>IF(AV70="","",AV70)</f>
        <v>6</v>
      </c>
      <c r="Z70" s="351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225</v>
      </c>
      <c r="AD70" s="109">
        <f>IF(SUM(AC70:AC72)+AC86=0,0,IF(SUM(AC70:AC72)=AC86,0.5,IF(SUM(AC70:AC72)&gt;AC86,1,0)))</f>
        <v>0</v>
      </c>
      <c r="AE70" s="188">
        <v>222</v>
      </c>
      <c r="AF70" s="109">
        <f>IF(SUM(AE70:AE72)+AE86=0,0,IF(SUM(AE70:AE72)=AE86,0.5,IF(SUM(AE70:AE72)&gt;AE86,1,0)))</f>
        <v>1</v>
      </c>
      <c r="AG70" s="188">
        <v>228</v>
      </c>
      <c r="AH70" s="109">
        <f>IF(SUM(AG70:AG72)+AG86=0,0,IF(SUM(AG70:AG72)=AG86,0.5,IF(SUM(AG70:AG72)&gt;AG86,1,0)))</f>
        <v>1</v>
      </c>
      <c r="AI70" s="188">
        <v>234</v>
      </c>
      <c r="AJ70" s="109">
        <f>IF(SUM(AI70:AI72)+AI86=0,0,IF(SUM(AI70:AI72)=AI86,0.5,IF(SUM(AI70:AI72)&gt;AI86,1,0)))</f>
        <v>1</v>
      </c>
      <c r="AK70" s="188">
        <v>202</v>
      </c>
      <c r="AL70" s="109">
        <f>IF(SUM(AK70:AK72)+AK86=0,0,IF(SUM(AK70:AK72)=AK86,0.5,IF(SUM(AK70:AK72)&gt;AK86,1,0)))</f>
        <v>1</v>
      </c>
      <c r="AM70" s="188">
        <v>182</v>
      </c>
      <c r="AN70" s="109">
        <f>IF(SUM(AM70:AM72)+AM86=0,0,IF(SUM(AM70:AM72)=AM86,0.5,IF(SUM(AM70:AM72)&gt;AM86,1,0)))</f>
        <v>0</v>
      </c>
      <c r="AO70" s="188">
        <v>180</v>
      </c>
      <c r="AP70" s="109">
        <f>IF(SUM(AO70:AO72)+AO86=0,0,IF(SUM(AO70:AO72)=AO86,0.5,IF(SUM(AO70:AO72)&gt;AO86,1,0)))</f>
        <v>0</v>
      </c>
      <c r="AQ70" s="188">
        <v>192</v>
      </c>
      <c r="AR70" s="109">
        <f>IF(SUM(AQ70:AQ72)+AQ86=0,0,IF(SUM(AQ70:AQ72)=AQ86,0.5,IF(SUM(AQ70:AQ72)&gt;AQ86,1,0)))</f>
        <v>1</v>
      </c>
      <c r="AS70" s="188">
        <v>178</v>
      </c>
      <c r="AT70" s="109">
        <f>IF(SUM(AS70:AS72)+AS86=0,0,IF(SUM(AS70:AS72)=AS86,0.5,IF(SUM(AS70:AS72)&gt;AS86,1,0)))</f>
        <v>1</v>
      </c>
      <c r="AU70" s="110">
        <f t="shared" si="77"/>
        <v>1843</v>
      </c>
      <c r="AV70" s="111">
        <f>SUM(AD70+AF70+AH70+AJ70+AL70+AN70+AP70+AR70+AT70)</f>
        <v>6</v>
      </c>
      <c r="AW70" s="101"/>
      <c r="AX70" s="102"/>
      <c r="AZ70" s="63"/>
      <c r="BA70" s="212"/>
      <c r="BB70" s="213"/>
      <c r="BC70" s="214"/>
      <c r="BD70" s="217">
        <f t="shared" si="90"/>
        <v>16912</v>
      </c>
      <c r="BE70" s="213">
        <f t="shared" si="91"/>
        <v>1843</v>
      </c>
      <c r="BF70" s="215">
        <f t="shared" si="92"/>
        <v>9</v>
      </c>
      <c r="BG70" s="215">
        <f t="shared" si="93"/>
        <v>9</v>
      </c>
      <c r="BH70" s="215">
        <f t="shared" si="78"/>
        <v>225</v>
      </c>
      <c r="BI70" s="215">
        <f t="shared" si="79"/>
        <v>222</v>
      </c>
      <c r="BJ70" s="215">
        <f t="shared" si="80"/>
        <v>228</v>
      </c>
      <c r="BK70" s="215">
        <f t="shared" si="81"/>
        <v>234</v>
      </c>
      <c r="BL70" s="215">
        <f t="shared" si="82"/>
        <v>202</v>
      </c>
      <c r="BM70" s="215">
        <f t="shared" si="83"/>
        <v>182</v>
      </c>
      <c r="BN70" s="215">
        <f t="shared" si="84"/>
        <v>180</v>
      </c>
      <c r="BO70" s="215">
        <f t="shared" si="85"/>
        <v>192</v>
      </c>
      <c r="BP70" s="215">
        <f t="shared" si="86"/>
        <v>178</v>
      </c>
      <c r="BQ70" s="216"/>
      <c r="BR70" s="214"/>
      <c r="BS70" s="215">
        <f t="shared" si="94"/>
        <v>234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1843</v>
      </c>
      <c r="BX70" s="215">
        <f>IF(COUNTIF(BH70:BP70,"&gt;0")&lt;Spielorte!$A$23,0,BE70/Spielorte!$A$23)</f>
        <v>204.77777777777777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7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8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6" t="s">
        <v>3</v>
      </c>
      <c r="B73" s="73" t="str">
        <f t="shared" si="88"/>
        <v>Börding, Daniel</v>
      </c>
      <c r="C73" s="74">
        <f t="shared" si="88"/>
        <v>7591</v>
      </c>
      <c r="D73" s="75">
        <f t="shared" si="88"/>
        <v>180</v>
      </c>
      <c r="E73" s="348">
        <f>IF(AD73="","",AD73)</f>
        <v>1</v>
      </c>
      <c r="F73" s="75">
        <f t="shared" si="69"/>
        <v>194</v>
      </c>
      <c r="G73" s="348">
        <f>IF(AF73="","",AF73)</f>
        <v>1</v>
      </c>
      <c r="H73" s="75" t="str">
        <f t="shared" si="70"/>
        <v/>
      </c>
      <c r="I73" s="348">
        <f>IF(AH73="","",AH73)</f>
        <v>0</v>
      </c>
      <c r="J73" s="75" t="str">
        <f t="shared" si="71"/>
        <v/>
      </c>
      <c r="K73" s="348">
        <f>IF(AJ73="","",AJ73)</f>
        <v>0</v>
      </c>
      <c r="L73" s="75" t="str">
        <f t="shared" si="72"/>
        <v/>
      </c>
      <c r="M73" s="348">
        <f>IF(AL73="","",AL73)</f>
        <v>0</v>
      </c>
      <c r="N73" s="75" t="str">
        <f t="shared" si="89"/>
        <v/>
      </c>
      <c r="O73" s="348">
        <f>IF(AN73="","",AN73)</f>
        <v>0</v>
      </c>
      <c r="P73" s="75">
        <f t="shared" si="73"/>
        <v>244</v>
      </c>
      <c r="Q73" s="348">
        <f>IF(AP73="","",AP73)</f>
        <v>1</v>
      </c>
      <c r="R73" s="75">
        <f t="shared" si="74"/>
        <v>211</v>
      </c>
      <c r="S73" s="348">
        <f>IF(AR73="","",AR73)</f>
        <v>1</v>
      </c>
      <c r="T73" s="75">
        <f t="shared" si="75"/>
        <v>167</v>
      </c>
      <c r="U73" s="348">
        <f>IF(AT73="","",AT73)</f>
        <v>0</v>
      </c>
      <c r="V73" s="75">
        <f t="shared" si="76"/>
        <v>996</v>
      </c>
      <c r="W73" s="348">
        <f>IF(AV73="","",AV73)</f>
        <v>4</v>
      </c>
      <c r="Z73" s="351" t="s">
        <v>3</v>
      </c>
      <c r="AA73" s="108" t="str">
        <f>IF(AB73=0,"",VLOOKUP(AB73,Starter!$A$1:$D$199,2,FALSE))</f>
        <v>Börding, Daniel</v>
      </c>
      <c r="AB73" s="99">
        <v>7591</v>
      </c>
      <c r="AC73" s="188">
        <v>180</v>
      </c>
      <c r="AD73" s="109">
        <f>IF(SUM(AC73:AC75)+AC87=0,0,IF(SUM(AC73:AC75)=AC87,0.5,IF(SUM(AC73:AC75)&gt;AC87,1,0)))</f>
        <v>1</v>
      </c>
      <c r="AE73" s="188">
        <v>194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>
        <v>244</v>
      </c>
      <c r="AP73" s="109">
        <f>IF(SUM(AO73:AO75)+AO87=0,0,IF(SUM(AO73:AO75)=AO87,0.5,IF(SUM(AO73:AO75)&gt;AO87,1,0)))</f>
        <v>1</v>
      </c>
      <c r="AQ73" s="188">
        <v>211</v>
      </c>
      <c r="AR73" s="109">
        <f>IF(SUM(AQ73:AQ75)+AQ87=0,0,IF(SUM(AQ73:AQ75)=AQ87,0.5,IF(SUM(AQ73:AQ75)&gt;AQ87,1,0)))</f>
        <v>1</v>
      </c>
      <c r="AS73" s="188">
        <v>167</v>
      </c>
      <c r="AT73" s="109">
        <f>IF(SUM(AS73:AS75)+AS87=0,0,IF(SUM(AS73:AS75)=AS87,0.5,IF(SUM(AS73:AS75)&gt;AS87,1,0)))</f>
        <v>0</v>
      </c>
      <c r="AU73" s="110">
        <f t="shared" si="77"/>
        <v>996</v>
      </c>
      <c r="AV73" s="111">
        <f>SUM(AD73+AF73+AH73+AJ73+AL73+AN73+AP73+AR73+AT73)</f>
        <v>4</v>
      </c>
      <c r="AW73" s="101"/>
      <c r="AX73" s="102"/>
      <c r="AZ73" s="63"/>
      <c r="BA73" s="212"/>
      <c r="BB73" s="213"/>
      <c r="BC73" s="214"/>
      <c r="BD73" s="217">
        <f t="shared" si="90"/>
        <v>7591</v>
      </c>
      <c r="BE73" s="213">
        <f t="shared" si="91"/>
        <v>996</v>
      </c>
      <c r="BF73" s="215">
        <f t="shared" si="92"/>
        <v>5</v>
      </c>
      <c r="BG73" s="215">
        <f t="shared" si="93"/>
        <v>5</v>
      </c>
      <c r="BH73" s="215">
        <f t="shared" si="78"/>
        <v>180</v>
      </c>
      <c r="BI73" s="215">
        <f t="shared" si="79"/>
        <v>194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>
        <f t="shared" si="84"/>
        <v>244</v>
      </c>
      <c r="BO73" s="215">
        <f t="shared" si="85"/>
        <v>211</v>
      </c>
      <c r="BP73" s="215">
        <f t="shared" si="86"/>
        <v>167</v>
      </c>
      <c r="BQ73" s="216"/>
      <c r="BR73" s="214"/>
      <c r="BS73" s="215">
        <f t="shared" si="94"/>
        <v>244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996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7"/>
      <c r="B74" s="76" t="str">
        <f t="shared" si="88"/>
        <v>Hinterwimmer, Georg</v>
      </c>
      <c r="C74" s="77">
        <f t="shared" si="88"/>
        <v>7867</v>
      </c>
      <c r="D74" s="78" t="str">
        <f t="shared" si="88"/>
        <v/>
      </c>
      <c r="E74" s="349"/>
      <c r="F74" s="78" t="str">
        <f t="shared" si="69"/>
        <v/>
      </c>
      <c r="G74" s="349"/>
      <c r="H74" s="78">
        <f t="shared" si="70"/>
        <v>176</v>
      </c>
      <c r="I74" s="349"/>
      <c r="J74" s="78">
        <f t="shared" si="71"/>
        <v>182</v>
      </c>
      <c r="K74" s="349"/>
      <c r="L74" s="78">
        <f t="shared" si="72"/>
        <v>166</v>
      </c>
      <c r="M74" s="349"/>
      <c r="N74" s="78">
        <f t="shared" si="89"/>
        <v>146</v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>
        <f t="shared" si="76"/>
        <v>670</v>
      </c>
      <c r="W74" s="349"/>
      <c r="Z74" s="352"/>
      <c r="AA74" s="108" t="str">
        <f>IF(AB74=0,"",VLOOKUP(AB74,Starter!$A$1:$D$199,2,FALSE))</f>
        <v>Hinterwimmer, Georg</v>
      </c>
      <c r="AB74" s="98">
        <v>7867</v>
      </c>
      <c r="AC74" s="186"/>
      <c r="AD74" s="112"/>
      <c r="AE74" s="186"/>
      <c r="AF74" s="112"/>
      <c r="AG74" s="186">
        <v>176</v>
      </c>
      <c r="AH74" s="112"/>
      <c r="AI74" s="186">
        <v>182</v>
      </c>
      <c r="AJ74" s="112"/>
      <c r="AK74" s="186">
        <v>166</v>
      </c>
      <c r="AL74" s="112"/>
      <c r="AM74" s="186">
        <v>146</v>
      </c>
      <c r="AN74" s="112"/>
      <c r="AO74" s="186"/>
      <c r="AP74" s="112"/>
      <c r="AQ74" s="186"/>
      <c r="AR74" s="112"/>
      <c r="AS74" s="186"/>
      <c r="AT74" s="112"/>
      <c r="AU74" s="113">
        <f t="shared" si="77"/>
        <v>670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7867</v>
      </c>
      <c r="BE74" s="213">
        <f t="shared" si="91"/>
        <v>670</v>
      </c>
      <c r="BF74" s="215">
        <f t="shared" si="92"/>
        <v>4</v>
      </c>
      <c r="BG74" s="215">
        <f t="shared" si="93"/>
        <v>4</v>
      </c>
      <c r="BH74" s="215" t="str">
        <f t="shared" si="78"/>
        <v/>
      </c>
      <c r="BI74" s="215" t="str">
        <f t="shared" si="79"/>
        <v/>
      </c>
      <c r="BJ74" s="215">
        <f t="shared" si="80"/>
        <v>176</v>
      </c>
      <c r="BK74" s="215">
        <f t="shared" si="81"/>
        <v>182</v>
      </c>
      <c r="BL74" s="215">
        <f t="shared" si="82"/>
        <v>166</v>
      </c>
      <c r="BM74" s="215">
        <f t="shared" si="83"/>
        <v>146</v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182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670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8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6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190</v>
      </c>
      <c r="E76" s="348">
        <f>IF(AD76="","",AD76)</f>
        <v>1</v>
      </c>
      <c r="F76" s="75">
        <f t="shared" si="69"/>
        <v>212</v>
      </c>
      <c r="G76" s="348">
        <f>IF(AF76="","",AF76)</f>
        <v>0</v>
      </c>
      <c r="H76" s="75">
        <f t="shared" si="70"/>
        <v>181</v>
      </c>
      <c r="I76" s="348">
        <f>IF(AH76="","",AH76)</f>
        <v>0</v>
      </c>
      <c r="J76" s="75">
        <f t="shared" si="71"/>
        <v>174</v>
      </c>
      <c r="K76" s="348">
        <f>IF(AJ76="","",AJ76)</f>
        <v>1</v>
      </c>
      <c r="L76" s="75" t="str">
        <f t="shared" si="72"/>
        <v/>
      </c>
      <c r="M76" s="348">
        <f>IF(AL76="","",AL76)</f>
        <v>1</v>
      </c>
      <c r="N76" s="75" t="str">
        <f t="shared" si="89"/>
        <v/>
      </c>
      <c r="O76" s="348">
        <f>IF(AN76="","",AN76)</f>
        <v>0</v>
      </c>
      <c r="P76" s="75" t="str">
        <f t="shared" si="73"/>
        <v/>
      </c>
      <c r="Q76" s="348">
        <f>IF(AP76="","",AP76)</f>
        <v>0</v>
      </c>
      <c r="R76" s="75" t="str">
        <f t="shared" si="74"/>
        <v/>
      </c>
      <c r="S76" s="348">
        <f>IF(AR76="","",AR76)</f>
        <v>0</v>
      </c>
      <c r="T76" s="75" t="str">
        <f t="shared" si="75"/>
        <v/>
      </c>
      <c r="U76" s="348">
        <f>IF(AT76="","",AT76)</f>
        <v>0</v>
      </c>
      <c r="V76" s="75">
        <f t="shared" si="76"/>
        <v>757</v>
      </c>
      <c r="W76" s="348">
        <f>IF(AV76="","",AV76)</f>
        <v>3</v>
      </c>
      <c r="Z76" s="351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190</v>
      </c>
      <c r="AD76" s="109">
        <f>IF(SUM(AC76:AC78)+AC88=0,0,IF(SUM(AC76:AC78)=AC88,0.5,IF(SUM(AC76:AC78)&gt;AC88,1,0)))</f>
        <v>1</v>
      </c>
      <c r="AE76" s="188">
        <v>212</v>
      </c>
      <c r="AF76" s="109">
        <f>IF(SUM(AE76:AE78)+AE88=0,0,IF(SUM(AE76:AE78)=AE88,0.5,IF(SUM(AE76:AE78)&gt;AE88,1,0)))</f>
        <v>0</v>
      </c>
      <c r="AG76" s="188">
        <v>181</v>
      </c>
      <c r="AH76" s="109">
        <f>IF(SUM(AG76:AG78)+AG88=0,0,IF(SUM(AG76:AG78)=AG88,0.5,IF(SUM(AG76:AG78)&gt;AG88,1,0)))</f>
        <v>0</v>
      </c>
      <c r="AI76" s="188">
        <v>174</v>
      </c>
      <c r="AJ76" s="109">
        <f>IF(SUM(AI76:AI78)+AI88=0,0,IF(SUM(AI76:AI78)=AI88,0.5,IF(SUM(AI76:AI78)&gt;AI88,1,0)))</f>
        <v>1</v>
      </c>
      <c r="AK76" s="188"/>
      <c r="AL76" s="109">
        <f>IF(SUM(AK76:AK78)+AK88=0,0,IF(SUM(AK76:AK78)=AK88,0.5,IF(SUM(AK76:AK78)&gt;AK88,1,0)))</f>
        <v>1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757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757</v>
      </c>
      <c r="BF76" s="215">
        <f t="shared" si="92"/>
        <v>4</v>
      </c>
      <c r="BG76" s="215">
        <f t="shared" si="93"/>
        <v>4</v>
      </c>
      <c r="BH76" s="215">
        <f t="shared" si="78"/>
        <v>190</v>
      </c>
      <c r="BI76" s="215">
        <f t="shared" si="79"/>
        <v>212</v>
      </c>
      <c r="BJ76" s="215">
        <f t="shared" si="80"/>
        <v>181</v>
      </c>
      <c r="BK76" s="215">
        <f t="shared" si="81"/>
        <v>174</v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212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757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7"/>
      <c r="B77" s="76" t="str">
        <f>IF(AA77=0,"",AA77)</f>
        <v>Laub, Harald</v>
      </c>
      <c r="C77" s="77">
        <f t="shared" si="88"/>
        <v>7597</v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>
        <f t="shared" si="72"/>
        <v>233</v>
      </c>
      <c r="M77" s="349"/>
      <c r="N77" s="78">
        <f t="shared" si="89"/>
        <v>175</v>
      </c>
      <c r="O77" s="349"/>
      <c r="P77" s="78">
        <f t="shared" si="73"/>
        <v>195</v>
      </c>
      <c r="Q77" s="349"/>
      <c r="R77" s="78">
        <f t="shared" si="74"/>
        <v>160</v>
      </c>
      <c r="S77" s="349"/>
      <c r="T77" s="78">
        <f t="shared" si="75"/>
        <v>177</v>
      </c>
      <c r="U77" s="349"/>
      <c r="V77" s="78">
        <f t="shared" si="76"/>
        <v>940</v>
      </c>
      <c r="W77" s="349"/>
      <c r="Z77" s="352"/>
      <c r="AA77" s="108" t="str">
        <f>IF(AB77=0,"",VLOOKUP(AB77,Starter!$A$1:$D$199,2,FALSE))</f>
        <v>Laub, Harald</v>
      </c>
      <c r="AB77" s="98">
        <v>7597</v>
      </c>
      <c r="AC77" s="186"/>
      <c r="AD77" s="112"/>
      <c r="AE77" s="186"/>
      <c r="AF77" s="112"/>
      <c r="AG77" s="186"/>
      <c r="AH77" s="112"/>
      <c r="AI77" s="186"/>
      <c r="AJ77" s="112"/>
      <c r="AK77" s="186">
        <v>233</v>
      </c>
      <c r="AL77" s="112"/>
      <c r="AM77" s="186">
        <v>175</v>
      </c>
      <c r="AN77" s="112"/>
      <c r="AO77" s="186">
        <v>195</v>
      </c>
      <c r="AP77" s="112"/>
      <c r="AQ77" s="186">
        <v>160</v>
      </c>
      <c r="AR77" s="112"/>
      <c r="AS77" s="186">
        <v>177</v>
      </c>
      <c r="AT77" s="112"/>
      <c r="AU77" s="113">
        <f t="shared" si="77"/>
        <v>940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7597</v>
      </c>
      <c r="BE77" s="213">
        <f t="shared" si="91"/>
        <v>940</v>
      </c>
      <c r="BF77" s="215">
        <f t="shared" si="92"/>
        <v>5</v>
      </c>
      <c r="BG77" s="215">
        <f t="shared" si="93"/>
        <v>5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>
        <f t="shared" si="82"/>
        <v>233</v>
      </c>
      <c r="BM77" s="215">
        <f t="shared" si="83"/>
        <v>175</v>
      </c>
      <c r="BN77" s="215">
        <f t="shared" si="84"/>
        <v>195</v>
      </c>
      <c r="BO77" s="215">
        <f t="shared" si="85"/>
        <v>160</v>
      </c>
      <c r="BP77" s="215">
        <f t="shared" si="86"/>
        <v>177</v>
      </c>
      <c r="BQ77" s="216"/>
      <c r="BR77" s="214"/>
      <c r="BS77" s="215">
        <f t="shared" si="94"/>
        <v>233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940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8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808</v>
      </c>
      <c r="E79" s="84">
        <f>IF(AD79="","",AD79)</f>
        <v>2</v>
      </c>
      <c r="F79" s="83">
        <f t="shared" si="69"/>
        <v>859</v>
      </c>
      <c r="G79" s="84">
        <f>IF(AF79="","",AF79)</f>
        <v>2</v>
      </c>
      <c r="H79" s="83">
        <f t="shared" si="70"/>
        <v>781</v>
      </c>
      <c r="I79" s="84">
        <f>IF(AH79="","",AH79)</f>
        <v>2</v>
      </c>
      <c r="J79" s="83">
        <f t="shared" si="71"/>
        <v>802</v>
      </c>
      <c r="K79" s="84">
        <f>IF(AJ79="","",AJ79)</f>
        <v>2</v>
      </c>
      <c r="L79" s="83">
        <f t="shared" si="72"/>
        <v>720</v>
      </c>
      <c r="M79" s="84">
        <f>IF(AL79="","",AL79)</f>
        <v>0</v>
      </c>
      <c r="N79" s="83">
        <f t="shared" si="89"/>
        <v>685</v>
      </c>
      <c r="O79" s="84">
        <f>IF(AN79="","",AN79)</f>
        <v>0</v>
      </c>
      <c r="P79" s="83">
        <f t="shared" si="73"/>
        <v>803</v>
      </c>
      <c r="Q79" s="84">
        <f>IF(AP79="","",AP79)</f>
        <v>2</v>
      </c>
      <c r="R79" s="83">
        <f t="shared" si="74"/>
        <v>727</v>
      </c>
      <c r="S79" s="84">
        <f>IF(AR79="","",AR79)</f>
        <v>0</v>
      </c>
      <c r="T79" s="83">
        <f t="shared" si="75"/>
        <v>713</v>
      </c>
      <c r="U79" s="84">
        <f>IF(AT79="","",AT79)</f>
        <v>0</v>
      </c>
      <c r="V79" s="83">
        <f t="shared" si="76"/>
        <v>6898</v>
      </c>
      <c r="W79" s="84">
        <f>IF(AV79="","",AV79)</f>
        <v>10</v>
      </c>
      <c r="AA79" s="81" t="s">
        <v>1799</v>
      </c>
      <c r="AB79" s="120"/>
      <c r="AC79" s="211">
        <f>ABS(SUM(AC67:AC69))+ABS(SUM(AC70:AC72))+ABS(SUM(AC73:AC75))+ABS(SUM(AC76:AC78))</f>
        <v>808</v>
      </c>
      <c r="AD79" s="121">
        <f>IF(AC79+AC89=0,0,IF(AC79=AC89,1,IF(AC79&gt;AC89,2,0)))</f>
        <v>2</v>
      </c>
      <c r="AE79" s="211">
        <f>ABS(SUM(AE67:AE69))+ABS(SUM(AE70:AE72))+ABS(SUM(AE73:AE75))+ABS(SUM(AE76:AE78))</f>
        <v>859</v>
      </c>
      <c r="AF79" s="121">
        <f>IF(AE79+AE89=0,0,IF(AE79=AE89,1,IF(AE79&gt;AE89,2,0)))</f>
        <v>2</v>
      </c>
      <c r="AG79" s="211">
        <f>ABS(SUM(AG67:AG69))+ABS(SUM(AG70:AG72))+ABS(SUM(AG73:AG75))+ABS(SUM(AG76:AG78))</f>
        <v>781</v>
      </c>
      <c r="AH79" s="121">
        <f>IF(AG79+AG89=0,0,IF(AG79=AG89,1,IF(AG79&gt;AG89,2,0)))</f>
        <v>2</v>
      </c>
      <c r="AI79" s="211">
        <f>ABS(SUM(AI67:AI69))+ABS(SUM(AI70:AI72))+ABS(SUM(AI73:AI75))+ABS(SUM(AI76:AI78))</f>
        <v>802</v>
      </c>
      <c r="AJ79" s="121">
        <f>IF(AI79+AI89=0,0,IF(AI79=AI89,1,IF(AI79&gt;AI89,2,0)))</f>
        <v>2</v>
      </c>
      <c r="AK79" s="211">
        <f>ABS(SUM(AK67:AK69))+ABS(SUM(AK70:AK72))+ABS(SUM(AK73:AK75))+ABS(SUM(AK76:AK78))</f>
        <v>720</v>
      </c>
      <c r="AL79" s="121">
        <f>IF(AK79+AK89=0,0,IF(AK79=AK89,1,IF(AK79&gt;AK89,2,0)))</f>
        <v>0</v>
      </c>
      <c r="AM79" s="211">
        <f>ABS(SUM(AM67:AM69))+ABS(SUM(AM70:AM72))+ABS(SUM(AM73:AM75))+ABS(SUM(AM76:AM78))</f>
        <v>685</v>
      </c>
      <c r="AN79" s="121">
        <f>IF(AM79+AM89=0,0,IF(AM79=AM89,1,IF(AM79&gt;AM89,2,0)))</f>
        <v>0</v>
      </c>
      <c r="AO79" s="211">
        <f>ABS(SUM(AO67:AO69))+ABS(SUM(AO70:AO72))+ABS(SUM(AO73:AO75))+ABS(SUM(AO76:AO78))</f>
        <v>803</v>
      </c>
      <c r="AP79" s="121">
        <f>IF(AO79+AO89=0,0,IF(AO79=AO89,1,IF(AO79&gt;AO89,2,0)))</f>
        <v>2</v>
      </c>
      <c r="AQ79" s="211">
        <f>ABS(SUM(AQ67:AQ69))+ABS(SUM(AQ70:AQ72))+ABS(SUM(AQ73:AQ75))+ABS(SUM(AQ76:AQ78))</f>
        <v>727</v>
      </c>
      <c r="AR79" s="121">
        <f>IF(AQ79+AQ89=0,0,IF(AQ79=AQ89,1,IF(AQ79&gt;AQ89,2,0)))</f>
        <v>0</v>
      </c>
      <c r="AS79" s="211">
        <f>ABS(SUM(AS67:AS69))+ABS(SUM(AS70:AS72))+ABS(SUM(AS73:AS75))+ABS(SUM(AS76:AS78))</f>
        <v>713</v>
      </c>
      <c r="AT79" s="121">
        <f>IF(AS79+AS89=0,0,IF(AS79=AS89,1,IF(AS79&gt;AS89,2,0)))</f>
        <v>0</v>
      </c>
      <c r="AU79" s="122">
        <f>SUM(AC79+AE79+AG79+AI79+AK79+AM79+AO79+AQ79+AS79)</f>
        <v>6898</v>
      </c>
      <c r="AV79" s="123">
        <f>SUM(AD79+AF79+AH79+AJ79+AL79+AN79+AP79+AR79+AT79)</f>
        <v>10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5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3</v>
      </c>
      <c r="J80" s="86" t="str">
        <f t="shared" si="71"/>
        <v/>
      </c>
      <c r="K80" s="87">
        <f>IF(AJ80="","",AJ80)</f>
        <v>4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1</v>
      </c>
      <c r="P80" s="86" t="str">
        <f t="shared" si="73"/>
        <v/>
      </c>
      <c r="Q80" s="87">
        <f>IF(AP80="","",AP80)</f>
        <v>4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28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3</v>
      </c>
      <c r="AI80" s="86"/>
      <c r="AJ80" s="124">
        <f>SUM(AJ67:AJ79)</f>
        <v>4</v>
      </c>
      <c r="AK80" s="86"/>
      <c r="AL80" s="124">
        <f>SUM(AL67:AL79)</f>
        <v>2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2</v>
      </c>
      <c r="AS80" s="86"/>
      <c r="AT80" s="124">
        <f>SUM(AT67:AT79)</f>
        <v>2</v>
      </c>
      <c r="AU80" s="86"/>
      <c r="AV80" s="125">
        <f>SUM(AV67:AV79)</f>
        <v>28</v>
      </c>
      <c r="AW80" s="101"/>
      <c r="AX80" s="102"/>
      <c r="BA80" s="212">
        <f>+AV80</f>
        <v>28</v>
      </c>
      <c r="BB80" s="213">
        <f>+AU79</f>
        <v>6898</v>
      </c>
      <c r="BC80" s="214">
        <f>+AA62</f>
        <v>3</v>
      </c>
      <c r="BF80" s="215">
        <f>SUM(BF61:BF79)</f>
        <v>36</v>
      </c>
      <c r="BQ80" s="212">
        <f>+BB80/1000000+BA80</f>
        <v>28.006898</v>
      </c>
      <c r="BR80" s="214">
        <f>RANK(BQ80,BQ:BQ)</f>
        <v>5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56">
        <f t="shared" si="100"/>
        <v>10</v>
      </c>
      <c r="E82" s="356" t="str">
        <f t="shared" si="100"/>
        <v/>
      </c>
      <c r="F82" s="356">
        <f t="shared" si="100"/>
        <v>1</v>
      </c>
      <c r="G82" s="356" t="str">
        <f t="shared" si="100"/>
        <v/>
      </c>
      <c r="H82" s="356">
        <f t="shared" si="100"/>
        <v>2</v>
      </c>
      <c r="I82" s="356" t="str">
        <f t="shared" si="100"/>
        <v/>
      </c>
      <c r="J82" s="356">
        <f t="shared" si="100"/>
        <v>6</v>
      </c>
      <c r="K82" s="356" t="str">
        <f t="shared" si="100"/>
        <v/>
      </c>
      <c r="L82" s="356">
        <f t="shared" ref="L82:U84" si="101">IF(AK82=0,"",AK82)</f>
        <v>9</v>
      </c>
      <c r="M82" s="356" t="str">
        <f t="shared" si="101"/>
        <v/>
      </c>
      <c r="N82" s="356">
        <f t="shared" si="101"/>
        <v>7</v>
      </c>
      <c r="O82" s="356" t="str">
        <f t="shared" si="101"/>
        <v/>
      </c>
      <c r="P82" s="356">
        <f t="shared" si="101"/>
        <v>5</v>
      </c>
      <c r="Q82" s="356" t="str">
        <f t="shared" si="101"/>
        <v/>
      </c>
      <c r="R82" s="356">
        <f t="shared" si="101"/>
        <v>4</v>
      </c>
      <c r="S82" s="356" t="str">
        <f t="shared" si="101"/>
        <v/>
      </c>
      <c r="T82" s="356">
        <f t="shared" si="101"/>
        <v>8</v>
      </c>
      <c r="U82" s="356" t="str">
        <f t="shared" si="101"/>
        <v/>
      </c>
      <c r="V82" s="357"/>
      <c r="W82" s="357"/>
      <c r="AA82" s="88" t="s">
        <v>1797</v>
      </c>
      <c r="AB82" s="89" t="s">
        <v>1798</v>
      </c>
      <c r="AC82" s="370">
        <f>VLOOKUP($AA62,Schlüssel!$A$5:$DG$14,43)</f>
        <v>10</v>
      </c>
      <c r="AD82" s="371"/>
      <c r="AE82" s="370">
        <f>VLOOKUP($AA62,Schlüssel!$A$5:$EK$14,44)</f>
        <v>1</v>
      </c>
      <c r="AF82" s="371"/>
      <c r="AG82" s="370">
        <f>VLOOKUP($AA62,Schlüssel!$A$5:$EK$14,45)</f>
        <v>2</v>
      </c>
      <c r="AH82" s="371"/>
      <c r="AI82" s="370">
        <f>VLOOKUP($AA62,Schlüssel!$A$5:$EK$14,46)</f>
        <v>6</v>
      </c>
      <c r="AJ82" s="371"/>
      <c r="AK82" s="370">
        <f>VLOOKUP($AA62,Schlüssel!$A$5:$EK$14,47)</f>
        <v>9</v>
      </c>
      <c r="AL82" s="371"/>
      <c r="AM82" s="370">
        <f>VLOOKUP($AA62,Schlüssel!$A$5:$EK$14,48)</f>
        <v>7</v>
      </c>
      <c r="AN82" s="371"/>
      <c r="AO82" s="370">
        <f>VLOOKUP($AA62,Schlüssel!$A$5:$EK$14,49)</f>
        <v>5</v>
      </c>
      <c r="AP82" s="371"/>
      <c r="AQ82" s="370">
        <f>VLOOKUP($AA62,Schlüssel!$A$5:$EK$14,50)</f>
        <v>4</v>
      </c>
      <c r="AR82" s="371"/>
      <c r="AS82" s="370">
        <f>VLOOKUP($AA62,Schlüssel!$A$5:$EK$14,51)</f>
        <v>8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58" t="str">
        <f t="shared" si="100"/>
        <v>High Roller Rosenheim 1</v>
      </c>
      <c r="E83" s="359" t="str">
        <f t="shared" si="100"/>
        <v/>
      </c>
      <c r="F83" s="358" t="str">
        <f t="shared" si="100"/>
        <v>BC Comet Nürnberg</v>
      </c>
      <c r="G83" s="359" t="str">
        <f t="shared" si="100"/>
        <v/>
      </c>
      <c r="H83" s="358" t="str">
        <f t="shared" si="100"/>
        <v>Bajuwaren München 1</v>
      </c>
      <c r="I83" s="359" t="str">
        <f t="shared" si="100"/>
        <v/>
      </c>
      <c r="J83" s="358" t="str">
        <f t="shared" si="100"/>
        <v>SG Rottendorf 1</v>
      </c>
      <c r="K83" s="359" t="str">
        <f t="shared" si="100"/>
        <v/>
      </c>
      <c r="L83" s="358" t="str">
        <f t="shared" si="101"/>
        <v>Bowlinghaus Bamberg 1</v>
      </c>
      <c r="M83" s="359" t="str">
        <f t="shared" si="101"/>
        <v/>
      </c>
      <c r="N83" s="358" t="str">
        <f t="shared" si="101"/>
        <v>Schanzer Ingolstadt 1</v>
      </c>
      <c r="O83" s="359" t="str">
        <f t="shared" si="101"/>
        <v/>
      </c>
      <c r="P83" s="358" t="str">
        <f t="shared" si="101"/>
        <v>RW Lichtenhof Stein 1</v>
      </c>
      <c r="Q83" s="359" t="str">
        <f t="shared" si="101"/>
        <v/>
      </c>
      <c r="R83" s="358" t="str">
        <f t="shared" si="101"/>
        <v>SG DJK Rimpar</v>
      </c>
      <c r="S83" s="359" t="str">
        <f t="shared" si="101"/>
        <v/>
      </c>
      <c r="T83" s="358" t="str">
        <f t="shared" si="101"/>
        <v>BC EMAX Unterföhring 2</v>
      </c>
      <c r="U83" s="359" t="str">
        <f t="shared" si="101"/>
        <v/>
      </c>
      <c r="V83" s="363"/>
      <c r="W83" s="363"/>
      <c r="AA83" s="90"/>
      <c r="AB83" s="86"/>
      <c r="AC83" s="358" t="str">
        <f>VLOOKUP(AC82,Schlüssel!$A$5:$K$14,2)</f>
        <v>High Roller Rosenheim 1</v>
      </c>
      <c r="AD83" s="359"/>
      <c r="AE83" s="358" t="str">
        <f>VLOOKUP(AE82,Schlüssel!$A$5:$K$14,2)</f>
        <v>BC Comet Nürnberg</v>
      </c>
      <c r="AF83" s="359"/>
      <c r="AG83" s="358" t="str">
        <f>VLOOKUP(AG82,Schlüssel!$A$5:$K$14,2)</f>
        <v>Bajuwaren München 1</v>
      </c>
      <c r="AH83" s="359"/>
      <c r="AI83" s="358" t="str">
        <f>VLOOKUP(AI82,Schlüssel!$A$5:$K$14,2)</f>
        <v>SG Rottendorf 1</v>
      </c>
      <c r="AJ83" s="359"/>
      <c r="AK83" s="358" t="str">
        <f>VLOOKUP(AK82,Schlüssel!$A$5:$K$14,2)</f>
        <v>Bowlinghaus Bamberg 1</v>
      </c>
      <c r="AL83" s="359"/>
      <c r="AM83" s="358" t="str">
        <f>VLOOKUP(AM82,Schlüssel!$A$5:$K$14,2)</f>
        <v>Schanzer Ingolstadt 1</v>
      </c>
      <c r="AN83" s="359"/>
      <c r="AO83" s="358" t="str">
        <f>VLOOKUP(AO82,Schlüssel!$A$5:$K$14,2)</f>
        <v>RW Lichtenhof Stein 1</v>
      </c>
      <c r="AP83" s="359"/>
      <c r="AQ83" s="358" t="str">
        <f>VLOOKUP(AQ82,Schlüssel!$A$5:$K$14,2)</f>
        <v>SG DJK Rimpar</v>
      </c>
      <c r="AR83" s="359"/>
      <c r="AS83" s="358" t="str">
        <f>VLOOKUP(AS82,Schlüssel!$A$5:$K$14,2)</f>
        <v>BC EMAX Unterföhring 2</v>
      </c>
      <c r="AT83" s="359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60" t="str">
        <f t="shared" si="100"/>
        <v/>
      </c>
      <c r="E84" s="360" t="str">
        <f t="shared" si="100"/>
        <v/>
      </c>
      <c r="F84" s="360" t="str">
        <f t="shared" si="100"/>
        <v/>
      </c>
      <c r="G84" s="360" t="str">
        <f t="shared" si="100"/>
        <v/>
      </c>
      <c r="H84" s="360" t="str">
        <f t="shared" si="100"/>
        <v/>
      </c>
      <c r="I84" s="360" t="str">
        <f t="shared" si="100"/>
        <v/>
      </c>
      <c r="J84" s="360" t="str">
        <f t="shared" si="100"/>
        <v/>
      </c>
      <c r="K84" s="360" t="str">
        <f t="shared" si="100"/>
        <v/>
      </c>
      <c r="L84" s="360" t="str">
        <f t="shared" si="101"/>
        <v/>
      </c>
      <c r="M84" s="360" t="str">
        <f t="shared" si="101"/>
        <v/>
      </c>
      <c r="N84" s="360" t="str">
        <f t="shared" si="101"/>
        <v/>
      </c>
      <c r="O84" s="360" t="str">
        <f t="shared" si="101"/>
        <v/>
      </c>
      <c r="P84" s="360" t="str">
        <f t="shared" si="101"/>
        <v/>
      </c>
      <c r="Q84" s="360" t="str">
        <f t="shared" si="101"/>
        <v/>
      </c>
      <c r="R84" s="360" t="str">
        <f t="shared" si="101"/>
        <v/>
      </c>
      <c r="S84" s="360" t="str">
        <f t="shared" si="101"/>
        <v/>
      </c>
      <c r="T84" s="360" t="str">
        <f t="shared" si="101"/>
        <v/>
      </c>
      <c r="U84" s="361" t="str">
        <f t="shared" si="101"/>
        <v/>
      </c>
      <c r="V84" s="298"/>
      <c r="W84" s="298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4" t="str">
        <f t="shared" ref="B85:C89" si="102">IF(AA85=0,"",AA85)</f>
        <v>Spieler 1</v>
      </c>
      <c r="C85" s="375" t="str">
        <f t="shared" si="102"/>
        <v/>
      </c>
      <c r="D85" s="362">
        <f>IF(AC85=301,"",AC85)</f>
        <v>180</v>
      </c>
      <c r="E85" s="362" t="str">
        <f>IF(AD85=0,"",AD85)</f>
        <v/>
      </c>
      <c r="F85" s="362">
        <f>IF(AE85=301,"",AE85)</f>
        <v>172</v>
      </c>
      <c r="G85" s="362" t="str">
        <f>IF(AF85=0,"",AF85)</f>
        <v/>
      </c>
      <c r="H85" s="362">
        <f>IF(AG85=301,"",AG85)</f>
        <v>225</v>
      </c>
      <c r="I85" s="362" t="str">
        <f>IF(AH85=0,"",AH85)</f>
        <v/>
      </c>
      <c r="J85" s="362">
        <f>IF(AI85=301,"",AI85)</f>
        <v>213</v>
      </c>
      <c r="K85" s="362" t="str">
        <f>IF(AJ85=0,"",AJ85)</f>
        <v/>
      </c>
      <c r="L85" s="362">
        <f>IF(AK85=301,"",AK85)</f>
        <v>177</v>
      </c>
      <c r="M85" s="362" t="str">
        <f>IF(AL85=0,"",AL85)</f>
        <v/>
      </c>
      <c r="N85" s="362">
        <f>IF(AM85=301,"",AM85)</f>
        <v>159</v>
      </c>
      <c r="O85" s="362" t="str">
        <f>IF(AN85=0,"",AN85)</f>
        <v/>
      </c>
      <c r="P85" s="362">
        <f>IF(AO85=301,"",AO85)</f>
        <v>179</v>
      </c>
      <c r="Q85" s="362" t="str">
        <f>IF(AP85=0,"",AP85)</f>
        <v/>
      </c>
      <c r="R85" s="362">
        <f>IF(AQ85=301,"",AQ85)</f>
        <v>217</v>
      </c>
      <c r="S85" s="362" t="str">
        <f>IF(AR85=0,"",AR85)</f>
        <v/>
      </c>
      <c r="T85" s="362">
        <f>IF(AS85=301,"",AS85)</f>
        <v>136</v>
      </c>
      <c r="U85" s="362" t="str">
        <f>IF(AT85=0,"",AT85)</f>
        <v/>
      </c>
      <c r="V85" s="364"/>
      <c r="W85" s="364"/>
      <c r="AA85" s="91" t="s">
        <v>0</v>
      </c>
      <c r="AB85" s="92"/>
      <c r="AC85" s="368">
        <f>ABS(INDEX(AC:AC,MATCH(AC82,$AA:$AA,0)+5)+INDEX(AC:AC,MATCH(AC82,$AA:$AA,0)+6)+INDEX(AC:AC,MATCH(AC82,$AA:$AA,0)+7))</f>
        <v>180</v>
      </c>
      <c r="AD85" s="369"/>
      <c r="AE85" s="368">
        <f>ABS(INDEX(AE:AE,MATCH(AE82,$AA:$AA,0)+5)+INDEX(AE:AE,MATCH(AE82,$AA:$AA,0)+6)+INDEX(AE:AE,MATCH(AE82,$AA:$AA,0)+7))</f>
        <v>172</v>
      </c>
      <c r="AF85" s="369"/>
      <c r="AG85" s="368">
        <f>ABS(INDEX(AG:AG,MATCH(AG82,$AA:$AA,0)+5)+INDEX(AG:AG,MATCH(AG82,$AA:$AA,0)+6)+INDEX(AG:AG,MATCH(AG82,$AA:$AA,0)+7))</f>
        <v>225</v>
      </c>
      <c r="AH85" s="369"/>
      <c r="AI85" s="368">
        <f>ABS(INDEX(AI:AI,MATCH(AI82,$AA:$AA,0)+5)+INDEX(AI:AI,MATCH(AI82,$AA:$AA,0)+6)+INDEX(AI:AI,MATCH(AI82,$AA:$AA,0)+7))</f>
        <v>213</v>
      </c>
      <c r="AJ85" s="369"/>
      <c r="AK85" s="368">
        <f>ABS(INDEX(AK:AK,MATCH(AK82,$AA:$AA,0)+5)+INDEX(AK:AK,MATCH(AK82,$AA:$AA,0)+6)+INDEX(AK:AK,MATCH(AK82,$AA:$AA,0)+7))</f>
        <v>177</v>
      </c>
      <c r="AL85" s="369"/>
      <c r="AM85" s="368">
        <f>ABS(INDEX(AM:AM,MATCH(AM82,$AA:$AA,0)+5)+INDEX(AM:AM,MATCH(AM82,$AA:$AA,0)+6)+INDEX(AM:AM,MATCH(AM82,$AA:$AA,0)+7))</f>
        <v>159</v>
      </c>
      <c r="AN85" s="369"/>
      <c r="AO85" s="368">
        <f>ABS(INDEX(AO:AO,MATCH(AO82,$AA:$AA,0)+5)+INDEX(AO:AO,MATCH(AO82,$AA:$AA,0)+6)+INDEX(AO:AO,MATCH(AO82,$AA:$AA,0)+7))</f>
        <v>179</v>
      </c>
      <c r="AP85" s="369"/>
      <c r="AQ85" s="368">
        <f>ABS(INDEX(AQ:AQ,MATCH(AQ82,$AA:$AA,0)+5)+INDEX(AQ:AQ,MATCH(AQ82,$AA:$AA,0)+6)+INDEX(AQ:AQ,MATCH(AQ82,$AA:$AA,0)+7))</f>
        <v>217</v>
      </c>
      <c r="AR85" s="369"/>
      <c r="AS85" s="368">
        <f>ABS(INDEX(AS:AS,MATCH(AS82,$AA:$AA,0)+5)+INDEX(AS:AS,MATCH(AS82,$AA:$AA,0)+6)+INDEX(AS:AS,MATCH(AS82,$AA:$AA,0)+7))</f>
        <v>136</v>
      </c>
      <c r="AT85" s="369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4" t="str">
        <f t="shared" si="102"/>
        <v>Spieler 2</v>
      </c>
      <c r="C86" s="375" t="str">
        <f t="shared" si="102"/>
        <v/>
      </c>
      <c r="D86" s="362">
        <f>IF(AC86=301,"",AC86)</f>
        <v>234</v>
      </c>
      <c r="E86" s="362" t="str">
        <f>IF(AD86=0,"",AD86)</f>
        <v/>
      </c>
      <c r="F86" s="362">
        <f>IF(AE86=301,"",AE86)</f>
        <v>158</v>
      </c>
      <c r="G86" s="362" t="str">
        <f>IF(AF86=0,"",AF86)</f>
        <v/>
      </c>
      <c r="H86" s="362">
        <f>IF(AG86=301,"",AG86)</f>
        <v>157</v>
      </c>
      <c r="I86" s="362" t="str">
        <f>IF(AH86=0,"",AH86)</f>
        <v/>
      </c>
      <c r="J86" s="362">
        <f>IF(AI86=301,"",AI86)</f>
        <v>182</v>
      </c>
      <c r="K86" s="362" t="str">
        <f>IF(AJ86=0,"",AJ86)</f>
        <v/>
      </c>
      <c r="L86" s="362">
        <f>IF(AK86=301,"",AK86)</f>
        <v>170</v>
      </c>
      <c r="M86" s="362" t="str">
        <f>IF(AL86=0,"",AL86)</f>
        <v/>
      </c>
      <c r="N86" s="362">
        <f>IF(AM86=301,"",AM86)</f>
        <v>200</v>
      </c>
      <c r="O86" s="362" t="str">
        <f>IF(AN86=0,"",AN86)</f>
        <v/>
      </c>
      <c r="P86" s="362">
        <f>IF(AO86=301,"",AO86)</f>
        <v>212</v>
      </c>
      <c r="Q86" s="362" t="str">
        <f>IF(AP86=0,"",AP86)</f>
        <v/>
      </c>
      <c r="R86" s="362">
        <f>IF(AQ86=301,"",AQ86)</f>
        <v>168</v>
      </c>
      <c r="S86" s="362" t="str">
        <f>IF(AR86=0,"",AR86)</f>
        <v/>
      </c>
      <c r="T86" s="362">
        <f>IF(AS86=301,"",AS86)</f>
        <v>177</v>
      </c>
      <c r="U86" s="362" t="str">
        <f>IF(AT86=0,"",AT86)</f>
        <v/>
      </c>
      <c r="V86" s="364"/>
      <c r="W86" s="364"/>
      <c r="AA86" s="91" t="s">
        <v>2</v>
      </c>
      <c r="AB86" s="92"/>
      <c r="AC86" s="366">
        <f>ABS(INDEX(AC:AC,MATCH(AC82,$AA:$AA,0)+8)+INDEX(AC:AC,MATCH(AC82,$AA:$AA,0)+9)+INDEX(AC:AC,MATCH(AC82,$AA:$AA,0)+10))</f>
        <v>234</v>
      </c>
      <c r="AD86" s="367"/>
      <c r="AE86" s="366">
        <f>ABS(INDEX(AE:AE,MATCH(AE82,$AA:$AA,0)+8)+INDEX(AE:AE,MATCH(AE82,$AA:$AA,0)+9)+INDEX(AE:AE,MATCH(AE82,$AA:$AA,0)+10))</f>
        <v>158</v>
      </c>
      <c r="AF86" s="367"/>
      <c r="AG86" s="366">
        <f>ABS(INDEX(AG:AG,MATCH(AG82,$AA:$AA,0)+8)+INDEX(AG:AG,MATCH(AG82,$AA:$AA,0)+9)+INDEX(AG:AG,MATCH(AG82,$AA:$AA,0)+10))</f>
        <v>157</v>
      </c>
      <c r="AH86" s="367"/>
      <c r="AI86" s="366">
        <f>ABS(INDEX(AI:AI,MATCH(AI82,$AA:$AA,0)+8)+INDEX(AI:AI,MATCH(AI82,$AA:$AA,0)+9)+INDEX(AI:AI,MATCH(AI82,$AA:$AA,0)+10))</f>
        <v>182</v>
      </c>
      <c r="AJ86" s="367"/>
      <c r="AK86" s="366">
        <f>ABS(INDEX(AK:AK,MATCH(AK82,$AA:$AA,0)+8)+INDEX(AK:AK,MATCH(AK82,$AA:$AA,0)+9)+INDEX(AK:AK,MATCH(AK82,$AA:$AA,0)+10))</f>
        <v>170</v>
      </c>
      <c r="AL86" s="367"/>
      <c r="AM86" s="366">
        <f>ABS(INDEX(AM:AM,MATCH(AM82,$AA:$AA,0)+8)+INDEX(AM:AM,MATCH(AM82,$AA:$AA,0)+9)+INDEX(AM:AM,MATCH(AM82,$AA:$AA,0)+10))</f>
        <v>200</v>
      </c>
      <c r="AN86" s="367"/>
      <c r="AO86" s="366">
        <f>ABS(INDEX(AO:AO,MATCH(AO82,$AA:$AA,0)+8)+INDEX(AO:AO,MATCH(AO82,$AA:$AA,0)+9)+INDEX(AO:AO,MATCH(AO82,$AA:$AA,0)+10))</f>
        <v>212</v>
      </c>
      <c r="AP86" s="367"/>
      <c r="AQ86" s="366">
        <f>ABS(INDEX(AQ:AQ,MATCH(AQ82,$AA:$AA,0)+8)+INDEX(AQ:AQ,MATCH(AQ82,$AA:$AA,0)+9)+INDEX(AQ:AQ,MATCH(AQ82,$AA:$AA,0)+10))</f>
        <v>168</v>
      </c>
      <c r="AR86" s="367"/>
      <c r="AS86" s="366">
        <f>ABS(INDEX(AS:AS,MATCH(AS82,$AA:$AA,0)+8)+INDEX(AS:AS,MATCH(AS82,$AA:$AA,0)+9)+INDEX(AS:AS,MATCH(AS82,$AA:$AA,0)+10))</f>
        <v>177</v>
      </c>
      <c r="AT86" s="367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4" t="str">
        <f t="shared" si="102"/>
        <v>Spieler 3</v>
      </c>
      <c r="C87" s="375" t="str">
        <f t="shared" si="102"/>
        <v/>
      </c>
      <c r="D87" s="362">
        <f>IF(AC87=301,"",AC87)</f>
        <v>177</v>
      </c>
      <c r="E87" s="362" t="str">
        <f>IF(AD87=0,"",AD87)</f>
        <v/>
      </c>
      <c r="F87" s="362">
        <f>IF(AE87=301,"",AE87)</f>
        <v>179</v>
      </c>
      <c r="G87" s="362" t="str">
        <f>IF(AF87=0,"",AF87)</f>
        <v/>
      </c>
      <c r="H87" s="362">
        <f>IF(AG87=301,"",AG87)</f>
        <v>190</v>
      </c>
      <c r="I87" s="362" t="str">
        <f>IF(AH87=0,"",AH87)</f>
        <v/>
      </c>
      <c r="J87" s="362">
        <f>IF(AI87=301,"",AI87)</f>
        <v>190</v>
      </c>
      <c r="K87" s="362" t="str">
        <f>IF(AJ87=0,"",AJ87)</f>
        <v/>
      </c>
      <c r="L87" s="362">
        <f>IF(AK87=301,"",AK87)</f>
        <v>217</v>
      </c>
      <c r="M87" s="362" t="str">
        <f>IF(AL87=0,"",AL87)</f>
        <v/>
      </c>
      <c r="N87" s="362">
        <f>IF(AM87=301,"",AM87)</f>
        <v>180</v>
      </c>
      <c r="O87" s="362" t="str">
        <f>IF(AN87=0,"",AN87)</f>
        <v/>
      </c>
      <c r="P87" s="362">
        <f>IF(AO87=301,"",AO87)</f>
        <v>187</v>
      </c>
      <c r="Q87" s="362" t="str">
        <f>IF(AP87=0,"",AP87)</f>
        <v/>
      </c>
      <c r="R87" s="362">
        <f>IF(AQ87=301,"",AQ87)</f>
        <v>163</v>
      </c>
      <c r="S87" s="362" t="str">
        <f>IF(AR87=0,"",AR87)</f>
        <v/>
      </c>
      <c r="T87" s="362">
        <f>IF(AS87=301,"",AS87)</f>
        <v>258</v>
      </c>
      <c r="U87" s="362" t="str">
        <f>IF(AT87=0,"",AT87)</f>
        <v/>
      </c>
      <c r="V87" s="364"/>
      <c r="W87" s="364"/>
      <c r="AA87" s="91" t="s">
        <v>3</v>
      </c>
      <c r="AB87" s="92"/>
      <c r="AC87" s="366">
        <f>ABS(INDEX(AC:AC,MATCH(AC82,$AA:$AA,0)+11)+INDEX(AC:AC,MATCH(AC82,$AA:$AA,0)+12)+INDEX(AC:AC,MATCH(AC82,$AA:$AA,0)+13))</f>
        <v>177</v>
      </c>
      <c r="AD87" s="367"/>
      <c r="AE87" s="366">
        <f>ABS(INDEX(AE:AE,MATCH(AE82,$AA:$AA,0)+11)+INDEX(AE:AE,MATCH(AE82,$AA:$AA,0)+12)+INDEX(AE:AE,MATCH(AE82,$AA:$AA,0)+13))</f>
        <v>179</v>
      </c>
      <c r="AF87" s="367"/>
      <c r="AG87" s="366">
        <f>ABS(INDEX(AG:AG,MATCH(AG82,$AA:$AA,0)+11)+INDEX(AG:AG,MATCH(AG82,$AA:$AA,0)+12)+INDEX(AG:AG,MATCH(AG82,$AA:$AA,0)+13))</f>
        <v>190</v>
      </c>
      <c r="AH87" s="367"/>
      <c r="AI87" s="366">
        <f>ABS(INDEX(AI:AI,MATCH(AI82,$AA:$AA,0)+11)+INDEX(AI:AI,MATCH(AI82,$AA:$AA,0)+12)+INDEX(AI:AI,MATCH(AI82,$AA:$AA,0)+13))</f>
        <v>190</v>
      </c>
      <c r="AJ87" s="367"/>
      <c r="AK87" s="366">
        <f>ABS(INDEX(AK:AK,MATCH(AK82,$AA:$AA,0)+11)+INDEX(AK:AK,MATCH(AK82,$AA:$AA,0)+12)+INDEX(AK:AK,MATCH(AK82,$AA:$AA,0)+13))</f>
        <v>217</v>
      </c>
      <c r="AL87" s="367"/>
      <c r="AM87" s="366">
        <f>ABS(INDEX(AM:AM,MATCH(AM82,$AA:$AA,0)+11)+INDEX(AM:AM,MATCH(AM82,$AA:$AA,0)+12)+INDEX(AM:AM,MATCH(AM82,$AA:$AA,0)+13))</f>
        <v>180</v>
      </c>
      <c r="AN87" s="367"/>
      <c r="AO87" s="366">
        <f>ABS(INDEX(AO:AO,MATCH(AO82,$AA:$AA,0)+11)+INDEX(AO:AO,MATCH(AO82,$AA:$AA,0)+12)+INDEX(AO:AO,MATCH(AO82,$AA:$AA,0)+13))</f>
        <v>187</v>
      </c>
      <c r="AP87" s="367"/>
      <c r="AQ87" s="366">
        <f>ABS(INDEX(AQ:AQ,MATCH(AQ82,$AA:$AA,0)+11)+INDEX(AQ:AQ,MATCH(AQ82,$AA:$AA,0)+12)+INDEX(AQ:AQ,MATCH(AQ82,$AA:$AA,0)+13))</f>
        <v>163</v>
      </c>
      <c r="AR87" s="367"/>
      <c r="AS87" s="366">
        <f>ABS(INDEX(AS:AS,MATCH(AS82,$AA:$AA,0)+11)+INDEX(AS:AS,MATCH(AS82,$AA:$AA,0)+12)+INDEX(AS:AS,MATCH(AS82,$AA:$AA,0)+13))</f>
        <v>258</v>
      </c>
      <c r="AT87" s="367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4" t="str">
        <f t="shared" si="102"/>
        <v>Spieler 4</v>
      </c>
      <c r="C88" s="375" t="str">
        <f t="shared" si="102"/>
        <v/>
      </c>
      <c r="D88" s="362">
        <f>IF(AC88=301,"",AC88)</f>
        <v>155</v>
      </c>
      <c r="E88" s="362" t="str">
        <f>IF(AD88=0,"",AD88)</f>
        <v/>
      </c>
      <c r="F88" s="362">
        <f>IF(AE88=301,"",AE88)</f>
        <v>267</v>
      </c>
      <c r="G88" s="362" t="str">
        <f>IF(AF88=0,"",AF88)</f>
        <v/>
      </c>
      <c r="H88" s="362">
        <f>IF(AG88=301,"",AG88)</f>
        <v>187</v>
      </c>
      <c r="I88" s="362" t="str">
        <f>IF(AH88=0,"",AH88)</f>
        <v/>
      </c>
      <c r="J88" s="362">
        <f>IF(AI88=301,"",AI88)</f>
        <v>173</v>
      </c>
      <c r="K88" s="362" t="str">
        <f>IF(AJ88=0,"",AJ88)</f>
        <v/>
      </c>
      <c r="L88" s="362">
        <f>IF(AK88=301,"",AK88)</f>
        <v>217</v>
      </c>
      <c r="M88" s="362" t="str">
        <f>IF(AL88=0,"",AL88)</f>
        <v/>
      </c>
      <c r="N88" s="362">
        <f>IF(AM88=301,"",AM88)</f>
        <v>236</v>
      </c>
      <c r="O88" s="362" t="str">
        <f>IF(AN88=0,"",AN88)</f>
        <v/>
      </c>
      <c r="P88" s="362">
        <f>IF(AO88=301,"",AO88)</f>
        <v>221</v>
      </c>
      <c r="Q88" s="362" t="str">
        <f>IF(AP88=0,"",AP88)</f>
        <v/>
      </c>
      <c r="R88" s="362">
        <f>IF(AQ88=301,"",AQ88)</f>
        <v>202</v>
      </c>
      <c r="S88" s="362" t="str">
        <f>IF(AR88=0,"",AR88)</f>
        <v/>
      </c>
      <c r="T88" s="362">
        <f>IF(AS88=301,"",AS88)</f>
        <v>191</v>
      </c>
      <c r="U88" s="362" t="str">
        <f>IF(AT88=0,"",AT88)</f>
        <v/>
      </c>
      <c r="V88" s="364"/>
      <c r="W88" s="364"/>
      <c r="AA88" s="91" t="s">
        <v>11</v>
      </c>
      <c r="AB88" s="92"/>
      <c r="AC88" s="366">
        <f>ABS(INDEX(AC:AC,MATCH(AC82,$AA:$AA,0)+14)+INDEX(AC:AC,MATCH(AC82,$AA:$AA,0)+15)+INDEX(AC:AC,MATCH(AC82,$AA:$AA,0)+16))</f>
        <v>155</v>
      </c>
      <c r="AD88" s="367"/>
      <c r="AE88" s="366">
        <f>ABS(INDEX(AE:AE,MATCH(AE82,$AA:$AA,0)+14)+INDEX(AE:AE,MATCH(AE82,$AA:$AA,0)+15)+INDEX(AE:AE,MATCH(AE82,$AA:$AA,0)+16))</f>
        <v>267</v>
      </c>
      <c r="AF88" s="367"/>
      <c r="AG88" s="366">
        <f>ABS(INDEX(AG:AG,MATCH(AG82,$AA:$AA,0)+14)+INDEX(AG:AG,MATCH(AG82,$AA:$AA,0)+15)+INDEX(AG:AG,MATCH(AG82,$AA:$AA,0)+16))</f>
        <v>187</v>
      </c>
      <c r="AH88" s="367"/>
      <c r="AI88" s="366">
        <f>ABS(INDEX(AI:AI,MATCH(AI82,$AA:$AA,0)+14)+INDEX(AI:AI,MATCH(AI82,$AA:$AA,0)+15)+INDEX(AI:AI,MATCH(AI82,$AA:$AA,0)+16))</f>
        <v>173</v>
      </c>
      <c r="AJ88" s="367"/>
      <c r="AK88" s="366">
        <f>ABS(INDEX(AK:AK,MATCH(AK82,$AA:$AA,0)+14)+INDEX(AK:AK,MATCH(AK82,$AA:$AA,0)+15)+INDEX(AK:AK,MATCH(AK82,$AA:$AA,0)+16))</f>
        <v>217</v>
      </c>
      <c r="AL88" s="367"/>
      <c r="AM88" s="366">
        <f>ABS(INDEX(AM:AM,MATCH(AM82,$AA:$AA,0)+14)+INDEX(AM:AM,MATCH(AM82,$AA:$AA,0)+15)+INDEX(AM:AM,MATCH(AM82,$AA:$AA,0)+16))</f>
        <v>236</v>
      </c>
      <c r="AN88" s="367"/>
      <c r="AO88" s="366">
        <f>ABS(INDEX(AO:AO,MATCH(AO82,$AA:$AA,0)+14)+INDEX(AO:AO,MATCH(AO82,$AA:$AA,0)+15)+INDEX(AO:AO,MATCH(AO82,$AA:$AA,0)+16))</f>
        <v>221</v>
      </c>
      <c r="AP88" s="367"/>
      <c r="AQ88" s="366">
        <f>ABS(INDEX(AQ:AQ,MATCH(AQ82,$AA:$AA,0)+14)+INDEX(AQ:AQ,MATCH(AQ82,$AA:$AA,0)+15)+INDEX(AQ:AQ,MATCH(AQ82,$AA:$AA,0)+16))</f>
        <v>202</v>
      </c>
      <c r="AR88" s="367"/>
      <c r="AS88" s="366">
        <f>ABS(INDEX(AS:AS,MATCH(AS82,$AA:$AA,0)+14)+INDEX(AS:AS,MATCH(AS82,$AA:$AA,0)+15)+INDEX(AS:AS,MATCH(AS82,$AA:$AA,0)+16))</f>
        <v>191</v>
      </c>
      <c r="AT88" s="367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6" t="str">
        <f t="shared" si="102"/>
        <v>Gesamt</v>
      </c>
      <c r="C89" s="347" t="str">
        <f t="shared" si="102"/>
        <v/>
      </c>
      <c r="D89" s="365">
        <f>IF(AC89=1505,"",AC89)</f>
        <v>746</v>
      </c>
      <c r="E89" s="365" t="str">
        <f>IF(AD89=0,"",AD89)</f>
        <v/>
      </c>
      <c r="F89" s="365">
        <f>IF(AE89=1505,"",AE89)</f>
        <v>776</v>
      </c>
      <c r="G89" s="365" t="str">
        <f>IF(AF89=0,"",AF89)</f>
        <v/>
      </c>
      <c r="H89" s="365">
        <f>IF(AG89=1505,"",AG89)</f>
        <v>759</v>
      </c>
      <c r="I89" s="365" t="str">
        <f>IF(AH89=0,"",AH89)</f>
        <v/>
      </c>
      <c r="J89" s="365">
        <f>IF(AI89=1505,"",AI89)</f>
        <v>758</v>
      </c>
      <c r="K89" s="365" t="str">
        <f>IF(AJ89=0,"",AJ89)</f>
        <v/>
      </c>
      <c r="L89" s="365">
        <f>IF(AK89=1505,"",AK89)</f>
        <v>781</v>
      </c>
      <c r="M89" s="365" t="str">
        <f>IF(AL89=0,"",AL89)</f>
        <v/>
      </c>
      <c r="N89" s="365">
        <f>IF(AM89=1505,"",AM89)</f>
        <v>775</v>
      </c>
      <c r="O89" s="365" t="str">
        <f>IF(AN89=0,"",AN89)</f>
        <v/>
      </c>
      <c r="P89" s="365">
        <f>IF(AO89=1505,"",AO89)</f>
        <v>799</v>
      </c>
      <c r="Q89" s="365" t="str">
        <f>IF(AP89=0,"",AP89)</f>
        <v/>
      </c>
      <c r="R89" s="365">
        <f>IF(AQ89=1505,"",AQ89)</f>
        <v>750</v>
      </c>
      <c r="S89" s="365" t="str">
        <f>IF(AR89=0,"",AR89)</f>
        <v/>
      </c>
      <c r="T89" s="365">
        <f>IF(AS89=1505,"",AS89)</f>
        <v>762</v>
      </c>
      <c r="U89" s="365" t="str">
        <f>IF(AT89=0,"",AT89)</f>
        <v/>
      </c>
      <c r="V89" s="301"/>
      <c r="W89" s="301"/>
      <c r="AA89" s="93" t="s">
        <v>1799</v>
      </c>
      <c r="AB89" s="94"/>
      <c r="AC89" s="346">
        <f>SUM(AC85:AC88)</f>
        <v>746</v>
      </c>
      <c r="AD89" s="347"/>
      <c r="AE89" s="346">
        <f>SUM(AE85:AE88)</f>
        <v>776</v>
      </c>
      <c r="AF89" s="347"/>
      <c r="AG89" s="346">
        <f>SUM(AG85:AG88)</f>
        <v>759</v>
      </c>
      <c r="AH89" s="347"/>
      <c r="AI89" s="346">
        <f>SUM(AI85:AI88)</f>
        <v>758</v>
      </c>
      <c r="AJ89" s="347"/>
      <c r="AK89" s="346">
        <f>SUM(AK85:AK88)</f>
        <v>781</v>
      </c>
      <c r="AL89" s="347"/>
      <c r="AM89" s="346">
        <f>SUM(AM85:AM88)</f>
        <v>775</v>
      </c>
      <c r="AN89" s="347"/>
      <c r="AO89" s="346">
        <f>SUM(AO85:AO88)</f>
        <v>799</v>
      </c>
      <c r="AP89" s="347"/>
      <c r="AQ89" s="346">
        <f>SUM(AQ85:AQ88)</f>
        <v>750</v>
      </c>
      <c r="AR89" s="347"/>
      <c r="AS89" s="346">
        <f>SUM(AS85:AS88)</f>
        <v>762</v>
      </c>
      <c r="AT89" s="347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5" t="str">
        <f>AE91</f>
        <v>Bayernliga Herren</v>
      </c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48"/>
      <c r="S91" s="49" t="s">
        <v>1794</v>
      </c>
      <c r="T91" s="50"/>
      <c r="U91" s="341" t="str">
        <f>AT91</f>
        <v>01.02./02.02.</v>
      </c>
      <c r="V91" s="342"/>
      <c r="W91" s="343"/>
      <c r="X91" s="372"/>
      <c r="Y91" s="373"/>
      <c r="Z91" s="373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41" t="str">
        <f>VLOOKUP(AS92,Spielorte!$A$1:$C$6,2)</f>
        <v>01.02./02.02.</v>
      </c>
      <c r="AU91" s="342"/>
      <c r="AV91" s="34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4" t="str">
        <f>AE92</f>
        <v>Unterföhring Dreambowl Palace</v>
      </c>
      <c r="G92" s="344"/>
      <c r="H92" s="344"/>
      <c r="I92" s="344"/>
      <c r="J92" s="344"/>
      <c r="K92" s="344"/>
      <c r="L92" s="344"/>
      <c r="M92" s="344"/>
      <c r="N92" s="344"/>
      <c r="O92" s="344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6" t="s">
        <v>1800</v>
      </c>
      <c r="E95" s="347"/>
      <c r="F95" s="346" t="s">
        <v>1801</v>
      </c>
      <c r="G95" s="347"/>
      <c r="H95" s="346" t="s">
        <v>1802</v>
      </c>
      <c r="I95" s="347"/>
      <c r="J95" s="346" t="s">
        <v>1803</v>
      </c>
      <c r="K95" s="347"/>
      <c r="L95" s="346" t="s">
        <v>1804</v>
      </c>
      <c r="M95" s="347"/>
      <c r="N95" s="346" t="s">
        <v>1805</v>
      </c>
      <c r="O95" s="347"/>
      <c r="P95" s="346" t="s">
        <v>1806</v>
      </c>
      <c r="Q95" s="347"/>
      <c r="R95" s="346" t="s">
        <v>1807</v>
      </c>
      <c r="S95" s="347"/>
      <c r="T95" s="346" t="s">
        <v>1808</v>
      </c>
      <c r="U95" s="347"/>
      <c r="V95" s="354" t="s">
        <v>1799</v>
      </c>
      <c r="W95" s="355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6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188</v>
      </c>
      <c r="E97" s="348">
        <f>IF(AD97="","",AD97)</f>
        <v>1</v>
      </c>
      <c r="F97" s="75">
        <f t="shared" ref="F97:F110" si="103">IF(AE97=0,"",AE97)</f>
        <v>192</v>
      </c>
      <c r="G97" s="348">
        <f>IF(AF97="","",AF97)</f>
        <v>1</v>
      </c>
      <c r="H97" s="75">
        <f t="shared" ref="H97:H110" si="104">IF(AG97=0,"",AG97)</f>
        <v>192</v>
      </c>
      <c r="I97" s="348">
        <f>IF(AH97="","",AH97)</f>
        <v>1</v>
      </c>
      <c r="J97" s="75">
        <f t="shared" ref="J97:J110" si="105">IF(AI97=0,"",AI97)</f>
        <v>212</v>
      </c>
      <c r="K97" s="348">
        <f>IF(AJ97="","",AJ97)</f>
        <v>1</v>
      </c>
      <c r="L97" s="75">
        <f t="shared" ref="L97:L110" si="106">IF(AK97=0,"",AK97)</f>
        <v>259</v>
      </c>
      <c r="M97" s="348">
        <f>IF(AL97="","",AL97)</f>
        <v>1</v>
      </c>
      <c r="N97" s="75">
        <f>IF(AM97=0,"",AM97)</f>
        <v>135</v>
      </c>
      <c r="O97" s="348">
        <f>IF(AN97="","",AN97)</f>
        <v>0</v>
      </c>
      <c r="P97" s="75">
        <f t="shared" ref="P97:P110" si="107">IF(AO97=0,"",AO97)</f>
        <v>234</v>
      </c>
      <c r="Q97" s="348">
        <f>IF(AP97="","",AP97)</f>
        <v>1</v>
      </c>
      <c r="R97" s="75">
        <f t="shared" ref="R97:R110" si="108">IF(AQ97=0,"",AQ97)</f>
        <v>217</v>
      </c>
      <c r="S97" s="348">
        <f>IF(AR97="","",AR97)</f>
        <v>1</v>
      </c>
      <c r="T97" s="75">
        <f t="shared" ref="T97:T110" si="109">IF(AS97=0,"",AS97)</f>
        <v>193</v>
      </c>
      <c r="U97" s="348">
        <f>IF(AT97="","",AT97)</f>
        <v>0</v>
      </c>
      <c r="V97" s="75">
        <f t="shared" ref="V97:V110" si="110">IF(AU97=0,"",AU97)</f>
        <v>1822</v>
      </c>
      <c r="W97" s="348">
        <f>IF(AV97="","",AV97)</f>
        <v>7</v>
      </c>
      <c r="Z97" s="351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188</v>
      </c>
      <c r="AD97" s="109">
        <f>IF(SUM(AC97:AC99)+AC115=0,0,IF(SUM(AC97:AC99)=AC115,0.5,IF(SUM(AC97:AC99)&gt;AC115,1,0)))</f>
        <v>1</v>
      </c>
      <c r="AE97" s="185">
        <v>192</v>
      </c>
      <c r="AF97" s="109">
        <f>IF(SUM(AE97:AE99)+AE115=0,0,IF(SUM(AE97:AE99)=AE115,0.5,IF(SUM(AE97:AE99)&gt;AE115,1,0)))</f>
        <v>1</v>
      </c>
      <c r="AG97" s="185">
        <v>192</v>
      </c>
      <c r="AH97" s="109">
        <f>IF(SUM(AG97:AG99)+AG115=0,0,IF(SUM(AG97:AG99)=AG115,0.5,IF(SUM(AG97:AG99)&gt;AG115,1,0)))</f>
        <v>1</v>
      </c>
      <c r="AI97" s="185">
        <v>212</v>
      </c>
      <c r="AJ97" s="109">
        <f>IF(SUM(AI97:AI99)+AI115=0,0,IF(SUM(AI97:AI99)=AI115,0.5,IF(SUM(AI97:AI99)&gt;AI115,1,0)))</f>
        <v>1</v>
      </c>
      <c r="AK97" s="185">
        <v>259</v>
      </c>
      <c r="AL97" s="109">
        <f>IF(SUM(AK97:AK99)+AK115=0,0,IF(SUM(AK97:AK99)=AK115,0.5,IF(SUM(AK97:AK99)&gt;AK115,1,0)))</f>
        <v>1</v>
      </c>
      <c r="AM97" s="185">
        <v>135</v>
      </c>
      <c r="AN97" s="109">
        <f>IF(SUM(AM97:AM99)+AM115=0,0,IF(SUM(AM97:AM99)=AM115,0.5,IF(SUM(AM97:AM99)&gt;AM115,1,0)))</f>
        <v>0</v>
      </c>
      <c r="AO97" s="185">
        <v>234</v>
      </c>
      <c r="AP97" s="109">
        <f>IF(SUM(AO97:AO99)+AO115=0,0,IF(SUM(AO97:AO99)=AO115,0.5,IF(SUM(AO97:AO99)&gt;AO115,1,0)))</f>
        <v>1</v>
      </c>
      <c r="AQ97" s="185">
        <v>217</v>
      </c>
      <c r="AR97" s="109">
        <f>IF(SUM(AQ97:AQ99)+AQ115=0,0,IF(SUM(AQ97:AQ99)=AQ115,0.5,IF(SUM(AQ97:AQ99)&gt;AQ115,1,0)))</f>
        <v>1</v>
      </c>
      <c r="AS97" s="185">
        <v>193</v>
      </c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1822</v>
      </c>
      <c r="AV97" s="111">
        <f>SUM(AD97+AF97+AH97+AJ97+AL97+AN97+AP97+AR97+AT97)</f>
        <v>7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1822</v>
      </c>
      <c r="BF97" s="215">
        <f>COUNT(BH97:BP97)</f>
        <v>9</v>
      </c>
      <c r="BG97" s="215">
        <f>COUNTIF(BH97:BP97,"&gt;0")</f>
        <v>9</v>
      </c>
      <c r="BH97" s="215">
        <f t="shared" ref="BH97:BH108" si="112">IF(AC97=0,"",AC97)</f>
        <v>188</v>
      </c>
      <c r="BI97" s="215">
        <f t="shared" ref="BI97:BI108" si="113">IF(AE97=0,"",AE97)</f>
        <v>192</v>
      </c>
      <c r="BJ97" s="215">
        <f t="shared" ref="BJ97:BJ108" si="114">IF(AG97=0,"",AG97)</f>
        <v>192</v>
      </c>
      <c r="BK97" s="215">
        <f t="shared" ref="BK97:BK108" si="115">IF(AI97=0,"",AI97)</f>
        <v>212</v>
      </c>
      <c r="BL97" s="215">
        <f t="shared" ref="BL97:BL108" si="116">IF(AK97=0,"",AK97)</f>
        <v>259</v>
      </c>
      <c r="BM97" s="215">
        <f t="shared" ref="BM97:BM108" si="117">IF(AM97=0,"",AM97)</f>
        <v>135</v>
      </c>
      <c r="BN97" s="215">
        <f t="shared" ref="BN97:BN108" si="118">IF(AO97=0,"",AO97)</f>
        <v>234</v>
      </c>
      <c r="BO97" s="215">
        <f t="shared" ref="BO97:BO108" si="119">IF(AQ97=0,"",AQ97)</f>
        <v>217</v>
      </c>
      <c r="BP97" s="215">
        <f t="shared" ref="BP97:BP108" si="120">IF(AS97=0,"",AS97)</f>
        <v>193</v>
      </c>
      <c r="BQ97" s="216"/>
      <c r="BR97" s="214"/>
      <c r="BS97" s="215">
        <f>MAX(BH97:BP97)</f>
        <v>259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1822</v>
      </c>
      <c r="BX97" s="215">
        <f>IF(COUNTIF(BH97:BP97,"&gt;0")&lt;Spielorte!$A$23,0,BE97/Spielorte!$A$23)</f>
        <v>202.44444444444446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77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9"/>
      <c r="F98" s="78" t="str">
        <f t="shared" si="103"/>
        <v/>
      </c>
      <c r="G98" s="349"/>
      <c r="H98" s="78" t="str">
        <f t="shared" si="104"/>
        <v/>
      </c>
      <c r="I98" s="349"/>
      <c r="J98" s="78" t="str">
        <f t="shared" si="105"/>
        <v/>
      </c>
      <c r="K98" s="349"/>
      <c r="L98" s="78" t="str">
        <f t="shared" si="106"/>
        <v/>
      </c>
      <c r="M98" s="349"/>
      <c r="N98" s="78" t="str">
        <f t="shared" ref="N98:N110" si="123">IF(AM98=0,"",AM98)</f>
        <v/>
      </c>
      <c r="O98" s="349"/>
      <c r="P98" s="78" t="str">
        <f t="shared" si="107"/>
        <v/>
      </c>
      <c r="Q98" s="349"/>
      <c r="R98" s="78" t="str">
        <f t="shared" si="108"/>
        <v/>
      </c>
      <c r="S98" s="349"/>
      <c r="T98" s="78" t="str">
        <f t="shared" si="109"/>
        <v/>
      </c>
      <c r="U98" s="349"/>
      <c r="V98" s="78" t="str">
        <f t="shared" si="110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SG DJK Rimpar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8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0"/>
      <c r="F99" s="69" t="str">
        <f t="shared" si="103"/>
        <v/>
      </c>
      <c r="G99" s="350"/>
      <c r="H99" s="69" t="str">
        <f t="shared" si="104"/>
        <v/>
      </c>
      <c r="I99" s="350"/>
      <c r="J99" s="69" t="str">
        <f t="shared" si="105"/>
        <v/>
      </c>
      <c r="K99" s="350"/>
      <c r="L99" s="69" t="str">
        <f t="shared" si="106"/>
        <v/>
      </c>
      <c r="M99" s="350"/>
      <c r="N99" s="69" t="str">
        <f t="shared" si="123"/>
        <v/>
      </c>
      <c r="O99" s="350"/>
      <c r="P99" s="69" t="str">
        <f t="shared" si="107"/>
        <v/>
      </c>
      <c r="Q99" s="350"/>
      <c r="R99" s="69" t="str">
        <f t="shared" si="108"/>
        <v/>
      </c>
      <c r="S99" s="350"/>
      <c r="T99" s="69" t="str">
        <f t="shared" si="109"/>
        <v/>
      </c>
      <c r="U99" s="350"/>
      <c r="V99" s="69" t="str">
        <f t="shared" si="110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SG DJK Rimpar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76" t="s">
        <v>2</v>
      </c>
      <c r="B100" s="73" t="str">
        <f t="shared" si="122"/>
        <v>Gräfe, Sebastian</v>
      </c>
      <c r="C100" s="74">
        <f t="shared" si="122"/>
        <v>38687</v>
      </c>
      <c r="D100" s="75">
        <f t="shared" si="122"/>
        <v>159</v>
      </c>
      <c r="E100" s="348">
        <f>IF(AD100="","",AD100)</f>
        <v>0</v>
      </c>
      <c r="F100" s="75">
        <f t="shared" si="103"/>
        <v>198</v>
      </c>
      <c r="G100" s="348">
        <f>IF(AF100="","",AF100)</f>
        <v>1</v>
      </c>
      <c r="H100" s="75">
        <f t="shared" si="104"/>
        <v>255</v>
      </c>
      <c r="I100" s="348">
        <f>IF(AH100="","",AH100)</f>
        <v>1</v>
      </c>
      <c r="J100" s="75">
        <f t="shared" si="105"/>
        <v>156</v>
      </c>
      <c r="K100" s="348">
        <f>IF(AJ100="","",AJ100)</f>
        <v>1</v>
      </c>
      <c r="L100" s="75">
        <f t="shared" si="106"/>
        <v>161</v>
      </c>
      <c r="M100" s="348">
        <f>IF(AL100="","",AL100)</f>
        <v>0</v>
      </c>
      <c r="N100" s="75">
        <f t="shared" si="123"/>
        <v>184</v>
      </c>
      <c r="O100" s="348">
        <f>IF(AN100="","",AN100)</f>
        <v>1</v>
      </c>
      <c r="P100" s="75">
        <f t="shared" si="107"/>
        <v>172</v>
      </c>
      <c r="Q100" s="348">
        <f>IF(AP100="","",AP100)</f>
        <v>0</v>
      </c>
      <c r="R100" s="75">
        <f t="shared" si="108"/>
        <v>168</v>
      </c>
      <c r="S100" s="348">
        <f>IF(AR100="","",AR100)</f>
        <v>0</v>
      </c>
      <c r="T100" s="75">
        <f t="shared" si="109"/>
        <v>209</v>
      </c>
      <c r="U100" s="348">
        <f>IF(AT100="","",AT100)</f>
        <v>1</v>
      </c>
      <c r="V100" s="75">
        <f t="shared" si="110"/>
        <v>1662</v>
      </c>
      <c r="W100" s="348">
        <f>IF(AV100="","",AV100)</f>
        <v>5</v>
      </c>
      <c r="Z100" s="351" t="s">
        <v>2</v>
      </c>
      <c r="AA100" s="108" t="str">
        <f>IF(AB100=0,"",VLOOKUP(AB100,Starter!$A$1:$D$199,2,FALSE))</f>
        <v>Gräfe, Sebastian</v>
      </c>
      <c r="AB100" s="99">
        <v>38687</v>
      </c>
      <c r="AC100" s="188">
        <v>159</v>
      </c>
      <c r="AD100" s="109">
        <f>IF(SUM(AC100:AC102)+AC116=0,0,IF(SUM(AC100:AC102)=AC116,0.5,IF(SUM(AC100:AC102)&gt;AC116,1,0)))</f>
        <v>0</v>
      </c>
      <c r="AE100" s="188">
        <v>198</v>
      </c>
      <c r="AF100" s="109">
        <f>IF(SUM(AE100:AE102)+AE116=0,0,IF(SUM(AE100:AE102)=AE116,0.5,IF(SUM(AE100:AE102)&gt;AE116,1,0)))</f>
        <v>1</v>
      </c>
      <c r="AG100" s="188">
        <v>255</v>
      </c>
      <c r="AH100" s="109">
        <f>IF(SUM(AG100:AG102)+AG116=0,0,IF(SUM(AG100:AG102)=AG116,0.5,IF(SUM(AG100:AG102)&gt;AG116,1,0)))</f>
        <v>1</v>
      </c>
      <c r="AI100" s="188">
        <v>156</v>
      </c>
      <c r="AJ100" s="109">
        <f>IF(SUM(AI100:AI102)+AI116=0,0,IF(SUM(AI100:AI102)=AI116,0.5,IF(SUM(AI100:AI102)&gt;AI116,1,0)))</f>
        <v>1</v>
      </c>
      <c r="AK100" s="188">
        <v>161</v>
      </c>
      <c r="AL100" s="109">
        <f>IF(SUM(AK100:AK102)+AK116=0,0,IF(SUM(AK100:AK102)=AK116,0.5,IF(SUM(AK100:AK102)&gt;AK116,1,0)))</f>
        <v>0</v>
      </c>
      <c r="AM100" s="188">
        <v>184</v>
      </c>
      <c r="AN100" s="109">
        <f>IF(SUM(AM100:AM102)+AM116=0,0,IF(SUM(AM100:AM102)=AM116,0.5,IF(SUM(AM100:AM102)&gt;AM116,1,0)))</f>
        <v>1</v>
      </c>
      <c r="AO100" s="188">
        <v>172</v>
      </c>
      <c r="AP100" s="109">
        <f>IF(SUM(AO100:AO102)+AO116=0,0,IF(SUM(AO100:AO102)=AO116,0.5,IF(SUM(AO100:AO102)&gt;AO116,1,0)))</f>
        <v>0</v>
      </c>
      <c r="AQ100" s="188">
        <v>168</v>
      </c>
      <c r="AR100" s="109">
        <f>IF(SUM(AQ100:AQ102)+AQ116=0,0,IF(SUM(AQ100:AQ102)=AQ116,0.5,IF(SUM(AQ100:AQ102)&gt;AQ116,1,0)))</f>
        <v>0</v>
      </c>
      <c r="AS100" s="188">
        <v>209</v>
      </c>
      <c r="AT100" s="109">
        <f>IF(SUM(AS100:AS102)+AS116=0,0,IF(SUM(AS100:AS102)=AS116,0.5,IF(SUM(AS100:AS102)&gt;AS116,1,0)))</f>
        <v>1</v>
      </c>
      <c r="AU100" s="110">
        <f t="shared" si="111"/>
        <v>1662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24"/>
        <v>38687</v>
      </c>
      <c r="BE100" s="213">
        <f t="shared" si="125"/>
        <v>1662</v>
      </c>
      <c r="BF100" s="215">
        <f t="shared" si="126"/>
        <v>9</v>
      </c>
      <c r="BG100" s="215">
        <f t="shared" si="127"/>
        <v>9</v>
      </c>
      <c r="BH100" s="215">
        <f t="shared" si="112"/>
        <v>159</v>
      </c>
      <c r="BI100" s="215">
        <f t="shared" si="113"/>
        <v>198</v>
      </c>
      <c r="BJ100" s="215">
        <f t="shared" si="114"/>
        <v>255</v>
      </c>
      <c r="BK100" s="215">
        <f t="shared" si="115"/>
        <v>156</v>
      </c>
      <c r="BL100" s="215">
        <f t="shared" si="116"/>
        <v>161</v>
      </c>
      <c r="BM100" s="215">
        <f t="shared" si="117"/>
        <v>184</v>
      </c>
      <c r="BN100" s="215">
        <f t="shared" si="118"/>
        <v>172</v>
      </c>
      <c r="BO100" s="215">
        <f t="shared" si="119"/>
        <v>168</v>
      </c>
      <c r="BP100" s="215">
        <f t="shared" si="120"/>
        <v>209</v>
      </c>
      <c r="BQ100" s="216"/>
      <c r="BR100" s="214"/>
      <c r="BS100" s="215">
        <f t="shared" si="128"/>
        <v>255</v>
      </c>
      <c r="BT100" s="215">
        <f t="shared" si="129"/>
        <v>0</v>
      </c>
      <c r="BU100" s="215" t="str">
        <f t="shared" si="130"/>
        <v>SG DJK Rimpar</v>
      </c>
      <c r="BV100" s="214">
        <f t="shared" si="131"/>
        <v>2</v>
      </c>
      <c r="BW100" s="215">
        <f t="shared" si="132"/>
        <v>1662</v>
      </c>
      <c r="BX100" s="215">
        <f>IF(COUNTIF(BH100:BP100,"&gt;0")&lt;Spielorte!$A$23,0,BE100/Spielorte!$A$23)</f>
        <v>184.66666666666666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77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9"/>
      <c r="F101" s="78" t="str">
        <f t="shared" si="103"/>
        <v/>
      </c>
      <c r="G101" s="349"/>
      <c r="H101" s="78" t="str">
        <f t="shared" si="104"/>
        <v/>
      </c>
      <c r="I101" s="349"/>
      <c r="J101" s="78" t="str">
        <f t="shared" si="105"/>
        <v/>
      </c>
      <c r="K101" s="349"/>
      <c r="L101" s="78" t="str">
        <f t="shared" si="106"/>
        <v/>
      </c>
      <c r="M101" s="349"/>
      <c r="N101" s="78" t="str">
        <f t="shared" si="123"/>
        <v/>
      </c>
      <c r="O101" s="349"/>
      <c r="P101" s="78" t="str">
        <f t="shared" si="107"/>
        <v/>
      </c>
      <c r="Q101" s="349"/>
      <c r="R101" s="78" t="str">
        <f t="shared" si="108"/>
        <v/>
      </c>
      <c r="S101" s="349"/>
      <c r="T101" s="78" t="str">
        <f t="shared" si="109"/>
        <v/>
      </c>
      <c r="U101" s="349"/>
      <c r="V101" s="78" t="str">
        <f t="shared" si="110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SG DJK Rimpar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8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0"/>
      <c r="F102" s="69" t="str">
        <f t="shared" si="103"/>
        <v/>
      </c>
      <c r="G102" s="350"/>
      <c r="H102" s="69" t="str">
        <f t="shared" si="104"/>
        <v/>
      </c>
      <c r="I102" s="350"/>
      <c r="J102" s="69" t="str">
        <f t="shared" si="105"/>
        <v/>
      </c>
      <c r="K102" s="350"/>
      <c r="L102" s="69" t="str">
        <f t="shared" si="106"/>
        <v/>
      </c>
      <c r="M102" s="350"/>
      <c r="N102" s="69" t="str">
        <f t="shared" si="123"/>
        <v/>
      </c>
      <c r="O102" s="350"/>
      <c r="P102" s="69" t="str">
        <f t="shared" si="107"/>
        <v/>
      </c>
      <c r="Q102" s="350"/>
      <c r="R102" s="69" t="str">
        <f t="shared" si="108"/>
        <v/>
      </c>
      <c r="S102" s="350"/>
      <c r="T102" s="69" t="str">
        <f t="shared" si="109"/>
        <v/>
      </c>
      <c r="U102" s="350"/>
      <c r="V102" s="69" t="str">
        <f t="shared" si="110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SG DJK Rimpar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76" t="s">
        <v>3</v>
      </c>
      <c r="B103" s="73" t="str">
        <f t="shared" si="122"/>
        <v>Plaschka, Nico</v>
      </c>
      <c r="C103" s="74">
        <f t="shared" si="122"/>
        <v>38039</v>
      </c>
      <c r="D103" s="75">
        <f t="shared" si="122"/>
        <v>186</v>
      </c>
      <c r="E103" s="348">
        <f>IF(AD103="","",AD103)</f>
        <v>1</v>
      </c>
      <c r="F103" s="75">
        <f t="shared" si="103"/>
        <v>191</v>
      </c>
      <c r="G103" s="348">
        <f>IF(AF103="","",AF103)</f>
        <v>0</v>
      </c>
      <c r="H103" s="75">
        <f t="shared" si="104"/>
        <v>192</v>
      </c>
      <c r="I103" s="348">
        <f>IF(AH103="","",AH103)</f>
        <v>1</v>
      </c>
      <c r="J103" s="75">
        <f t="shared" si="105"/>
        <v>168</v>
      </c>
      <c r="K103" s="348">
        <f>IF(AJ103="","",AJ103)</f>
        <v>0</v>
      </c>
      <c r="L103" s="75">
        <f t="shared" si="106"/>
        <v>170</v>
      </c>
      <c r="M103" s="348">
        <f>IF(AL103="","",AL103)</f>
        <v>0</v>
      </c>
      <c r="N103" s="75" t="str">
        <f t="shared" si="123"/>
        <v/>
      </c>
      <c r="O103" s="348">
        <f>IF(AN103="","",AN103)</f>
        <v>0</v>
      </c>
      <c r="P103" s="75" t="str">
        <f t="shared" si="107"/>
        <v/>
      </c>
      <c r="Q103" s="348">
        <f>IF(AP103="","",AP103)</f>
        <v>1</v>
      </c>
      <c r="R103" s="75" t="str">
        <f t="shared" si="108"/>
        <v/>
      </c>
      <c r="S103" s="348">
        <f>IF(AR103="","",AR103)</f>
        <v>0</v>
      </c>
      <c r="T103" s="75" t="str">
        <f t="shared" si="109"/>
        <v/>
      </c>
      <c r="U103" s="348">
        <f>IF(AT103="","",AT103)</f>
        <v>0</v>
      </c>
      <c r="V103" s="75">
        <f t="shared" si="110"/>
        <v>907</v>
      </c>
      <c r="W103" s="348">
        <f>IF(AV103="","",AV103)</f>
        <v>3</v>
      </c>
      <c r="Z103" s="351" t="s">
        <v>3</v>
      </c>
      <c r="AA103" s="108" t="str">
        <f>IF(AB103=0,"",VLOOKUP(AB103,Starter!$A$1:$D$199,2,FALSE))</f>
        <v>Plaschka, Nico</v>
      </c>
      <c r="AB103" s="99">
        <v>38039</v>
      </c>
      <c r="AC103" s="188">
        <v>186</v>
      </c>
      <c r="AD103" s="109">
        <f>IF(SUM(AC103:AC105)+AC117=0,0,IF(SUM(AC103:AC105)=AC117,0.5,IF(SUM(AC103:AC105)&gt;AC117,1,0)))</f>
        <v>1</v>
      </c>
      <c r="AE103" s="188">
        <v>191</v>
      </c>
      <c r="AF103" s="109">
        <f>IF(SUM(AE103:AE105)+AE117=0,0,IF(SUM(AE103:AE105)=AE117,0.5,IF(SUM(AE103:AE105)&gt;AE117,1,0)))</f>
        <v>0</v>
      </c>
      <c r="AG103" s="188">
        <v>192</v>
      </c>
      <c r="AH103" s="109">
        <f>IF(SUM(AG103:AG105)+AG117=0,0,IF(SUM(AG103:AG105)=AG117,0.5,IF(SUM(AG103:AG105)&gt;AG117,1,0)))</f>
        <v>1</v>
      </c>
      <c r="AI103" s="188">
        <v>168</v>
      </c>
      <c r="AJ103" s="109">
        <f>IF(SUM(AI103:AI105)+AI117=0,0,IF(SUM(AI103:AI105)=AI117,0.5,IF(SUM(AI103:AI105)&gt;AI117,1,0)))</f>
        <v>0</v>
      </c>
      <c r="AK103" s="188">
        <v>170</v>
      </c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1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907</v>
      </c>
      <c r="AV103" s="111">
        <f>SUM(AD103+AF103+AH103+AJ103+AL103+AN103+AP103+AR103+AT103)</f>
        <v>3</v>
      </c>
      <c r="AW103" s="101"/>
      <c r="AX103" s="102"/>
      <c r="AZ103" s="63"/>
      <c r="BA103" s="212"/>
      <c r="BB103" s="213"/>
      <c r="BC103" s="214"/>
      <c r="BD103" s="217">
        <f t="shared" si="124"/>
        <v>38039</v>
      </c>
      <c r="BE103" s="213">
        <f t="shared" si="125"/>
        <v>907</v>
      </c>
      <c r="BF103" s="215">
        <f t="shared" si="126"/>
        <v>5</v>
      </c>
      <c r="BG103" s="215">
        <f t="shared" si="127"/>
        <v>5</v>
      </c>
      <c r="BH103" s="215">
        <f t="shared" si="112"/>
        <v>186</v>
      </c>
      <c r="BI103" s="215">
        <f t="shared" si="113"/>
        <v>191</v>
      </c>
      <c r="BJ103" s="215">
        <f t="shared" si="114"/>
        <v>192</v>
      </c>
      <c r="BK103" s="215">
        <f t="shared" si="115"/>
        <v>168</v>
      </c>
      <c r="BL103" s="215">
        <f t="shared" si="116"/>
        <v>170</v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192</v>
      </c>
      <c r="BT103" s="215">
        <f t="shared" si="129"/>
        <v>0</v>
      </c>
      <c r="BU103" s="215" t="str">
        <f t="shared" si="130"/>
        <v>SG DJK Rimpar</v>
      </c>
      <c r="BV103" s="214">
        <f t="shared" si="131"/>
        <v>2</v>
      </c>
      <c r="BW103" s="215">
        <f t="shared" si="132"/>
        <v>907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77"/>
      <c r="B104" s="76" t="str">
        <f t="shared" si="122"/>
        <v>Beck, Stefan</v>
      </c>
      <c r="C104" s="77">
        <f t="shared" si="122"/>
        <v>38686</v>
      </c>
      <c r="D104" s="78" t="str">
        <f t="shared" si="122"/>
        <v/>
      </c>
      <c r="E104" s="349"/>
      <c r="F104" s="78" t="str">
        <f t="shared" si="103"/>
        <v/>
      </c>
      <c r="G104" s="349"/>
      <c r="H104" s="78" t="str">
        <f t="shared" si="104"/>
        <v/>
      </c>
      <c r="I104" s="349"/>
      <c r="J104" s="78" t="str">
        <f t="shared" si="105"/>
        <v/>
      </c>
      <c r="K104" s="349"/>
      <c r="L104" s="78" t="str">
        <f t="shared" si="106"/>
        <v/>
      </c>
      <c r="M104" s="349"/>
      <c r="N104" s="78">
        <f t="shared" si="123"/>
        <v>163</v>
      </c>
      <c r="O104" s="349"/>
      <c r="P104" s="78">
        <f t="shared" si="107"/>
        <v>216</v>
      </c>
      <c r="Q104" s="349"/>
      <c r="R104" s="78">
        <f t="shared" si="108"/>
        <v>163</v>
      </c>
      <c r="S104" s="349"/>
      <c r="T104" s="78">
        <f t="shared" si="109"/>
        <v>166</v>
      </c>
      <c r="U104" s="349"/>
      <c r="V104" s="78">
        <f t="shared" si="110"/>
        <v>708</v>
      </c>
      <c r="W104" s="349"/>
      <c r="Z104" s="352"/>
      <c r="AA104" s="108" t="str">
        <f>IF(AB104=0,"",VLOOKUP(AB104,Starter!$A$1:$D$199,2,FALSE))</f>
        <v>Beck, Stefan</v>
      </c>
      <c r="AB104" s="98">
        <v>38686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>
        <v>163</v>
      </c>
      <c r="AN104" s="112"/>
      <c r="AO104" s="186">
        <v>216</v>
      </c>
      <c r="AP104" s="112"/>
      <c r="AQ104" s="186">
        <v>163</v>
      </c>
      <c r="AR104" s="112"/>
      <c r="AS104" s="186">
        <v>166</v>
      </c>
      <c r="AT104" s="112"/>
      <c r="AU104" s="113">
        <f t="shared" si="111"/>
        <v>708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38686</v>
      </c>
      <c r="BE104" s="213">
        <f t="shared" si="125"/>
        <v>708</v>
      </c>
      <c r="BF104" s="215">
        <f t="shared" si="126"/>
        <v>4</v>
      </c>
      <c r="BG104" s="215">
        <f t="shared" si="127"/>
        <v>4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>
        <f t="shared" si="117"/>
        <v>163</v>
      </c>
      <c r="BN104" s="215">
        <f t="shared" si="118"/>
        <v>216</v>
      </c>
      <c r="BO104" s="215">
        <f t="shared" si="119"/>
        <v>163</v>
      </c>
      <c r="BP104" s="215">
        <f t="shared" si="120"/>
        <v>166</v>
      </c>
      <c r="BQ104" s="216"/>
      <c r="BR104" s="214"/>
      <c r="BS104" s="215">
        <f t="shared" si="128"/>
        <v>216</v>
      </c>
      <c r="BT104" s="215">
        <f t="shared" si="129"/>
        <v>0</v>
      </c>
      <c r="BU104" s="215" t="str">
        <f t="shared" si="130"/>
        <v>SG DJK Rimpar</v>
      </c>
      <c r="BV104" s="214">
        <f t="shared" si="131"/>
        <v>2</v>
      </c>
      <c r="BW104" s="215">
        <f t="shared" si="132"/>
        <v>708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8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50"/>
      <c r="F105" s="69" t="str">
        <f t="shared" si="103"/>
        <v/>
      </c>
      <c r="G105" s="350"/>
      <c r="H105" s="69" t="str">
        <f t="shared" si="104"/>
        <v/>
      </c>
      <c r="I105" s="350"/>
      <c r="J105" s="69" t="str">
        <f t="shared" si="105"/>
        <v/>
      </c>
      <c r="K105" s="350"/>
      <c r="L105" s="69" t="str">
        <f t="shared" si="106"/>
        <v/>
      </c>
      <c r="M105" s="350"/>
      <c r="N105" s="69" t="str">
        <f t="shared" si="123"/>
        <v/>
      </c>
      <c r="O105" s="350"/>
      <c r="P105" s="69" t="str">
        <f t="shared" si="107"/>
        <v/>
      </c>
      <c r="Q105" s="350"/>
      <c r="R105" s="69" t="str">
        <f t="shared" si="108"/>
        <v/>
      </c>
      <c r="S105" s="350"/>
      <c r="T105" s="69" t="str">
        <f t="shared" si="109"/>
        <v/>
      </c>
      <c r="U105" s="350"/>
      <c r="V105" s="69" t="str">
        <f t="shared" si="110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SG DJK Rimpar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76" t="s">
        <v>11</v>
      </c>
      <c r="B106" s="73" t="str">
        <f>IF(AA106=0,"",AA106)</f>
        <v>Werder, Jan-Uwe</v>
      </c>
      <c r="C106" s="74">
        <f t="shared" si="122"/>
        <v>16301</v>
      </c>
      <c r="D106" s="75">
        <f t="shared" si="122"/>
        <v>162</v>
      </c>
      <c r="E106" s="348">
        <f>IF(AD106="","",AD106)</f>
        <v>0</v>
      </c>
      <c r="F106" s="75">
        <f t="shared" si="103"/>
        <v>212</v>
      </c>
      <c r="G106" s="348">
        <f>IF(AF106="","",AF106)</f>
        <v>1</v>
      </c>
      <c r="H106" s="75">
        <f t="shared" si="104"/>
        <v>176</v>
      </c>
      <c r="I106" s="348">
        <f>IF(AH106="","",AH106)</f>
        <v>0</v>
      </c>
      <c r="J106" s="75">
        <f t="shared" si="105"/>
        <v>146</v>
      </c>
      <c r="K106" s="348">
        <f>IF(AJ106="","",AJ106)</f>
        <v>0</v>
      </c>
      <c r="L106" s="75">
        <f t="shared" si="106"/>
        <v>192</v>
      </c>
      <c r="M106" s="348">
        <f>IF(AL106="","",AL106)</f>
        <v>0</v>
      </c>
      <c r="N106" s="75">
        <f t="shared" si="123"/>
        <v>177</v>
      </c>
      <c r="O106" s="348">
        <f>IF(AN106="","",AN106)</f>
        <v>0</v>
      </c>
      <c r="P106" s="75">
        <f t="shared" si="107"/>
        <v>159</v>
      </c>
      <c r="Q106" s="348">
        <f>IF(AP106="","",AP106)</f>
        <v>0</v>
      </c>
      <c r="R106" s="75">
        <f t="shared" si="108"/>
        <v>202</v>
      </c>
      <c r="S106" s="348">
        <f>IF(AR106="","",AR106)</f>
        <v>1</v>
      </c>
      <c r="T106" s="75">
        <f t="shared" si="109"/>
        <v>158</v>
      </c>
      <c r="U106" s="348">
        <f>IF(AT106="","",AT106)</f>
        <v>0</v>
      </c>
      <c r="V106" s="75">
        <f t="shared" si="110"/>
        <v>1584</v>
      </c>
      <c r="W106" s="348">
        <f>IF(AV106="","",AV106)</f>
        <v>2</v>
      </c>
      <c r="Z106" s="351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162</v>
      </c>
      <c r="AD106" s="109">
        <f>IF(SUM(AC106:AC108)+AC118=0,0,IF(SUM(AC106:AC108)=AC118,0.5,IF(SUM(AC106:AC108)&gt;AC118,1,0)))</f>
        <v>0</v>
      </c>
      <c r="AE106" s="188">
        <v>212</v>
      </c>
      <c r="AF106" s="109">
        <f>IF(SUM(AE106:AE108)+AE118=0,0,IF(SUM(AE106:AE108)=AE118,0.5,IF(SUM(AE106:AE108)&gt;AE118,1,0)))</f>
        <v>1</v>
      </c>
      <c r="AG106" s="188">
        <v>176</v>
      </c>
      <c r="AH106" s="109">
        <f>IF(SUM(AG106:AG108)+AG118=0,0,IF(SUM(AG106:AG108)=AG118,0.5,IF(SUM(AG106:AG108)&gt;AG118,1,0)))</f>
        <v>0</v>
      </c>
      <c r="AI106" s="188">
        <v>146</v>
      </c>
      <c r="AJ106" s="109">
        <f>IF(SUM(AI106:AI108)+AI118=0,0,IF(SUM(AI106:AI108)=AI118,0.5,IF(SUM(AI106:AI108)&gt;AI118,1,0)))</f>
        <v>0</v>
      </c>
      <c r="AK106" s="188">
        <v>192</v>
      </c>
      <c r="AL106" s="109">
        <f>IF(SUM(AK106:AK108)+AK118=0,0,IF(SUM(AK106:AK108)=AK118,0.5,IF(SUM(AK106:AK108)&gt;AK118,1,0)))</f>
        <v>0</v>
      </c>
      <c r="AM106" s="188">
        <v>177</v>
      </c>
      <c r="AN106" s="109">
        <f>IF(SUM(AM106:AM108)+AM118=0,0,IF(SUM(AM106:AM108)=AM118,0.5,IF(SUM(AM106:AM108)&gt;AM118,1,0)))</f>
        <v>0</v>
      </c>
      <c r="AO106" s="188">
        <v>159</v>
      </c>
      <c r="AP106" s="109">
        <f>IF(SUM(AO106:AO108)+AO118=0,0,IF(SUM(AO106:AO108)=AO118,0.5,IF(SUM(AO106:AO108)&gt;AO118,1,0)))</f>
        <v>0</v>
      </c>
      <c r="AQ106" s="188">
        <v>202</v>
      </c>
      <c r="AR106" s="109">
        <f>IF(SUM(AQ106:AQ108)+AQ118=0,0,IF(SUM(AQ106:AQ108)=AQ118,0.5,IF(SUM(AQ106:AQ108)&gt;AQ118,1,0)))</f>
        <v>1</v>
      </c>
      <c r="AS106" s="188">
        <v>158</v>
      </c>
      <c r="AT106" s="109">
        <f>IF(SUM(AS106:AS108)+AS118=0,0,IF(SUM(AS106:AS108)=AS118,0.5,IF(SUM(AS106:AS108)&gt;AS118,1,0)))</f>
        <v>0</v>
      </c>
      <c r="AU106" s="110">
        <f t="shared" si="111"/>
        <v>1584</v>
      </c>
      <c r="AV106" s="111">
        <f>SUM(AD106+AF106+AH106+AJ106+AL106+AN106+AP106+AR106+AT106)</f>
        <v>2</v>
      </c>
      <c r="AW106" s="101"/>
      <c r="AX106" s="102"/>
      <c r="AZ106" s="63"/>
      <c r="BA106" s="212"/>
      <c r="BB106" s="213"/>
      <c r="BC106" s="214"/>
      <c r="BD106" s="217">
        <f t="shared" si="124"/>
        <v>16301</v>
      </c>
      <c r="BE106" s="213">
        <f t="shared" si="125"/>
        <v>1584</v>
      </c>
      <c r="BF106" s="215">
        <f t="shared" si="126"/>
        <v>9</v>
      </c>
      <c r="BG106" s="215">
        <f t="shared" si="127"/>
        <v>9</v>
      </c>
      <c r="BH106" s="215">
        <f t="shared" si="112"/>
        <v>162</v>
      </c>
      <c r="BI106" s="215">
        <f t="shared" si="113"/>
        <v>212</v>
      </c>
      <c r="BJ106" s="215">
        <f t="shared" si="114"/>
        <v>176</v>
      </c>
      <c r="BK106" s="215">
        <f t="shared" si="115"/>
        <v>146</v>
      </c>
      <c r="BL106" s="215">
        <f t="shared" si="116"/>
        <v>192</v>
      </c>
      <c r="BM106" s="215">
        <f t="shared" si="117"/>
        <v>177</v>
      </c>
      <c r="BN106" s="215">
        <f t="shared" si="118"/>
        <v>159</v>
      </c>
      <c r="BO106" s="215">
        <f t="shared" si="119"/>
        <v>202</v>
      </c>
      <c r="BP106" s="215">
        <f t="shared" si="120"/>
        <v>158</v>
      </c>
      <c r="BQ106" s="216"/>
      <c r="BR106" s="214"/>
      <c r="BS106" s="215">
        <f t="shared" si="128"/>
        <v>212</v>
      </c>
      <c r="BT106" s="215">
        <f t="shared" si="129"/>
        <v>0</v>
      </c>
      <c r="BU106" s="215" t="str">
        <f t="shared" si="130"/>
        <v>SG DJK Rimpar</v>
      </c>
      <c r="BV106" s="214">
        <f t="shared" si="131"/>
        <v>2</v>
      </c>
      <c r="BW106" s="215">
        <f t="shared" si="132"/>
        <v>1584</v>
      </c>
      <c r="BX106" s="215">
        <f>IF(COUNTIF(BH106:BP106,"&gt;0")&lt;Spielorte!$A$23,0,BE106/Spielorte!$A$23)</f>
        <v>176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77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49"/>
      <c r="F107" s="78" t="str">
        <f t="shared" si="103"/>
        <v/>
      </c>
      <c r="G107" s="349"/>
      <c r="H107" s="78" t="str">
        <f t="shared" si="104"/>
        <v/>
      </c>
      <c r="I107" s="349"/>
      <c r="J107" s="78" t="str">
        <f t="shared" si="105"/>
        <v/>
      </c>
      <c r="K107" s="349"/>
      <c r="L107" s="78" t="str">
        <f t="shared" si="106"/>
        <v/>
      </c>
      <c r="M107" s="349"/>
      <c r="N107" s="78" t="str">
        <f t="shared" si="123"/>
        <v/>
      </c>
      <c r="O107" s="349"/>
      <c r="P107" s="78" t="str">
        <f t="shared" si="107"/>
        <v/>
      </c>
      <c r="Q107" s="349"/>
      <c r="R107" s="78" t="str">
        <f t="shared" si="108"/>
        <v/>
      </c>
      <c r="S107" s="349"/>
      <c r="T107" s="78" t="str">
        <f t="shared" si="109"/>
        <v/>
      </c>
      <c r="U107" s="349"/>
      <c r="V107" s="78" t="str">
        <f t="shared" si="110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SG DJK Rimpar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8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50"/>
      <c r="F108" s="69" t="str">
        <f t="shared" si="103"/>
        <v/>
      </c>
      <c r="G108" s="350"/>
      <c r="H108" s="69" t="str">
        <f t="shared" si="104"/>
        <v/>
      </c>
      <c r="I108" s="350"/>
      <c r="J108" s="69" t="str">
        <f t="shared" si="105"/>
        <v/>
      </c>
      <c r="K108" s="350"/>
      <c r="L108" s="69" t="str">
        <f t="shared" si="106"/>
        <v/>
      </c>
      <c r="M108" s="350"/>
      <c r="N108" s="69" t="str">
        <f t="shared" si="123"/>
        <v/>
      </c>
      <c r="O108" s="350"/>
      <c r="P108" s="69" t="str">
        <f t="shared" si="107"/>
        <v/>
      </c>
      <c r="Q108" s="350"/>
      <c r="R108" s="69" t="str">
        <f t="shared" si="108"/>
        <v/>
      </c>
      <c r="S108" s="350"/>
      <c r="T108" s="69" t="str">
        <f t="shared" si="109"/>
        <v/>
      </c>
      <c r="U108" s="350"/>
      <c r="V108" s="69" t="str">
        <f t="shared" si="110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SG DJK Rimpar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>
        <f t="shared" si="122"/>
        <v>695</v>
      </c>
      <c r="E109" s="84">
        <f>IF(AD109="","",AD109)</f>
        <v>0</v>
      </c>
      <c r="F109" s="83">
        <f t="shared" si="103"/>
        <v>793</v>
      </c>
      <c r="G109" s="84">
        <f>IF(AF109="","",AF109)</f>
        <v>2</v>
      </c>
      <c r="H109" s="83">
        <f t="shared" si="104"/>
        <v>815</v>
      </c>
      <c r="I109" s="84">
        <f>IF(AH109="","",AH109)</f>
        <v>2</v>
      </c>
      <c r="J109" s="83">
        <f t="shared" si="105"/>
        <v>682</v>
      </c>
      <c r="K109" s="84">
        <f>IF(AJ109="","",AJ109)</f>
        <v>0</v>
      </c>
      <c r="L109" s="83">
        <f t="shared" si="106"/>
        <v>782</v>
      </c>
      <c r="M109" s="84">
        <f>IF(AL109="","",AL109)</f>
        <v>2</v>
      </c>
      <c r="N109" s="83">
        <f t="shared" si="123"/>
        <v>659</v>
      </c>
      <c r="O109" s="84">
        <f>IF(AN109="","",AN109)</f>
        <v>0</v>
      </c>
      <c r="P109" s="83">
        <f t="shared" si="107"/>
        <v>781</v>
      </c>
      <c r="Q109" s="84">
        <f>IF(AP109="","",AP109)</f>
        <v>2</v>
      </c>
      <c r="R109" s="83">
        <f t="shared" si="108"/>
        <v>750</v>
      </c>
      <c r="S109" s="84">
        <f>IF(AR109="","",AR109)</f>
        <v>2</v>
      </c>
      <c r="T109" s="83">
        <f t="shared" si="109"/>
        <v>726</v>
      </c>
      <c r="U109" s="84">
        <f>IF(AT109="","",AT109)</f>
        <v>0</v>
      </c>
      <c r="V109" s="83">
        <f t="shared" si="110"/>
        <v>6683</v>
      </c>
      <c r="W109" s="84">
        <f>IF(AV109="","",AV109)</f>
        <v>10</v>
      </c>
      <c r="AA109" s="81" t="s">
        <v>1799</v>
      </c>
      <c r="AB109" s="120"/>
      <c r="AC109" s="211">
        <f>ABS(SUM(AC97:AC99))+ABS(SUM(AC100:AC102))+ABS(SUM(AC103:AC105))+ABS(SUM(AC106:AC108))</f>
        <v>695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793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815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682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782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659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781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750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726</v>
      </c>
      <c r="AT109" s="121">
        <f>IF(AS109+AS119=0,0,IF(AS109=AS119,1,IF(AS109&gt;AS119,2,0)))</f>
        <v>0</v>
      </c>
      <c r="AU109" s="122">
        <f>SUM(AC109+AE109+AG109+AI109+AK109+AM109+AO109+AQ109+AS109)</f>
        <v>6683</v>
      </c>
      <c r="AV109" s="123">
        <f>SUM(AD109+AF109+AH109+AJ109+AL109+AN109+AP109+AR109+AT109)</f>
        <v>10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2</v>
      </c>
      <c r="F110" s="86" t="str">
        <f t="shared" si="103"/>
        <v/>
      </c>
      <c r="G110" s="87">
        <f>IF(AF110="","",AF110)</f>
        <v>5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3</v>
      </c>
      <c r="N110" s="86" t="str">
        <f t="shared" si="123"/>
        <v/>
      </c>
      <c r="O110" s="87">
        <f>IF(AN110="","",AN110)</f>
        <v>1</v>
      </c>
      <c r="P110" s="86" t="str">
        <f t="shared" si="107"/>
        <v/>
      </c>
      <c r="Q110" s="87">
        <f>IF(AP110="","",AP110)</f>
        <v>4</v>
      </c>
      <c r="R110" s="86" t="str">
        <f t="shared" si="108"/>
        <v/>
      </c>
      <c r="S110" s="87">
        <f>IF(AR110="","",AR110)</f>
        <v>4</v>
      </c>
      <c r="T110" s="86" t="str">
        <f t="shared" si="109"/>
        <v/>
      </c>
      <c r="U110" s="87">
        <f>IF(AT110="","",AT110)</f>
        <v>1</v>
      </c>
      <c r="V110" s="86" t="str">
        <f t="shared" si="110"/>
        <v/>
      </c>
      <c r="W110" s="87">
        <f>IF(AV110="","",AV110)</f>
        <v>27</v>
      </c>
      <c r="AA110" s="85" t="s">
        <v>1814</v>
      </c>
      <c r="AB110" s="86"/>
      <c r="AC110" s="86"/>
      <c r="AD110" s="124">
        <f>SUM(AD97:AD109)</f>
        <v>2</v>
      </c>
      <c r="AE110" s="86"/>
      <c r="AF110" s="124">
        <f>SUM(AF97:AF109)</f>
        <v>5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3</v>
      </c>
      <c r="AM110" s="86"/>
      <c r="AN110" s="124">
        <f>SUM(AN97:AN109)</f>
        <v>1</v>
      </c>
      <c r="AO110" s="86"/>
      <c r="AP110" s="124">
        <f>SUM(AP97:AP109)</f>
        <v>4</v>
      </c>
      <c r="AQ110" s="86"/>
      <c r="AR110" s="124">
        <f>SUM(AR97:AR109)</f>
        <v>4</v>
      </c>
      <c r="AS110" s="86"/>
      <c r="AT110" s="124">
        <f>SUM(AT97:AT109)</f>
        <v>1</v>
      </c>
      <c r="AU110" s="86"/>
      <c r="AV110" s="125">
        <f>SUM(AV97:AV109)</f>
        <v>27</v>
      </c>
      <c r="AW110" s="101"/>
      <c r="AX110" s="102"/>
      <c r="BA110" s="212">
        <f>+AV110</f>
        <v>27</v>
      </c>
      <c r="BB110" s="213">
        <f>+AU109</f>
        <v>6683</v>
      </c>
      <c r="BC110" s="214">
        <f>+AA92</f>
        <v>4</v>
      </c>
      <c r="BF110" s="215">
        <f>SUM(BF91:BF109)</f>
        <v>36</v>
      </c>
      <c r="BQ110" s="212">
        <f>+BB110/1000000+BA110</f>
        <v>27.006682999999999</v>
      </c>
      <c r="BR110" s="214">
        <f>RANK(BQ110,BQ:BQ)</f>
        <v>6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6">
        <f t="shared" si="134"/>
        <v>6</v>
      </c>
      <c r="E112" s="356" t="str">
        <f t="shared" si="134"/>
        <v/>
      </c>
      <c r="F112" s="356">
        <f t="shared" si="134"/>
        <v>5</v>
      </c>
      <c r="G112" s="356" t="str">
        <f t="shared" si="134"/>
        <v/>
      </c>
      <c r="H112" s="356">
        <f t="shared" si="134"/>
        <v>9</v>
      </c>
      <c r="I112" s="356" t="str">
        <f t="shared" si="134"/>
        <v/>
      </c>
      <c r="J112" s="356">
        <f t="shared" si="134"/>
        <v>7</v>
      </c>
      <c r="K112" s="356" t="str">
        <f t="shared" si="134"/>
        <v/>
      </c>
      <c r="L112" s="356">
        <f t="shared" ref="L112:U114" si="135">IF(AK112=0,"",AK112)</f>
        <v>8</v>
      </c>
      <c r="M112" s="356" t="str">
        <f t="shared" si="135"/>
        <v/>
      </c>
      <c r="N112" s="356">
        <f t="shared" si="135"/>
        <v>1</v>
      </c>
      <c r="O112" s="356" t="str">
        <f t="shared" si="135"/>
        <v/>
      </c>
      <c r="P112" s="356">
        <f t="shared" si="135"/>
        <v>10</v>
      </c>
      <c r="Q112" s="356" t="str">
        <f t="shared" si="135"/>
        <v/>
      </c>
      <c r="R112" s="356">
        <f t="shared" si="135"/>
        <v>3</v>
      </c>
      <c r="S112" s="356" t="str">
        <f t="shared" si="135"/>
        <v/>
      </c>
      <c r="T112" s="356">
        <f t="shared" si="135"/>
        <v>2</v>
      </c>
      <c r="U112" s="356" t="str">
        <f t="shared" si="135"/>
        <v/>
      </c>
      <c r="V112" s="357"/>
      <c r="W112" s="357"/>
      <c r="AA112" s="88" t="s">
        <v>1797</v>
      </c>
      <c r="AB112" s="89" t="s">
        <v>1798</v>
      </c>
      <c r="AC112" s="370">
        <f>VLOOKUP($AA92,Schlüssel!$A$5:$DG$14,43)</f>
        <v>6</v>
      </c>
      <c r="AD112" s="371"/>
      <c r="AE112" s="370">
        <f>VLOOKUP($AA92,Schlüssel!$A$5:$EK$14,44)</f>
        <v>5</v>
      </c>
      <c r="AF112" s="371"/>
      <c r="AG112" s="370">
        <f>VLOOKUP($AA92,Schlüssel!$A$5:$EK$14,45)</f>
        <v>9</v>
      </c>
      <c r="AH112" s="371"/>
      <c r="AI112" s="370">
        <f>VLOOKUP($AA92,Schlüssel!$A$5:$EK$14,46)</f>
        <v>7</v>
      </c>
      <c r="AJ112" s="371"/>
      <c r="AK112" s="370">
        <f>VLOOKUP($AA92,Schlüssel!$A$5:$EK$14,47)</f>
        <v>8</v>
      </c>
      <c r="AL112" s="371"/>
      <c r="AM112" s="370">
        <f>VLOOKUP($AA92,Schlüssel!$A$5:$EK$14,48)</f>
        <v>1</v>
      </c>
      <c r="AN112" s="371"/>
      <c r="AO112" s="370">
        <f>VLOOKUP($AA92,Schlüssel!$A$5:$EK$14,49)</f>
        <v>10</v>
      </c>
      <c r="AP112" s="371"/>
      <c r="AQ112" s="370">
        <f>VLOOKUP($AA92,Schlüssel!$A$5:$EK$14,50)</f>
        <v>3</v>
      </c>
      <c r="AR112" s="371"/>
      <c r="AS112" s="370">
        <f>VLOOKUP($AA92,Schlüssel!$A$5:$EK$14,51)</f>
        <v>2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58" t="str">
        <f t="shared" si="134"/>
        <v>SG Rottendorf 1</v>
      </c>
      <c r="E113" s="359" t="str">
        <f t="shared" si="134"/>
        <v/>
      </c>
      <c r="F113" s="358" t="str">
        <f t="shared" si="134"/>
        <v>RW Lichtenhof Stein 1</v>
      </c>
      <c r="G113" s="359" t="str">
        <f t="shared" si="134"/>
        <v/>
      </c>
      <c r="H113" s="358" t="str">
        <f t="shared" si="134"/>
        <v>Bowlinghaus Bamberg 1</v>
      </c>
      <c r="I113" s="359" t="str">
        <f t="shared" si="134"/>
        <v/>
      </c>
      <c r="J113" s="358" t="str">
        <f t="shared" si="134"/>
        <v>Schanzer Ingolstadt 1</v>
      </c>
      <c r="K113" s="359" t="str">
        <f t="shared" si="134"/>
        <v/>
      </c>
      <c r="L113" s="358" t="str">
        <f t="shared" si="135"/>
        <v>BC EMAX Unterföhring 2</v>
      </c>
      <c r="M113" s="359" t="str">
        <f t="shared" si="135"/>
        <v/>
      </c>
      <c r="N113" s="358" t="str">
        <f t="shared" si="135"/>
        <v>BC Comet Nürnberg</v>
      </c>
      <c r="O113" s="359" t="str">
        <f t="shared" si="135"/>
        <v/>
      </c>
      <c r="P113" s="358" t="str">
        <f t="shared" si="135"/>
        <v>High Roller Rosenheim 1</v>
      </c>
      <c r="Q113" s="359" t="str">
        <f t="shared" si="135"/>
        <v/>
      </c>
      <c r="R113" s="358" t="str">
        <f t="shared" si="135"/>
        <v>BK München 3</v>
      </c>
      <c r="S113" s="359" t="str">
        <f t="shared" si="135"/>
        <v/>
      </c>
      <c r="T113" s="358" t="str">
        <f t="shared" si="135"/>
        <v>Bajuwaren München 1</v>
      </c>
      <c r="U113" s="359" t="str">
        <f t="shared" si="135"/>
        <v/>
      </c>
      <c r="V113" s="363"/>
      <c r="W113" s="363"/>
      <c r="AA113" s="90"/>
      <c r="AB113" s="86"/>
      <c r="AC113" s="358" t="str">
        <f>VLOOKUP(AC112,Schlüssel!$A$5:$K$14,2)</f>
        <v>SG Rottendorf 1</v>
      </c>
      <c r="AD113" s="359"/>
      <c r="AE113" s="358" t="str">
        <f>VLOOKUP(AE112,Schlüssel!$A$5:$K$14,2)</f>
        <v>RW Lichtenhof Stein 1</v>
      </c>
      <c r="AF113" s="359"/>
      <c r="AG113" s="358" t="str">
        <f>VLOOKUP(AG112,Schlüssel!$A$5:$K$14,2)</f>
        <v>Bowlinghaus Bamberg 1</v>
      </c>
      <c r="AH113" s="359"/>
      <c r="AI113" s="358" t="str">
        <f>VLOOKUP(AI112,Schlüssel!$A$5:$K$14,2)</f>
        <v>Schanzer Ingolstadt 1</v>
      </c>
      <c r="AJ113" s="359"/>
      <c r="AK113" s="358" t="str">
        <f>VLOOKUP(AK112,Schlüssel!$A$5:$K$14,2)</f>
        <v>BC EMAX Unterföhring 2</v>
      </c>
      <c r="AL113" s="359"/>
      <c r="AM113" s="358" t="str">
        <f>VLOOKUP(AM112,Schlüssel!$A$5:$K$14,2)</f>
        <v>BC Comet Nürnberg</v>
      </c>
      <c r="AN113" s="359"/>
      <c r="AO113" s="358" t="str">
        <f>VLOOKUP(AO112,Schlüssel!$A$5:$K$14,2)</f>
        <v>High Roller Rosenheim 1</v>
      </c>
      <c r="AP113" s="359"/>
      <c r="AQ113" s="358" t="str">
        <f>VLOOKUP(AQ112,Schlüssel!$A$5:$K$14,2)</f>
        <v>BK München 3</v>
      </c>
      <c r="AR113" s="359"/>
      <c r="AS113" s="358" t="str">
        <f>VLOOKUP(AS112,Schlüssel!$A$5:$K$14,2)</f>
        <v>Bajuwaren München 1</v>
      </c>
      <c r="AT113" s="359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60" t="str">
        <f t="shared" si="134"/>
        <v/>
      </c>
      <c r="E114" s="360" t="str">
        <f t="shared" si="134"/>
        <v/>
      </c>
      <c r="F114" s="360" t="str">
        <f t="shared" si="134"/>
        <v/>
      </c>
      <c r="G114" s="360" t="str">
        <f t="shared" si="134"/>
        <v/>
      </c>
      <c r="H114" s="360" t="str">
        <f t="shared" si="134"/>
        <v/>
      </c>
      <c r="I114" s="360" t="str">
        <f t="shared" si="134"/>
        <v/>
      </c>
      <c r="J114" s="360" t="str">
        <f t="shared" si="134"/>
        <v/>
      </c>
      <c r="K114" s="360" t="str">
        <f t="shared" si="134"/>
        <v/>
      </c>
      <c r="L114" s="360" t="str">
        <f t="shared" si="135"/>
        <v/>
      </c>
      <c r="M114" s="360" t="str">
        <f t="shared" si="135"/>
        <v/>
      </c>
      <c r="N114" s="360" t="str">
        <f t="shared" si="135"/>
        <v/>
      </c>
      <c r="O114" s="360" t="str">
        <f t="shared" si="135"/>
        <v/>
      </c>
      <c r="P114" s="360" t="str">
        <f t="shared" si="135"/>
        <v/>
      </c>
      <c r="Q114" s="360" t="str">
        <f t="shared" si="135"/>
        <v/>
      </c>
      <c r="R114" s="360" t="str">
        <f t="shared" si="135"/>
        <v/>
      </c>
      <c r="S114" s="360" t="str">
        <f t="shared" si="135"/>
        <v/>
      </c>
      <c r="T114" s="360" t="str">
        <f t="shared" si="135"/>
        <v/>
      </c>
      <c r="U114" s="361" t="str">
        <f t="shared" si="135"/>
        <v/>
      </c>
      <c r="V114" s="298"/>
      <c r="W114" s="298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4" t="str">
        <f t="shared" ref="B115:C119" si="136">IF(AA115=0,"",AA115)</f>
        <v>Spieler 1</v>
      </c>
      <c r="C115" s="375" t="str">
        <f t="shared" si="136"/>
        <v/>
      </c>
      <c r="D115" s="362">
        <f>IF(AC115=301,"",AC115)</f>
        <v>172</v>
      </c>
      <c r="E115" s="362" t="str">
        <f>IF(AD115=0,"",AD115)</f>
        <v/>
      </c>
      <c r="F115" s="362">
        <f>IF(AE115=301,"",AE115)</f>
        <v>177</v>
      </c>
      <c r="G115" s="362" t="str">
        <f>IF(AF115=0,"",AF115)</f>
        <v/>
      </c>
      <c r="H115" s="362">
        <f>IF(AG115=301,"",AG115)</f>
        <v>156</v>
      </c>
      <c r="I115" s="362" t="str">
        <f>IF(AH115=0,"",AH115)</f>
        <v/>
      </c>
      <c r="J115" s="362">
        <f>IF(AI115=301,"",AI115)</f>
        <v>189</v>
      </c>
      <c r="K115" s="362" t="str">
        <f>IF(AJ115=0,"",AJ115)</f>
        <v/>
      </c>
      <c r="L115" s="362">
        <f>IF(AK115=301,"",AK115)</f>
        <v>167</v>
      </c>
      <c r="M115" s="362" t="str">
        <f>IF(AL115=0,"",AL115)</f>
        <v/>
      </c>
      <c r="N115" s="362">
        <f>IF(AM115=301,"",AM115)</f>
        <v>199</v>
      </c>
      <c r="O115" s="362" t="str">
        <f>IF(AN115=0,"",AN115)</f>
        <v/>
      </c>
      <c r="P115" s="362">
        <f>IF(AO115=301,"",AO115)</f>
        <v>175</v>
      </c>
      <c r="Q115" s="362" t="str">
        <f>IF(AP115=0,"",AP115)</f>
        <v/>
      </c>
      <c r="R115" s="362">
        <f>IF(AQ115=301,"",AQ115)</f>
        <v>164</v>
      </c>
      <c r="S115" s="362" t="str">
        <f>IF(AR115=0,"",AR115)</f>
        <v/>
      </c>
      <c r="T115" s="362">
        <f>IF(AS115=301,"",AS115)</f>
        <v>224</v>
      </c>
      <c r="U115" s="362" t="str">
        <f>IF(AT115=0,"",AT115)</f>
        <v/>
      </c>
      <c r="V115" s="364"/>
      <c r="W115" s="364"/>
      <c r="AA115" s="91" t="s">
        <v>0</v>
      </c>
      <c r="AB115" s="92"/>
      <c r="AC115" s="368">
        <f>ABS(INDEX(AC:AC,MATCH(AC112,$AA:$AA,0)+5)+INDEX(AC:AC,MATCH(AC112,$AA:$AA,0)+6)+INDEX(AC:AC,MATCH(AC112,$AA:$AA,0)+7))</f>
        <v>172</v>
      </c>
      <c r="AD115" s="369"/>
      <c r="AE115" s="368">
        <f>ABS(INDEX(AE:AE,MATCH(AE112,$AA:$AA,0)+5)+INDEX(AE:AE,MATCH(AE112,$AA:$AA,0)+6)+INDEX(AE:AE,MATCH(AE112,$AA:$AA,0)+7))</f>
        <v>177</v>
      </c>
      <c r="AF115" s="369"/>
      <c r="AG115" s="368">
        <f>ABS(INDEX(AG:AG,MATCH(AG112,$AA:$AA,0)+5)+INDEX(AG:AG,MATCH(AG112,$AA:$AA,0)+6)+INDEX(AG:AG,MATCH(AG112,$AA:$AA,0)+7))</f>
        <v>156</v>
      </c>
      <c r="AH115" s="369"/>
      <c r="AI115" s="368">
        <f>ABS(INDEX(AI:AI,MATCH(AI112,$AA:$AA,0)+5)+INDEX(AI:AI,MATCH(AI112,$AA:$AA,0)+6)+INDEX(AI:AI,MATCH(AI112,$AA:$AA,0)+7))</f>
        <v>189</v>
      </c>
      <c r="AJ115" s="369"/>
      <c r="AK115" s="368">
        <f>ABS(INDEX(AK:AK,MATCH(AK112,$AA:$AA,0)+5)+INDEX(AK:AK,MATCH(AK112,$AA:$AA,0)+6)+INDEX(AK:AK,MATCH(AK112,$AA:$AA,0)+7))</f>
        <v>167</v>
      </c>
      <c r="AL115" s="369"/>
      <c r="AM115" s="368">
        <f>ABS(INDEX(AM:AM,MATCH(AM112,$AA:$AA,0)+5)+INDEX(AM:AM,MATCH(AM112,$AA:$AA,0)+6)+INDEX(AM:AM,MATCH(AM112,$AA:$AA,0)+7))</f>
        <v>199</v>
      </c>
      <c r="AN115" s="369"/>
      <c r="AO115" s="368">
        <f>ABS(INDEX(AO:AO,MATCH(AO112,$AA:$AA,0)+5)+INDEX(AO:AO,MATCH(AO112,$AA:$AA,0)+6)+INDEX(AO:AO,MATCH(AO112,$AA:$AA,0)+7))</f>
        <v>175</v>
      </c>
      <c r="AP115" s="369"/>
      <c r="AQ115" s="368">
        <f>ABS(INDEX(AQ:AQ,MATCH(AQ112,$AA:$AA,0)+5)+INDEX(AQ:AQ,MATCH(AQ112,$AA:$AA,0)+6)+INDEX(AQ:AQ,MATCH(AQ112,$AA:$AA,0)+7))</f>
        <v>164</v>
      </c>
      <c r="AR115" s="369"/>
      <c r="AS115" s="368">
        <f>ABS(INDEX(AS:AS,MATCH(AS112,$AA:$AA,0)+5)+INDEX(AS:AS,MATCH(AS112,$AA:$AA,0)+6)+INDEX(AS:AS,MATCH(AS112,$AA:$AA,0)+7))</f>
        <v>224</v>
      </c>
      <c r="AT115" s="369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4" t="str">
        <f t="shared" si="136"/>
        <v>Spieler 2</v>
      </c>
      <c r="C116" s="375" t="str">
        <f t="shared" si="136"/>
        <v/>
      </c>
      <c r="D116" s="362">
        <f>IF(AC116=301,"",AC116)</f>
        <v>204</v>
      </c>
      <c r="E116" s="362" t="str">
        <f>IF(AD116=0,"",AD116)</f>
        <v/>
      </c>
      <c r="F116" s="362">
        <f>IF(AE116=301,"",AE116)</f>
        <v>158</v>
      </c>
      <c r="G116" s="362" t="str">
        <f>IF(AF116=0,"",AF116)</f>
        <v/>
      </c>
      <c r="H116" s="362">
        <f>IF(AG116=301,"",AG116)</f>
        <v>171</v>
      </c>
      <c r="I116" s="362" t="str">
        <f>IF(AH116=0,"",AH116)</f>
        <v/>
      </c>
      <c r="J116" s="362">
        <f>IF(AI116=301,"",AI116)</f>
        <v>148</v>
      </c>
      <c r="K116" s="362" t="str">
        <f>IF(AJ116=0,"",AJ116)</f>
        <v/>
      </c>
      <c r="L116" s="362">
        <f>IF(AK116=301,"",AK116)</f>
        <v>180</v>
      </c>
      <c r="M116" s="362" t="str">
        <f>IF(AL116=0,"",AL116)</f>
        <v/>
      </c>
      <c r="N116" s="362">
        <f>IF(AM116=301,"",AM116)</f>
        <v>171</v>
      </c>
      <c r="O116" s="362" t="str">
        <f>IF(AN116=0,"",AN116)</f>
        <v/>
      </c>
      <c r="P116" s="362">
        <f>IF(AO116=301,"",AO116)</f>
        <v>201</v>
      </c>
      <c r="Q116" s="362" t="str">
        <f>IF(AP116=0,"",AP116)</f>
        <v/>
      </c>
      <c r="R116" s="362">
        <f>IF(AQ116=301,"",AQ116)</f>
        <v>192</v>
      </c>
      <c r="S116" s="362" t="str">
        <f>IF(AR116=0,"",AR116)</f>
        <v/>
      </c>
      <c r="T116" s="362">
        <f>IF(AS116=301,"",AS116)</f>
        <v>203</v>
      </c>
      <c r="U116" s="362" t="str">
        <f>IF(AT116=0,"",AT116)</f>
        <v/>
      </c>
      <c r="V116" s="364"/>
      <c r="W116" s="364"/>
      <c r="AA116" s="91" t="s">
        <v>2</v>
      </c>
      <c r="AB116" s="92"/>
      <c r="AC116" s="366">
        <f>ABS(INDEX(AC:AC,MATCH(AC112,$AA:$AA,0)+8)+INDEX(AC:AC,MATCH(AC112,$AA:$AA,0)+9)+INDEX(AC:AC,MATCH(AC112,$AA:$AA,0)+10))</f>
        <v>204</v>
      </c>
      <c r="AD116" s="367"/>
      <c r="AE116" s="366">
        <f>ABS(INDEX(AE:AE,MATCH(AE112,$AA:$AA,0)+8)+INDEX(AE:AE,MATCH(AE112,$AA:$AA,0)+9)+INDEX(AE:AE,MATCH(AE112,$AA:$AA,0)+10))</f>
        <v>158</v>
      </c>
      <c r="AF116" s="367"/>
      <c r="AG116" s="366">
        <f>ABS(INDEX(AG:AG,MATCH(AG112,$AA:$AA,0)+8)+INDEX(AG:AG,MATCH(AG112,$AA:$AA,0)+9)+INDEX(AG:AG,MATCH(AG112,$AA:$AA,0)+10))</f>
        <v>171</v>
      </c>
      <c r="AH116" s="367"/>
      <c r="AI116" s="366">
        <f>ABS(INDEX(AI:AI,MATCH(AI112,$AA:$AA,0)+8)+INDEX(AI:AI,MATCH(AI112,$AA:$AA,0)+9)+INDEX(AI:AI,MATCH(AI112,$AA:$AA,0)+10))</f>
        <v>148</v>
      </c>
      <c r="AJ116" s="367"/>
      <c r="AK116" s="366">
        <f>ABS(INDEX(AK:AK,MATCH(AK112,$AA:$AA,0)+8)+INDEX(AK:AK,MATCH(AK112,$AA:$AA,0)+9)+INDEX(AK:AK,MATCH(AK112,$AA:$AA,0)+10))</f>
        <v>180</v>
      </c>
      <c r="AL116" s="367"/>
      <c r="AM116" s="366">
        <f>ABS(INDEX(AM:AM,MATCH(AM112,$AA:$AA,0)+8)+INDEX(AM:AM,MATCH(AM112,$AA:$AA,0)+9)+INDEX(AM:AM,MATCH(AM112,$AA:$AA,0)+10))</f>
        <v>171</v>
      </c>
      <c r="AN116" s="367"/>
      <c r="AO116" s="366">
        <f>ABS(INDEX(AO:AO,MATCH(AO112,$AA:$AA,0)+8)+INDEX(AO:AO,MATCH(AO112,$AA:$AA,0)+9)+INDEX(AO:AO,MATCH(AO112,$AA:$AA,0)+10))</f>
        <v>201</v>
      </c>
      <c r="AP116" s="367"/>
      <c r="AQ116" s="366">
        <f>ABS(INDEX(AQ:AQ,MATCH(AQ112,$AA:$AA,0)+8)+INDEX(AQ:AQ,MATCH(AQ112,$AA:$AA,0)+9)+INDEX(AQ:AQ,MATCH(AQ112,$AA:$AA,0)+10))</f>
        <v>192</v>
      </c>
      <c r="AR116" s="367"/>
      <c r="AS116" s="366">
        <f>ABS(INDEX(AS:AS,MATCH(AS112,$AA:$AA,0)+8)+INDEX(AS:AS,MATCH(AS112,$AA:$AA,0)+9)+INDEX(AS:AS,MATCH(AS112,$AA:$AA,0)+10))</f>
        <v>203</v>
      </c>
      <c r="AT116" s="367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4" t="str">
        <f t="shared" si="136"/>
        <v>Spieler 3</v>
      </c>
      <c r="C117" s="375" t="str">
        <f t="shared" si="136"/>
        <v/>
      </c>
      <c r="D117" s="362">
        <f>IF(AC117=301,"",AC117)</f>
        <v>174</v>
      </c>
      <c r="E117" s="362" t="str">
        <f>IF(AD117=0,"",AD117)</f>
        <v/>
      </c>
      <c r="F117" s="362">
        <f>IF(AE117=301,"",AE117)</f>
        <v>198</v>
      </c>
      <c r="G117" s="362" t="str">
        <f>IF(AF117=0,"",AF117)</f>
        <v/>
      </c>
      <c r="H117" s="362">
        <f>IF(AG117=301,"",AG117)</f>
        <v>178</v>
      </c>
      <c r="I117" s="362" t="str">
        <f>IF(AH117=0,"",AH117)</f>
        <v/>
      </c>
      <c r="J117" s="362">
        <f>IF(AI117=301,"",AI117)</f>
        <v>191</v>
      </c>
      <c r="K117" s="362" t="str">
        <f>IF(AJ117=0,"",AJ117)</f>
        <v/>
      </c>
      <c r="L117" s="362">
        <f>IF(AK117=301,"",AK117)</f>
        <v>226</v>
      </c>
      <c r="M117" s="362" t="str">
        <f>IF(AL117=0,"",AL117)</f>
        <v/>
      </c>
      <c r="N117" s="362">
        <f>IF(AM117=301,"",AM117)</f>
        <v>234</v>
      </c>
      <c r="O117" s="362" t="str">
        <f>IF(AN117=0,"",AN117)</f>
        <v/>
      </c>
      <c r="P117" s="362">
        <f>IF(AO117=301,"",AO117)</f>
        <v>184</v>
      </c>
      <c r="Q117" s="362" t="str">
        <f>IF(AP117=0,"",AP117)</f>
        <v/>
      </c>
      <c r="R117" s="362">
        <f>IF(AQ117=301,"",AQ117)</f>
        <v>211</v>
      </c>
      <c r="S117" s="362" t="str">
        <f>IF(AR117=0,"",AR117)</f>
        <v/>
      </c>
      <c r="T117" s="362">
        <f>IF(AS117=301,"",AS117)</f>
        <v>182</v>
      </c>
      <c r="U117" s="362" t="str">
        <f>IF(AT117=0,"",AT117)</f>
        <v/>
      </c>
      <c r="V117" s="364"/>
      <c r="W117" s="364"/>
      <c r="AA117" s="91" t="s">
        <v>3</v>
      </c>
      <c r="AB117" s="92"/>
      <c r="AC117" s="366">
        <f>ABS(INDEX(AC:AC,MATCH(AC112,$AA:$AA,0)+11)+INDEX(AC:AC,MATCH(AC112,$AA:$AA,0)+12)+INDEX(AC:AC,MATCH(AC112,$AA:$AA,0)+13))</f>
        <v>174</v>
      </c>
      <c r="AD117" s="367"/>
      <c r="AE117" s="366">
        <f>ABS(INDEX(AE:AE,MATCH(AE112,$AA:$AA,0)+11)+INDEX(AE:AE,MATCH(AE112,$AA:$AA,0)+12)+INDEX(AE:AE,MATCH(AE112,$AA:$AA,0)+13))</f>
        <v>198</v>
      </c>
      <c r="AF117" s="367"/>
      <c r="AG117" s="366">
        <f>ABS(INDEX(AG:AG,MATCH(AG112,$AA:$AA,0)+11)+INDEX(AG:AG,MATCH(AG112,$AA:$AA,0)+12)+INDEX(AG:AG,MATCH(AG112,$AA:$AA,0)+13))</f>
        <v>178</v>
      </c>
      <c r="AH117" s="367"/>
      <c r="AI117" s="366">
        <f>ABS(INDEX(AI:AI,MATCH(AI112,$AA:$AA,0)+11)+INDEX(AI:AI,MATCH(AI112,$AA:$AA,0)+12)+INDEX(AI:AI,MATCH(AI112,$AA:$AA,0)+13))</f>
        <v>191</v>
      </c>
      <c r="AJ117" s="367"/>
      <c r="AK117" s="366">
        <f>ABS(INDEX(AK:AK,MATCH(AK112,$AA:$AA,0)+11)+INDEX(AK:AK,MATCH(AK112,$AA:$AA,0)+12)+INDEX(AK:AK,MATCH(AK112,$AA:$AA,0)+13))</f>
        <v>226</v>
      </c>
      <c r="AL117" s="367"/>
      <c r="AM117" s="366">
        <f>ABS(INDEX(AM:AM,MATCH(AM112,$AA:$AA,0)+11)+INDEX(AM:AM,MATCH(AM112,$AA:$AA,0)+12)+INDEX(AM:AM,MATCH(AM112,$AA:$AA,0)+13))</f>
        <v>234</v>
      </c>
      <c r="AN117" s="367"/>
      <c r="AO117" s="366">
        <f>ABS(INDEX(AO:AO,MATCH(AO112,$AA:$AA,0)+11)+INDEX(AO:AO,MATCH(AO112,$AA:$AA,0)+12)+INDEX(AO:AO,MATCH(AO112,$AA:$AA,0)+13))</f>
        <v>184</v>
      </c>
      <c r="AP117" s="367"/>
      <c r="AQ117" s="366">
        <f>ABS(INDEX(AQ:AQ,MATCH(AQ112,$AA:$AA,0)+11)+INDEX(AQ:AQ,MATCH(AQ112,$AA:$AA,0)+12)+INDEX(AQ:AQ,MATCH(AQ112,$AA:$AA,0)+13))</f>
        <v>211</v>
      </c>
      <c r="AR117" s="367"/>
      <c r="AS117" s="366">
        <f>ABS(INDEX(AS:AS,MATCH(AS112,$AA:$AA,0)+11)+INDEX(AS:AS,MATCH(AS112,$AA:$AA,0)+12)+INDEX(AS:AS,MATCH(AS112,$AA:$AA,0)+13))</f>
        <v>182</v>
      </c>
      <c r="AT117" s="367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4" t="str">
        <f t="shared" si="136"/>
        <v>Spieler 4</v>
      </c>
      <c r="C118" s="375" t="str">
        <f t="shared" si="136"/>
        <v/>
      </c>
      <c r="D118" s="362">
        <f>IF(AC118=301,"",AC118)</f>
        <v>181</v>
      </c>
      <c r="E118" s="362" t="str">
        <f>IF(AD118=0,"",AD118)</f>
        <v/>
      </c>
      <c r="F118" s="362">
        <f>IF(AE118=301,"",AE118)</f>
        <v>191</v>
      </c>
      <c r="G118" s="362" t="str">
        <f>IF(AF118=0,"",AF118)</f>
        <v/>
      </c>
      <c r="H118" s="362">
        <f>IF(AG118=301,"",AG118)</f>
        <v>187</v>
      </c>
      <c r="I118" s="362" t="str">
        <f>IF(AH118=0,"",AH118)</f>
        <v/>
      </c>
      <c r="J118" s="362">
        <f>IF(AI118=301,"",AI118)</f>
        <v>258</v>
      </c>
      <c r="K118" s="362" t="str">
        <f>IF(AJ118=0,"",AJ118)</f>
        <v/>
      </c>
      <c r="L118" s="362">
        <f>IF(AK118=301,"",AK118)</f>
        <v>200</v>
      </c>
      <c r="M118" s="362" t="str">
        <f>IF(AL118=0,"",AL118)</f>
        <v/>
      </c>
      <c r="N118" s="362">
        <f>IF(AM118=301,"",AM118)</f>
        <v>209</v>
      </c>
      <c r="O118" s="362" t="str">
        <f>IF(AN118=0,"",AN118)</f>
        <v/>
      </c>
      <c r="P118" s="362">
        <f>IF(AO118=301,"",AO118)</f>
        <v>177</v>
      </c>
      <c r="Q118" s="362" t="str">
        <f>IF(AP118=0,"",AP118)</f>
        <v/>
      </c>
      <c r="R118" s="362">
        <f>IF(AQ118=301,"",AQ118)</f>
        <v>160</v>
      </c>
      <c r="S118" s="362" t="str">
        <f>IF(AR118=0,"",AR118)</f>
        <v/>
      </c>
      <c r="T118" s="362">
        <f>IF(AS118=301,"",AS118)</f>
        <v>159</v>
      </c>
      <c r="U118" s="362" t="str">
        <f>IF(AT118=0,"",AT118)</f>
        <v/>
      </c>
      <c r="V118" s="364"/>
      <c r="W118" s="364"/>
      <c r="AA118" s="91" t="s">
        <v>11</v>
      </c>
      <c r="AB118" s="92"/>
      <c r="AC118" s="366">
        <f>ABS(INDEX(AC:AC,MATCH(AC112,$AA:$AA,0)+14)+INDEX(AC:AC,MATCH(AC112,$AA:$AA,0)+15)+INDEX(AC:AC,MATCH(AC112,$AA:$AA,0)+16))</f>
        <v>181</v>
      </c>
      <c r="AD118" s="367"/>
      <c r="AE118" s="366">
        <f>ABS(INDEX(AE:AE,MATCH(AE112,$AA:$AA,0)+14)+INDEX(AE:AE,MATCH(AE112,$AA:$AA,0)+15)+INDEX(AE:AE,MATCH(AE112,$AA:$AA,0)+16))</f>
        <v>191</v>
      </c>
      <c r="AF118" s="367"/>
      <c r="AG118" s="366">
        <f>ABS(INDEX(AG:AG,MATCH(AG112,$AA:$AA,0)+14)+INDEX(AG:AG,MATCH(AG112,$AA:$AA,0)+15)+INDEX(AG:AG,MATCH(AG112,$AA:$AA,0)+16))</f>
        <v>187</v>
      </c>
      <c r="AH118" s="367"/>
      <c r="AI118" s="366">
        <f>ABS(INDEX(AI:AI,MATCH(AI112,$AA:$AA,0)+14)+INDEX(AI:AI,MATCH(AI112,$AA:$AA,0)+15)+INDEX(AI:AI,MATCH(AI112,$AA:$AA,0)+16))</f>
        <v>258</v>
      </c>
      <c r="AJ118" s="367"/>
      <c r="AK118" s="366">
        <f>ABS(INDEX(AK:AK,MATCH(AK112,$AA:$AA,0)+14)+INDEX(AK:AK,MATCH(AK112,$AA:$AA,0)+15)+INDEX(AK:AK,MATCH(AK112,$AA:$AA,0)+16))</f>
        <v>200</v>
      </c>
      <c r="AL118" s="367"/>
      <c r="AM118" s="366">
        <f>ABS(INDEX(AM:AM,MATCH(AM112,$AA:$AA,0)+14)+INDEX(AM:AM,MATCH(AM112,$AA:$AA,0)+15)+INDEX(AM:AM,MATCH(AM112,$AA:$AA,0)+16))</f>
        <v>209</v>
      </c>
      <c r="AN118" s="367"/>
      <c r="AO118" s="366">
        <f>ABS(INDEX(AO:AO,MATCH(AO112,$AA:$AA,0)+14)+INDEX(AO:AO,MATCH(AO112,$AA:$AA,0)+15)+INDEX(AO:AO,MATCH(AO112,$AA:$AA,0)+16))</f>
        <v>177</v>
      </c>
      <c r="AP118" s="367"/>
      <c r="AQ118" s="366">
        <f>ABS(INDEX(AQ:AQ,MATCH(AQ112,$AA:$AA,0)+14)+INDEX(AQ:AQ,MATCH(AQ112,$AA:$AA,0)+15)+INDEX(AQ:AQ,MATCH(AQ112,$AA:$AA,0)+16))</f>
        <v>160</v>
      </c>
      <c r="AR118" s="367"/>
      <c r="AS118" s="366">
        <f>ABS(INDEX(AS:AS,MATCH(AS112,$AA:$AA,0)+14)+INDEX(AS:AS,MATCH(AS112,$AA:$AA,0)+15)+INDEX(AS:AS,MATCH(AS112,$AA:$AA,0)+16))</f>
        <v>159</v>
      </c>
      <c r="AT118" s="367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6" t="str">
        <f t="shared" si="136"/>
        <v>Gesamt</v>
      </c>
      <c r="C119" s="347" t="str">
        <f t="shared" si="136"/>
        <v/>
      </c>
      <c r="D119" s="365">
        <f>IF(AC119=1505,"",AC119)</f>
        <v>731</v>
      </c>
      <c r="E119" s="365" t="str">
        <f>IF(AD119=0,"",AD119)</f>
        <v/>
      </c>
      <c r="F119" s="365">
        <f>IF(AE119=1505,"",AE119)</f>
        <v>724</v>
      </c>
      <c r="G119" s="365" t="str">
        <f>IF(AF119=0,"",AF119)</f>
        <v/>
      </c>
      <c r="H119" s="365">
        <f>IF(AG119=1505,"",AG119)</f>
        <v>692</v>
      </c>
      <c r="I119" s="365" t="str">
        <f>IF(AH119=0,"",AH119)</f>
        <v/>
      </c>
      <c r="J119" s="365">
        <f>IF(AI119=1505,"",AI119)</f>
        <v>786</v>
      </c>
      <c r="K119" s="365" t="str">
        <f>IF(AJ119=0,"",AJ119)</f>
        <v/>
      </c>
      <c r="L119" s="365">
        <f>IF(AK119=1505,"",AK119)</f>
        <v>773</v>
      </c>
      <c r="M119" s="365" t="str">
        <f>IF(AL119=0,"",AL119)</f>
        <v/>
      </c>
      <c r="N119" s="365">
        <f>IF(AM119=1505,"",AM119)</f>
        <v>813</v>
      </c>
      <c r="O119" s="365" t="str">
        <f>IF(AN119=0,"",AN119)</f>
        <v/>
      </c>
      <c r="P119" s="365">
        <f>IF(AO119=1505,"",AO119)</f>
        <v>737</v>
      </c>
      <c r="Q119" s="365" t="str">
        <f>IF(AP119=0,"",AP119)</f>
        <v/>
      </c>
      <c r="R119" s="365">
        <f>IF(AQ119=1505,"",AQ119)</f>
        <v>727</v>
      </c>
      <c r="S119" s="365" t="str">
        <f>IF(AR119=0,"",AR119)</f>
        <v/>
      </c>
      <c r="T119" s="365">
        <f>IF(AS119=1505,"",AS119)</f>
        <v>768</v>
      </c>
      <c r="U119" s="365" t="str">
        <f>IF(AT119=0,"",AT119)</f>
        <v/>
      </c>
      <c r="V119" s="301"/>
      <c r="W119" s="301"/>
      <c r="AA119" s="93" t="s">
        <v>1799</v>
      </c>
      <c r="AB119" s="94"/>
      <c r="AC119" s="346">
        <f>SUM(AC115:AC118)</f>
        <v>731</v>
      </c>
      <c r="AD119" s="347"/>
      <c r="AE119" s="346">
        <f>SUM(AE115:AE118)</f>
        <v>724</v>
      </c>
      <c r="AF119" s="347"/>
      <c r="AG119" s="346">
        <f>SUM(AG115:AG118)</f>
        <v>692</v>
      </c>
      <c r="AH119" s="347"/>
      <c r="AI119" s="346">
        <f>SUM(AI115:AI118)</f>
        <v>786</v>
      </c>
      <c r="AJ119" s="347"/>
      <c r="AK119" s="346">
        <f>SUM(AK115:AK118)</f>
        <v>773</v>
      </c>
      <c r="AL119" s="347"/>
      <c r="AM119" s="346">
        <f>SUM(AM115:AM118)</f>
        <v>813</v>
      </c>
      <c r="AN119" s="347"/>
      <c r="AO119" s="346">
        <f>SUM(AO115:AO118)</f>
        <v>737</v>
      </c>
      <c r="AP119" s="347"/>
      <c r="AQ119" s="346">
        <f>SUM(AQ115:AQ118)</f>
        <v>727</v>
      </c>
      <c r="AR119" s="347"/>
      <c r="AS119" s="346">
        <f>SUM(AS115:AS118)</f>
        <v>768</v>
      </c>
      <c r="AT119" s="347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5" t="str">
        <f>AE121</f>
        <v>Bayernliga Herren</v>
      </c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48"/>
      <c r="S121" s="49" t="s">
        <v>1794</v>
      </c>
      <c r="T121" s="50"/>
      <c r="U121" s="341" t="str">
        <f>AT121</f>
        <v>01.02./02.02.</v>
      </c>
      <c r="V121" s="342"/>
      <c r="W121" s="343"/>
      <c r="X121" s="372"/>
      <c r="Y121" s="373"/>
      <c r="Z121" s="373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41" t="str">
        <f>VLOOKUP(AS122,Spielorte!$A$1:$C$6,2)</f>
        <v>01.02./02.02.</v>
      </c>
      <c r="AU121" s="342"/>
      <c r="AV121" s="34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4" t="str">
        <f>AE122</f>
        <v>Unterföhring Dreambowl Palace</v>
      </c>
      <c r="G122" s="344"/>
      <c r="H122" s="344"/>
      <c r="I122" s="344"/>
      <c r="J122" s="344"/>
      <c r="K122" s="344"/>
      <c r="L122" s="344"/>
      <c r="M122" s="344"/>
      <c r="N122" s="344"/>
      <c r="O122" s="344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6" t="s">
        <v>1800</v>
      </c>
      <c r="E125" s="347"/>
      <c r="F125" s="346" t="s">
        <v>1801</v>
      </c>
      <c r="G125" s="347"/>
      <c r="H125" s="346" t="s">
        <v>1802</v>
      </c>
      <c r="I125" s="347"/>
      <c r="J125" s="346" t="s">
        <v>1803</v>
      </c>
      <c r="K125" s="347"/>
      <c r="L125" s="346" t="s">
        <v>1804</v>
      </c>
      <c r="M125" s="347"/>
      <c r="N125" s="346" t="s">
        <v>1805</v>
      </c>
      <c r="O125" s="347"/>
      <c r="P125" s="346" t="s">
        <v>1806</v>
      </c>
      <c r="Q125" s="347"/>
      <c r="R125" s="346" t="s">
        <v>1807</v>
      </c>
      <c r="S125" s="347"/>
      <c r="T125" s="346" t="s">
        <v>1808</v>
      </c>
      <c r="U125" s="347"/>
      <c r="V125" s="354" t="s">
        <v>1799</v>
      </c>
      <c r="W125" s="355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6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180</v>
      </c>
      <c r="E127" s="348">
        <f>IF(AD127="","",AD127)</f>
        <v>1</v>
      </c>
      <c r="F127" s="75">
        <f t="shared" ref="F127:F140" si="137">IF(AE127=0,"",AE127)</f>
        <v>177</v>
      </c>
      <c r="G127" s="348">
        <f>IF(AF127="","",AF127)</f>
        <v>0</v>
      </c>
      <c r="H127" s="75">
        <f t="shared" ref="H127:H140" si="138">IF(AG127=0,"",AG127)</f>
        <v>179</v>
      </c>
      <c r="I127" s="348">
        <f>IF(AH127="","",AH127)</f>
        <v>1</v>
      </c>
      <c r="J127" s="75">
        <f t="shared" ref="J127:J140" si="139">IF(AI127=0,"",AI127)</f>
        <v>167</v>
      </c>
      <c r="K127" s="348">
        <f>IF(AJ127="","",AJ127)</f>
        <v>0</v>
      </c>
      <c r="L127" s="75">
        <f t="shared" ref="L127:L140" si="140">IF(AK127=0,"",AK127)</f>
        <v>190</v>
      </c>
      <c r="M127" s="348">
        <f>IF(AL127="","",AL127)</f>
        <v>0</v>
      </c>
      <c r="N127" s="75">
        <f>IF(AM127=0,"",AM127)</f>
        <v>165</v>
      </c>
      <c r="O127" s="348">
        <f>IF(AN127="","",AN127)</f>
        <v>1</v>
      </c>
      <c r="P127" s="75">
        <f t="shared" ref="P127:P140" si="141">IF(AO127=0,"",AO127)</f>
        <v>179</v>
      </c>
      <c r="Q127" s="348">
        <f>IF(AP127="","",AP127)</f>
        <v>0</v>
      </c>
      <c r="R127" s="75" t="str">
        <f t="shared" ref="R127:R140" si="142">IF(AQ127=0,"",AQ127)</f>
        <v/>
      </c>
      <c r="S127" s="348">
        <f>IF(AR127="","",AR127)</f>
        <v>0</v>
      </c>
      <c r="T127" s="75" t="str">
        <f t="shared" ref="T127:T140" si="143">IF(AS127=0,"",AS127)</f>
        <v/>
      </c>
      <c r="U127" s="348">
        <f>IF(AT127="","",AT127)</f>
        <v>1</v>
      </c>
      <c r="V127" s="75">
        <f t="shared" ref="V127:V140" si="144">IF(AU127=0,"",AU127)</f>
        <v>1237</v>
      </c>
      <c r="W127" s="348">
        <f>IF(AV127="","",AV127)</f>
        <v>4</v>
      </c>
      <c r="Z127" s="351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180</v>
      </c>
      <c r="AD127" s="109">
        <f>IF(SUM(AC127:AC129)+AC145=0,0,IF(SUM(AC127:AC129)=AC145,0.5,IF(SUM(AC127:AC129)&gt;AC145,1,0)))</f>
        <v>1</v>
      </c>
      <c r="AE127" s="185">
        <v>177</v>
      </c>
      <c r="AF127" s="109">
        <f>IF(SUM(AE127:AE129)+AE145=0,0,IF(SUM(AE127:AE129)=AE145,0.5,IF(SUM(AE127:AE129)&gt;AE145,1,0)))</f>
        <v>0</v>
      </c>
      <c r="AG127" s="185">
        <v>179</v>
      </c>
      <c r="AH127" s="109">
        <f>IF(SUM(AG127:AG129)+AG145=0,0,IF(SUM(AG127:AG129)=AG145,0.5,IF(SUM(AG127:AG129)&gt;AG145,1,0)))</f>
        <v>1</v>
      </c>
      <c r="AI127" s="185">
        <v>167</v>
      </c>
      <c r="AJ127" s="109">
        <f>IF(SUM(AI127:AI129)+AI145=0,0,IF(SUM(AI127:AI129)=AI145,0.5,IF(SUM(AI127:AI129)&gt;AI145,1,0)))</f>
        <v>0</v>
      </c>
      <c r="AK127" s="185">
        <v>190</v>
      </c>
      <c r="AL127" s="109">
        <f>IF(SUM(AK127:AK129)+AK145=0,0,IF(SUM(AK127:AK129)=AK145,0.5,IF(SUM(AK127:AK129)&gt;AK145,1,0)))</f>
        <v>0</v>
      </c>
      <c r="AM127" s="185">
        <v>165</v>
      </c>
      <c r="AN127" s="109">
        <f>IF(SUM(AM127:AM129)+AM145=0,0,IF(SUM(AM127:AM129)=AM145,0.5,IF(SUM(AM127:AM129)&gt;AM145,1,0)))</f>
        <v>1</v>
      </c>
      <c r="AO127" s="185">
        <v>179</v>
      </c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1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1237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1237</v>
      </c>
      <c r="BF127" s="215">
        <f>COUNT(BH127:BP127)</f>
        <v>7</v>
      </c>
      <c r="BG127" s="215">
        <f>COUNTIF(BH127:BP127,"&gt;0")</f>
        <v>7</v>
      </c>
      <c r="BH127" s="215">
        <f t="shared" ref="BH127:BH138" si="146">IF(AC127=0,"",AC127)</f>
        <v>180</v>
      </c>
      <c r="BI127" s="215">
        <f t="shared" ref="BI127:BI138" si="147">IF(AE127=0,"",AE127)</f>
        <v>177</v>
      </c>
      <c r="BJ127" s="215">
        <f t="shared" ref="BJ127:BJ138" si="148">IF(AG127=0,"",AG127)</f>
        <v>179</v>
      </c>
      <c r="BK127" s="215">
        <f t="shared" ref="BK127:BK138" si="149">IF(AI127=0,"",AI127)</f>
        <v>167</v>
      </c>
      <c r="BL127" s="215">
        <f t="shared" ref="BL127:BL138" si="150">IF(AK127=0,"",AK127)</f>
        <v>190</v>
      </c>
      <c r="BM127" s="215">
        <f t="shared" ref="BM127:BM138" si="151">IF(AM127=0,"",AM127)</f>
        <v>165</v>
      </c>
      <c r="BN127" s="215">
        <f t="shared" ref="BN127:BN138" si="152">IF(AO127=0,"",AO127)</f>
        <v>179</v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190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1237</v>
      </c>
      <c r="BX127" s="215">
        <f>IF(COUNTIF(BH127:BP127,"&gt;0")&lt;Spielorte!$A$23,0,BE127/Spielorte!$A$23)</f>
        <v>0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77"/>
      <c r="B128" s="76" t="str">
        <f t="shared" ref="B128:D140" si="156">IF(AA128=0,"",AA128)</f>
        <v>Netscheporenko, Marco</v>
      </c>
      <c r="C128" s="77">
        <f t="shared" si="156"/>
        <v>7959</v>
      </c>
      <c r="D128" s="78" t="str">
        <f t="shared" si="156"/>
        <v/>
      </c>
      <c r="E128" s="349"/>
      <c r="F128" s="78" t="str">
        <f t="shared" si="137"/>
        <v/>
      </c>
      <c r="G128" s="349"/>
      <c r="H128" s="78" t="str">
        <f t="shared" si="138"/>
        <v/>
      </c>
      <c r="I128" s="349"/>
      <c r="J128" s="78" t="str">
        <f t="shared" si="139"/>
        <v/>
      </c>
      <c r="K128" s="349"/>
      <c r="L128" s="78" t="str">
        <f t="shared" si="140"/>
        <v/>
      </c>
      <c r="M128" s="349"/>
      <c r="N128" s="78" t="str">
        <f t="shared" ref="N128:N140" si="157">IF(AM128=0,"",AM128)</f>
        <v/>
      </c>
      <c r="O128" s="349"/>
      <c r="P128" s="78" t="str">
        <f t="shared" si="141"/>
        <v/>
      </c>
      <c r="Q128" s="349"/>
      <c r="R128" s="78">
        <f t="shared" si="142"/>
        <v>188</v>
      </c>
      <c r="S128" s="349"/>
      <c r="T128" s="78">
        <f t="shared" si="143"/>
        <v>155</v>
      </c>
      <c r="U128" s="349"/>
      <c r="V128" s="78">
        <f t="shared" si="144"/>
        <v>343</v>
      </c>
      <c r="W128" s="349"/>
      <c r="Z128" s="352"/>
      <c r="AA128" s="108" t="str">
        <f>IF(AB128=0,"",VLOOKUP(AB128,Starter!$A$1:$D$199,2,FALSE))</f>
        <v>Netscheporenko, Marco</v>
      </c>
      <c r="AB128" s="98">
        <v>7959</v>
      </c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>
        <v>188</v>
      </c>
      <c r="AR128" s="112"/>
      <c r="AS128" s="186">
        <v>155</v>
      </c>
      <c r="AT128" s="112"/>
      <c r="AU128" s="113">
        <f t="shared" si="145"/>
        <v>343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7959</v>
      </c>
      <c r="BE128" s="213">
        <f t="shared" ref="BE128:BE138" si="159">+AU128</f>
        <v>343</v>
      </c>
      <c r="BF128" s="215">
        <f t="shared" ref="BF128:BF138" si="160">COUNT(BH128:BP128)</f>
        <v>2</v>
      </c>
      <c r="BG128" s="215">
        <f t="shared" ref="BG128:BG138" si="161">COUNTIF(BH128:BP128,"&gt;0")</f>
        <v>2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>
        <f t="shared" si="153"/>
        <v>188</v>
      </c>
      <c r="BP128" s="215">
        <f t="shared" si="154"/>
        <v>155</v>
      </c>
      <c r="BQ128" s="216"/>
      <c r="BR128" s="214"/>
      <c r="BS128" s="215">
        <f t="shared" ref="BS128:BS138" si="162">MAX(BH128:BP128)</f>
        <v>188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>RW Lichtenhof Stein 1</v>
      </c>
      <c r="BV128" s="214">
        <f t="shared" ref="BV128:BV138" si="165">RANK(BT128,BT:BT)</f>
        <v>2</v>
      </c>
      <c r="BW128" s="215">
        <f t="shared" ref="BW128:BW138" si="166">SUMIF(BH128:BP128,"&gt;0")</f>
        <v>343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8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0"/>
      <c r="F129" s="69" t="str">
        <f t="shared" si="137"/>
        <v/>
      </c>
      <c r="G129" s="350"/>
      <c r="H129" s="69" t="str">
        <f t="shared" si="138"/>
        <v/>
      </c>
      <c r="I129" s="350"/>
      <c r="J129" s="69" t="str">
        <f t="shared" si="139"/>
        <v/>
      </c>
      <c r="K129" s="350"/>
      <c r="L129" s="69" t="str">
        <f t="shared" si="140"/>
        <v/>
      </c>
      <c r="M129" s="350"/>
      <c r="N129" s="69" t="str">
        <f t="shared" si="157"/>
        <v/>
      </c>
      <c r="O129" s="350"/>
      <c r="P129" s="69" t="str">
        <f t="shared" si="141"/>
        <v/>
      </c>
      <c r="Q129" s="350"/>
      <c r="R129" s="69" t="str">
        <f t="shared" si="142"/>
        <v/>
      </c>
      <c r="S129" s="350"/>
      <c r="T129" s="69" t="str">
        <f t="shared" si="143"/>
        <v/>
      </c>
      <c r="U129" s="350"/>
      <c r="V129" s="69" t="str">
        <f t="shared" si="144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>RW Lichtenhof Stein 1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76" t="s">
        <v>2</v>
      </c>
      <c r="B130" s="73" t="str">
        <f t="shared" si="156"/>
        <v>Mesch, John</v>
      </c>
      <c r="C130" s="74">
        <f t="shared" si="156"/>
        <v>7740</v>
      </c>
      <c r="D130" s="75">
        <f t="shared" si="156"/>
        <v>167</v>
      </c>
      <c r="E130" s="348">
        <f>IF(AD130="","",AD130)</f>
        <v>0</v>
      </c>
      <c r="F130" s="75">
        <f t="shared" si="137"/>
        <v>158</v>
      </c>
      <c r="G130" s="348">
        <f>IF(AF130="","",AF130)</f>
        <v>0</v>
      </c>
      <c r="H130" s="75">
        <f t="shared" si="138"/>
        <v>185</v>
      </c>
      <c r="I130" s="348">
        <f>IF(AH130="","",AH130)</f>
        <v>0</v>
      </c>
      <c r="J130" s="75">
        <f t="shared" si="139"/>
        <v>182</v>
      </c>
      <c r="K130" s="348">
        <f>IF(AJ130="","",AJ130)</f>
        <v>1</v>
      </c>
      <c r="L130" s="75" t="str">
        <f t="shared" si="140"/>
        <v/>
      </c>
      <c r="M130" s="348">
        <f>IF(AL130="","",AL130)</f>
        <v>0</v>
      </c>
      <c r="N130" s="75">
        <f t="shared" si="157"/>
        <v>155</v>
      </c>
      <c r="O130" s="348">
        <f>IF(AN130="","",AN130)</f>
        <v>0</v>
      </c>
      <c r="P130" s="75">
        <f t="shared" si="141"/>
        <v>212</v>
      </c>
      <c r="Q130" s="348">
        <f>IF(AP130="","",AP130)</f>
        <v>1</v>
      </c>
      <c r="R130" s="75">
        <f t="shared" si="142"/>
        <v>200</v>
      </c>
      <c r="S130" s="348">
        <f>IF(AR130="","",AR130)</f>
        <v>0</v>
      </c>
      <c r="T130" s="75">
        <f t="shared" si="143"/>
        <v>138</v>
      </c>
      <c r="U130" s="348">
        <f>IF(AT130="","",AT130)</f>
        <v>0</v>
      </c>
      <c r="V130" s="75">
        <f t="shared" si="144"/>
        <v>1397</v>
      </c>
      <c r="W130" s="348">
        <f>IF(AV130="","",AV130)</f>
        <v>2</v>
      </c>
      <c r="Z130" s="351" t="s">
        <v>2</v>
      </c>
      <c r="AA130" s="108" t="str">
        <f>IF(AB130=0,"",VLOOKUP(AB130,Starter!$A$1:$D$199,2,FALSE))</f>
        <v>Mesch, John</v>
      </c>
      <c r="AB130" s="99">
        <v>7740</v>
      </c>
      <c r="AC130" s="188">
        <v>167</v>
      </c>
      <c r="AD130" s="109">
        <f>IF(SUM(AC130:AC132)+AC146=0,0,IF(SUM(AC130:AC132)=AC146,0.5,IF(SUM(AC130:AC132)&gt;AC146,1,0)))</f>
        <v>0</v>
      </c>
      <c r="AE130" s="188">
        <v>158</v>
      </c>
      <c r="AF130" s="109">
        <f>IF(SUM(AE130:AE132)+AE146=0,0,IF(SUM(AE130:AE132)=AE146,0.5,IF(SUM(AE130:AE132)&gt;AE146,1,0)))</f>
        <v>0</v>
      </c>
      <c r="AG130" s="188">
        <v>185</v>
      </c>
      <c r="AH130" s="109">
        <f>IF(SUM(AG130:AG132)+AG146=0,0,IF(SUM(AG130:AG132)=AG146,0.5,IF(SUM(AG130:AG132)&gt;AG146,1,0)))</f>
        <v>0</v>
      </c>
      <c r="AI130" s="188">
        <v>182</v>
      </c>
      <c r="AJ130" s="109">
        <f>IF(SUM(AI130:AI132)+AI146=0,0,IF(SUM(AI130:AI132)=AI146,0.5,IF(SUM(AI130:AI132)&gt;AI146,1,0)))</f>
        <v>1</v>
      </c>
      <c r="AK130" s="188"/>
      <c r="AL130" s="109">
        <f>IF(SUM(AK130:AK132)+AK146=0,0,IF(SUM(AK130:AK132)=AK146,0.5,IF(SUM(AK130:AK132)&gt;AK146,1,0)))</f>
        <v>0</v>
      </c>
      <c r="AM130" s="188">
        <v>155</v>
      </c>
      <c r="AN130" s="109">
        <f>IF(SUM(AM130:AM132)+AM146=0,0,IF(SUM(AM130:AM132)=AM146,0.5,IF(SUM(AM130:AM132)&gt;AM146,1,0)))</f>
        <v>0</v>
      </c>
      <c r="AO130" s="188">
        <v>212</v>
      </c>
      <c r="AP130" s="109">
        <f>IF(SUM(AO130:AO132)+AO146=0,0,IF(SUM(AO130:AO132)=AO146,0.5,IF(SUM(AO130:AO132)&gt;AO146,1,0)))</f>
        <v>1</v>
      </c>
      <c r="AQ130" s="188">
        <v>200</v>
      </c>
      <c r="AR130" s="109">
        <f>IF(SUM(AQ130:AQ132)+AQ146=0,0,IF(SUM(AQ130:AQ132)=AQ146,0.5,IF(SUM(AQ130:AQ132)&gt;AQ146,1,0)))</f>
        <v>0</v>
      </c>
      <c r="AS130" s="188">
        <v>138</v>
      </c>
      <c r="AT130" s="109">
        <f>IF(SUM(AS130:AS132)+AS146=0,0,IF(SUM(AS130:AS132)=AS146,0.5,IF(SUM(AS130:AS132)&gt;AS146,1,0)))</f>
        <v>0</v>
      </c>
      <c r="AU130" s="110">
        <f t="shared" si="145"/>
        <v>1397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58"/>
        <v>7740</v>
      </c>
      <c r="BE130" s="213">
        <f t="shared" si="159"/>
        <v>1397</v>
      </c>
      <c r="BF130" s="215">
        <f t="shared" si="160"/>
        <v>8</v>
      </c>
      <c r="BG130" s="215">
        <f t="shared" si="161"/>
        <v>8</v>
      </c>
      <c r="BH130" s="215">
        <f t="shared" si="146"/>
        <v>167</v>
      </c>
      <c r="BI130" s="215">
        <f t="shared" si="147"/>
        <v>158</v>
      </c>
      <c r="BJ130" s="215">
        <f t="shared" si="148"/>
        <v>185</v>
      </c>
      <c r="BK130" s="215">
        <f t="shared" si="149"/>
        <v>182</v>
      </c>
      <c r="BL130" s="215" t="str">
        <f t="shared" si="150"/>
        <v/>
      </c>
      <c r="BM130" s="215">
        <f t="shared" si="151"/>
        <v>155</v>
      </c>
      <c r="BN130" s="215">
        <f t="shared" si="152"/>
        <v>212</v>
      </c>
      <c r="BO130" s="215">
        <f t="shared" si="153"/>
        <v>200</v>
      </c>
      <c r="BP130" s="215">
        <f t="shared" si="154"/>
        <v>138</v>
      </c>
      <c r="BQ130" s="216"/>
      <c r="BR130" s="214"/>
      <c r="BS130" s="215">
        <f t="shared" si="162"/>
        <v>212</v>
      </c>
      <c r="BT130" s="215">
        <f t="shared" si="163"/>
        <v>0</v>
      </c>
      <c r="BU130" s="215" t="str">
        <f t="shared" si="164"/>
        <v>RW Lichtenhof Stein 1</v>
      </c>
      <c r="BV130" s="214">
        <f t="shared" si="165"/>
        <v>2</v>
      </c>
      <c r="BW130" s="215">
        <f t="shared" si="166"/>
        <v>1397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77"/>
      <c r="B131" s="76" t="str">
        <f t="shared" si="156"/>
        <v>Netscheporenko, Marco</v>
      </c>
      <c r="C131" s="77">
        <f t="shared" si="156"/>
        <v>7959</v>
      </c>
      <c r="D131" s="78" t="str">
        <f t="shared" si="156"/>
        <v/>
      </c>
      <c r="E131" s="349"/>
      <c r="F131" s="78" t="str">
        <f t="shared" si="137"/>
        <v/>
      </c>
      <c r="G131" s="349"/>
      <c r="H131" s="78" t="str">
        <f t="shared" si="138"/>
        <v/>
      </c>
      <c r="I131" s="349"/>
      <c r="J131" s="78" t="str">
        <f t="shared" si="139"/>
        <v/>
      </c>
      <c r="K131" s="349"/>
      <c r="L131" s="78">
        <f t="shared" si="140"/>
        <v>157</v>
      </c>
      <c r="M131" s="349"/>
      <c r="N131" s="78" t="str">
        <f t="shared" si="157"/>
        <v/>
      </c>
      <c r="O131" s="349"/>
      <c r="P131" s="78" t="str">
        <f t="shared" si="141"/>
        <v/>
      </c>
      <c r="Q131" s="349"/>
      <c r="R131" s="78" t="str">
        <f t="shared" si="142"/>
        <v/>
      </c>
      <c r="S131" s="349"/>
      <c r="T131" s="78" t="str">
        <f t="shared" si="143"/>
        <v/>
      </c>
      <c r="U131" s="349"/>
      <c r="V131" s="78">
        <f t="shared" si="144"/>
        <v>157</v>
      </c>
      <c r="W131" s="349"/>
      <c r="Z131" s="352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157</v>
      </c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157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7959</v>
      </c>
      <c r="BE131" s="213">
        <f t="shared" si="159"/>
        <v>157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>
        <f t="shared" si="150"/>
        <v>157</v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157</v>
      </c>
      <c r="BT131" s="215">
        <f t="shared" si="163"/>
        <v>0</v>
      </c>
      <c r="BU131" s="215" t="str">
        <f t="shared" si="164"/>
        <v>RW Lichtenhof Stein 1</v>
      </c>
      <c r="BV131" s="214">
        <f t="shared" si="165"/>
        <v>2</v>
      </c>
      <c r="BW131" s="215">
        <f t="shared" si="166"/>
        <v>157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8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50"/>
      <c r="F132" s="69" t="str">
        <f t="shared" si="137"/>
        <v/>
      </c>
      <c r="G132" s="350"/>
      <c r="H132" s="69" t="str">
        <f t="shared" si="138"/>
        <v/>
      </c>
      <c r="I132" s="350"/>
      <c r="J132" s="69" t="str">
        <f t="shared" si="139"/>
        <v/>
      </c>
      <c r="K132" s="350"/>
      <c r="L132" s="69" t="str">
        <f t="shared" si="140"/>
        <v/>
      </c>
      <c r="M132" s="350"/>
      <c r="N132" s="69" t="str">
        <f t="shared" si="157"/>
        <v/>
      </c>
      <c r="O132" s="350"/>
      <c r="P132" s="69" t="str">
        <f t="shared" si="141"/>
        <v/>
      </c>
      <c r="Q132" s="350"/>
      <c r="R132" s="69" t="str">
        <f t="shared" si="142"/>
        <v/>
      </c>
      <c r="S132" s="350"/>
      <c r="T132" s="69" t="str">
        <f t="shared" si="143"/>
        <v/>
      </c>
      <c r="U132" s="350"/>
      <c r="V132" s="69" t="str">
        <f t="shared" si="144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>RW Lichtenhof Stein 1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76" t="s">
        <v>3</v>
      </c>
      <c r="B133" s="73" t="str">
        <f t="shared" si="156"/>
        <v>Jackwerth, Enno</v>
      </c>
      <c r="C133" s="74">
        <f t="shared" si="156"/>
        <v>16263</v>
      </c>
      <c r="D133" s="75">
        <f t="shared" si="156"/>
        <v>154</v>
      </c>
      <c r="E133" s="348">
        <f>IF(AD133="","",AD133)</f>
        <v>0</v>
      </c>
      <c r="F133" s="75">
        <f t="shared" si="137"/>
        <v>198</v>
      </c>
      <c r="G133" s="348">
        <f>IF(AF133="","",AF133)</f>
        <v>1</v>
      </c>
      <c r="H133" s="75">
        <f t="shared" si="138"/>
        <v>180</v>
      </c>
      <c r="I133" s="348">
        <f>IF(AH133="","",AH133)</f>
        <v>0</v>
      </c>
      <c r="J133" s="75">
        <f t="shared" si="139"/>
        <v>196</v>
      </c>
      <c r="K133" s="348">
        <f>IF(AJ133="","",AJ133)</f>
        <v>1</v>
      </c>
      <c r="L133" s="75">
        <f t="shared" si="140"/>
        <v>180</v>
      </c>
      <c r="M133" s="348">
        <f>IF(AL133="","",AL133)</f>
        <v>0</v>
      </c>
      <c r="N133" s="75">
        <f t="shared" si="157"/>
        <v>221</v>
      </c>
      <c r="O133" s="348">
        <f>IF(AN133="","",AN133)</f>
        <v>1</v>
      </c>
      <c r="P133" s="75">
        <f t="shared" si="141"/>
        <v>187</v>
      </c>
      <c r="Q133" s="348">
        <f>IF(AP133="","",AP133)</f>
        <v>0</v>
      </c>
      <c r="R133" s="75">
        <f t="shared" si="142"/>
        <v>171</v>
      </c>
      <c r="S133" s="348">
        <f>IF(AR133="","",AR133)</f>
        <v>0</v>
      </c>
      <c r="T133" s="75">
        <f t="shared" si="143"/>
        <v>168</v>
      </c>
      <c r="U133" s="348">
        <f>IF(AT133="","",AT133)</f>
        <v>0</v>
      </c>
      <c r="V133" s="75">
        <f t="shared" si="144"/>
        <v>1655</v>
      </c>
      <c r="W133" s="348">
        <f>IF(AV133="","",AV133)</f>
        <v>3</v>
      </c>
      <c r="Z133" s="351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154</v>
      </c>
      <c r="AD133" s="109">
        <f>IF(SUM(AC133:AC135)+AC147=0,0,IF(SUM(AC133:AC135)=AC147,0.5,IF(SUM(AC133:AC135)&gt;AC147,1,0)))</f>
        <v>0</v>
      </c>
      <c r="AE133" s="188">
        <v>198</v>
      </c>
      <c r="AF133" s="109">
        <f>IF(SUM(AE133:AE135)+AE147=0,0,IF(SUM(AE133:AE135)=AE147,0.5,IF(SUM(AE133:AE135)&gt;AE147,1,0)))</f>
        <v>1</v>
      </c>
      <c r="AG133" s="188">
        <v>180</v>
      </c>
      <c r="AH133" s="109">
        <f>IF(SUM(AG133:AG135)+AG147=0,0,IF(SUM(AG133:AG135)=AG147,0.5,IF(SUM(AG133:AG135)&gt;AG147,1,0)))</f>
        <v>0</v>
      </c>
      <c r="AI133" s="188">
        <v>196</v>
      </c>
      <c r="AJ133" s="109">
        <f>IF(SUM(AI133:AI135)+AI147=0,0,IF(SUM(AI133:AI135)=AI147,0.5,IF(SUM(AI133:AI135)&gt;AI147,1,0)))</f>
        <v>1</v>
      </c>
      <c r="AK133" s="188">
        <v>180</v>
      </c>
      <c r="AL133" s="109">
        <f>IF(SUM(AK133:AK135)+AK147=0,0,IF(SUM(AK133:AK135)=AK147,0.5,IF(SUM(AK133:AK135)&gt;AK147,1,0)))</f>
        <v>0</v>
      </c>
      <c r="AM133" s="188">
        <v>221</v>
      </c>
      <c r="AN133" s="109">
        <f>IF(SUM(AM133:AM135)+AM147=0,0,IF(SUM(AM133:AM135)=AM147,0.5,IF(SUM(AM133:AM135)&gt;AM147,1,0)))</f>
        <v>1</v>
      </c>
      <c r="AO133" s="188">
        <v>187</v>
      </c>
      <c r="AP133" s="109">
        <f>IF(SUM(AO133:AO135)+AO147=0,0,IF(SUM(AO133:AO135)=AO147,0.5,IF(SUM(AO133:AO135)&gt;AO147,1,0)))</f>
        <v>0</v>
      </c>
      <c r="AQ133" s="188">
        <v>171</v>
      </c>
      <c r="AR133" s="109">
        <f>IF(SUM(AQ133:AQ135)+AQ147=0,0,IF(SUM(AQ133:AQ135)=AQ147,0.5,IF(SUM(AQ133:AQ135)&gt;AQ147,1,0)))</f>
        <v>0</v>
      </c>
      <c r="AS133" s="188">
        <v>168</v>
      </c>
      <c r="AT133" s="109">
        <f>IF(SUM(AS133:AS135)+AS147=0,0,IF(SUM(AS133:AS135)=AS147,0.5,IF(SUM(AS133:AS135)&gt;AS147,1,0)))</f>
        <v>0</v>
      </c>
      <c r="AU133" s="110">
        <f t="shared" si="145"/>
        <v>1655</v>
      </c>
      <c r="AV133" s="111">
        <f>SUM(AD133+AF133+AH133+AJ133+AL133+AN133+AP133+AR133+AT133)</f>
        <v>3</v>
      </c>
      <c r="AW133" s="101"/>
      <c r="AX133" s="102"/>
      <c r="AZ133" s="63"/>
      <c r="BA133" s="212"/>
      <c r="BB133" s="213"/>
      <c r="BC133" s="214"/>
      <c r="BD133" s="217">
        <f t="shared" si="158"/>
        <v>16263</v>
      </c>
      <c r="BE133" s="213">
        <f t="shared" si="159"/>
        <v>1655</v>
      </c>
      <c r="BF133" s="215">
        <f t="shared" si="160"/>
        <v>9</v>
      </c>
      <c r="BG133" s="215">
        <f t="shared" si="161"/>
        <v>9</v>
      </c>
      <c r="BH133" s="215">
        <f t="shared" si="146"/>
        <v>154</v>
      </c>
      <c r="BI133" s="215">
        <f t="shared" si="147"/>
        <v>198</v>
      </c>
      <c r="BJ133" s="215">
        <f t="shared" si="148"/>
        <v>180</v>
      </c>
      <c r="BK133" s="215">
        <f t="shared" si="149"/>
        <v>196</v>
      </c>
      <c r="BL133" s="215">
        <f t="shared" si="150"/>
        <v>180</v>
      </c>
      <c r="BM133" s="215">
        <f t="shared" si="151"/>
        <v>221</v>
      </c>
      <c r="BN133" s="215">
        <f t="shared" si="152"/>
        <v>187</v>
      </c>
      <c r="BO133" s="215">
        <f t="shared" si="153"/>
        <v>171</v>
      </c>
      <c r="BP133" s="215">
        <f t="shared" si="154"/>
        <v>168</v>
      </c>
      <c r="BQ133" s="216"/>
      <c r="BR133" s="214"/>
      <c r="BS133" s="215">
        <f t="shared" si="162"/>
        <v>221</v>
      </c>
      <c r="BT133" s="215">
        <f t="shared" si="163"/>
        <v>0</v>
      </c>
      <c r="BU133" s="215" t="str">
        <f t="shared" si="164"/>
        <v>RW Lichtenhof Stein 1</v>
      </c>
      <c r="BV133" s="214">
        <f t="shared" si="165"/>
        <v>2</v>
      </c>
      <c r="BW133" s="215">
        <f t="shared" si="166"/>
        <v>1655</v>
      </c>
      <c r="BX133" s="215">
        <f>IF(COUNTIF(BH133:BP133,"&gt;0")&lt;Spielorte!$A$23,0,BE133/Spielorte!$A$23)</f>
        <v>183.88888888888889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77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49"/>
      <c r="F134" s="78" t="str">
        <f t="shared" si="137"/>
        <v/>
      </c>
      <c r="G134" s="349"/>
      <c r="H134" s="78" t="str">
        <f t="shared" si="138"/>
        <v/>
      </c>
      <c r="I134" s="349"/>
      <c r="J134" s="78" t="str">
        <f t="shared" si="139"/>
        <v/>
      </c>
      <c r="K134" s="349"/>
      <c r="L134" s="78" t="str">
        <f t="shared" si="140"/>
        <v/>
      </c>
      <c r="M134" s="349"/>
      <c r="N134" s="78" t="str">
        <f t="shared" si="157"/>
        <v/>
      </c>
      <c r="O134" s="349"/>
      <c r="P134" s="78" t="str">
        <f t="shared" si="141"/>
        <v/>
      </c>
      <c r="Q134" s="349"/>
      <c r="R134" s="78" t="str">
        <f t="shared" si="142"/>
        <v/>
      </c>
      <c r="S134" s="349"/>
      <c r="T134" s="78" t="str">
        <f t="shared" si="143"/>
        <v/>
      </c>
      <c r="U134" s="349"/>
      <c r="V134" s="78" t="str">
        <f t="shared" si="144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>RW Lichtenhof Stein 1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8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50"/>
      <c r="F135" s="69" t="str">
        <f t="shared" si="137"/>
        <v/>
      </c>
      <c r="G135" s="350"/>
      <c r="H135" s="69" t="str">
        <f t="shared" si="138"/>
        <v/>
      </c>
      <c r="I135" s="350"/>
      <c r="J135" s="69" t="str">
        <f t="shared" si="139"/>
        <v/>
      </c>
      <c r="K135" s="350"/>
      <c r="L135" s="69" t="str">
        <f t="shared" si="140"/>
        <v/>
      </c>
      <c r="M135" s="350"/>
      <c r="N135" s="69" t="str">
        <f t="shared" si="157"/>
        <v/>
      </c>
      <c r="O135" s="350"/>
      <c r="P135" s="69" t="str">
        <f t="shared" si="141"/>
        <v/>
      </c>
      <c r="Q135" s="350"/>
      <c r="R135" s="69" t="str">
        <f t="shared" si="142"/>
        <v/>
      </c>
      <c r="S135" s="350"/>
      <c r="T135" s="69" t="str">
        <f t="shared" si="143"/>
        <v/>
      </c>
      <c r="U135" s="350"/>
      <c r="V135" s="69" t="str">
        <f t="shared" si="144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>RW Lichtenhof Stein 1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76" t="s">
        <v>11</v>
      </c>
      <c r="B136" s="73" t="str">
        <f>IF(AA136=0,"",AA136)</f>
        <v>Birkner, Jochen</v>
      </c>
      <c r="C136" s="74">
        <f t="shared" si="156"/>
        <v>7937</v>
      </c>
      <c r="D136" s="75">
        <f t="shared" si="156"/>
        <v>194</v>
      </c>
      <c r="E136" s="348">
        <f>IF(AD136="","",AD136)</f>
        <v>0</v>
      </c>
      <c r="F136" s="75">
        <f t="shared" si="137"/>
        <v>191</v>
      </c>
      <c r="G136" s="348">
        <f>IF(AF136="","",AF136)</f>
        <v>0</v>
      </c>
      <c r="H136" s="75">
        <f t="shared" si="138"/>
        <v>162</v>
      </c>
      <c r="I136" s="348">
        <f>IF(AH136="","",AH136)</f>
        <v>0</v>
      </c>
      <c r="J136" s="75">
        <f t="shared" si="139"/>
        <v>174</v>
      </c>
      <c r="K136" s="348">
        <f>IF(AJ136="","",AJ136)</f>
        <v>0</v>
      </c>
      <c r="L136" s="75">
        <f t="shared" si="140"/>
        <v>208</v>
      </c>
      <c r="M136" s="348">
        <f>IF(AL136="","",AL136)</f>
        <v>0</v>
      </c>
      <c r="N136" s="75">
        <f t="shared" si="157"/>
        <v>211</v>
      </c>
      <c r="O136" s="348">
        <f>IF(AN136="","",AN136)</f>
        <v>0</v>
      </c>
      <c r="P136" s="75">
        <f t="shared" si="141"/>
        <v>221</v>
      </c>
      <c r="Q136" s="348">
        <f>IF(AP136="","",AP136)</f>
        <v>1</v>
      </c>
      <c r="R136" s="75">
        <f t="shared" si="142"/>
        <v>180</v>
      </c>
      <c r="S136" s="348">
        <f>IF(AR136="","",AR136)</f>
        <v>1</v>
      </c>
      <c r="T136" s="75">
        <f t="shared" si="143"/>
        <v>156</v>
      </c>
      <c r="U136" s="348">
        <f>IF(AT136="","",AT136)</f>
        <v>0</v>
      </c>
      <c r="V136" s="75">
        <f t="shared" si="144"/>
        <v>1697</v>
      </c>
      <c r="W136" s="348">
        <f>IF(AV136="","",AV136)</f>
        <v>2</v>
      </c>
      <c r="Z136" s="351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194</v>
      </c>
      <c r="AD136" s="109">
        <f>IF(SUM(AC136:AC138)+AC148=0,0,IF(SUM(AC136:AC138)=AC148,0.5,IF(SUM(AC136:AC138)&gt;AC148,1,0)))</f>
        <v>0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162</v>
      </c>
      <c r="AH136" s="109">
        <f>IF(SUM(AG136:AG138)+AG148=0,0,IF(SUM(AG136:AG138)=AG148,0.5,IF(SUM(AG136:AG138)&gt;AG148,1,0)))</f>
        <v>0</v>
      </c>
      <c r="AI136" s="188">
        <v>174</v>
      </c>
      <c r="AJ136" s="109">
        <f>IF(SUM(AI136:AI138)+AI148=0,0,IF(SUM(AI136:AI138)=AI148,0.5,IF(SUM(AI136:AI138)&gt;AI148,1,0)))</f>
        <v>0</v>
      </c>
      <c r="AK136" s="188">
        <v>208</v>
      </c>
      <c r="AL136" s="109">
        <f>IF(SUM(AK136:AK138)+AK148=0,0,IF(SUM(AK136:AK138)=AK148,0.5,IF(SUM(AK136:AK138)&gt;AK148,1,0)))</f>
        <v>0</v>
      </c>
      <c r="AM136" s="188">
        <v>211</v>
      </c>
      <c r="AN136" s="109">
        <f>IF(SUM(AM136:AM138)+AM148=0,0,IF(SUM(AM136:AM138)=AM148,0.5,IF(SUM(AM136:AM138)&gt;AM148,1,0)))</f>
        <v>0</v>
      </c>
      <c r="AO136" s="188">
        <v>221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1</v>
      </c>
      <c r="AS136" s="188">
        <v>156</v>
      </c>
      <c r="AT136" s="109">
        <f>IF(SUM(AS136:AS138)+AS148=0,0,IF(SUM(AS136:AS138)=AS148,0.5,IF(SUM(AS136:AS138)&gt;AS148,1,0)))</f>
        <v>0</v>
      </c>
      <c r="AU136" s="110">
        <f t="shared" si="145"/>
        <v>1697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7937</v>
      </c>
      <c r="BE136" s="213">
        <f t="shared" si="159"/>
        <v>1697</v>
      </c>
      <c r="BF136" s="215">
        <f t="shared" si="160"/>
        <v>9</v>
      </c>
      <c r="BG136" s="215">
        <f t="shared" si="161"/>
        <v>9</v>
      </c>
      <c r="BH136" s="215">
        <f t="shared" si="146"/>
        <v>194</v>
      </c>
      <c r="BI136" s="215">
        <f t="shared" si="147"/>
        <v>191</v>
      </c>
      <c r="BJ136" s="215">
        <f t="shared" si="148"/>
        <v>162</v>
      </c>
      <c r="BK136" s="215">
        <f t="shared" si="149"/>
        <v>174</v>
      </c>
      <c r="BL136" s="215">
        <f t="shared" si="150"/>
        <v>208</v>
      </c>
      <c r="BM136" s="215">
        <f t="shared" si="151"/>
        <v>211</v>
      </c>
      <c r="BN136" s="215">
        <f t="shared" si="152"/>
        <v>221</v>
      </c>
      <c r="BO136" s="215">
        <f t="shared" si="153"/>
        <v>180</v>
      </c>
      <c r="BP136" s="215">
        <f t="shared" si="154"/>
        <v>156</v>
      </c>
      <c r="BQ136" s="216"/>
      <c r="BR136" s="214"/>
      <c r="BS136" s="215">
        <f t="shared" si="162"/>
        <v>221</v>
      </c>
      <c r="BT136" s="215">
        <f t="shared" si="163"/>
        <v>0</v>
      </c>
      <c r="BU136" s="215" t="str">
        <f t="shared" si="164"/>
        <v>RW Lichtenhof Stein 1</v>
      </c>
      <c r="BV136" s="214">
        <f t="shared" si="165"/>
        <v>2</v>
      </c>
      <c r="BW136" s="215">
        <f t="shared" si="166"/>
        <v>1697</v>
      </c>
      <c r="BX136" s="215">
        <f>IF(COUNTIF(BH136:BP136,"&gt;0")&lt;Spielorte!$A$23,0,BE136/Spielorte!$A$23)</f>
        <v>188.55555555555554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77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9"/>
      <c r="F137" s="78" t="str">
        <f t="shared" si="137"/>
        <v/>
      </c>
      <c r="G137" s="349"/>
      <c r="H137" s="78" t="str">
        <f t="shared" si="138"/>
        <v/>
      </c>
      <c r="I137" s="349"/>
      <c r="J137" s="78" t="str">
        <f t="shared" si="139"/>
        <v/>
      </c>
      <c r="K137" s="349"/>
      <c r="L137" s="78" t="str">
        <f t="shared" si="140"/>
        <v/>
      </c>
      <c r="M137" s="349"/>
      <c r="N137" s="78" t="str">
        <f t="shared" si="157"/>
        <v/>
      </c>
      <c r="O137" s="349"/>
      <c r="P137" s="78" t="str">
        <f t="shared" si="141"/>
        <v/>
      </c>
      <c r="Q137" s="349"/>
      <c r="R137" s="78" t="str">
        <f t="shared" si="142"/>
        <v/>
      </c>
      <c r="S137" s="349"/>
      <c r="T137" s="78" t="str">
        <f t="shared" si="143"/>
        <v/>
      </c>
      <c r="U137" s="349"/>
      <c r="V137" s="78" t="str">
        <f t="shared" si="144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>RW Lichtenhof Stein 1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8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0"/>
      <c r="F138" s="69" t="str">
        <f t="shared" si="137"/>
        <v/>
      </c>
      <c r="G138" s="350"/>
      <c r="H138" s="69" t="str">
        <f t="shared" si="138"/>
        <v/>
      </c>
      <c r="I138" s="350"/>
      <c r="J138" s="69" t="str">
        <f t="shared" si="139"/>
        <v/>
      </c>
      <c r="K138" s="350"/>
      <c r="L138" s="69" t="str">
        <f t="shared" si="140"/>
        <v/>
      </c>
      <c r="M138" s="350"/>
      <c r="N138" s="69" t="str">
        <f t="shared" si="157"/>
        <v/>
      </c>
      <c r="O138" s="350"/>
      <c r="P138" s="69" t="str">
        <f t="shared" si="141"/>
        <v/>
      </c>
      <c r="Q138" s="350"/>
      <c r="R138" s="69" t="str">
        <f t="shared" si="142"/>
        <v/>
      </c>
      <c r="S138" s="350"/>
      <c r="T138" s="69" t="str">
        <f t="shared" si="143"/>
        <v/>
      </c>
      <c r="U138" s="350"/>
      <c r="V138" s="69" t="str">
        <f t="shared" si="144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>RW Lichtenhof Stein 1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695</v>
      </c>
      <c r="E139" s="84">
        <f>IF(AD139="","",AD139)</f>
        <v>0</v>
      </c>
      <c r="F139" s="83">
        <f t="shared" si="137"/>
        <v>724</v>
      </c>
      <c r="G139" s="84">
        <f>IF(AF139="","",AF139)</f>
        <v>0</v>
      </c>
      <c r="H139" s="83">
        <f t="shared" si="138"/>
        <v>706</v>
      </c>
      <c r="I139" s="84">
        <f>IF(AH139="","",AH139)</f>
        <v>0</v>
      </c>
      <c r="J139" s="83">
        <f t="shared" si="139"/>
        <v>719</v>
      </c>
      <c r="K139" s="84">
        <f>IF(AJ139="","",AJ139)</f>
        <v>0</v>
      </c>
      <c r="L139" s="83">
        <f t="shared" si="140"/>
        <v>735</v>
      </c>
      <c r="M139" s="84">
        <f>IF(AL139="","",AL139)</f>
        <v>0</v>
      </c>
      <c r="N139" s="83">
        <f t="shared" si="157"/>
        <v>752</v>
      </c>
      <c r="O139" s="84">
        <f>IF(AN139="","",AN139)</f>
        <v>0</v>
      </c>
      <c r="P139" s="83">
        <f t="shared" si="141"/>
        <v>799</v>
      </c>
      <c r="Q139" s="84">
        <f>IF(AP139="","",AP139)</f>
        <v>0</v>
      </c>
      <c r="R139" s="83">
        <f t="shared" si="142"/>
        <v>739</v>
      </c>
      <c r="S139" s="84">
        <f>IF(AR139="","",AR139)</f>
        <v>0</v>
      </c>
      <c r="T139" s="83">
        <f t="shared" si="143"/>
        <v>617</v>
      </c>
      <c r="U139" s="84">
        <f>IF(AT139="","",AT139)</f>
        <v>0</v>
      </c>
      <c r="V139" s="83">
        <f t="shared" si="144"/>
        <v>6486</v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695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724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706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719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735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752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799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739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617</v>
      </c>
      <c r="AT139" s="121">
        <f>IF(AS139+AS149=0,0,IF(AS139=AS149,1,IF(AS139&gt;AS149,2,0)))</f>
        <v>0</v>
      </c>
      <c r="AU139" s="122">
        <f>SUM(AC139+AE139+AG139+AI139+AK139+AM139+AO139+AQ139+AS139)</f>
        <v>6486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1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1</v>
      </c>
      <c r="J140" s="86" t="str">
        <f t="shared" si="139"/>
        <v/>
      </c>
      <c r="K140" s="87">
        <f>IF(AJ140="","",AJ140)</f>
        <v>2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2</v>
      </c>
      <c r="P140" s="86" t="str">
        <f t="shared" si="141"/>
        <v/>
      </c>
      <c r="Q140" s="87">
        <f>IF(AP140="","",AP140)</f>
        <v>2</v>
      </c>
      <c r="R140" s="86" t="str">
        <f t="shared" si="142"/>
        <v/>
      </c>
      <c r="S140" s="87">
        <f>IF(AR140="","",AR140)</f>
        <v>1</v>
      </c>
      <c r="T140" s="86" t="str">
        <f t="shared" si="143"/>
        <v/>
      </c>
      <c r="U140" s="87">
        <f>IF(AT140="","",AT140)</f>
        <v>1</v>
      </c>
      <c r="V140" s="86" t="str">
        <f t="shared" si="144"/>
        <v/>
      </c>
      <c r="W140" s="87">
        <f>IF(AV140="","",AV140)</f>
        <v>11</v>
      </c>
      <c r="AA140" s="85" t="s">
        <v>1814</v>
      </c>
      <c r="AB140" s="86"/>
      <c r="AC140" s="86"/>
      <c r="AD140" s="124">
        <f>SUM(AD127:AD139)</f>
        <v>1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2</v>
      </c>
      <c r="AK140" s="86"/>
      <c r="AL140" s="124">
        <f>SUM(AL127:AL139)</f>
        <v>0</v>
      </c>
      <c r="AM140" s="86"/>
      <c r="AN140" s="124">
        <f>SUM(AN127:AN139)</f>
        <v>2</v>
      </c>
      <c r="AO140" s="86"/>
      <c r="AP140" s="124">
        <f>SUM(AP127:AP139)</f>
        <v>2</v>
      </c>
      <c r="AQ140" s="86"/>
      <c r="AR140" s="124">
        <f>SUM(AR127:AR139)</f>
        <v>1</v>
      </c>
      <c r="AS140" s="86"/>
      <c r="AT140" s="124">
        <f>SUM(AT127:AT139)</f>
        <v>1</v>
      </c>
      <c r="AU140" s="86"/>
      <c r="AV140" s="125">
        <f>SUM(AV127:AV139)</f>
        <v>11</v>
      </c>
      <c r="AW140" s="101"/>
      <c r="AX140" s="102"/>
      <c r="BA140" s="212">
        <f>+AV140</f>
        <v>11</v>
      </c>
      <c r="BB140" s="213">
        <f>+AU139</f>
        <v>6486</v>
      </c>
      <c r="BC140" s="214">
        <f>+AA122</f>
        <v>5</v>
      </c>
      <c r="BF140" s="215">
        <f>SUM(BF121:BF139)</f>
        <v>36</v>
      </c>
      <c r="BQ140" s="212">
        <f>+BB140/1000000+BA140</f>
        <v>11.006486000000001</v>
      </c>
      <c r="BR140" s="214">
        <f>RANK(BQ140,BQ:BQ)</f>
        <v>10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6">
        <f t="shared" si="168"/>
        <v>1</v>
      </c>
      <c r="E142" s="356" t="str">
        <f t="shared" si="168"/>
        <v/>
      </c>
      <c r="F142" s="356">
        <f t="shared" si="168"/>
        <v>4</v>
      </c>
      <c r="G142" s="356" t="str">
        <f t="shared" si="168"/>
        <v/>
      </c>
      <c r="H142" s="356">
        <f t="shared" si="168"/>
        <v>6</v>
      </c>
      <c r="I142" s="356" t="str">
        <f t="shared" si="168"/>
        <v/>
      </c>
      <c r="J142" s="356">
        <f t="shared" si="168"/>
        <v>9</v>
      </c>
      <c r="K142" s="356" t="str">
        <f t="shared" si="168"/>
        <v/>
      </c>
      <c r="L142" s="356">
        <f t="shared" ref="L142:U144" si="169">IF(AK142=0,"",AK142)</f>
        <v>10</v>
      </c>
      <c r="M142" s="356" t="str">
        <f t="shared" si="169"/>
        <v/>
      </c>
      <c r="N142" s="356">
        <f t="shared" si="169"/>
        <v>8</v>
      </c>
      <c r="O142" s="356" t="str">
        <f t="shared" si="169"/>
        <v/>
      </c>
      <c r="P142" s="356">
        <f t="shared" si="169"/>
        <v>3</v>
      </c>
      <c r="Q142" s="356" t="str">
        <f t="shared" si="169"/>
        <v/>
      </c>
      <c r="R142" s="356">
        <f t="shared" si="169"/>
        <v>2</v>
      </c>
      <c r="S142" s="356" t="str">
        <f t="shared" si="169"/>
        <v/>
      </c>
      <c r="T142" s="356">
        <f t="shared" si="169"/>
        <v>7</v>
      </c>
      <c r="U142" s="356" t="str">
        <f t="shared" si="169"/>
        <v/>
      </c>
      <c r="V142" s="357"/>
      <c r="W142" s="357"/>
      <c r="AA142" s="88" t="s">
        <v>1797</v>
      </c>
      <c r="AB142" s="89" t="s">
        <v>1798</v>
      </c>
      <c r="AC142" s="370">
        <f>VLOOKUP($AA122,Schlüssel!$A$5:$DG$14,43)</f>
        <v>1</v>
      </c>
      <c r="AD142" s="371"/>
      <c r="AE142" s="370">
        <f>VLOOKUP($AA122,Schlüssel!$A$5:$EK$14,44)</f>
        <v>4</v>
      </c>
      <c r="AF142" s="371"/>
      <c r="AG142" s="370">
        <f>VLOOKUP($AA122,Schlüssel!$A$5:$EK$14,45)</f>
        <v>6</v>
      </c>
      <c r="AH142" s="371"/>
      <c r="AI142" s="370">
        <f>VLOOKUP($AA122,Schlüssel!$A$5:$EK$14,46)</f>
        <v>9</v>
      </c>
      <c r="AJ142" s="371"/>
      <c r="AK142" s="370">
        <f>VLOOKUP($AA122,Schlüssel!$A$5:$EK$14,47)</f>
        <v>10</v>
      </c>
      <c r="AL142" s="371"/>
      <c r="AM142" s="370">
        <f>VLOOKUP($AA122,Schlüssel!$A$5:$EK$14,48)</f>
        <v>8</v>
      </c>
      <c r="AN142" s="371"/>
      <c r="AO142" s="370">
        <f>VLOOKUP($AA122,Schlüssel!$A$5:$EK$14,49)</f>
        <v>3</v>
      </c>
      <c r="AP142" s="371"/>
      <c r="AQ142" s="370">
        <f>VLOOKUP($AA122,Schlüssel!$A$5:$EK$14,50)</f>
        <v>2</v>
      </c>
      <c r="AR142" s="371"/>
      <c r="AS142" s="370">
        <f>VLOOKUP($AA122,Schlüssel!$A$5:$EK$14,51)</f>
        <v>7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58" t="str">
        <f t="shared" si="168"/>
        <v>BC Comet Nürnberg</v>
      </c>
      <c r="E143" s="359" t="str">
        <f t="shared" si="168"/>
        <v/>
      </c>
      <c r="F143" s="358" t="str">
        <f t="shared" si="168"/>
        <v>SG DJK Rimpar</v>
      </c>
      <c r="G143" s="359" t="str">
        <f t="shared" si="168"/>
        <v/>
      </c>
      <c r="H143" s="358" t="str">
        <f t="shared" si="168"/>
        <v>SG Rottendorf 1</v>
      </c>
      <c r="I143" s="359" t="str">
        <f t="shared" si="168"/>
        <v/>
      </c>
      <c r="J143" s="358" t="str">
        <f t="shared" si="168"/>
        <v>Bowlinghaus Bamberg 1</v>
      </c>
      <c r="K143" s="359" t="str">
        <f t="shared" si="168"/>
        <v/>
      </c>
      <c r="L143" s="358" t="str">
        <f t="shared" si="169"/>
        <v>High Roller Rosenheim 1</v>
      </c>
      <c r="M143" s="359" t="str">
        <f t="shared" si="169"/>
        <v/>
      </c>
      <c r="N143" s="358" t="str">
        <f t="shared" si="169"/>
        <v>BC EMAX Unterföhring 2</v>
      </c>
      <c r="O143" s="359" t="str">
        <f t="shared" si="169"/>
        <v/>
      </c>
      <c r="P143" s="358" t="str">
        <f t="shared" si="169"/>
        <v>BK München 3</v>
      </c>
      <c r="Q143" s="359" t="str">
        <f t="shared" si="169"/>
        <v/>
      </c>
      <c r="R143" s="358" t="str">
        <f t="shared" si="169"/>
        <v>Bajuwaren München 1</v>
      </c>
      <c r="S143" s="359" t="str">
        <f t="shared" si="169"/>
        <v/>
      </c>
      <c r="T143" s="358" t="str">
        <f t="shared" si="169"/>
        <v>Schanzer Ingolstadt 1</v>
      </c>
      <c r="U143" s="359" t="str">
        <f t="shared" si="169"/>
        <v/>
      </c>
      <c r="V143" s="363"/>
      <c r="W143" s="363"/>
      <c r="AA143" s="90"/>
      <c r="AB143" s="86"/>
      <c r="AC143" s="358" t="str">
        <f>VLOOKUP(AC142,Schlüssel!$A$5:$K$14,2)</f>
        <v>BC Comet Nürnberg</v>
      </c>
      <c r="AD143" s="359"/>
      <c r="AE143" s="358" t="str">
        <f>VLOOKUP(AE142,Schlüssel!$A$5:$K$14,2)</f>
        <v>SG DJK Rimpar</v>
      </c>
      <c r="AF143" s="359"/>
      <c r="AG143" s="358" t="str">
        <f>VLOOKUP(AG142,Schlüssel!$A$5:$K$14,2)</f>
        <v>SG Rottendorf 1</v>
      </c>
      <c r="AH143" s="359"/>
      <c r="AI143" s="358" t="str">
        <f>VLOOKUP(AI142,Schlüssel!$A$5:$K$14,2)</f>
        <v>Bowlinghaus Bamberg 1</v>
      </c>
      <c r="AJ143" s="359"/>
      <c r="AK143" s="358" t="str">
        <f>VLOOKUP(AK142,Schlüssel!$A$5:$K$14,2)</f>
        <v>High Roller Rosenheim 1</v>
      </c>
      <c r="AL143" s="359"/>
      <c r="AM143" s="358" t="str">
        <f>VLOOKUP(AM142,Schlüssel!$A$5:$K$14,2)</f>
        <v>BC EMAX Unterföhring 2</v>
      </c>
      <c r="AN143" s="359"/>
      <c r="AO143" s="358" t="str">
        <f>VLOOKUP(AO142,Schlüssel!$A$5:$K$14,2)</f>
        <v>BK München 3</v>
      </c>
      <c r="AP143" s="359"/>
      <c r="AQ143" s="358" t="str">
        <f>VLOOKUP(AQ142,Schlüssel!$A$5:$K$14,2)</f>
        <v>Bajuwaren München 1</v>
      </c>
      <c r="AR143" s="359"/>
      <c r="AS143" s="358" t="str">
        <f>VLOOKUP(AS142,Schlüssel!$A$5:$K$14,2)</f>
        <v>Schanzer Ingolstadt 1</v>
      </c>
      <c r="AT143" s="359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60" t="str">
        <f t="shared" si="168"/>
        <v/>
      </c>
      <c r="E144" s="360" t="str">
        <f t="shared" si="168"/>
        <v/>
      </c>
      <c r="F144" s="360" t="str">
        <f t="shared" si="168"/>
        <v/>
      </c>
      <c r="G144" s="360" t="str">
        <f t="shared" si="168"/>
        <v/>
      </c>
      <c r="H144" s="360" t="str">
        <f t="shared" si="168"/>
        <v/>
      </c>
      <c r="I144" s="360" t="str">
        <f t="shared" si="168"/>
        <v/>
      </c>
      <c r="J144" s="360" t="str">
        <f t="shared" si="168"/>
        <v/>
      </c>
      <c r="K144" s="360" t="str">
        <f t="shared" si="168"/>
        <v/>
      </c>
      <c r="L144" s="360" t="str">
        <f t="shared" si="169"/>
        <v/>
      </c>
      <c r="M144" s="360" t="str">
        <f t="shared" si="169"/>
        <v/>
      </c>
      <c r="N144" s="360" t="str">
        <f t="shared" si="169"/>
        <v/>
      </c>
      <c r="O144" s="360" t="str">
        <f t="shared" si="169"/>
        <v/>
      </c>
      <c r="P144" s="360" t="str">
        <f t="shared" si="169"/>
        <v/>
      </c>
      <c r="Q144" s="360" t="str">
        <f t="shared" si="169"/>
        <v/>
      </c>
      <c r="R144" s="360" t="str">
        <f t="shared" si="169"/>
        <v/>
      </c>
      <c r="S144" s="360" t="str">
        <f t="shared" si="169"/>
        <v/>
      </c>
      <c r="T144" s="360" t="str">
        <f t="shared" si="169"/>
        <v/>
      </c>
      <c r="U144" s="361" t="str">
        <f t="shared" si="169"/>
        <v/>
      </c>
      <c r="V144" s="298"/>
      <c r="W144" s="298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4" t="str">
        <f t="shared" ref="B145:C149" si="170">IF(AA145=0,"",AA145)</f>
        <v>Spieler 1</v>
      </c>
      <c r="C145" s="375" t="str">
        <f t="shared" si="170"/>
        <v/>
      </c>
      <c r="D145" s="362">
        <f>IF(AC145=301,"",AC145)</f>
        <v>164</v>
      </c>
      <c r="E145" s="362" t="str">
        <f>IF(AD145=0,"",AD145)</f>
        <v/>
      </c>
      <c r="F145" s="362">
        <f>IF(AE145=301,"",AE145)</f>
        <v>192</v>
      </c>
      <c r="G145" s="362" t="str">
        <f>IF(AF145=0,"",AF145)</f>
        <v/>
      </c>
      <c r="H145" s="362">
        <f>IF(AG145=301,"",AG145)</f>
        <v>167</v>
      </c>
      <c r="I145" s="362" t="str">
        <f>IF(AH145=0,"",AH145)</f>
        <v/>
      </c>
      <c r="J145" s="362">
        <f>IF(AI145=301,"",AI145)</f>
        <v>188</v>
      </c>
      <c r="K145" s="362" t="str">
        <f>IF(AJ145=0,"",AJ145)</f>
        <v/>
      </c>
      <c r="L145" s="362">
        <f>IF(AK145=301,"",AK145)</f>
        <v>216</v>
      </c>
      <c r="M145" s="362" t="str">
        <f>IF(AL145=0,"",AL145)</f>
        <v/>
      </c>
      <c r="N145" s="362">
        <f>IF(AM145=301,"",AM145)</f>
        <v>155</v>
      </c>
      <c r="O145" s="362" t="str">
        <f>IF(AN145=0,"",AN145)</f>
        <v/>
      </c>
      <c r="P145" s="362">
        <f>IF(AO145=301,"",AO145)</f>
        <v>184</v>
      </c>
      <c r="Q145" s="362" t="str">
        <f>IF(AP145=0,"",AP145)</f>
        <v/>
      </c>
      <c r="R145" s="362">
        <f>IF(AQ145=301,"",AQ145)</f>
        <v>200</v>
      </c>
      <c r="S145" s="362" t="str">
        <f>IF(AR145=0,"",AR145)</f>
        <v/>
      </c>
      <c r="T145" s="362">
        <f>IF(AS145=301,"",AS145)</f>
        <v>148</v>
      </c>
      <c r="U145" s="362" t="str">
        <f>IF(AT145=0,"",AT145)</f>
        <v/>
      </c>
      <c r="V145" s="364"/>
      <c r="W145" s="364"/>
      <c r="AA145" s="91" t="s">
        <v>0</v>
      </c>
      <c r="AB145" s="92"/>
      <c r="AC145" s="368">
        <f>ABS(INDEX(AC:AC,MATCH(AC142,$AA:$AA,0)+5)+INDEX(AC:AC,MATCH(AC142,$AA:$AA,0)+6)+INDEX(AC:AC,MATCH(AC142,$AA:$AA,0)+7))</f>
        <v>164</v>
      </c>
      <c r="AD145" s="369"/>
      <c r="AE145" s="368">
        <f>ABS(INDEX(AE:AE,MATCH(AE142,$AA:$AA,0)+5)+INDEX(AE:AE,MATCH(AE142,$AA:$AA,0)+6)+INDEX(AE:AE,MATCH(AE142,$AA:$AA,0)+7))</f>
        <v>192</v>
      </c>
      <c r="AF145" s="369"/>
      <c r="AG145" s="368">
        <f>ABS(INDEX(AG:AG,MATCH(AG142,$AA:$AA,0)+5)+INDEX(AG:AG,MATCH(AG142,$AA:$AA,0)+6)+INDEX(AG:AG,MATCH(AG142,$AA:$AA,0)+7))</f>
        <v>167</v>
      </c>
      <c r="AH145" s="369"/>
      <c r="AI145" s="368">
        <f>ABS(INDEX(AI:AI,MATCH(AI142,$AA:$AA,0)+5)+INDEX(AI:AI,MATCH(AI142,$AA:$AA,0)+6)+INDEX(AI:AI,MATCH(AI142,$AA:$AA,0)+7))</f>
        <v>188</v>
      </c>
      <c r="AJ145" s="369"/>
      <c r="AK145" s="368">
        <f>ABS(INDEX(AK:AK,MATCH(AK142,$AA:$AA,0)+5)+INDEX(AK:AK,MATCH(AK142,$AA:$AA,0)+6)+INDEX(AK:AK,MATCH(AK142,$AA:$AA,0)+7))</f>
        <v>216</v>
      </c>
      <c r="AL145" s="369"/>
      <c r="AM145" s="368">
        <f>ABS(INDEX(AM:AM,MATCH(AM142,$AA:$AA,0)+5)+INDEX(AM:AM,MATCH(AM142,$AA:$AA,0)+6)+INDEX(AM:AM,MATCH(AM142,$AA:$AA,0)+7))</f>
        <v>155</v>
      </c>
      <c r="AN145" s="369"/>
      <c r="AO145" s="368">
        <f>ABS(INDEX(AO:AO,MATCH(AO142,$AA:$AA,0)+5)+INDEX(AO:AO,MATCH(AO142,$AA:$AA,0)+6)+INDEX(AO:AO,MATCH(AO142,$AA:$AA,0)+7))</f>
        <v>184</v>
      </c>
      <c r="AP145" s="369"/>
      <c r="AQ145" s="368">
        <f>ABS(INDEX(AQ:AQ,MATCH(AQ142,$AA:$AA,0)+5)+INDEX(AQ:AQ,MATCH(AQ142,$AA:$AA,0)+6)+INDEX(AQ:AQ,MATCH(AQ142,$AA:$AA,0)+7))</f>
        <v>200</v>
      </c>
      <c r="AR145" s="369"/>
      <c r="AS145" s="368">
        <f>ABS(INDEX(AS:AS,MATCH(AS142,$AA:$AA,0)+5)+INDEX(AS:AS,MATCH(AS142,$AA:$AA,0)+6)+INDEX(AS:AS,MATCH(AS142,$AA:$AA,0)+7))</f>
        <v>148</v>
      </c>
      <c r="AT145" s="369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4" t="str">
        <f t="shared" si="170"/>
        <v>Spieler 2</v>
      </c>
      <c r="C146" s="375" t="str">
        <f t="shared" si="170"/>
        <v/>
      </c>
      <c r="D146" s="362">
        <f>IF(AC146=301,"",AC146)</f>
        <v>183</v>
      </c>
      <c r="E146" s="362" t="str">
        <f>IF(AD146=0,"",AD146)</f>
        <v/>
      </c>
      <c r="F146" s="362">
        <f>IF(AE146=301,"",AE146)</f>
        <v>198</v>
      </c>
      <c r="G146" s="362" t="str">
        <f>IF(AF146=0,"",AF146)</f>
        <v/>
      </c>
      <c r="H146" s="362">
        <f>IF(AG146=301,"",AG146)</f>
        <v>216</v>
      </c>
      <c r="I146" s="362" t="str">
        <f>IF(AH146=0,"",AH146)</f>
        <v/>
      </c>
      <c r="J146" s="362">
        <f>IF(AI146=301,"",AI146)</f>
        <v>180</v>
      </c>
      <c r="K146" s="362" t="str">
        <f>IF(AJ146=0,"",AJ146)</f>
        <v/>
      </c>
      <c r="L146" s="362">
        <f>IF(AK146=301,"",AK146)</f>
        <v>174</v>
      </c>
      <c r="M146" s="362" t="str">
        <f>IF(AL146=0,"",AL146)</f>
        <v/>
      </c>
      <c r="N146" s="362">
        <f>IF(AM146=301,"",AM146)</f>
        <v>198</v>
      </c>
      <c r="O146" s="362" t="str">
        <f>IF(AN146=0,"",AN146)</f>
        <v/>
      </c>
      <c r="P146" s="362">
        <f>IF(AO146=301,"",AO146)</f>
        <v>180</v>
      </c>
      <c r="Q146" s="362" t="str">
        <f>IF(AP146=0,"",AP146)</f>
        <v/>
      </c>
      <c r="R146" s="362">
        <f>IF(AQ146=301,"",AQ146)</f>
        <v>212</v>
      </c>
      <c r="S146" s="362" t="str">
        <f>IF(AR146=0,"",AR146)</f>
        <v/>
      </c>
      <c r="T146" s="362">
        <f>IF(AS146=301,"",AS146)</f>
        <v>167</v>
      </c>
      <c r="U146" s="362" t="str">
        <f>IF(AT146=0,"",AT146)</f>
        <v/>
      </c>
      <c r="V146" s="364"/>
      <c r="W146" s="364"/>
      <c r="AA146" s="91" t="s">
        <v>2</v>
      </c>
      <c r="AB146" s="92"/>
      <c r="AC146" s="366">
        <f>ABS(INDEX(AC:AC,MATCH(AC142,$AA:$AA,0)+8)+INDEX(AC:AC,MATCH(AC142,$AA:$AA,0)+9)+INDEX(AC:AC,MATCH(AC142,$AA:$AA,0)+10))</f>
        <v>183</v>
      </c>
      <c r="AD146" s="367"/>
      <c r="AE146" s="366">
        <f>ABS(INDEX(AE:AE,MATCH(AE142,$AA:$AA,0)+8)+INDEX(AE:AE,MATCH(AE142,$AA:$AA,0)+9)+INDEX(AE:AE,MATCH(AE142,$AA:$AA,0)+10))</f>
        <v>198</v>
      </c>
      <c r="AF146" s="367"/>
      <c r="AG146" s="366">
        <f>ABS(INDEX(AG:AG,MATCH(AG142,$AA:$AA,0)+8)+INDEX(AG:AG,MATCH(AG142,$AA:$AA,0)+9)+INDEX(AG:AG,MATCH(AG142,$AA:$AA,0)+10))</f>
        <v>216</v>
      </c>
      <c r="AH146" s="367"/>
      <c r="AI146" s="366">
        <f>ABS(INDEX(AI:AI,MATCH(AI142,$AA:$AA,0)+8)+INDEX(AI:AI,MATCH(AI142,$AA:$AA,0)+9)+INDEX(AI:AI,MATCH(AI142,$AA:$AA,0)+10))</f>
        <v>180</v>
      </c>
      <c r="AJ146" s="367"/>
      <c r="AK146" s="366">
        <f>ABS(INDEX(AK:AK,MATCH(AK142,$AA:$AA,0)+8)+INDEX(AK:AK,MATCH(AK142,$AA:$AA,0)+9)+INDEX(AK:AK,MATCH(AK142,$AA:$AA,0)+10))</f>
        <v>174</v>
      </c>
      <c r="AL146" s="367"/>
      <c r="AM146" s="366">
        <f>ABS(INDEX(AM:AM,MATCH(AM142,$AA:$AA,0)+8)+INDEX(AM:AM,MATCH(AM142,$AA:$AA,0)+9)+INDEX(AM:AM,MATCH(AM142,$AA:$AA,0)+10))</f>
        <v>198</v>
      </c>
      <c r="AN146" s="367"/>
      <c r="AO146" s="366">
        <f>ABS(INDEX(AO:AO,MATCH(AO142,$AA:$AA,0)+8)+INDEX(AO:AO,MATCH(AO142,$AA:$AA,0)+9)+INDEX(AO:AO,MATCH(AO142,$AA:$AA,0)+10))</f>
        <v>180</v>
      </c>
      <c r="AP146" s="367"/>
      <c r="AQ146" s="366">
        <f>ABS(INDEX(AQ:AQ,MATCH(AQ142,$AA:$AA,0)+8)+INDEX(AQ:AQ,MATCH(AQ142,$AA:$AA,0)+9)+INDEX(AQ:AQ,MATCH(AQ142,$AA:$AA,0)+10))</f>
        <v>212</v>
      </c>
      <c r="AR146" s="367"/>
      <c r="AS146" s="366">
        <f>ABS(INDEX(AS:AS,MATCH(AS142,$AA:$AA,0)+8)+INDEX(AS:AS,MATCH(AS142,$AA:$AA,0)+9)+INDEX(AS:AS,MATCH(AS142,$AA:$AA,0)+10))</f>
        <v>167</v>
      </c>
      <c r="AT146" s="367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4" t="str">
        <f t="shared" si="170"/>
        <v>Spieler 3</v>
      </c>
      <c r="C147" s="375" t="str">
        <f t="shared" si="170"/>
        <v/>
      </c>
      <c r="D147" s="362">
        <f>IF(AC147=301,"",AC147)</f>
        <v>221</v>
      </c>
      <c r="E147" s="362" t="str">
        <f>IF(AD147=0,"",AD147)</f>
        <v/>
      </c>
      <c r="F147" s="362">
        <f>IF(AE147=301,"",AE147)</f>
        <v>191</v>
      </c>
      <c r="G147" s="362" t="str">
        <f>IF(AF147=0,"",AF147)</f>
        <v/>
      </c>
      <c r="H147" s="362">
        <f>IF(AG147=301,"",AG147)</f>
        <v>182</v>
      </c>
      <c r="I147" s="362" t="str">
        <f>IF(AH147=0,"",AH147)</f>
        <v/>
      </c>
      <c r="J147" s="362">
        <f>IF(AI147=301,"",AI147)</f>
        <v>193</v>
      </c>
      <c r="K147" s="362" t="str">
        <f>IF(AJ147=0,"",AJ147)</f>
        <v/>
      </c>
      <c r="L147" s="362">
        <f>IF(AK147=301,"",AK147)</f>
        <v>212</v>
      </c>
      <c r="M147" s="362" t="str">
        <f>IF(AL147=0,"",AL147)</f>
        <v/>
      </c>
      <c r="N147" s="362">
        <f>IF(AM147=301,"",AM147)</f>
        <v>186</v>
      </c>
      <c r="O147" s="362" t="str">
        <f>IF(AN147=0,"",AN147)</f>
        <v/>
      </c>
      <c r="P147" s="362">
        <f>IF(AO147=301,"",AO147)</f>
        <v>244</v>
      </c>
      <c r="Q147" s="362" t="str">
        <f>IF(AP147=0,"",AP147)</f>
        <v/>
      </c>
      <c r="R147" s="362">
        <f>IF(AQ147=301,"",AQ147)</f>
        <v>174</v>
      </c>
      <c r="S147" s="362" t="str">
        <f>IF(AR147=0,"",AR147)</f>
        <v/>
      </c>
      <c r="T147" s="362">
        <f>IF(AS147=301,"",AS147)</f>
        <v>178</v>
      </c>
      <c r="U147" s="362" t="str">
        <f>IF(AT147=0,"",AT147)</f>
        <v/>
      </c>
      <c r="V147" s="364"/>
      <c r="W147" s="364"/>
      <c r="AA147" s="91" t="s">
        <v>3</v>
      </c>
      <c r="AB147" s="92"/>
      <c r="AC147" s="366">
        <f>ABS(INDEX(AC:AC,MATCH(AC142,$AA:$AA,0)+11)+INDEX(AC:AC,MATCH(AC142,$AA:$AA,0)+12)+INDEX(AC:AC,MATCH(AC142,$AA:$AA,0)+13))</f>
        <v>221</v>
      </c>
      <c r="AD147" s="367"/>
      <c r="AE147" s="366">
        <f>ABS(INDEX(AE:AE,MATCH(AE142,$AA:$AA,0)+11)+INDEX(AE:AE,MATCH(AE142,$AA:$AA,0)+12)+INDEX(AE:AE,MATCH(AE142,$AA:$AA,0)+13))</f>
        <v>191</v>
      </c>
      <c r="AF147" s="367"/>
      <c r="AG147" s="366">
        <f>ABS(INDEX(AG:AG,MATCH(AG142,$AA:$AA,0)+11)+INDEX(AG:AG,MATCH(AG142,$AA:$AA,0)+12)+INDEX(AG:AG,MATCH(AG142,$AA:$AA,0)+13))</f>
        <v>182</v>
      </c>
      <c r="AH147" s="367"/>
      <c r="AI147" s="366">
        <f>ABS(INDEX(AI:AI,MATCH(AI142,$AA:$AA,0)+11)+INDEX(AI:AI,MATCH(AI142,$AA:$AA,0)+12)+INDEX(AI:AI,MATCH(AI142,$AA:$AA,0)+13))</f>
        <v>193</v>
      </c>
      <c r="AJ147" s="367"/>
      <c r="AK147" s="366">
        <f>ABS(INDEX(AK:AK,MATCH(AK142,$AA:$AA,0)+11)+INDEX(AK:AK,MATCH(AK142,$AA:$AA,0)+12)+INDEX(AK:AK,MATCH(AK142,$AA:$AA,0)+13))</f>
        <v>212</v>
      </c>
      <c r="AL147" s="367"/>
      <c r="AM147" s="366">
        <f>ABS(INDEX(AM:AM,MATCH(AM142,$AA:$AA,0)+11)+INDEX(AM:AM,MATCH(AM142,$AA:$AA,0)+12)+INDEX(AM:AM,MATCH(AM142,$AA:$AA,0)+13))</f>
        <v>186</v>
      </c>
      <c r="AN147" s="367"/>
      <c r="AO147" s="366">
        <f>ABS(INDEX(AO:AO,MATCH(AO142,$AA:$AA,0)+11)+INDEX(AO:AO,MATCH(AO142,$AA:$AA,0)+12)+INDEX(AO:AO,MATCH(AO142,$AA:$AA,0)+13))</f>
        <v>244</v>
      </c>
      <c r="AP147" s="367"/>
      <c r="AQ147" s="366">
        <f>ABS(INDEX(AQ:AQ,MATCH(AQ142,$AA:$AA,0)+11)+INDEX(AQ:AQ,MATCH(AQ142,$AA:$AA,0)+12)+INDEX(AQ:AQ,MATCH(AQ142,$AA:$AA,0)+13))</f>
        <v>174</v>
      </c>
      <c r="AR147" s="367"/>
      <c r="AS147" s="366">
        <f>ABS(INDEX(AS:AS,MATCH(AS142,$AA:$AA,0)+11)+INDEX(AS:AS,MATCH(AS142,$AA:$AA,0)+12)+INDEX(AS:AS,MATCH(AS142,$AA:$AA,0)+13))</f>
        <v>178</v>
      </c>
      <c r="AT147" s="367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4" t="str">
        <f t="shared" si="170"/>
        <v>Spieler 4</v>
      </c>
      <c r="C148" s="375" t="str">
        <f t="shared" si="170"/>
        <v/>
      </c>
      <c r="D148" s="362">
        <f>IF(AC148=301,"",AC148)</f>
        <v>215</v>
      </c>
      <c r="E148" s="362" t="str">
        <f>IF(AD148=0,"",AD148)</f>
        <v/>
      </c>
      <c r="F148" s="362">
        <f>IF(AE148=301,"",AE148)</f>
        <v>212</v>
      </c>
      <c r="G148" s="362" t="str">
        <f>IF(AF148=0,"",AF148)</f>
        <v/>
      </c>
      <c r="H148" s="362">
        <f>IF(AG148=301,"",AG148)</f>
        <v>190</v>
      </c>
      <c r="I148" s="362" t="str">
        <f>IF(AH148=0,"",AH148)</f>
        <v/>
      </c>
      <c r="J148" s="362">
        <f>IF(AI148=301,"",AI148)</f>
        <v>216</v>
      </c>
      <c r="K148" s="362" t="str">
        <f>IF(AJ148=0,"",AJ148)</f>
        <v/>
      </c>
      <c r="L148" s="362">
        <f>IF(AK148=301,"",AK148)</f>
        <v>222</v>
      </c>
      <c r="M148" s="362" t="str">
        <f>IF(AL148=0,"",AL148)</f>
        <v/>
      </c>
      <c r="N148" s="362">
        <f>IF(AM148=301,"",AM148)</f>
        <v>221</v>
      </c>
      <c r="O148" s="362" t="str">
        <f>IF(AN148=0,"",AN148)</f>
        <v/>
      </c>
      <c r="P148" s="362">
        <f>IF(AO148=301,"",AO148)</f>
        <v>195</v>
      </c>
      <c r="Q148" s="362" t="str">
        <f>IF(AP148=0,"",AP148)</f>
        <v/>
      </c>
      <c r="R148" s="362">
        <f>IF(AQ148=301,"",AQ148)</f>
        <v>167</v>
      </c>
      <c r="S148" s="362" t="str">
        <f>IF(AR148=0,"",AR148)</f>
        <v/>
      </c>
      <c r="T148" s="362">
        <f>IF(AS148=301,"",AS148)</f>
        <v>209</v>
      </c>
      <c r="U148" s="362" t="str">
        <f>IF(AT148=0,"",AT148)</f>
        <v/>
      </c>
      <c r="V148" s="364"/>
      <c r="W148" s="364"/>
      <c r="AA148" s="91" t="s">
        <v>11</v>
      </c>
      <c r="AB148" s="92"/>
      <c r="AC148" s="366">
        <f>ABS(INDEX(AC:AC,MATCH(AC142,$AA:$AA,0)+14)+INDEX(AC:AC,MATCH(AC142,$AA:$AA,0)+15)+INDEX(AC:AC,MATCH(AC142,$AA:$AA,0)+16))</f>
        <v>215</v>
      </c>
      <c r="AD148" s="367"/>
      <c r="AE148" s="366">
        <f>ABS(INDEX(AE:AE,MATCH(AE142,$AA:$AA,0)+14)+INDEX(AE:AE,MATCH(AE142,$AA:$AA,0)+15)+INDEX(AE:AE,MATCH(AE142,$AA:$AA,0)+16))</f>
        <v>212</v>
      </c>
      <c r="AF148" s="367"/>
      <c r="AG148" s="366">
        <f>ABS(INDEX(AG:AG,MATCH(AG142,$AA:$AA,0)+14)+INDEX(AG:AG,MATCH(AG142,$AA:$AA,0)+15)+INDEX(AG:AG,MATCH(AG142,$AA:$AA,0)+16))</f>
        <v>190</v>
      </c>
      <c r="AH148" s="367"/>
      <c r="AI148" s="366">
        <f>ABS(INDEX(AI:AI,MATCH(AI142,$AA:$AA,0)+14)+INDEX(AI:AI,MATCH(AI142,$AA:$AA,0)+15)+INDEX(AI:AI,MATCH(AI142,$AA:$AA,0)+16))</f>
        <v>216</v>
      </c>
      <c r="AJ148" s="367"/>
      <c r="AK148" s="366">
        <f>ABS(INDEX(AK:AK,MATCH(AK142,$AA:$AA,0)+14)+INDEX(AK:AK,MATCH(AK142,$AA:$AA,0)+15)+INDEX(AK:AK,MATCH(AK142,$AA:$AA,0)+16))</f>
        <v>222</v>
      </c>
      <c r="AL148" s="367"/>
      <c r="AM148" s="366">
        <f>ABS(INDEX(AM:AM,MATCH(AM142,$AA:$AA,0)+14)+INDEX(AM:AM,MATCH(AM142,$AA:$AA,0)+15)+INDEX(AM:AM,MATCH(AM142,$AA:$AA,0)+16))</f>
        <v>221</v>
      </c>
      <c r="AN148" s="367"/>
      <c r="AO148" s="366">
        <f>ABS(INDEX(AO:AO,MATCH(AO142,$AA:$AA,0)+14)+INDEX(AO:AO,MATCH(AO142,$AA:$AA,0)+15)+INDEX(AO:AO,MATCH(AO142,$AA:$AA,0)+16))</f>
        <v>195</v>
      </c>
      <c r="AP148" s="367"/>
      <c r="AQ148" s="366">
        <f>ABS(INDEX(AQ:AQ,MATCH(AQ142,$AA:$AA,0)+14)+INDEX(AQ:AQ,MATCH(AQ142,$AA:$AA,0)+15)+INDEX(AQ:AQ,MATCH(AQ142,$AA:$AA,0)+16))</f>
        <v>167</v>
      </c>
      <c r="AR148" s="367"/>
      <c r="AS148" s="366">
        <f>ABS(INDEX(AS:AS,MATCH(AS142,$AA:$AA,0)+14)+INDEX(AS:AS,MATCH(AS142,$AA:$AA,0)+15)+INDEX(AS:AS,MATCH(AS142,$AA:$AA,0)+16))</f>
        <v>209</v>
      </c>
      <c r="AT148" s="367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6" t="str">
        <f t="shared" si="170"/>
        <v>Gesamt</v>
      </c>
      <c r="C149" s="347" t="str">
        <f t="shared" si="170"/>
        <v/>
      </c>
      <c r="D149" s="365">
        <f>IF(AC149=1505,"",AC149)</f>
        <v>783</v>
      </c>
      <c r="E149" s="365" t="str">
        <f>IF(AD149=0,"",AD149)</f>
        <v/>
      </c>
      <c r="F149" s="365">
        <f>IF(AE149=1505,"",AE149)</f>
        <v>793</v>
      </c>
      <c r="G149" s="365" t="str">
        <f>IF(AF149=0,"",AF149)</f>
        <v/>
      </c>
      <c r="H149" s="365">
        <f>IF(AG149=1505,"",AG149)</f>
        <v>755</v>
      </c>
      <c r="I149" s="365" t="str">
        <f>IF(AH149=0,"",AH149)</f>
        <v/>
      </c>
      <c r="J149" s="365">
        <f>IF(AI149=1505,"",AI149)</f>
        <v>777</v>
      </c>
      <c r="K149" s="365" t="str">
        <f>IF(AJ149=0,"",AJ149)</f>
        <v/>
      </c>
      <c r="L149" s="365">
        <f>IF(AK149=1505,"",AK149)</f>
        <v>824</v>
      </c>
      <c r="M149" s="365" t="str">
        <f>IF(AL149=0,"",AL149)</f>
        <v/>
      </c>
      <c r="N149" s="365">
        <f>IF(AM149=1505,"",AM149)</f>
        <v>760</v>
      </c>
      <c r="O149" s="365" t="str">
        <f>IF(AN149=0,"",AN149)</f>
        <v/>
      </c>
      <c r="P149" s="365">
        <f>IF(AO149=1505,"",AO149)</f>
        <v>803</v>
      </c>
      <c r="Q149" s="365" t="str">
        <f>IF(AP149=0,"",AP149)</f>
        <v/>
      </c>
      <c r="R149" s="365">
        <f>IF(AQ149=1505,"",AQ149)</f>
        <v>753</v>
      </c>
      <c r="S149" s="365" t="str">
        <f>IF(AR149=0,"",AR149)</f>
        <v/>
      </c>
      <c r="T149" s="365">
        <f>IF(AS149=1505,"",AS149)</f>
        <v>702</v>
      </c>
      <c r="U149" s="365" t="str">
        <f>IF(AT149=0,"",AT149)</f>
        <v/>
      </c>
      <c r="V149" s="301"/>
      <c r="W149" s="301"/>
      <c r="AA149" s="93" t="s">
        <v>1799</v>
      </c>
      <c r="AB149" s="94"/>
      <c r="AC149" s="346">
        <f>SUM(AC145:AC148)</f>
        <v>783</v>
      </c>
      <c r="AD149" s="347"/>
      <c r="AE149" s="346">
        <f>SUM(AE145:AE148)</f>
        <v>793</v>
      </c>
      <c r="AF149" s="347"/>
      <c r="AG149" s="346">
        <f>SUM(AG145:AG148)</f>
        <v>755</v>
      </c>
      <c r="AH149" s="347"/>
      <c r="AI149" s="346">
        <f>SUM(AI145:AI148)</f>
        <v>777</v>
      </c>
      <c r="AJ149" s="347"/>
      <c r="AK149" s="346">
        <f>SUM(AK145:AK148)</f>
        <v>824</v>
      </c>
      <c r="AL149" s="347"/>
      <c r="AM149" s="346">
        <f>SUM(AM145:AM148)</f>
        <v>760</v>
      </c>
      <c r="AN149" s="347"/>
      <c r="AO149" s="346">
        <f>SUM(AO145:AO148)</f>
        <v>803</v>
      </c>
      <c r="AP149" s="347"/>
      <c r="AQ149" s="346">
        <f>SUM(AQ145:AQ148)</f>
        <v>753</v>
      </c>
      <c r="AR149" s="347"/>
      <c r="AS149" s="346">
        <f>SUM(AS145:AS148)</f>
        <v>702</v>
      </c>
      <c r="AT149" s="347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5" t="str">
        <f>AE151</f>
        <v>Bayernliga Herren</v>
      </c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48"/>
      <c r="S151" s="49" t="s">
        <v>1794</v>
      </c>
      <c r="T151" s="50"/>
      <c r="U151" s="341" t="str">
        <f>AT151</f>
        <v>01.02./02.02.</v>
      </c>
      <c r="V151" s="342"/>
      <c r="W151" s="343"/>
      <c r="X151" s="372"/>
      <c r="Y151" s="373"/>
      <c r="Z151" s="373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41" t="str">
        <f>VLOOKUP(AS152,Spielorte!$A$1:$C$6,2)</f>
        <v>01.02./02.02.</v>
      </c>
      <c r="AU151" s="342"/>
      <c r="AV151" s="34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4" t="str">
        <f>AE152</f>
        <v>Unterföhring Dreambowl Palace</v>
      </c>
      <c r="G152" s="344"/>
      <c r="H152" s="344"/>
      <c r="I152" s="344"/>
      <c r="J152" s="344"/>
      <c r="K152" s="344"/>
      <c r="L152" s="344"/>
      <c r="M152" s="344"/>
      <c r="N152" s="344"/>
      <c r="O152" s="344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6" t="s">
        <v>1800</v>
      </c>
      <c r="E155" s="347"/>
      <c r="F155" s="346" t="s">
        <v>1801</v>
      </c>
      <c r="G155" s="347"/>
      <c r="H155" s="346" t="s">
        <v>1802</v>
      </c>
      <c r="I155" s="347"/>
      <c r="J155" s="346" t="s">
        <v>1803</v>
      </c>
      <c r="K155" s="347"/>
      <c r="L155" s="346" t="s">
        <v>1804</v>
      </c>
      <c r="M155" s="347"/>
      <c r="N155" s="346" t="s">
        <v>1805</v>
      </c>
      <c r="O155" s="347"/>
      <c r="P155" s="346" t="s">
        <v>1806</v>
      </c>
      <c r="Q155" s="347"/>
      <c r="R155" s="346" t="s">
        <v>1807</v>
      </c>
      <c r="S155" s="347"/>
      <c r="T155" s="346" t="s">
        <v>1808</v>
      </c>
      <c r="U155" s="347"/>
      <c r="V155" s="354" t="s">
        <v>1799</v>
      </c>
      <c r="W155" s="355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6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172</v>
      </c>
      <c r="E157" s="348">
        <f>IF(AD157="","",AD157)</f>
        <v>0</v>
      </c>
      <c r="F157" s="75">
        <f t="shared" ref="F157:F170" si="171">IF(AE157=0,"",AE157)</f>
        <v>182</v>
      </c>
      <c r="G157" s="348">
        <f>IF(AF157="","",AF157)</f>
        <v>1</v>
      </c>
      <c r="H157" s="75">
        <f t="shared" ref="H157:H170" si="172">IF(AG157=0,"",AG157)</f>
        <v>167</v>
      </c>
      <c r="I157" s="348">
        <f>IF(AH157="","",AH157)</f>
        <v>0</v>
      </c>
      <c r="J157" s="75">
        <f t="shared" ref="J157:J170" si="173">IF(AI157=0,"",AI157)</f>
        <v>213</v>
      </c>
      <c r="K157" s="348">
        <f>IF(AJ157="","",AJ157)</f>
        <v>1</v>
      </c>
      <c r="L157" s="75">
        <f t="shared" ref="L157:L170" si="174">IF(AK157=0,"",AK157)</f>
        <v>158</v>
      </c>
      <c r="M157" s="348">
        <f>IF(AL157="","",AL157)</f>
        <v>0</v>
      </c>
      <c r="N157" s="75">
        <f>IF(AM157=0,"",AM157)</f>
        <v>151</v>
      </c>
      <c r="O157" s="348">
        <f>IF(AN157="","",AN157)</f>
        <v>0</v>
      </c>
      <c r="P157" s="75">
        <f t="shared" ref="P157:P170" si="175">IF(AO157=0,"",AO157)</f>
        <v>224</v>
      </c>
      <c r="Q157" s="348">
        <f>IF(AP157="","",AP157)</f>
        <v>1</v>
      </c>
      <c r="R157" s="75">
        <f t="shared" ref="R157:R170" si="176">IF(AQ157=0,"",AQ157)</f>
        <v>185</v>
      </c>
      <c r="S157" s="348">
        <f>IF(AR157="","",AR157)</f>
        <v>1</v>
      </c>
      <c r="T157" s="75">
        <f t="shared" ref="T157:T170" si="177">IF(AS157=0,"",AS157)</f>
        <v>190</v>
      </c>
      <c r="U157" s="348">
        <f>IF(AT157="","",AT157)</f>
        <v>0</v>
      </c>
      <c r="V157" s="75">
        <f t="shared" ref="V157:V170" si="178">IF(AU157=0,"",AU157)</f>
        <v>1642</v>
      </c>
      <c r="W157" s="348">
        <f>IF(AV157="","",AV157)</f>
        <v>4</v>
      </c>
      <c r="Z157" s="351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172</v>
      </c>
      <c r="AD157" s="109">
        <f>IF(SUM(AC157:AC159)+AC175=0,0,IF(SUM(AC157:AC159)=AC175,0.5,IF(SUM(AC157:AC159)&gt;AC175,1,0)))</f>
        <v>0</v>
      </c>
      <c r="AE157" s="185">
        <v>182</v>
      </c>
      <c r="AF157" s="109">
        <f>IF(SUM(AE157:AE159)+AE175=0,0,IF(SUM(AE157:AE159)=AE175,0.5,IF(SUM(AE157:AE159)&gt;AE175,1,0)))</f>
        <v>1</v>
      </c>
      <c r="AG157" s="185">
        <v>167</v>
      </c>
      <c r="AH157" s="109">
        <f>IF(SUM(AG157:AG159)+AG175=0,0,IF(SUM(AG157:AG159)=AG175,0.5,IF(SUM(AG157:AG159)&gt;AG175,1,0)))</f>
        <v>0</v>
      </c>
      <c r="AI157" s="185">
        <v>213</v>
      </c>
      <c r="AJ157" s="109">
        <f>IF(SUM(AI157:AI159)+AI175=0,0,IF(SUM(AI157:AI159)=AI175,0.5,IF(SUM(AI157:AI159)&gt;AI175,1,0)))</f>
        <v>1</v>
      </c>
      <c r="AK157" s="185">
        <v>158</v>
      </c>
      <c r="AL157" s="109">
        <f>IF(SUM(AK157:AK159)+AK175=0,0,IF(SUM(AK157:AK159)=AK175,0.5,IF(SUM(AK157:AK159)&gt;AK175,1,0)))</f>
        <v>0</v>
      </c>
      <c r="AM157" s="185">
        <v>151</v>
      </c>
      <c r="AN157" s="109">
        <f>IF(SUM(AM157:AM159)+AM175=0,0,IF(SUM(AM157:AM159)=AM175,0.5,IF(SUM(AM157:AM159)&gt;AM175,1,0)))</f>
        <v>0</v>
      </c>
      <c r="AO157" s="185">
        <v>224</v>
      </c>
      <c r="AP157" s="109">
        <f>IF(SUM(AO157:AO159)+AO175=0,0,IF(SUM(AO157:AO159)=AO175,0.5,IF(SUM(AO157:AO159)&gt;AO175,1,0)))</f>
        <v>1</v>
      </c>
      <c r="AQ157" s="185">
        <v>185</v>
      </c>
      <c r="AR157" s="109">
        <f>IF(SUM(AQ157:AQ159)+AQ175=0,0,IF(SUM(AQ157:AQ159)=AQ175,0.5,IF(SUM(AQ157:AQ159)&gt;AQ175,1,0)))</f>
        <v>1</v>
      </c>
      <c r="AS157" s="185">
        <v>190</v>
      </c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1642</v>
      </c>
      <c r="AV157" s="111">
        <f>SUM(AD157+AF157+AH157+AJ157+AL157+AN157+AP157+AR157+AT157)</f>
        <v>4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1642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0">IF(AC157=0,"",AC157)</f>
        <v>172</v>
      </c>
      <c r="BI157" s="215">
        <f t="shared" ref="BI157:BI168" si="181">IF(AE157=0,"",AE157)</f>
        <v>182</v>
      </c>
      <c r="BJ157" s="215">
        <f t="shared" ref="BJ157:BJ168" si="182">IF(AG157=0,"",AG157)</f>
        <v>167</v>
      </c>
      <c r="BK157" s="215">
        <f t="shared" ref="BK157:BK168" si="183">IF(AI157=0,"",AI157)</f>
        <v>213</v>
      </c>
      <c r="BL157" s="215">
        <f t="shared" ref="BL157:BL168" si="184">IF(AK157=0,"",AK157)</f>
        <v>158</v>
      </c>
      <c r="BM157" s="215">
        <f t="shared" ref="BM157:BM168" si="185">IF(AM157=0,"",AM157)</f>
        <v>151</v>
      </c>
      <c r="BN157" s="215">
        <f t="shared" ref="BN157:BN168" si="186">IF(AO157=0,"",AO157)</f>
        <v>224</v>
      </c>
      <c r="BO157" s="215">
        <f t="shared" ref="BO157:BO168" si="187">IF(AQ157=0,"",AQ157)</f>
        <v>185</v>
      </c>
      <c r="BP157" s="215">
        <f t="shared" ref="BP157:BP168" si="188">IF(AS157=0,"",AS157)</f>
        <v>190</v>
      </c>
      <c r="BQ157" s="216"/>
      <c r="BR157" s="214"/>
      <c r="BS157" s="215">
        <f>MAX(BH157:BP157)</f>
        <v>224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1642</v>
      </c>
      <c r="BX157" s="215">
        <f>IF(COUNTIF(BH157:BP157,"&gt;0")&lt;Spielorte!$A$23,0,BE157/Spielorte!$A$23)</f>
        <v>182.44444444444446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77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49"/>
      <c r="F158" s="78" t="str">
        <f t="shared" si="171"/>
        <v/>
      </c>
      <c r="G158" s="349"/>
      <c r="H158" s="78" t="str">
        <f t="shared" si="172"/>
        <v/>
      </c>
      <c r="I158" s="349"/>
      <c r="J158" s="78" t="str">
        <f t="shared" si="173"/>
        <v/>
      </c>
      <c r="K158" s="349"/>
      <c r="L158" s="78" t="str">
        <f t="shared" si="174"/>
        <v/>
      </c>
      <c r="M158" s="349"/>
      <c r="N158" s="78" t="str">
        <f t="shared" ref="N158:N170" si="191">IF(AM158=0,"",AM158)</f>
        <v/>
      </c>
      <c r="O158" s="349"/>
      <c r="P158" s="78" t="str">
        <f t="shared" si="175"/>
        <v/>
      </c>
      <c r="Q158" s="349"/>
      <c r="R158" s="78" t="str">
        <f t="shared" si="176"/>
        <v/>
      </c>
      <c r="S158" s="349"/>
      <c r="T158" s="78" t="str">
        <f t="shared" si="177"/>
        <v/>
      </c>
      <c r="U158" s="349"/>
      <c r="V158" s="78" t="str">
        <f t="shared" si="178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SG Rottendorf 1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8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0"/>
      <c r="F159" s="69" t="str">
        <f t="shared" si="171"/>
        <v/>
      </c>
      <c r="G159" s="350"/>
      <c r="H159" s="69" t="str">
        <f t="shared" si="172"/>
        <v/>
      </c>
      <c r="I159" s="350"/>
      <c r="J159" s="69" t="str">
        <f t="shared" si="173"/>
        <v/>
      </c>
      <c r="K159" s="350"/>
      <c r="L159" s="69" t="str">
        <f t="shared" si="174"/>
        <v/>
      </c>
      <c r="M159" s="350"/>
      <c r="N159" s="69" t="str">
        <f t="shared" si="191"/>
        <v/>
      </c>
      <c r="O159" s="350"/>
      <c r="P159" s="69" t="str">
        <f t="shared" si="175"/>
        <v/>
      </c>
      <c r="Q159" s="350"/>
      <c r="R159" s="69" t="str">
        <f t="shared" si="176"/>
        <v/>
      </c>
      <c r="S159" s="350"/>
      <c r="T159" s="69" t="str">
        <f t="shared" si="177"/>
        <v/>
      </c>
      <c r="U159" s="350"/>
      <c r="V159" s="69" t="str">
        <f t="shared" si="178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SG Rottendorf 1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76" t="s">
        <v>2</v>
      </c>
      <c r="B160" s="73" t="str">
        <f t="shared" si="190"/>
        <v>Reichardt, Stefan</v>
      </c>
      <c r="C160" s="74">
        <f t="shared" si="190"/>
        <v>16945</v>
      </c>
      <c r="D160" s="75">
        <f t="shared" si="190"/>
        <v>204</v>
      </c>
      <c r="E160" s="348">
        <f>IF(AD160="","",AD160)</f>
        <v>1</v>
      </c>
      <c r="F160" s="75">
        <f t="shared" si="171"/>
        <v>182</v>
      </c>
      <c r="G160" s="348">
        <f>IF(AF160="","",AF160)</f>
        <v>0</v>
      </c>
      <c r="H160" s="75">
        <f t="shared" si="172"/>
        <v>216</v>
      </c>
      <c r="I160" s="348">
        <f>IF(AH160="","",AH160)</f>
        <v>1</v>
      </c>
      <c r="J160" s="75">
        <f t="shared" si="173"/>
        <v>182</v>
      </c>
      <c r="K160" s="348">
        <f>IF(AJ160="","",AJ160)</f>
        <v>0</v>
      </c>
      <c r="L160" s="75">
        <f t="shared" si="174"/>
        <v>210</v>
      </c>
      <c r="M160" s="348">
        <f>IF(AL160="","",AL160)</f>
        <v>0</v>
      </c>
      <c r="N160" s="75">
        <f t="shared" si="191"/>
        <v>225</v>
      </c>
      <c r="O160" s="348">
        <f>IF(AN160="","",AN160)</f>
        <v>0</v>
      </c>
      <c r="P160" s="75">
        <f t="shared" si="175"/>
        <v>159</v>
      </c>
      <c r="Q160" s="348">
        <f>IF(AP160="","",AP160)</f>
        <v>0</v>
      </c>
      <c r="R160" s="75">
        <f t="shared" si="176"/>
        <v>168</v>
      </c>
      <c r="S160" s="348">
        <f>IF(AR160="","",AR160)</f>
        <v>0</v>
      </c>
      <c r="T160" s="75">
        <f t="shared" si="177"/>
        <v>210</v>
      </c>
      <c r="U160" s="348">
        <f>IF(AT160="","",AT160)</f>
        <v>1</v>
      </c>
      <c r="V160" s="75">
        <f t="shared" si="178"/>
        <v>1756</v>
      </c>
      <c r="W160" s="348">
        <f>IF(AV160="","",AV160)</f>
        <v>3</v>
      </c>
      <c r="Z160" s="351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204</v>
      </c>
      <c r="AD160" s="109">
        <f>IF(SUM(AC160:AC162)+AC176=0,0,IF(SUM(AC160:AC162)=AC176,0.5,IF(SUM(AC160:AC162)&gt;AC176,1,0)))</f>
        <v>1</v>
      </c>
      <c r="AE160" s="188">
        <v>182</v>
      </c>
      <c r="AF160" s="109">
        <f>IF(SUM(AE160:AE162)+AE176=0,0,IF(SUM(AE160:AE162)=AE176,0.5,IF(SUM(AE160:AE162)&gt;AE176,1,0)))</f>
        <v>0</v>
      </c>
      <c r="AG160" s="188">
        <v>216</v>
      </c>
      <c r="AH160" s="109">
        <f>IF(SUM(AG160:AG162)+AG176=0,0,IF(SUM(AG160:AG162)=AG176,0.5,IF(SUM(AG160:AG162)&gt;AG176,1,0)))</f>
        <v>1</v>
      </c>
      <c r="AI160" s="188">
        <v>182</v>
      </c>
      <c r="AJ160" s="109">
        <f>IF(SUM(AI160:AI162)+AI176=0,0,IF(SUM(AI160:AI162)=AI176,0.5,IF(SUM(AI160:AI162)&gt;AI176,1,0)))</f>
        <v>0</v>
      </c>
      <c r="AK160" s="188">
        <v>210</v>
      </c>
      <c r="AL160" s="109">
        <f>IF(SUM(AK160:AK162)+AK176=0,0,IF(SUM(AK160:AK162)=AK176,0.5,IF(SUM(AK160:AK162)&gt;AK176,1,0)))</f>
        <v>0</v>
      </c>
      <c r="AM160" s="188">
        <v>225</v>
      </c>
      <c r="AN160" s="109">
        <f>IF(SUM(AM160:AM162)+AM176=0,0,IF(SUM(AM160:AM162)=AM176,0.5,IF(SUM(AM160:AM162)&gt;AM176,1,0)))</f>
        <v>0</v>
      </c>
      <c r="AO160" s="188">
        <v>159</v>
      </c>
      <c r="AP160" s="109">
        <f>IF(SUM(AO160:AO162)+AO176=0,0,IF(SUM(AO160:AO162)=AO176,0.5,IF(SUM(AO160:AO162)&gt;AO176,1,0)))</f>
        <v>0</v>
      </c>
      <c r="AQ160" s="188">
        <v>168</v>
      </c>
      <c r="AR160" s="109">
        <f>IF(SUM(AQ160:AQ162)+AQ176=0,0,IF(SUM(AQ160:AQ162)=AQ176,0.5,IF(SUM(AQ160:AQ162)&gt;AQ176,1,0)))</f>
        <v>0</v>
      </c>
      <c r="AS160" s="188">
        <v>210</v>
      </c>
      <c r="AT160" s="109">
        <f>IF(SUM(AS160:AS162)+AS176=0,0,IF(SUM(AS160:AS162)=AS176,0.5,IF(SUM(AS160:AS162)&gt;AS176,1,0)))</f>
        <v>1</v>
      </c>
      <c r="AU160" s="110">
        <f t="shared" si="179"/>
        <v>1756</v>
      </c>
      <c r="AV160" s="111">
        <f>SUM(AD160+AF160+AH160+AJ160+AL160+AN160+AP160+AR160+AT160)</f>
        <v>3</v>
      </c>
      <c r="AW160" s="101"/>
      <c r="AX160" s="102"/>
      <c r="AZ160" s="63"/>
      <c r="BA160" s="212"/>
      <c r="BB160" s="213"/>
      <c r="BC160" s="214"/>
      <c r="BD160" s="217">
        <f t="shared" si="192"/>
        <v>16945</v>
      </c>
      <c r="BE160" s="213">
        <f t="shared" si="193"/>
        <v>1756</v>
      </c>
      <c r="BF160" s="215">
        <f t="shared" si="194"/>
        <v>9</v>
      </c>
      <c r="BG160" s="215">
        <f t="shared" si="195"/>
        <v>9</v>
      </c>
      <c r="BH160" s="215">
        <f t="shared" si="180"/>
        <v>204</v>
      </c>
      <c r="BI160" s="215">
        <f t="shared" si="181"/>
        <v>182</v>
      </c>
      <c r="BJ160" s="215">
        <f t="shared" si="182"/>
        <v>216</v>
      </c>
      <c r="BK160" s="215">
        <f t="shared" si="183"/>
        <v>182</v>
      </c>
      <c r="BL160" s="215">
        <f t="shared" si="184"/>
        <v>210</v>
      </c>
      <c r="BM160" s="215">
        <f t="shared" si="185"/>
        <v>225</v>
      </c>
      <c r="BN160" s="215">
        <f t="shared" si="186"/>
        <v>159</v>
      </c>
      <c r="BO160" s="215">
        <f t="shared" si="187"/>
        <v>168</v>
      </c>
      <c r="BP160" s="215">
        <f t="shared" si="188"/>
        <v>210</v>
      </c>
      <c r="BQ160" s="216"/>
      <c r="BR160" s="214"/>
      <c r="BS160" s="215">
        <f t="shared" si="196"/>
        <v>225</v>
      </c>
      <c r="BT160" s="215">
        <f t="shared" si="197"/>
        <v>0</v>
      </c>
      <c r="BU160" s="215" t="str">
        <f t="shared" si="198"/>
        <v>SG Rottendorf 1</v>
      </c>
      <c r="BV160" s="214">
        <f t="shared" si="199"/>
        <v>2</v>
      </c>
      <c r="BW160" s="215">
        <f t="shared" si="200"/>
        <v>1756</v>
      </c>
      <c r="BX160" s="215">
        <f>IF(COUNTIF(BH160:BP160,"&gt;0")&lt;Spielorte!$A$23,0,BE160/Spielorte!$A$23)</f>
        <v>195.11111111111111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77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9"/>
      <c r="F161" s="78" t="str">
        <f t="shared" si="171"/>
        <v/>
      </c>
      <c r="G161" s="349"/>
      <c r="H161" s="78" t="str">
        <f t="shared" si="172"/>
        <v/>
      </c>
      <c r="I161" s="349"/>
      <c r="J161" s="78" t="str">
        <f t="shared" si="173"/>
        <v/>
      </c>
      <c r="K161" s="349"/>
      <c r="L161" s="78" t="str">
        <f t="shared" si="174"/>
        <v/>
      </c>
      <c r="M161" s="349"/>
      <c r="N161" s="78" t="str">
        <f t="shared" si="191"/>
        <v/>
      </c>
      <c r="O161" s="349"/>
      <c r="P161" s="78" t="str">
        <f t="shared" si="175"/>
        <v/>
      </c>
      <c r="Q161" s="349"/>
      <c r="R161" s="78" t="str">
        <f t="shared" si="176"/>
        <v/>
      </c>
      <c r="S161" s="349"/>
      <c r="T161" s="78" t="str">
        <f t="shared" si="177"/>
        <v/>
      </c>
      <c r="U161" s="349"/>
      <c r="V161" s="78" t="str">
        <f t="shared" si="178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SG Rottendorf 1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8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0"/>
      <c r="F162" s="69" t="str">
        <f t="shared" si="171"/>
        <v/>
      </c>
      <c r="G162" s="350"/>
      <c r="H162" s="69" t="str">
        <f t="shared" si="172"/>
        <v/>
      </c>
      <c r="I162" s="350"/>
      <c r="J162" s="69" t="str">
        <f t="shared" si="173"/>
        <v/>
      </c>
      <c r="K162" s="350"/>
      <c r="L162" s="69" t="str">
        <f t="shared" si="174"/>
        <v/>
      </c>
      <c r="M162" s="350"/>
      <c r="N162" s="69" t="str">
        <f t="shared" si="191"/>
        <v/>
      </c>
      <c r="O162" s="350"/>
      <c r="P162" s="69" t="str">
        <f t="shared" si="175"/>
        <v/>
      </c>
      <c r="Q162" s="350"/>
      <c r="R162" s="69" t="str">
        <f t="shared" si="176"/>
        <v/>
      </c>
      <c r="S162" s="350"/>
      <c r="T162" s="69" t="str">
        <f t="shared" si="177"/>
        <v/>
      </c>
      <c r="U162" s="350"/>
      <c r="V162" s="69" t="str">
        <f t="shared" si="178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SG Rottendorf 1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76" t="s">
        <v>3</v>
      </c>
      <c r="B163" s="73" t="str">
        <f t="shared" si="190"/>
        <v>Scholz, Alexander</v>
      </c>
      <c r="C163" s="74">
        <f t="shared" si="190"/>
        <v>16352</v>
      </c>
      <c r="D163" s="75">
        <f t="shared" si="190"/>
        <v>174</v>
      </c>
      <c r="E163" s="348">
        <f>IF(AD163="","",AD163)</f>
        <v>0</v>
      </c>
      <c r="F163" s="75">
        <f t="shared" si="171"/>
        <v>191</v>
      </c>
      <c r="G163" s="348">
        <f>IF(AF163="","",AF163)</f>
        <v>0</v>
      </c>
      <c r="H163" s="75">
        <f t="shared" si="172"/>
        <v>182</v>
      </c>
      <c r="I163" s="348">
        <f>IF(AH163="","",AH163)</f>
        <v>1</v>
      </c>
      <c r="J163" s="75">
        <f t="shared" si="173"/>
        <v>190</v>
      </c>
      <c r="K163" s="348">
        <f>IF(AJ163="","",AJ163)</f>
        <v>1</v>
      </c>
      <c r="L163" s="75">
        <f t="shared" si="174"/>
        <v>150</v>
      </c>
      <c r="M163" s="348">
        <f>IF(AL163="","",AL163)</f>
        <v>0</v>
      </c>
      <c r="N163" s="75">
        <f t="shared" si="191"/>
        <v>171</v>
      </c>
      <c r="O163" s="348">
        <f>IF(AN163="","",AN163)</f>
        <v>0</v>
      </c>
      <c r="P163" s="75">
        <f t="shared" si="175"/>
        <v>139</v>
      </c>
      <c r="Q163" s="348">
        <f>IF(AP163="","",AP163)</f>
        <v>0</v>
      </c>
      <c r="R163" s="75" t="str">
        <f t="shared" si="176"/>
        <v/>
      </c>
      <c r="S163" s="348">
        <f>IF(AR163="","",AR163)</f>
        <v>1</v>
      </c>
      <c r="T163" s="75" t="str">
        <f t="shared" si="177"/>
        <v/>
      </c>
      <c r="U163" s="348">
        <f>IF(AT163="","",AT163)</f>
        <v>1</v>
      </c>
      <c r="V163" s="75">
        <f t="shared" si="178"/>
        <v>1197</v>
      </c>
      <c r="W163" s="348">
        <f>IF(AV163="","",AV163)</f>
        <v>4</v>
      </c>
      <c r="Z163" s="351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174</v>
      </c>
      <c r="AD163" s="109">
        <f>IF(SUM(AC163:AC165)+AC177=0,0,IF(SUM(AC163:AC165)=AC177,0.5,IF(SUM(AC163:AC165)&gt;AC177,1,0)))</f>
        <v>0</v>
      </c>
      <c r="AE163" s="188">
        <v>191</v>
      </c>
      <c r="AF163" s="109">
        <f>IF(SUM(AE163:AE165)+AE177=0,0,IF(SUM(AE163:AE165)=AE177,0.5,IF(SUM(AE163:AE165)&gt;AE177,1,0)))</f>
        <v>0</v>
      </c>
      <c r="AG163" s="188">
        <v>182</v>
      </c>
      <c r="AH163" s="109">
        <f>IF(SUM(AG163:AG165)+AG177=0,0,IF(SUM(AG163:AG165)=AG177,0.5,IF(SUM(AG163:AG165)&gt;AG177,1,0)))</f>
        <v>1</v>
      </c>
      <c r="AI163" s="188">
        <v>190</v>
      </c>
      <c r="AJ163" s="109">
        <f>IF(SUM(AI163:AI165)+AI177=0,0,IF(SUM(AI163:AI165)=AI177,0.5,IF(SUM(AI163:AI165)&gt;AI177,1,0)))</f>
        <v>1</v>
      </c>
      <c r="AK163" s="188">
        <v>150</v>
      </c>
      <c r="AL163" s="109">
        <f>IF(SUM(AK163:AK165)+AK177=0,0,IF(SUM(AK163:AK165)=AK177,0.5,IF(SUM(AK163:AK165)&gt;AK177,1,0)))</f>
        <v>0</v>
      </c>
      <c r="AM163" s="188">
        <v>171</v>
      </c>
      <c r="AN163" s="109">
        <f>IF(SUM(AM163:AM165)+AM177=0,0,IF(SUM(AM163:AM165)=AM177,0.5,IF(SUM(AM163:AM165)&gt;AM177,1,0)))</f>
        <v>0</v>
      </c>
      <c r="AO163" s="188">
        <v>139</v>
      </c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1</v>
      </c>
      <c r="AS163" s="188"/>
      <c r="AT163" s="109">
        <f>IF(SUM(AS163:AS165)+AS177=0,0,IF(SUM(AS163:AS165)=AS177,0.5,IF(SUM(AS163:AS165)&gt;AS177,1,0)))</f>
        <v>1</v>
      </c>
      <c r="AU163" s="110">
        <f t="shared" si="179"/>
        <v>1197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2"/>
        <v>16352</v>
      </c>
      <c r="BE163" s="213">
        <f t="shared" si="193"/>
        <v>1197</v>
      </c>
      <c r="BF163" s="215">
        <f t="shared" si="194"/>
        <v>7</v>
      </c>
      <c r="BG163" s="215">
        <f t="shared" si="195"/>
        <v>7</v>
      </c>
      <c r="BH163" s="215">
        <f t="shared" si="180"/>
        <v>174</v>
      </c>
      <c r="BI163" s="215">
        <f t="shared" si="181"/>
        <v>191</v>
      </c>
      <c r="BJ163" s="215">
        <f t="shared" si="182"/>
        <v>182</v>
      </c>
      <c r="BK163" s="215">
        <f t="shared" si="183"/>
        <v>190</v>
      </c>
      <c r="BL163" s="215">
        <f t="shared" si="184"/>
        <v>150</v>
      </c>
      <c r="BM163" s="215">
        <f t="shared" si="185"/>
        <v>171</v>
      </c>
      <c r="BN163" s="215">
        <f t="shared" si="186"/>
        <v>139</v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191</v>
      </c>
      <c r="BT163" s="215">
        <f t="shared" si="197"/>
        <v>0</v>
      </c>
      <c r="BU163" s="215" t="str">
        <f t="shared" si="198"/>
        <v>SG Rottendorf 1</v>
      </c>
      <c r="BV163" s="214">
        <f t="shared" si="199"/>
        <v>2</v>
      </c>
      <c r="BW163" s="215">
        <f t="shared" si="200"/>
        <v>1197</v>
      </c>
      <c r="BX163" s="215">
        <f>IF(COUNTIF(BH163:BP163,"&gt;0")&lt;Spielorte!$A$23,0,BE163/Spielorte!$A$23)</f>
        <v>0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77"/>
      <c r="B164" s="76" t="str">
        <f t="shared" si="190"/>
        <v>Stemmler, Patrick</v>
      </c>
      <c r="C164" s="77">
        <f t="shared" si="190"/>
        <v>16495</v>
      </c>
      <c r="D164" s="78" t="str">
        <f t="shared" si="190"/>
        <v/>
      </c>
      <c r="E164" s="349"/>
      <c r="F164" s="78" t="str">
        <f t="shared" si="171"/>
        <v/>
      </c>
      <c r="G164" s="349"/>
      <c r="H164" s="78" t="str">
        <f t="shared" si="172"/>
        <v/>
      </c>
      <c r="I164" s="349"/>
      <c r="J164" s="78" t="str">
        <f t="shared" si="173"/>
        <v/>
      </c>
      <c r="K164" s="349"/>
      <c r="L164" s="78" t="str">
        <f t="shared" si="174"/>
        <v/>
      </c>
      <c r="M164" s="349"/>
      <c r="N164" s="78" t="str">
        <f t="shared" si="191"/>
        <v/>
      </c>
      <c r="O164" s="349"/>
      <c r="P164" s="78" t="str">
        <f t="shared" si="175"/>
        <v/>
      </c>
      <c r="Q164" s="349"/>
      <c r="R164" s="78">
        <f t="shared" si="176"/>
        <v>171</v>
      </c>
      <c r="S164" s="349"/>
      <c r="T164" s="78">
        <f t="shared" si="177"/>
        <v>190</v>
      </c>
      <c r="U164" s="349"/>
      <c r="V164" s="78">
        <f t="shared" si="178"/>
        <v>361</v>
      </c>
      <c r="W164" s="349"/>
      <c r="Z164" s="352"/>
      <c r="AA164" s="108" t="str">
        <f>IF(AB164=0,"",VLOOKUP(AB164,Starter!$A$1:$D$199,2,FALSE))</f>
        <v>Stemmler, Patrick</v>
      </c>
      <c r="AB164" s="98">
        <v>16495</v>
      </c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>
        <v>171</v>
      </c>
      <c r="AR164" s="112"/>
      <c r="AS164" s="186">
        <v>190</v>
      </c>
      <c r="AT164" s="112"/>
      <c r="AU164" s="113">
        <f t="shared" si="179"/>
        <v>361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16495</v>
      </c>
      <c r="BE164" s="213">
        <f t="shared" si="193"/>
        <v>361</v>
      </c>
      <c r="BF164" s="215">
        <f t="shared" si="194"/>
        <v>2</v>
      </c>
      <c r="BG164" s="215">
        <f t="shared" si="195"/>
        <v>2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>
        <f t="shared" si="187"/>
        <v>171</v>
      </c>
      <c r="BP164" s="215">
        <f t="shared" si="188"/>
        <v>190</v>
      </c>
      <c r="BQ164" s="216"/>
      <c r="BR164" s="214"/>
      <c r="BS164" s="215">
        <f t="shared" si="196"/>
        <v>190</v>
      </c>
      <c r="BT164" s="215">
        <f t="shared" si="197"/>
        <v>0</v>
      </c>
      <c r="BU164" s="215" t="str">
        <f t="shared" si="198"/>
        <v>SG Rottendorf 1</v>
      </c>
      <c r="BV164" s="214">
        <f t="shared" si="199"/>
        <v>2</v>
      </c>
      <c r="BW164" s="215">
        <f t="shared" si="200"/>
        <v>361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8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0"/>
      <c r="F165" s="69" t="str">
        <f t="shared" si="171"/>
        <v/>
      </c>
      <c r="G165" s="350"/>
      <c r="H165" s="69" t="str">
        <f t="shared" si="172"/>
        <v/>
      </c>
      <c r="I165" s="350"/>
      <c r="J165" s="69" t="str">
        <f t="shared" si="173"/>
        <v/>
      </c>
      <c r="K165" s="350"/>
      <c r="L165" s="69" t="str">
        <f t="shared" si="174"/>
        <v/>
      </c>
      <c r="M165" s="350"/>
      <c r="N165" s="69" t="str">
        <f t="shared" si="191"/>
        <v/>
      </c>
      <c r="O165" s="350"/>
      <c r="P165" s="69" t="str">
        <f t="shared" si="175"/>
        <v/>
      </c>
      <c r="Q165" s="350"/>
      <c r="R165" s="69" t="str">
        <f t="shared" si="176"/>
        <v/>
      </c>
      <c r="S165" s="350"/>
      <c r="T165" s="69" t="str">
        <f t="shared" si="177"/>
        <v/>
      </c>
      <c r="U165" s="350"/>
      <c r="V165" s="69" t="str">
        <f t="shared" si="178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SG Rottendorf 1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76" t="s">
        <v>11</v>
      </c>
      <c r="B166" s="73" t="str">
        <f>IF(AA166=0,"",AA166)</f>
        <v>Stemmler, Patrick</v>
      </c>
      <c r="C166" s="74">
        <f t="shared" si="190"/>
        <v>16495</v>
      </c>
      <c r="D166" s="75">
        <f t="shared" si="190"/>
        <v>181</v>
      </c>
      <c r="E166" s="348">
        <f>IF(AD166="","",AD166)</f>
        <v>1</v>
      </c>
      <c r="F166" s="75">
        <f t="shared" si="171"/>
        <v>198</v>
      </c>
      <c r="G166" s="348">
        <f>IF(AF166="","",AF166)</f>
        <v>1</v>
      </c>
      <c r="H166" s="75">
        <f t="shared" si="172"/>
        <v>190</v>
      </c>
      <c r="I166" s="348">
        <f>IF(AH166="","",AH166)</f>
        <v>1</v>
      </c>
      <c r="J166" s="75">
        <f t="shared" si="173"/>
        <v>173</v>
      </c>
      <c r="K166" s="348">
        <f>IF(AJ166="","",AJ166)</f>
        <v>0</v>
      </c>
      <c r="L166" s="75">
        <f t="shared" si="174"/>
        <v>159</v>
      </c>
      <c r="M166" s="348">
        <f>IF(AL166="","",AL166)</f>
        <v>0</v>
      </c>
      <c r="N166" s="75">
        <f t="shared" si="191"/>
        <v>126</v>
      </c>
      <c r="O166" s="348">
        <f>IF(AN166="","",AN166)</f>
        <v>0</v>
      </c>
      <c r="P166" s="75" t="str">
        <f t="shared" si="175"/>
        <v/>
      </c>
      <c r="Q166" s="348">
        <f>IF(AP166="","",AP166)</f>
        <v>0</v>
      </c>
      <c r="R166" s="75" t="str">
        <f t="shared" si="176"/>
        <v/>
      </c>
      <c r="S166" s="348">
        <f>IF(AR166="","",AR166)</f>
        <v>0</v>
      </c>
      <c r="T166" s="75" t="str">
        <f t="shared" si="177"/>
        <v/>
      </c>
      <c r="U166" s="348">
        <f>IF(AT166="","",AT166)</f>
        <v>0</v>
      </c>
      <c r="V166" s="75">
        <f t="shared" si="178"/>
        <v>1027</v>
      </c>
      <c r="W166" s="348">
        <f>IF(AV166="","",AV166)</f>
        <v>3</v>
      </c>
      <c r="Z166" s="351" t="s">
        <v>11</v>
      </c>
      <c r="AA166" s="108" t="str">
        <f>IF(AB166=0,"",VLOOKUP(AB166,Starter!$A$1:$D$199,2,FALSE))</f>
        <v>Stemmler, Patrick</v>
      </c>
      <c r="AB166" s="99">
        <v>16495</v>
      </c>
      <c r="AC166" s="188">
        <v>181</v>
      </c>
      <c r="AD166" s="109">
        <f>IF(SUM(AC166:AC168)+AC178=0,0,IF(SUM(AC166:AC168)=AC178,0.5,IF(SUM(AC166:AC168)&gt;AC178,1,0)))</f>
        <v>1</v>
      </c>
      <c r="AE166" s="188">
        <v>198</v>
      </c>
      <c r="AF166" s="109">
        <f>IF(SUM(AE166:AE168)+AE178=0,0,IF(SUM(AE166:AE168)=AE178,0.5,IF(SUM(AE166:AE168)&gt;AE178,1,0)))</f>
        <v>1</v>
      </c>
      <c r="AG166" s="188">
        <v>190</v>
      </c>
      <c r="AH166" s="109">
        <f>IF(SUM(AG166:AG168)+AG178=0,0,IF(SUM(AG166:AG168)=AG178,0.5,IF(SUM(AG166:AG168)&gt;AG178,1,0)))</f>
        <v>1</v>
      </c>
      <c r="AI166" s="188">
        <v>173</v>
      </c>
      <c r="AJ166" s="109">
        <f>IF(SUM(AI166:AI168)+AI178=0,0,IF(SUM(AI166:AI168)=AI178,0.5,IF(SUM(AI166:AI168)&gt;AI178,1,0)))</f>
        <v>0</v>
      </c>
      <c r="AK166" s="188">
        <v>159</v>
      </c>
      <c r="AL166" s="109">
        <f>IF(SUM(AK166:AK168)+AK178=0,0,IF(SUM(AK166:AK168)=AK178,0.5,IF(SUM(AK166:AK168)&gt;AK178,1,0)))</f>
        <v>0</v>
      </c>
      <c r="AM166" s="188">
        <v>126</v>
      </c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1027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192"/>
        <v>16495</v>
      </c>
      <c r="BE166" s="213">
        <f t="shared" si="193"/>
        <v>1027</v>
      </c>
      <c r="BF166" s="215">
        <f t="shared" si="194"/>
        <v>6</v>
      </c>
      <c r="BG166" s="215">
        <f t="shared" si="195"/>
        <v>6</v>
      </c>
      <c r="BH166" s="215">
        <f t="shared" si="180"/>
        <v>181</v>
      </c>
      <c r="BI166" s="215">
        <f t="shared" si="181"/>
        <v>198</v>
      </c>
      <c r="BJ166" s="215">
        <f t="shared" si="182"/>
        <v>190</v>
      </c>
      <c r="BK166" s="215">
        <f t="shared" si="183"/>
        <v>173</v>
      </c>
      <c r="BL166" s="215">
        <f t="shared" si="184"/>
        <v>159</v>
      </c>
      <c r="BM166" s="215">
        <f t="shared" si="185"/>
        <v>126</v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198</v>
      </c>
      <c r="BT166" s="215">
        <f t="shared" si="197"/>
        <v>0</v>
      </c>
      <c r="BU166" s="215" t="str">
        <f t="shared" si="198"/>
        <v>SG Rottendorf 1</v>
      </c>
      <c r="BV166" s="214">
        <f t="shared" si="199"/>
        <v>2</v>
      </c>
      <c r="BW166" s="215">
        <f t="shared" si="200"/>
        <v>1027</v>
      </c>
      <c r="BX166" s="215">
        <f>IF(COUNTIF(BH166:BP166,"&gt;0")&lt;Spielorte!$A$23,0,BE166/Spielorte!$A$23)</f>
        <v>0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77"/>
      <c r="B167" s="76" t="str">
        <f>IF(AA167=0,"",AA167)</f>
        <v>Wendel, Dominik</v>
      </c>
      <c r="C167" s="77">
        <f t="shared" si="190"/>
        <v>16852</v>
      </c>
      <c r="D167" s="78" t="str">
        <f t="shared" si="190"/>
        <v/>
      </c>
      <c r="E167" s="349"/>
      <c r="F167" s="78" t="str">
        <f t="shared" si="171"/>
        <v/>
      </c>
      <c r="G167" s="349"/>
      <c r="H167" s="78" t="str">
        <f t="shared" si="172"/>
        <v/>
      </c>
      <c r="I167" s="349"/>
      <c r="J167" s="78" t="str">
        <f t="shared" si="173"/>
        <v/>
      </c>
      <c r="K167" s="349"/>
      <c r="L167" s="78" t="str">
        <f t="shared" si="174"/>
        <v/>
      </c>
      <c r="M167" s="349"/>
      <c r="N167" s="78" t="str">
        <f t="shared" si="191"/>
        <v/>
      </c>
      <c r="O167" s="349"/>
      <c r="P167" s="78">
        <f t="shared" si="175"/>
        <v>174</v>
      </c>
      <c r="Q167" s="349"/>
      <c r="R167" s="78">
        <f t="shared" si="176"/>
        <v>178</v>
      </c>
      <c r="S167" s="349"/>
      <c r="T167" s="78">
        <f t="shared" si="177"/>
        <v>172</v>
      </c>
      <c r="U167" s="349"/>
      <c r="V167" s="78">
        <f t="shared" si="178"/>
        <v>524</v>
      </c>
      <c r="W167" s="349"/>
      <c r="Z167" s="352"/>
      <c r="AA167" s="108" t="str">
        <f>IF(AB167=0,"",VLOOKUP(AB167,Starter!$A$1:$D$199,2,FALSE))</f>
        <v>Wendel, Dominik</v>
      </c>
      <c r="AB167" s="98">
        <v>16852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>
        <v>174</v>
      </c>
      <c r="AP167" s="112"/>
      <c r="AQ167" s="186">
        <v>178</v>
      </c>
      <c r="AR167" s="112"/>
      <c r="AS167" s="186">
        <v>172</v>
      </c>
      <c r="AT167" s="112"/>
      <c r="AU167" s="113">
        <f t="shared" si="179"/>
        <v>524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16852</v>
      </c>
      <c r="BE167" s="213">
        <f t="shared" si="193"/>
        <v>524</v>
      </c>
      <c r="BF167" s="215">
        <f t="shared" si="194"/>
        <v>3</v>
      </c>
      <c r="BG167" s="215">
        <f t="shared" si="195"/>
        <v>3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>
        <f t="shared" si="186"/>
        <v>174</v>
      </c>
      <c r="BO167" s="215">
        <f t="shared" si="187"/>
        <v>178</v>
      </c>
      <c r="BP167" s="215">
        <f t="shared" si="188"/>
        <v>172</v>
      </c>
      <c r="BQ167" s="216"/>
      <c r="BR167" s="214"/>
      <c r="BS167" s="215">
        <f t="shared" si="196"/>
        <v>178</v>
      </c>
      <c r="BT167" s="215">
        <f t="shared" si="197"/>
        <v>0</v>
      </c>
      <c r="BU167" s="215" t="str">
        <f t="shared" si="198"/>
        <v>SG Rottendorf 1</v>
      </c>
      <c r="BV167" s="214">
        <f t="shared" si="199"/>
        <v>2</v>
      </c>
      <c r="BW167" s="215">
        <f t="shared" si="200"/>
        <v>524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8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0"/>
      <c r="F168" s="69" t="str">
        <f t="shared" si="171"/>
        <v/>
      </c>
      <c r="G168" s="350"/>
      <c r="H168" s="69" t="str">
        <f t="shared" si="172"/>
        <v/>
      </c>
      <c r="I168" s="350"/>
      <c r="J168" s="69" t="str">
        <f t="shared" si="173"/>
        <v/>
      </c>
      <c r="K168" s="350"/>
      <c r="L168" s="69" t="str">
        <f t="shared" si="174"/>
        <v/>
      </c>
      <c r="M168" s="350"/>
      <c r="N168" s="69" t="str">
        <f t="shared" si="191"/>
        <v/>
      </c>
      <c r="O168" s="350"/>
      <c r="P168" s="69" t="str">
        <f t="shared" si="175"/>
        <v/>
      </c>
      <c r="Q168" s="350"/>
      <c r="R168" s="69" t="str">
        <f t="shared" si="176"/>
        <v/>
      </c>
      <c r="S168" s="350"/>
      <c r="T168" s="69" t="str">
        <f t="shared" si="177"/>
        <v/>
      </c>
      <c r="U168" s="350"/>
      <c r="V168" s="69" t="str">
        <f t="shared" si="178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SG Rottendorf 1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731</v>
      </c>
      <c r="E169" s="84">
        <f>IF(AD169="","",AD169)</f>
        <v>2</v>
      </c>
      <c r="F169" s="83">
        <f t="shared" si="171"/>
        <v>753</v>
      </c>
      <c r="G169" s="84">
        <f>IF(AF169="","",AF169)</f>
        <v>0</v>
      </c>
      <c r="H169" s="83">
        <f t="shared" si="172"/>
        <v>755</v>
      </c>
      <c r="I169" s="84">
        <f>IF(AH169="","",AH169)</f>
        <v>2</v>
      </c>
      <c r="J169" s="83">
        <f t="shared" si="173"/>
        <v>758</v>
      </c>
      <c r="K169" s="84">
        <f>IF(AJ169="","",AJ169)</f>
        <v>0</v>
      </c>
      <c r="L169" s="83">
        <f t="shared" si="174"/>
        <v>677</v>
      </c>
      <c r="M169" s="84">
        <f>IF(AL169="","",AL169)</f>
        <v>0</v>
      </c>
      <c r="N169" s="83">
        <f t="shared" si="191"/>
        <v>673</v>
      </c>
      <c r="O169" s="84">
        <f>IF(AN169="","",AN169)</f>
        <v>0</v>
      </c>
      <c r="P169" s="83">
        <f t="shared" si="175"/>
        <v>696</v>
      </c>
      <c r="Q169" s="84">
        <f>IF(AP169="","",AP169)</f>
        <v>0</v>
      </c>
      <c r="R169" s="83">
        <f t="shared" si="176"/>
        <v>702</v>
      </c>
      <c r="S169" s="84">
        <f>IF(AR169="","",AR169)</f>
        <v>0</v>
      </c>
      <c r="T169" s="83">
        <f t="shared" si="177"/>
        <v>762</v>
      </c>
      <c r="U169" s="84">
        <f>IF(AT169="","",AT169)</f>
        <v>2</v>
      </c>
      <c r="V169" s="83">
        <f t="shared" si="178"/>
        <v>6507</v>
      </c>
      <c r="W169" s="84">
        <f>IF(AV169="","",AV169)</f>
        <v>6</v>
      </c>
      <c r="AA169" s="81" t="s">
        <v>1799</v>
      </c>
      <c r="AB169" s="120"/>
      <c r="AC169" s="211">
        <f>ABS(SUM(AC157:AC159))+ABS(SUM(AC160:AC162))+ABS(SUM(AC163:AC165))+ABS(SUM(AC166:AC168))</f>
        <v>731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753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755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758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677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673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696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702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762</v>
      </c>
      <c r="AT169" s="121">
        <f>IF(AS169+AS179=0,0,IF(AS169=AS179,1,IF(AS169&gt;AS179,2,0)))</f>
        <v>2</v>
      </c>
      <c r="AU169" s="122">
        <f>SUM(AC169+AE169+AG169+AI169+AK169+AM169+AO169+AQ169+AS169)</f>
        <v>6507</v>
      </c>
      <c r="AV169" s="123">
        <f>SUM(AD169+AF169+AH169+AJ169+AL169+AN169+AP169+AR169+AT169)</f>
        <v>6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</v>
      </c>
      <c r="F170" s="86" t="str">
        <f t="shared" si="171"/>
        <v/>
      </c>
      <c r="G170" s="87">
        <f>IF(AF170="","",AF170)</f>
        <v>2</v>
      </c>
      <c r="H170" s="86" t="str">
        <f t="shared" si="172"/>
        <v/>
      </c>
      <c r="I170" s="87">
        <f>IF(AH170="","",AH170)</f>
        <v>5</v>
      </c>
      <c r="J170" s="86" t="str">
        <f t="shared" si="173"/>
        <v/>
      </c>
      <c r="K170" s="87">
        <f>IF(AJ170="","",AJ170)</f>
        <v>2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1</v>
      </c>
      <c r="R170" s="86" t="str">
        <f t="shared" si="176"/>
        <v/>
      </c>
      <c r="S170" s="87">
        <f>IF(AR170="","",AR170)</f>
        <v>2</v>
      </c>
      <c r="T170" s="86" t="str">
        <f t="shared" si="177"/>
        <v/>
      </c>
      <c r="U170" s="87">
        <f>IF(AT170="","",AT170)</f>
        <v>4</v>
      </c>
      <c r="V170" s="86" t="str">
        <f t="shared" si="178"/>
        <v/>
      </c>
      <c r="W170" s="87">
        <f>IF(AV170="","",AV170)</f>
        <v>20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2</v>
      </c>
      <c r="AG170" s="86"/>
      <c r="AH170" s="124">
        <f>SUM(AH157:AH169)</f>
        <v>5</v>
      </c>
      <c r="AI170" s="86"/>
      <c r="AJ170" s="124">
        <f>SUM(AJ157:AJ169)</f>
        <v>2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4</v>
      </c>
      <c r="AU170" s="86"/>
      <c r="AV170" s="125">
        <f>SUM(AV157:AV169)</f>
        <v>20</v>
      </c>
      <c r="AW170" s="101"/>
      <c r="AX170" s="102"/>
      <c r="BA170" s="212">
        <f>+AV170</f>
        <v>20</v>
      </c>
      <c r="BB170" s="213">
        <f>+AU169</f>
        <v>6507</v>
      </c>
      <c r="BC170" s="214">
        <f>+AA152</f>
        <v>6</v>
      </c>
      <c r="BF170" s="215">
        <f>SUM(BF151:BF169)</f>
        <v>36</v>
      </c>
      <c r="BQ170" s="212">
        <f>+BB170/1000000+BA170</f>
        <v>20.006506999999999</v>
      </c>
      <c r="BR170" s="214">
        <f>RANK(BQ170,BQ:BQ)</f>
        <v>9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6">
        <f t="shared" si="202"/>
        <v>4</v>
      </c>
      <c r="E172" s="356" t="str">
        <f t="shared" si="202"/>
        <v/>
      </c>
      <c r="F172" s="356">
        <f t="shared" si="202"/>
        <v>7</v>
      </c>
      <c r="G172" s="356" t="str">
        <f t="shared" si="202"/>
        <v/>
      </c>
      <c r="H172" s="356">
        <f t="shared" si="202"/>
        <v>5</v>
      </c>
      <c r="I172" s="356" t="str">
        <f t="shared" si="202"/>
        <v/>
      </c>
      <c r="J172" s="356">
        <f t="shared" si="202"/>
        <v>3</v>
      </c>
      <c r="K172" s="356" t="str">
        <f t="shared" si="202"/>
        <v/>
      </c>
      <c r="L172" s="356">
        <f t="shared" ref="L172:U174" si="203">IF(AK172=0,"",AK172)</f>
        <v>1</v>
      </c>
      <c r="M172" s="356" t="str">
        <f t="shared" si="203"/>
        <v/>
      </c>
      <c r="N172" s="356">
        <f t="shared" si="203"/>
        <v>2</v>
      </c>
      <c r="O172" s="356" t="str">
        <f t="shared" si="203"/>
        <v/>
      </c>
      <c r="P172" s="356">
        <f t="shared" si="203"/>
        <v>8</v>
      </c>
      <c r="Q172" s="356" t="str">
        <f t="shared" si="203"/>
        <v/>
      </c>
      <c r="R172" s="356">
        <f t="shared" si="203"/>
        <v>10</v>
      </c>
      <c r="S172" s="356" t="str">
        <f t="shared" si="203"/>
        <v/>
      </c>
      <c r="T172" s="356">
        <f t="shared" si="203"/>
        <v>9</v>
      </c>
      <c r="U172" s="356" t="str">
        <f t="shared" si="203"/>
        <v/>
      </c>
      <c r="V172" s="357"/>
      <c r="W172" s="357"/>
      <c r="AA172" s="88" t="s">
        <v>1797</v>
      </c>
      <c r="AB172" s="89" t="s">
        <v>1798</v>
      </c>
      <c r="AC172" s="370">
        <f>VLOOKUP($AA152,Schlüssel!$A$5:$DG$14,43)</f>
        <v>4</v>
      </c>
      <c r="AD172" s="371"/>
      <c r="AE172" s="370">
        <f>VLOOKUP($AA152,Schlüssel!$A$5:$EK$14,44)</f>
        <v>7</v>
      </c>
      <c r="AF172" s="371"/>
      <c r="AG172" s="370">
        <f>VLOOKUP($AA152,Schlüssel!$A$5:$EK$14,45)</f>
        <v>5</v>
      </c>
      <c r="AH172" s="371"/>
      <c r="AI172" s="370">
        <f>VLOOKUP($AA152,Schlüssel!$A$5:$EK$14,46)</f>
        <v>3</v>
      </c>
      <c r="AJ172" s="371"/>
      <c r="AK172" s="370">
        <f>VLOOKUP($AA152,Schlüssel!$A$5:$EK$14,47)</f>
        <v>1</v>
      </c>
      <c r="AL172" s="371"/>
      <c r="AM172" s="370">
        <f>VLOOKUP($AA152,Schlüssel!$A$5:$EK$14,48)</f>
        <v>2</v>
      </c>
      <c r="AN172" s="371"/>
      <c r="AO172" s="370">
        <f>VLOOKUP($AA152,Schlüssel!$A$5:$EK$14,49)</f>
        <v>8</v>
      </c>
      <c r="AP172" s="371"/>
      <c r="AQ172" s="370">
        <f>VLOOKUP($AA152,Schlüssel!$A$5:$EK$14,50)</f>
        <v>10</v>
      </c>
      <c r="AR172" s="371"/>
      <c r="AS172" s="370">
        <f>VLOOKUP($AA152,Schlüssel!$A$5:$EK$14,51)</f>
        <v>9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58" t="str">
        <f t="shared" si="202"/>
        <v>SG DJK Rimpar</v>
      </c>
      <c r="E173" s="359" t="str">
        <f t="shared" si="202"/>
        <v/>
      </c>
      <c r="F173" s="358" t="str">
        <f t="shared" si="202"/>
        <v>Schanzer Ingolstadt 1</v>
      </c>
      <c r="G173" s="359" t="str">
        <f t="shared" si="202"/>
        <v/>
      </c>
      <c r="H173" s="358" t="str">
        <f t="shared" si="202"/>
        <v>RW Lichtenhof Stein 1</v>
      </c>
      <c r="I173" s="359" t="str">
        <f t="shared" si="202"/>
        <v/>
      </c>
      <c r="J173" s="358" t="str">
        <f t="shared" si="202"/>
        <v>BK München 3</v>
      </c>
      <c r="K173" s="359" t="str">
        <f t="shared" si="202"/>
        <v/>
      </c>
      <c r="L173" s="358" t="str">
        <f t="shared" si="203"/>
        <v>BC Comet Nürnberg</v>
      </c>
      <c r="M173" s="359" t="str">
        <f t="shared" si="203"/>
        <v/>
      </c>
      <c r="N173" s="358" t="str">
        <f t="shared" si="203"/>
        <v>Bajuwaren München 1</v>
      </c>
      <c r="O173" s="359" t="str">
        <f t="shared" si="203"/>
        <v/>
      </c>
      <c r="P173" s="358" t="str">
        <f t="shared" si="203"/>
        <v>BC EMAX Unterföhring 2</v>
      </c>
      <c r="Q173" s="359" t="str">
        <f t="shared" si="203"/>
        <v/>
      </c>
      <c r="R173" s="358" t="str">
        <f t="shared" si="203"/>
        <v>High Roller Rosenheim 1</v>
      </c>
      <c r="S173" s="359" t="str">
        <f t="shared" si="203"/>
        <v/>
      </c>
      <c r="T173" s="358" t="str">
        <f t="shared" si="203"/>
        <v>Bowlinghaus Bamberg 1</v>
      </c>
      <c r="U173" s="359" t="str">
        <f t="shared" si="203"/>
        <v/>
      </c>
      <c r="V173" s="363"/>
      <c r="W173" s="363"/>
      <c r="AA173" s="90"/>
      <c r="AB173" s="86"/>
      <c r="AC173" s="358" t="str">
        <f>VLOOKUP(AC172,Schlüssel!$A$5:$K$14,2)</f>
        <v>SG DJK Rimpar</v>
      </c>
      <c r="AD173" s="359"/>
      <c r="AE173" s="358" t="str">
        <f>VLOOKUP(AE172,Schlüssel!$A$5:$K$14,2)</f>
        <v>Schanzer Ingolstadt 1</v>
      </c>
      <c r="AF173" s="359"/>
      <c r="AG173" s="358" t="str">
        <f>VLOOKUP(AG172,Schlüssel!$A$5:$K$14,2)</f>
        <v>RW Lichtenhof Stein 1</v>
      </c>
      <c r="AH173" s="359"/>
      <c r="AI173" s="358" t="str">
        <f>VLOOKUP(AI172,Schlüssel!$A$5:$K$14,2)</f>
        <v>BK München 3</v>
      </c>
      <c r="AJ173" s="359"/>
      <c r="AK173" s="358" t="str">
        <f>VLOOKUP(AK172,Schlüssel!$A$5:$K$14,2)</f>
        <v>BC Comet Nürnberg</v>
      </c>
      <c r="AL173" s="359"/>
      <c r="AM173" s="358" t="str">
        <f>VLOOKUP(AM172,Schlüssel!$A$5:$K$14,2)</f>
        <v>Bajuwaren München 1</v>
      </c>
      <c r="AN173" s="359"/>
      <c r="AO173" s="358" t="str">
        <f>VLOOKUP(AO172,Schlüssel!$A$5:$K$14,2)</f>
        <v>BC EMAX Unterföhring 2</v>
      </c>
      <c r="AP173" s="359"/>
      <c r="AQ173" s="358" t="str">
        <f>VLOOKUP(AQ172,Schlüssel!$A$5:$K$14,2)</f>
        <v>High Roller Rosenheim 1</v>
      </c>
      <c r="AR173" s="359"/>
      <c r="AS173" s="358" t="str">
        <f>VLOOKUP(AS172,Schlüssel!$A$5:$K$14,2)</f>
        <v>Bowlinghaus Bamberg 1</v>
      </c>
      <c r="AT173" s="359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60" t="str">
        <f t="shared" si="202"/>
        <v/>
      </c>
      <c r="E174" s="360" t="str">
        <f t="shared" si="202"/>
        <v/>
      </c>
      <c r="F174" s="360" t="str">
        <f t="shared" si="202"/>
        <v/>
      </c>
      <c r="G174" s="360" t="str">
        <f t="shared" si="202"/>
        <v/>
      </c>
      <c r="H174" s="360" t="str">
        <f t="shared" si="202"/>
        <v/>
      </c>
      <c r="I174" s="360" t="str">
        <f t="shared" si="202"/>
        <v/>
      </c>
      <c r="J174" s="360" t="str">
        <f t="shared" si="202"/>
        <v/>
      </c>
      <c r="K174" s="360" t="str">
        <f t="shared" si="202"/>
        <v/>
      </c>
      <c r="L174" s="360" t="str">
        <f t="shared" si="203"/>
        <v/>
      </c>
      <c r="M174" s="360" t="str">
        <f t="shared" si="203"/>
        <v/>
      </c>
      <c r="N174" s="360" t="str">
        <f t="shared" si="203"/>
        <v/>
      </c>
      <c r="O174" s="360" t="str">
        <f t="shared" si="203"/>
        <v/>
      </c>
      <c r="P174" s="360" t="str">
        <f t="shared" si="203"/>
        <v/>
      </c>
      <c r="Q174" s="360" t="str">
        <f t="shared" si="203"/>
        <v/>
      </c>
      <c r="R174" s="360" t="str">
        <f t="shared" si="203"/>
        <v/>
      </c>
      <c r="S174" s="360" t="str">
        <f t="shared" si="203"/>
        <v/>
      </c>
      <c r="T174" s="360" t="str">
        <f t="shared" si="203"/>
        <v/>
      </c>
      <c r="U174" s="361" t="str">
        <f t="shared" si="203"/>
        <v/>
      </c>
      <c r="V174" s="298"/>
      <c r="W174" s="298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4" t="str">
        <f t="shared" ref="B175:C179" si="204">IF(AA175=0,"",AA175)</f>
        <v>Spieler 1</v>
      </c>
      <c r="C175" s="375" t="str">
        <f t="shared" si="204"/>
        <v/>
      </c>
      <c r="D175" s="362">
        <f>IF(AC175=301,"",AC175)</f>
        <v>188</v>
      </c>
      <c r="E175" s="362" t="str">
        <f>IF(AD175=0,"",AD175)</f>
        <v/>
      </c>
      <c r="F175" s="362">
        <f>IF(AE175=301,"",AE175)</f>
        <v>156</v>
      </c>
      <c r="G175" s="362" t="str">
        <f>IF(AF175=0,"",AF175)</f>
        <v/>
      </c>
      <c r="H175" s="362">
        <f>IF(AG175=301,"",AG175)</f>
        <v>179</v>
      </c>
      <c r="I175" s="362" t="str">
        <f>IF(AH175=0,"",AH175)</f>
        <v/>
      </c>
      <c r="J175" s="362">
        <f>IF(AI175=301,"",AI175)</f>
        <v>212</v>
      </c>
      <c r="K175" s="362" t="str">
        <f>IF(AJ175=0,"",AJ175)</f>
        <v/>
      </c>
      <c r="L175" s="362">
        <f>IF(AK175=301,"",AK175)</f>
        <v>166</v>
      </c>
      <c r="M175" s="362" t="str">
        <f>IF(AL175=0,"",AL175)</f>
        <v/>
      </c>
      <c r="N175" s="362">
        <f>IF(AM175=301,"",AM175)</f>
        <v>230</v>
      </c>
      <c r="O175" s="362" t="str">
        <f>IF(AN175=0,"",AN175)</f>
        <v/>
      </c>
      <c r="P175" s="362">
        <f>IF(AO175=301,"",AO175)</f>
        <v>151</v>
      </c>
      <c r="Q175" s="362" t="str">
        <f>IF(AP175=0,"",AP175)</f>
        <v/>
      </c>
      <c r="R175" s="362">
        <f>IF(AQ175=301,"",AQ175)</f>
        <v>172</v>
      </c>
      <c r="S175" s="362" t="str">
        <f>IF(AR175=0,"",AR175)</f>
        <v/>
      </c>
      <c r="T175" s="362">
        <f>IF(AS175=301,"",AS175)</f>
        <v>194</v>
      </c>
      <c r="U175" s="362" t="str">
        <f>IF(AT175=0,"",AT175)</f>
        <v/>
      </c>
      <c r="V175" s="364"/>
      <c r="W175" s="364"/>
      <c r="AA175" s="91" t="s">
        <v>0</v>
      </c>
      <c r="AB175" s="92"/>
      <c r="AC175" s="368">
        <f>ABS(INDEX(AC:AC,MATCH(AC172,$AA:$AA,0)+5)+INDEX(AC:AC,MATCH(AC172,$AA:$AA,0)+6)+INDEX(AC:AC,MATCH(AC172,$AA:$AA,0)+7))</f>
        <v>188</v>
      </c>
      <c r="AD175" s="369"/>
      <c r="AE175" s="368">
        <f>ABS(INDEX(AE:AE,MATCH(AE172,$AA:$AA,0)+5)+INDEX(AE:AE,MATCH(AE172,$AA:$AA,0)+6)+INDEX(AE:AE,MATCH(AE172,$AA:$AA,0)+7))</f>
        <v>156</v>
      </c>
      <c r="AF175" s="369"/>
      <c r="AG175" s="368">
        <f>ABS(INDEX(AG:AG,MATCH(AG172,$AA:$AA,0)+5)+INDEX(AG:AG,MATCH(AG172,$AA:$AA,0)+6)+INDEX(AG:AG,MATCH(AG172,$AA:$AA,0)+7))</f>
        <v>179</v>
      </c>
      <c r="AH175" s="369"/>
      <c r="AI175" s="368">
        <f>ABS(INDEX(AI:AI,MATCH(AI172,$AA:$AA,0)+5)+INDEX(AI:AI,MATCH(AI172,$AA:$AA,0)+6)+INDEX(AI:AI,MATCH(AI172,$AA:$AA,0)+7))</f>
        <v>212</v>
      </c>
      <c r="AJ175" s="369"/>
      <c r="AK175" s="368">
        <f>ABS(INDEX(AK:AK,MATCH(AK172,$AA:$AA,0)+5)+INDEX(AK:AK,MATCH(AK172,$AA:$AA,0)+6)+INDEX(AK:AK,MATCH(AK172,$AA:$AA,0)+7))</f>
        <v>166</v>
      </c>
      <c r="AL175" s="369"/>
      <c r="AM175" s="368">
        <f>ABS(INDEX(AM:AM,MATCH(AM172,$AA:$AA,0)+5)+INDEX(AM:AM,MATCH(AM172,$AA:$AA,0)+6)+INDEX(AM:AM,MATCH(AM172,$AA:$AA,0)+7))</f>
        <v>230</v>
      </c>
      <c r="AN175" s="369"/>
      <c r="AO175" s="368">
        <f>ABS(INDEX(AO:AO,MATCH(AO172,$AA:$AA,0)+5)+INDEX(AO:AO,MATCH(AO172,$AA:$AA,0)+6)+INDEX(AO:AO,MATCH(AO172,$AA:$AA,0)+7))</f>
        <v>151</v>
      </c>
      <c r="AP175" s="369"/>
      <c r="AQ175" s="368">
        <f>ABS(INDEX(AQ:AQ,MATCH(AQ172,$AA:$AA,0)+5)+INDEX(AQ:AQ,MATCH(AQ172,$AA:$AA,0)+6)+INDEX(AQ:AQ,MATCH(AQ172,$AA:$AA,0)+7))</f>
        <v>172</v>
      </c>
      <c r="AR175" s="369"/>
      <c r="AS175" s="368">
        <f>ABS(INDEX(AS:AS,MATCH(AS172,$AA:$AA,0)+5)+INDEX(AS:AS,MATCH(AS172,$AA:$AA,0)+6)+INDEX(AS:AS,MATCH(AS172,$AA:$AA,0)+7))</f>
        <v>194</v>
      </c>
      <c r="AT175" s="369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4" t="str">
        <f t="shared" si="204"/>
        <v>Spieler 2</v>
      </c>
      <c r="C176" s="375" t="str">
        <f t="shared" si="204"/>
        <v/>
      </c>
      <c r="D176" s="362">
        <f>IF(AC176=301,"",AC176)</f>
        <v>159</v>
      </c>
      <c r="E176" s="362" t="str">
        <f>IF(AD176=0,"",AD176)</f>
        <v/>
      </c>
      <c r="F176" s="362">
        <f>IF(AE176=301,"",AE176)</f>
        <v>209</v>
      </c>
      <c r="G176" s="362" t="str">
        <f>IF(AF176=0,"",AF176)</f>
        <v/>
      </c>
      <c r="H176" s="362">
        <f>IF(AG176=301,"",AG176)</f>
        <v>185</v>
      </c>
      <c r="I176" s="362" t="str">
        <f>IF(AH176=0,"",AH176)</f>
        <v/>
      </c>
      <c r="J176" s="362">
        <f>IF(AI176=301,"",AI176)</f>
        <v>234</v>
      </c>
      <c r="K176" s="362" t="str">
        <f>IF(AJ176=0,"",AJ176)</f>
        <v/>
      </c>
      <c r="L176" s="362">
        <f>IF(AK176=301,"",AK176)</f>
        <v>243</v>
      </c>
      <c r="M176" s="362" t="str">
        <f>IF(AL176=0,"",AL176)</f>
        <v/>
      </c>
      <c r="N176" s="362">
        <f>IF(AM176=301,"",AM176)</f>
        <v>242</v>
      </c>
      <c r="O176" s="362" t="str">
        <f>IF(AN176=0,"",AN176)</f>
        <v/>
      </c>
      <c r="P176" s="362">
        <f>IF(AO176=301,"",AO176)</f>
        <v>206</v>
      </c>
      <c r="Q176" s="362" t="str">
        <f>IF(AP176=0,"",AP176)</f>
        <v/>
      </c>
      <c r="R176" s="362">
        <f>IF(AQ176=301,"",AQ176)</f>
        <v>181</v>
      </c>
      <c r="S176" s="362" t="str">
        <f>IF(AR176=0,"",AR176)</f>
        <v/>
      </c>
      <c r="T176" s="362">
        <f>IF(AS176=301,"",AS176)</f>
        <v>157</v>
      </c>
      <c r="U176" s="362" t="str">
        <f>IF(AT176=0,"",AT176)</f>
        <v/>
      </c>
      <c r="V176" s="364"/>
      <c r="W176" s="364"/>
      <c r="AA176" s="91" t="s">
        <v>2</v>
      </c>
      <c r="AB176" s="92"/>
      <c r="AC176" s="366">
        <f>ABS(INDEX(AC:AC,MATCH(AC172,$AA:$AA,0)+8)+INDEX(AC:AC,MATCH(AC172,$AA:$AA,0)+9)+INDEX(AC:AC,MATCH(AC172,$AA:$AA,0)+10))</f>
        <v>159</v>
      </c>
      <c r="AD176" s="367"/>
      <c r="AE176" s="366">
        <f>ABS(INDEX(AE:AE,MATCH(AE172,$AA:$AA,0)+8)+INDEX(AE:AE,MATCH(AE172,$AA:$AA,0)+9)+INDEX(AE:AE,MATCH(AE172,$AA:$AA,0)+10))</f>
        <v>209</v>
      </c>
      <c r="AF176" s="367"/>
      <c r="AG176" s="366">
        <f>ABS(INDEX(AG:AG,MATCH(AG172,$AA:$AA,0)+8)+INDEX(AG:AG,MATCH(AG172,$AA:$AA,0)+9)+INDEX(AG:AG,MATCH(AG172,$AA:$AA,0)+10))</f>
        <v>185</v>
      </c>
      <c r="AH176" s="367"/>
      <c r="AI176" s="366">
        <f>ABS(INDEX(AI:AI,MATCH(AI172,$AA:$AA,0)+8)+INDEX(AI:AI,MATCH(AI172,$AA:$AA,0)+9)+INDEX(AI:AI,MATCH(AI172,$AA:$AA,0)+10))</f>
        <v>234</v>
      </c>
      <c r="AJ176" s="367"/>
      <c r="AK176" s="366">
        <f>ABS(INDEX(AK:AK,MATCH(AK172,$AA:$AA,0)+8)+INDEX(AK:AK,MATCH(AK172,$AA:$AA,0)+9)+INDEX(AK:AK,MATCH(AK172,$AA:$AA,0)+10))</f>
        <v>243</v>
      </c>
      <c r="AL176" s="367"/>
      <c r="AM176" s="366">
        <f>ABS(INDEX(AM:AM,MATCH(AM172,$AA:$AA,0)+8)+INDEX(AM:AM,MATCH(AM172,$AA:$AA,0)+9)+INDEX(AM:AM,MATCH(AM172,$AA:$AA,0)+10))</f>
        <v>242</v>
      </c>
      <c r="AN176" s="367"/>
      <c r="AO176" s="366">
        <f>ABS(INDEX(AO:AO,MATCH(AO172,$AA:$AA,0)+8)+INDEX(AO:AO,MATCH(AO172,$AA:$AA,0)+9)+INDEX(AO:AO,MATCH(AO172,$AA:$AA,0)+10))</f>
        <v>206</v>
      </c>
      <c r="AP176" s="367"/>
      <c r="AQ176" s="366">
        <f>ABS(INDEX(AQ:AQ,MATCH(AQ172,$AA:$AA,0)+8)+INDEX(AQ:AQ,MATCH(AQ172,$AA:$AA,0)+9)+INDEX(AQ:AQ,MATCH(AQ172,$AA:$AA,0)+10))</f>
        <v>181</v>
      </c>
      <c r="AR176" s="367"/>
      <c r="AS176" s="366">
        <f>ABS(INDEX(AS:AS,MATCH(AS172,$AA:$AA,0)+8)+INDEX(AS:AS,MATCH(AS172,$AA:$AA,0)+9)+INDEX(AS:AS,MATCH(AS172,$AA:$AA,0)+10))</f>
        <v>157</v>
      </c>
      <c r="AT176" s="367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4" t="str">
        <f t="shared" si="204"/>
        <v>Spieler 3</v>
      </c>
      <c r="C177" s="375" t="str">
        <f t="shared" si="204"/>
        <v/>
      </c>
      <c r="D177" s="362">
        <f>IF(AC177=301,"",AC177)</f>
        <v>186</v>
      </c>
      <c r="E177" s="362" t="str">
        <f>IF(AD177=0,"",AD177)</f>
        <v/>
      </c>
      <c r="F177" s="362">
        <f>IF(AE177=301,"",AE177)</f>
        <v>215</v>
      </c>
      <c r="G177" s="362" t="str">
        <f>IF(AF177=0,"",AF177)</f>
        <v/>
      </c>
      <c r="H177" s="362">
        <f>IF(AG177=301,"",AG177)</f>
        <v>180</v>
      </c>
      <c r="I177" s="362" t="str">
        <f>IF(AH177=0,"",AH177)</f>
        <v/>
      </c>
      <c r="J177" s="362">
        <f>IF(AI177=301,"",AI177)</f>
        <v>182</v>
      </c>
      <c r="K177" s="362" t="str">
        <f>IF(AJ177=0,"",AJ177)</f>
        <v/>
      </c>
      <c r="L177" s="362">
        <f>IF(AK177=301,"",AK177)</f>
        <v>199</v>
      </c>
      <c r="M177" s="362" t="str">
        <f>IF(AL177=0,"",AL177)</f>
        <v/>
      </c>
      <c r="N177" s="362">
        <f>IF(AM177=301,"",AM177)</f>
        <v>201</v>
      </c>
      <c r="O177" s="362" t="str">
        <f>IF(AN177=0,"",AN177)</f>
        <v/>
      </c>
      <c r="P177" s="362">
        <f>IF(AO177=301,"",AO177)</f>
        <v>185</v>
      </c>
      <c r="Q177" s="362" t="str">
        <f>IF(AP177=0,"",AP177)</f>
        <v/>
      </c>
      <c r="R177" s="362">
        <f>IF(AQ177=301,"",AQ177)</f>
        <v>168</v>
      </c>
      <c r="S177" s="362" t="str">
        <f>IF(AR177=0,"",AR177)</f>
        <v/>
      </c>
      <c r="T177" s="362">
        <f>IF(AS177=301,"",AS177)</f>
        <v>160</v>
      </c>
      <c r="U177" s="362" t="str">
        <f>IF(AT177=0,"",AT177)</f>
        <v/>
      </c>
      <c r="V177" s="364"/>
      <c r="W177" s="364"/>
      <c r="AA177" s="91" t="s">
        <v>3</v>
      </c>
      <c r="AB177" s="92"/>
      <c r="AC177" s="366">
        <f>ABS(INDEX(AC:AC,MATCH(AC172,$AA:$AA,0)+11)+INDEX(AC:AC,MATCH(AC172,$AA:$AA,0)+12)+INDEX(AC:AC,MATCH(AC172,$AA:$AA,0)+13))</f>
        <v>186</v>
      </c>
      <c r="AD177" s="367"/>
      <c r="AE177" s="366">
        <f>ABS(INDEX(AE:AE,MATCH(AE172,$AA:$AA,0)+11)+INDEX(AE:AE,MATCH(AE172,$AA:$AA,0)+12)+INDEX(AE:AE,MATCH(AE172,$AA:$AA,0)+13))</f>
        <v>215</v>
      </c>
      <c r="AF177" s="367"/>
      <c r="AG177" s="366">
        <f>ABS(INDEX(AG:AG,MATCH(AG172,$AA:$AA,0)+11)+INDEX(AG:AG,MATCH(AG172,$AA:$AA,0)+12)+INDEX(AG:AG,MATCH(AG172,$AA:$AA,0)+13))</f>
        <v>180</v>
      </c>
      <c r="AH177" s="367"/>
      <c r="AI177" s="366">
        <f>ABS(INDEX(AI:AI,MATCH(AI172,$AA:$AA,0)+11)+INDEX(AI:AI,MATCH(AI172,$AA:$AA,0)+12)+INDEX(AI:AI,MATCH(AI172,$AA:$AA,0)+13))</f>
        <v>182</v>
      </c>
      <c r="AJ177" s="367"/>
      <c r="AK177" s="366">
        <f>ABS(INDEX(AK:AK,MATCH(AK172,$AA:$AA,0)+11)+INDEX(AK:AK,MATCH(AK172,$AA:$AA,0)+12)+INDEX(AK:AK,MATCH(AK172,$AA:$AA,0)+13))</f>
        <v>199</v>
      </c>
      <c r="AL177" s="367"/>
      <c r="AM177" s="366">
        <f>ABS(INDEX(AM:AM,MATCH(AM172,$AA:$AA,0)+11)+INDEX(AM:AM,MATCH(AM172,$AA:$AA,0)+12)+INDEX(AM:AM,MATCH(AM172,$AA:$AA,0)+13))</f>
        <v>201</v>
      </c>
      <c r="AN177" s="367"/>
      <c r="AO177" s="366">
        <f>ABS(INDEX(AO:AO,MATCH(AO172,$AA:$AA,0)+11)+INDEX(AO:AO,MATCH(AO172,$AA:$AA,0)+12)+INDEX(AO:AO,MATCH(AO172,$AA:$AA,0)+13))</f>
        <v>185</v>
      </c>
      <c r="AP177" s="367"/>
      <c r="AQ177" s="366">
        <f>ABS(INDEX(AQ:AQ,MATCH(AQ172,$AA:$AA,0)+11)+INDEX(AQ:AQ,MATCH(AQ172,$AA:$AA,0)+12)+INDEX(AQ:AQ,MATCH(AQ172,$AA:$AA,0)+13))</f>
        <v>168</v>
      </c>
      <c r="AR177" s="367"/>
      <c r="AS177" s="366">
        <f>ABS(INDEX(AS:AS,MATCH(AS172,$AA:$AA,0)+11)+INDEX(AS:AS,MATCH(AS172,$AA:$AA,0)+12)+INDEX(AS:AS,MATCH(AS172,$AA:$AA,0)+13))</f>
        <v>160</v>
      </c>
      <c r="AT177" s="367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4" t="str">
        <f t="shared" si="204"/>
        <v>Spieler 4</v>
      </c>
      <c r="C178" s="375" t="str">
        <f t="shared" si="204"/>
        <v/>
      </c>
      <c r="D178" s="362">
        <f>IF(AC178=301,"",AC178)</f>
        <v>162</v>
      </c>
      <c r="E178" s="362" t="str">
        <f>IF(AD178=0,"",AD178)</f>
        <v/>
      </c>
      <c r="F178" s="362">
        <f>IF(AE178=301,"",AE178)</f>
        <v>194</v>
      </c>
      <c r="G178" s="362" t="str">
        <f>IF(AF178=0,"",AF178)</f>
        <v/>
      </c>
      <c r="H178" s="362">
        <f>IF(AG178=301,"",AG178)</f>
        <v>162</v>
      </c>
      <c r="I178" s="362" t="str">
        <f>IF(AH178=0,"",AH178)</f>
        <v/>
      </c>
      <c r="J178" s="362">
        <f>IF(AI178=301,"",AI178)</f>
        <v>174</v>
      </c>
      <c r="K178" s="362" t="str">
        <f>IF(AJ178=0,"",AJ178)</f>
        <v/>
      </c>
      <c r="L178" s="362">
        <f>IF(AK178=301,"",AK178)</f>
        <v>195</v>
      </c>
      <c r="M178" s="362" t="str">
        <f>IF(AL178=0,"",AL178)</f>
        <v/>
      </c>
      <c r="N178" s="362">
        <f>IF(AM178=301,"",AM178)</f>
        <v>188</v>
      </c>
      <c r="O178" s="362" t="str">
        <f>IF(AN178=0,"",AN178)</f>
        <v/>
      </c>
      <c r="P178" s="362">
        <f>IF(AO178=301,"",AO178)</f>
        <v>194</v>
      </c>
      <c r="Q178" s="362" t="str">
        <f>IF(AP178=0,"",AP178)</f>
        <v/>
      </c>
      <c r="R178" s="362">
        <f>IF(AQ178=301,"",AQ178)</f>
        <v>209</v>
      </c>
      <c r="S178" s="362" t="str">
        <f>IF(AR178=0,"",AR178)</f>
        <v/>
      </c>
      <c r="T178" s="362">
        <f>IF(AS178=301,"",AS178)</f>
        <v>200</v>
      </c>
      <c r="U178" s="362" t="str">
        <f>IF(AT178=0,"",AT178)</f>
        <v/>
      </c>
      <c r="V178" s="364"/>
      <c r="W178" s="364"/>
      <c r="AA178" s="91" t="s">
        <v>11</v>
      </c>
      <c r="AB178" s="92"/>
      <c r="AC178" s="366">
        <f>ABS(INDEX(AC:AC,MATCH(AC172,$AA:$AA,0)+14)+INDEX(AC:AC,MATCH(AC172,$AA:$AA,0)+15)+INDEX(AC:AC,MATCH(AC172,$AA:$AA,0)+16))</f>
        <v>162</v>
      </c>
      <c r="AD178" s="367"/>
      <c r="AE178" s="366">
        <f>ABS(INDEX(AE:AE,MATCH(AE172,$AA:$AA,0)+14)+INDEX(AE:AE,MATCH(AE172,$AA:$AA,0)+15)+INDEX(AE:AE,MATCH(AE172,$AA:$AA,0)+16))</f>
        <v>194</v>
      </c>
      <c r="AF178" s="367"/>
      <c r="AG178" s="366">
        <f>ABS(INDEX(AG:AG,MATCH(AG172,$AA:$AA,0)+14)+INDEX(AG:AG,MATCH(AG172,$AA:$AA,0)+15)+INDEX(AG:AG,MATCH(AG172,$AA:$AA,0)+16))</f>
        <v>162</v>
      </c>
      <c r="AH178" s="367"/>
      <c r="AI178" s="366">
        <f>ABS(INDEX(AI:AI,MATCH(AI172,$AA:$AA,0)+14)+INDEX(AI:AI,MATCH(AI172,$AA:$AA,0)+15)+INDEX(AI:AI,MATCH(AI172,$AA:$AA,0)+16))</f>
        <v>174</v>
      </c>
      <c r="AJ178" s="367"/>
      <c r="AK178" s="366">
        <f>ABS(INDEX(AK:AK,MATCH(AK172,$AA:$AA,0)+14)+INDEX(AK:AK,MATCH(AK172,$AA:$AA,0)+15)+INDEX(AK:AK,MATCH(AK172,$AA:$AA,0)+16))</f>
        <v>195</v>
      </c>
      <c r="AL178" s="367"/>
      <c r="AM178" s="366">
        <f>ABS(INDEX(AM:AM,MATCH(AM172,$AA:$AA,0)+14)+INDEX(AM:AM,MATCH(AM172,$AA:$AA,0)+15)+INDEX(AM:AM,MATCH(AM172,$AA:$AA,0)+16))</f>
        <v>188</v>
      </c>
      <c r="AN178" s="367"/>
      <c r="AO178" s="366">
        <f>ABS(INDEX(AO:AO,MATCH(AO172,$AA:$AA,0)+14)+INDEX(AO:AO,MATCH(AO172,$AA:$AA,0)+15)+INDEX(AO:AO,MATCH(AO172,$AA:$AA,0)+16))</f>
        <v>194</v>
      </c>
      <c r="AP178" s="367"/>
      <c r="AQ178" s="366">
        <f>ABS(INDEX(AQ:AQ,MATCH(AQ172,$AA:$AA,0)+14)+INDEX(AQ:AQ,MATCH(AQ172,$AA:$AA,0)+15)+INDEX(AQ:AQ,MATCH(AQ172,$AA:$AA,0)+16))</f>
        <v>209</v>
      </c>
      <c r="AR178" s="367"/>
      <c r="AS178" s="366">
        <f>ABS(INDEX(AS:AS,MATCH(AS172,$AA:$AA,0)+14)+INDEX(AS:AS,MATCH(AS172,$AA:$AA,0)+15)+INDEX(AS:AS,MATCH(AS172,$AA:$AA,0)+16))</f>
        <v>200</v>
      </c>
      <c r="AT178" s="367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6" t="str">
        <f t="shared" si="204"/>
        <v>Gesamt</v>
      </c>
      <c r="C179" s="347" t="str">
        <f t="shared" si="204"/>
        <v/>
      </c>
      <c r="D179" s="365">
        <f>IF(AC179=1505,"",AC179)</f>
        <v>695</v>
      </c>
      <c r="E179" s="365" t="str">
        <f>IF(AD179=0,"",AD179)</f>
        <v/>
      </c>
      <c r="F179" s="365">
        <f>IF(AE179=1505,"",AE179)</f>
        <v>774</v>
      </c>
      <c r="G179" s="365" t="str">
        <f>IF(AF179=0,"",AF179)</f>
        <v/>
      </c>
      <c r="H179" s="365">
        <f>IF(AG179=1505,"",AG179)</f>
        <v>706</v>
      </c>
      <c r="I179" s="365" t="str">
        <f>IF(AH179=0,"",AH179)</f>
        <v/>
      </c>
      <c r="J179" s="365">
        <f>IF(AI179=1505,"",AI179)</f>
        <v>802</v>
      </c>
      <c r="K179" s="365" t="str">
        <f>IF(AJ179=0,"",AJ179)</f>
        <v/>
      </c>
      <c r="L179" s="365">
        <f>IF(AK179=1505,"",AK179)</f>
        <v>803</v>
      </c>
      <c r="M179" s="365" t="str">
        <f>IF(AL179=0,"",AL179)</f>
        <v/>
      </c>
      <c r="N179" s="365">
        <f>IF(AM179=1505,"",AM179)</f>
        <v>861</v>
      </c>
      <c r="O179" s="365" t="str">
        <f>IF(AN179=0,"",AN179)</f>
        <v/>
      </c>
      <c r="P179" s="365">
        <f>IF(AO179=1505,"",AO179)</f>
        <v>736</v>
      </c>
      <c r="Q179" s="365" t="str">
        <f>IF(AP179=0,"",AP179)</f>
        <v/>
      </c>
      <c r="R179" s="365">
        <f>IF(AQ179=1505,"",AQ179)</f>
        <v>730</v>
      </c>
      <c r="S179" s="365" t="str">
        <f>IF(AR179=0,"",AR179)</f>
        <v/>
      </c>
      <c r="T179" s="365">
        <f>IF(AS179=1505,"",AS179)</f>
        <v>711</v>
      </c>
      <c r="U179" s="365" t="str">
        <f>IF(AT179=0,"",AT179)</f>
        <v/>
      </c>
      <c r="V179" s="301"/>
      <c r="W179" s="301"/>
      <c r="AA179" s="93" t="s">
        <v>1799</v>
      </c>
      <c r="AB179" s="94"/>
      <c r="AC179" s="346">
        <f>SUM(AC175:AC178)</f>
        <v>695</v>
      </c>
      <c r="AD179" s="347"/>
      <c r="AE179" s="346">
        <f>SUM(AE175:AE178)</f>
        <v>774</v>
      </c>
      <c r="AF179" s="347"/>
      <c r="AG179" s="346">
        <f>SUM(AG175:AG178)</f>
        <v>706</v>
      </c>
      <c r="AH179" s="347"/>
      <c r="AI179" s="346">
        <f>SUM(AI175:AI178)</f>
        <v>802</v>
      </c>
      <c r="AJ179" s="347"/>
      <c r="AK179" s="346">
        <f>SUM(AK175:AK178)</f>
        <v>803</v>
      </c>
      <c r="AL179" s="347"/>
      <c r="AM179" s="346">
        <f>SUM(AM175:AM178)</f>
        <v>861</v>
      </c>
      <c r="AN179" s="347"/>
      <c r="AO179" s="346">
        <f>SUM(AO175:AO178)</f>
        <v>736</v>
      </c>
      <c r="AP179" s="347"/>
      <c r="AQ179" s="346">
        <f>SUM(AQ175:AQ178)</f>
        <v>730</v>
      </c>
      <c r="AR179" s="347"/>
      <c r="AS179" s="346">
        <f>SUM(AS175:AS178)</f>
        <v>711</v>
      </c>
      <c r="AT179" s="347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5" t="str">
        <f>AE181</f>
        <v>Bayernliga Herren</v>
      </c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48"/>
      <c r="S181" s="49" t="s">
        <v>1794</v>
      </c>
      <c r="T181" s="50"/>
      <c r="U181" s="341" t="str">
        <f>AT181</f>
        <v>01.02./02.02.</v>
      </c>
      <c r="V181" s="342"/>
      <c r="W181" s="343"/>
      <c r="X181" s="372"/>
      <c r="Y181" s="373"/>
      <c r="Z181" s="373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41" t="str">
        <f>VLOOKUP(AS182,Spielorte!$A$1:$C$6,2)</f>
        <v>01.02./02.02.</v>
      </c>
      <c r="AU181" s="342"/>
      <c r="AV181" s="34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4" t="str">
        <f>AE182</f>
        <v>Unterföhring Dreambowl Palace</v>
      </c>
      <c r="G182" s="344"/>
      <c r="H182" s="344"/>
      <c r="I182" s="344"/>
      <c r="J182" s="344"/>
      <c r="K182" s="344"/>
      <c r="L182" s="344"/>
      <c r="M182" s="344"/>
      <c r="N182" s="344"/>
      <c r="O182" s="344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6" t="s">
        <v>1800</v>
      </c>
      <c r="E185" s="347"/>
      <c r="F185" s="346" t="s">
        <v>1801</v>
      </c>
      <c r="G185" s="347"/>
      <c r="H185" s="346" t="s">
        <v>1802</v>
      </c>
      <c r="I185" s="347"/>
      <c r="J185" s="346" t="s">
        <v>1803</v>
      </c>
      <c r="K185" s="347"/>
      <c r="L185" s="346" t="s">
        <v>1804</v>
      </c>
      <c r="M185" s="347"/>
      <c r="N185" s="346" t="s">
        <v>1805</v>
      </c>
      <c r="O185" s="347"/>
      <c r="P185" s="346" t="s">
        <v>1806</v>
      </c>
      <c r="Q185" s="347"/>
      <c r="R185" s="346" t="s">
        <v>1807</v>
      </c>
      <c r="S185" s="347"/>
      <c r="T185" s="346" t="s">
        <v>1808</v>
      </c>
      <c r="U185" s="347"/>
      <c r="V185" s="354" t="s">
        <v>1799</v>
      </c>
      <c r="W185" s="355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6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190</v>
      </c>
      <c r="E187" s="348">
        <f>IF(AD187="","",AD187)</f>
        <v>1</v>
      </c>
      <c r="F187" s="75">
        <f t="shared" ref="F187:F200" si="205">IF(AE187=0,"",AE187)</f>
        <v>156</v>
      </c>
      <c r="G187" s="348">
        <f>IF(AF187="","",AF187)</f>
        <v>0</v>
      </c>
      <c r="H187" s="75">
        <f t="shared" ref="H187:H200" si="206">IF(AG187=0,"",AG187)</f>
        <v>169</v>
      </c>
      <c r="I187" s="348">
        <f>IF(AH187="","",AH187)</f>
        <v>0</v>
      </c>
      <c r="J187" s="75">
        <f t="shared" ref="J187:J200" si="207">IF(AI187=0,"",AI187)</f>
        <v>189</v>
      </c>
      <c r="K187" s="348">
        <f>IF(AJ187="","",AJ187)</f>
        <v>0</v>
      </c>
      <c r="L187" s="75">
        <f t="shared" ref="L187:L200" si="208">IF(AK187=0,"",AK187)</f>
        <v>197</v>
      </c>
      <c r="M187" s="348">
        <f>IF(AL187="","",AL187)</f>
        <v>1</v>
      </c>
      <c r="N187" s="75">
        <f>IF(AM187=0,"",AM187)</f>
        <v>159</v>
      </c>
      <c r="O187" s="348">
        <f>IF(AN187="","",AN187)</f>
        <v>0</v>
      </c>
      <c r="P187" s="75">
        <f t="shared" ref="P187:P200" si="209">IF(AO187=0,"",AO187)</f>
        <v>184</v>
      </c>
      <c r="Q187" s="348">
        <f>IF(AP187="","",AP187)</f>
        <v>1</v>
      </c>
      <c r="R187" s="75">
        <f t="shared" ref="R187:R200" si="210">IF(AQ187=0,"",AQ187)</f>
        <v>175</v>
      </c>
      <c r="S187" s="348">
        <f>IF(AR187="","",AR187)</f>
        <v>0</v>
      </c>
      <c r="T187" s="75">
        <f t="shared" ref="T187:T200" si="211">IF(AS187=0,"",AS187)</f>
        <v>148</v>
      </c>
      <c r="U187" s="348">
        <f>IF(AT187="","",AT187)</f>
        <v>0</v>
      </c>
      <c r="V187" s="75">
        <f t="shared" ref="V187:V200" si="212">IF(AU187=0,"",AU187)</f>
        <v>1567</v>
      </c>
      <c r="W187" s="348">
        <f>IF(AV187="","",AV187)</f>
        <v>3</v>
      </c>
      <c r="Z187" s="351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190</v>
      </c>
      <c r="AD187" s="109">
        <f>IF(SUM(AC187:AC189)+AC205=0,0,IF(SUM(AC187:AC189)=AC205,0.5,IF(SUM(AC187:AC189)&gt;AC205,1,0)))</f>
        <v>1</v>
      </c>
      <c r="AE187" s="185">
        <v>156</v>
      </c>
      <c r="AF187" s="109">
        <f>IF(SUM(AE187:AE189)+AE205=0,0,IF(SUM(AE187:AE189)=AE205,0.5,IF(SUM(AE187:AE189)&gt;AE205,1,0)))</f>
        <v>0</v>
      </c>
      <c r="AG187" s="185">
        <v>169</v>
      </c>
      <c r="AH187" s="109">
        <f>IF(SUM(AG187:AG189)+AG205=0,0,IF(SUM(AG187:AG189)=AG205,0.5,IF(SUM(AG187:AG189)&gt;AG205,1,0)))</f>
        <v>0</v>
      </c>
      <c r="AI187" s="185">
        <v>189</v>
      </c>
      <c r="AJ187" s="109">
        <f>IF(SUM(AI187:AI189)+AI205=0,0,IF(SUM(AI187:AI189)=AI205,0.5,IF(SUM(AI187:AI189)&gt;AI205,1,0)))</f>
        <v>0</v>
      </c>
      <c r="AK187" s="185">
        <v>197</v>
      </c>
      <c r="AL187" s="109">
        <f>IF(SUM(AK187:AK189)+AK205=0,0,IF(SUM(AK187:AK189)=AK205,0.5,IF(SUM(AK187:AK189)&gt;AK205,1,0)))</f>
        <v>1</v>
      </c>
      <c r="AM187" s="185">
        <v>159</v>
      </c>
      <c r="AN187" s="109">
        <f>IF(SUM(AM187:AM189)+AM205=0,0,IF(SUM(AM187:AM189)=AM205,0.5,IF(SUM(AM187:AM189)&gt;AM205,1,0)))</f>
        <v>0</v>
      </c>
      <c r="AO187" s="185">
        <v>184</v>
      </c>
      <c r="AP187" s="109">
        <f>IF(SUM(AO187:AO189)+AO205=0,0,IF(SUM(AO187:AO189)=AO205,0.5,IF(SUM(AO187:AO189)&gt;AO205,1,0)))</f>
        <v>1</v>
      </c>
      <c r="AQ187" s="185">
        <v>175</v>
      </c>
      <c r="AR187" s="109">
        <f>IF(SUM(AQ187:AQ189)+AQ205=0,0,IF(SUM(AQ187:AQ189)=AQ205,0.5,IF(SUM(AQ187:AQ189)&gt;AQ205,1,0)))</f>
        <v>0</v>
      </c>
      <c r="AS187" s="185">
        <v>148</v>
      </c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1567</v>
      </c>
      <c r="AV187" s="111">
        <f>SUM(AD187+AF187+AH187+AJ187+AL187+AN187+AP187+AR187+AT187)</f>
        <v>3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1567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190</v>
      </c>
      <c r="BI187" s="215">
        <f t="shared" ref="BI187:BI198" si="215">IF(AE187=0,"",AE187)</f>
        <v>156</v>
      </c>
      <c r="BJ187" s="215">
        <f t="shared" ref="BJ187:BJ198" si="216">IF(AG187=0,"",AG187)</f>
        <v>169</v>
      </c>
      <c r="BK187" s="215">
        <f t="shared" ref="BK187:BK198" si="217">IF(AI187=0,"",AI187)</f>
        <v>189</v>
      </c>
      <c r="BL187" s="215">
        <f t="shared" ref="BL187:BL198" si="218">IF(AK187=0,"",AK187)</f>
        <v>197</v>
      </c>
      <c r="BM187" s="215">
        <f t="shared" ref="BM187:BM198" si="219">IF(AM187=0,"",AM187)</f>
        <v>159</v>
      </c>
      <c r="BN187" s="215">
        <f t="shared" ref="BN187:BN198" si="220">IF(AO187=0,"",AO187)</f>
        <v>184</v>
      </c>
      <c r="BO187" s="215">
        <f t="shared" ref="BO187:BO198" si="221">IF(AQ187=0,"",AQ187)</f>
        <v>175</v>
      </c>
      <c r="BP187" s="215">
        <f t="shared" ref="BP187:BP198" si="222">IF(AS187=0,"",AS187)</f>
        <v>148</v>
      </c>
      <c r="BQ187" s="216"/>
      <c r="BR187" s="214"/>
      <c r="BS187" s="215">
        <f>MAX(BH187:BP187)</f>
        <v>197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1567</v>
      </c>
      <c r="BX187" s="215">
        <f>IF(COUNTIF(BH187:BP187,"&gt;0")&lt;Spielorte!$A$23,0,BE187/Spielorte!$A$23)</f>
        <v>174.11111111111111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77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9"/>
      <c r="F188" s="78" t="str">
        <f t="shared" si="205"/>
        <v/>
      </c>
      <c r="G188" s="349"/>
      <c r="H188" s="78" t="str">
        <f t="shared" si="206"/>
        <v/>
      </c>
      <c r="I188" s="349"/>
      <c r="J188" s="78" t="str">
        <f t="shared" si="207"/>
        <v/>
      </c>
      <c r="K188" s="349"/>
      <c r="L188" s="78" t="str">
        <f t="shared" si="208"/>
        <v/>
      </c>
      <c r="M188" s="349"/>
      <c r="N188" s="78" t="str">
        <f t="shared" ref="N188:N200" si="225">IF(AM188=0,"",AM188)</f>
        <v/>
      </c>
      <c r="O188" s="349"/>
      <c r="P188" s="78" t="str">
        <f t="shared" si="209"/>
        <v/>
      </c>
      <c r="Q188" s="349"/>
      <c r="R188" s="78" t="str">
        <f t="shared" si="210"/>
        <v/>
      </c>
      <c r="S188" s="349"/>
      <c r="T188" s="78" t="str">
        <f t="shared" si="211"/>
        <v/>
      </c>
      <c r="U188" s="349"/>
      <c r="V188" s="78" t="str">
        <f t="shared" si="212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Schanzer Ingolstadt 1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8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0"/>
      <c r="F189" s="69" t="str">
        <f t="shared" si="205"/>
        <v/>
      </c>
      <c r="G189" s="350"/>
      <c r="H189" s="69" t="str">
        <f t="shared" si="206"/>
        <v/>
      </c>
      <c r="I189" s="350"/>
      <c r="J189" s="69" t="str">
        <f t="shared" si="207"/>
        <v/>
      </c>
      <c r="K189" s="350"/>
      <c r="L189" s="69" t="str">
        <f t="shared" si="208"/>
        <v/>
      </c>
      <c r="M189" s="350"/>
      <c r="N189" s="69" t="str">
        <f t="shared" si="225"/>
        <v/>
      </c>
      <c r="O189" s="350"/>
      <c r="P189" s="69" t="str">
        <f t="shared" si="209"/>
        <v/>
      </c>
      <c r="Q189" s="350"/>
      <c r="R189" s="69" t="str">
        <f t="shared" si="210"/>
        <v/>
      </c>
      <c r="S189" s="350"/>
      <c r="T189" s="69" t="str">
        <f t="shared" si="211"/>
        <v/>
      </c>
      <c r="U189" s="350"/>
      <c r="V189" s="69" t="str">
        <f t="shared" si="212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Schanzer Ingolstadt 1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76" t="s">
        <v>2</v>
      </c>
      <c r="B190" s="73" t="str">
        <f t="shared" si="224"/>
        <v>Hartl, Thomas</v>
      </c>
      <c r="C190" s="74">
        <f t="shared" si="224"/>
        <v>38411</v>
      </c>
      <c r="D190" s="75">
        <f t="shared" si="224"/>
        <v>201</v>
      </c>
      <c r="E190" s="348">
        <f>IF(AD190="","",AD190)</f>
        <v>1</v>
      </c>
      <c r="F190" s="75">
        <f t="shared" si="205"/>
        <v>209</v>
      </c>
      <c r="G190" s="348">
        <f>IF(AF190="","",AF190)</f>
        <v>1</v>
      </c>
      <c r="H190" s="75">
        <f t="shared" si="206"/>
        <v>129</v>
      </c>
      <c r="I190" s="348">
        <f>IF(AH190="","",AH190)</f>
        <v>0</v>
      </c>
      <c r="J190" s="75">
        <f t="shared" si="207"/>
        <v>148</v>
      </c>
      <c r="K190" s="348">
        <f>IF(AJ190="","",AJ190)</f>
        <v>0</v>
      </c>
      <c r="L190" s="75">
        <f t="shared" si="208"/>
        <v>216</v>
      </c>
      <c r="M190" s="348">
        <f>IF(AL190="","",AL190)</f>
        <v>1</v>
      </c>
      <c r="N190" s="75">
        <f t="shared" si="225"/>
        <v>200</v>
      </c>
      <c r="O190" s="348">
        <f>IF(AN190="","",AN190)</f>
        <v>1</v>
      </c>
      <c r="P190" s="75">
        <f t="shared" si="209"/>
        <v>154</v>
      </c>
      <c r="Q190" s="348">
        <f>IF(AP190="","",AP190)</f>
        <v>0</v>
      </c>
      <c r="R190" s="75">
        <f t="shared" si="210"/>
        <v>161</v>
      </c>
      <c r="S190" s="348">
        <f>IF(AR190="","",AR190)</f>
        <v>0</v>
      </c>
      <c r="T190" s="75">
        <f t="shared" si="211"/>
        <v>167</v>
      </c>
      <c r="U190" s="348">
        <f>IF(AT190="","",AT190)</f>
        <v>1</v>
      </c>
      <c r="V190" s="75">
        <f t="shared" si="212"/>
        <v>1585</v>
      </c>
      <c r="W190" s="348">
        <f>IF(AV190="","",AV190)</f>
        <v>5</v>
      </c>
      <c r="Z190" s="351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201</v>
      </c>
      <c r="AD190" s="109">
        <f>IF(SUM(AC190:AC192)+AC206=0,0,IF(SUM(AC190:AC192)=AC206,0.5,IF(SUM(AC190:AC192)&gt;AC206,1,0)))</f>
        <v>1</v>
      </c>
      <c r="AE190" s="188">
        <v>209</v>
      </c>
      <c r="AF190" s="109">
        <f>IF(SUM(AE190:AE192)+AE206=0,0,IF(SUM(AE190:AE192)=AE206,0.5,IF(SUM(AE190:AE192)&gt;AE206,1,0)))</f>
        <v>1</v>
      </c>
      <c r="AG190" s="188">
        <v>129</v>
      </c>
      <c r="AH190" s="109">
        <f>IF(SUM(AG190:AG192)+AG206=0,0,IF(SUM(AG190:AG192)=AG206,0.5,IF(SUM(AG190:AG192)&gt;AG206,1,0)))</f>
        <v>0</v>
      </c>
      <c r="AI190" s="188">
        <v>148</v>
      </c>
      <c r="AJ190" s="109">
        <f>IF(SUM(AI190:AI192)+AI206=0,0,IF(SUM(AI190:AI192)=AI206,0.5,IF(SUM(AI190:AI192)&gt;AI206,1,0)))</f>
        <v>0</v>
      </c>
      <c r="AK190" s="188">
        <v>216</v>
      </c>
      <c r="AL190" s="109">
        <f>IF(SUM(AK190:AK192)+AK206=0,0,IF(SUM(AK190:AK192)=AK206,0.5,IF(SUM(AK190:AK192)&gt;AK206,1,0)))</f>
        <v>1</v>
      </c>
      <c r="AM190" s="188">
        <v>200</v>
      </c>
      <c r="AN190" s="109">
        <f>IF(SUM(AM190:AM192)+AM206=0,0,IF(SUM(AM190:AM192)=AM206,0.5,IF(SUM(AM190:AM192)&gt;AM206,1,0)))</f>
        <v>1</v>
      </c>
      <c r="AO190" s="188">
        <v>154</v>
      </c>
      <c r="AP190" s="109">
        <f>IF(SUM(AO190:AO192)+AO206=0,0,IF(SUM(AO190:AO192)=AO206,0.5,IF(SUM(AO190:AO192)&gt;AO206,1,0)))</f>
        <v>0</v>
      </c>
      <c r="AQ190" s="188">
        <v>161</v>
      </c>
      <c r="AR190" s="109">
        <f>IF(SUM(AQ190:AQ192)+AQ206=0,0,IF(SUM(AQ190:AQ192)=AQ206,0.5,IF(SUM(AQ190:AQ192)&gt;AQ206,1,0)))</f>
        <v>0</v>
      </c>
      <c r="AS190" s="188">
        <v>167</v>
      </c>
      <c r="AT190" s="109">
        <f>IF(SUM(AS190:AS192)+AS206=0,0,IF(SUM(AS190:AS192)=AS206,0.5,IF(SUM(AS190:AS192)&gt;AS206,1,0)))</f>
        <v>1</v>
      </c>
      <c r="AU190" s="110">
        <f t="shared" si="213"/>
        <v>1585</v>
      </c>
      <c r="AV190" s="111">
        <f>SUM(AD190+AF190+AH190+AJ190+AL190+AN190+AP190+AR190+AT190)</f>
        <v>5</v>
      </c>
      <c r="AW190" s="101"/>
      <c r="AX190" s="102"/>
      <c r="AZ190" s="63"/>
      <c r="BA190" s="212"/>
      <c r="BB190" s="213"/>
      <c r="BC190" s="214"/>
      <c r="BD190" s="217">
        <f t="shared" si="226"/>
        <v>38411</v>
      </c>
      <c r="BE190" s="213">
        <f t="shared" si="227"/>
        <v>1585</v>
      </c>
      <c r="BF190" s="215">
        <f t="shared" si="228"/>
        <v>9</v>
      </c>
      <c r="BG190" s="215">
        <f t="shared" si="229"/>
        <v>9</v>
      </c>
      <c r="BH190" s="215">
        <f t="shared" si="214"/>
        <v>201</v>
      </c>
      <c r="BI190" s="215">
        <f t="shared" si="215"/>
        <v>209</v>
      </c>
      <c r="BJ190" s="215">
        <f t="shared" si="216"/>
        <v>129</v>
      </c>
      <c r="BK190" s="215">
        <f t="shared" si="217"/>
        <v>148</v>
      </c>
      <c r="BL190" s="215">
        <f t="shared" si="218"/>
        <v>216</v>
      </c>
      <c r="BM190" s="215">
        <f t="shared" si="219"/>
        <v>200</v>
      </c>
      <c r="BN190" s="215">
        <f t="shared" si="220"/>
        <v>154</v>
      </c>
      <c r="BO190" s="215">
        <f t="shared" si="221"/>
        <v>161</v>
      </c>
      <c r="BP190" s="215">
        <f t="shared" si="222"/>
        <v>167</v>
      </c>
      <c r="BQ190" s="216"/>
      <c r="BR190" s="214"/>
      <c r="BS190" s="215">
        <f t="shared" si="230"/>
        <v>216</v>
      </c>
      <c r="BT190" s="215">
        <f t="shared" si="231"/>
        <v>0</v>
      </c>
      <c r="BU190" s="215" t="str">
        <f t="shared" si="232"/>
        <v>Schanzer Ingolstadt 1</v>
      </c>
      <c r="BV190" s="214">
        <f t="shared" si="233"/>
        <v>2</v>
      </c>
      <c r="BW190" s="215">
        <f t="shared" si="234"/>
        <v>1585</v>
      </c>
      <c r="BX190" s="215">
        <f>IF(COUNTIF(BH190:BP190,"&gt;0")&lt;Spielorte!$A$23,0,BE190/Spielorte!$A$23)</f>
        <v>176.11111111111111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77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9"/>
      <c r="F191" s="78" t="str">
        <f t="shared" si="205"/>
        <v/>
      </c>
      <c r="G191" s="349"/>
      <c r="H191" s="78" t="str">
        <f t="shared" si="206"/>
        <v/>
      </c>
      <c r="I191" s="349"/>
      <c r="J191" s="78" t="str">
        <f t="shared" si="207"/>
        <v/>
      </c>
      <c r="K191" s="349"/>
      <c r="L191" s="78" t="str">
        <f t="shared" si="208"/>
        <v/>
      </c>
      <c r="M191" s="349"/>
      <c r="N191" s="78" t="str">
        <f t="shared" si="225"/>
        <v/>
      </c>
      <c r="O191" s="349"/>
      <c r="P191" s="78" t="str">
        <f t="shared" si="209"/>
        <v/>
      </c>
      <c r="Q191" s="349"/>
      <c r="R191" s="78" t="str">
        <f t="shared" si="210"/>
        <v/>
      </c>
      <c r="S191" s="349"/>
      <c r="T191" s="78" t="str">
        <f t="shared" si="211"/>
        <v/>
      </c>
      <c r="U191" s="349"/>
      <c r="V191" s="78" t="str">
        <f t="shared" si="212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Schanzer Ingolstadt 1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8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0"/>
      <c r="F192" s="69" t="str">
        <f t="shared" si="205"/>
        <v/>
      </c>
      <c r="G192" s="350"/>
      <c r="H192" s="69" t="str">
        <f t="shared" si="206"/>
        <v/>
      </c>
      <c r="I192" s="350"/>
      <c r="J192" s="69" t="str">
        <f t="shared" si="207"/>
        <v/>
      </c>
      <c r="K192" s="350"/>
      <c r="L192" s="69" t="str">
        <f t="shared" si="208"/>
        <v/>
      </c>
      <c r="M192" s="350"/>
      <c r="N192" s="69" t="str">
        <f t="shared" si="225"/>
        <v/>
      </c>
      <c r="O192" s="350"/>
      <c r="P192" s="69" t="str">
        <f t="shared" si="209"/>
        <v/>
      </c>
      <c r="Q192" s="350"/>
      <c r="R192" s="69" t="str">
        <f t="shared" si="210"/>
        <v/>
      </c>
      <c r="S192" s="350"/>
      <c r="T192" s="69" t="str">
        <f t="shared" si="211"/>
        <v/>
      </c>
      <c r="U192" s="350"/>
      <c r="V192" s="69" t="str">
        <f t="shared" si="212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Schanzer Ingolstadt 1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76" t="s">
        <v>3</v>
      </c>
      <c r="B193" s="73" t="str">
        <f t="shared" si="224"/>
        <v>Schütze, Oliver</v>
      </c>
      <c r="C193" s="74">
        <f t="shared" si="224"/>
        <v>38550</v>
      </c>
      <c r="D193" s="75">
        <f t="shared" si="224"/>
        <v>138</v>
      </c>
      <c r="E193" s="348">
        <f>IF(AD193="","",AD193)</f>
        <v>1</v>
      </c>
      <c r="F193" s="75">
        <f t="shared" si="205"/>
        <v>215</v>
      </c>
      <c r="G193" s="348">
        <f>IF(AF193="","",AF193)</f>
        <v>1</v>
      </c>
      <c r="H193" s="75">
        <f t="shared" si="206"/>
        <v>167</v>
      </c>
      <c r="I193" s="348">
        <f>IF(AH193="","",AH193)</f>
        <v>1</v>
      </c>
      <c r="J193" s="75">
        <f t="shared" si="207"/>
        <v>191</v>
      </c>
      <c r="K193" s="348">
        <f>IF(AJ193="","",AJ193)</f>
        <v>1</v>
      </c>
      <c r="L193" s="75">
        <f t="shared" si="208"/>
        <v>168</v>
      </c>
      <c r="M193" s="348">
        <f>IF(AL193="","",AL193)</f>
        <v>0</v>
      </c>
      <c r="N193" s="75">
        <f t="shared" si="225"/>
        <v>180</v>
      </c>
      <c r="O193" s="348">
        <f>IF(AN193="","",AN193)</f>
        <v>1</v>
      </c>
      <c r="P193" s="75">
        <f t="shared" si="209"/>
        <v>219</v>
      </c>
      <c r="Q193" s="348">
        <f>IF(AP193="","",AP193)</f>
        <v>1</v>
      </c>
      <c r="R193" s="75">
        <f t="shared" si="210"/>
        <v>178</v>
      </c>
      <c r="S193" s="348">
        <f>IF(AR193="","",AR193)</f>
        <v>1</v>
      </c>
      <c r="T193" s="75">
        <f t="shared" si="211"/>
        <v>178</v>
      </c>
      <c r="U193" s="348">
        <f>IF(AT193="","",AT193)</f>
        <v>1</v>
      </c>
      <c r="V193" s="75">
        <f t="shared" si="212"/>
        <v>1634</v>
      </c>
      <c r="W193" s="348">
        <f>IF(AV193="","",AV193)</f>
        <v>8</v>
      </c>
      <c r="Z193" s="351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138</v>
      </c>
      <c r="AD193" s="109">
        <f>IF(SUM(AC193:AC195)+AC207=0,0,IF(SUM(AC193:AC195)=AC207,0.5,IF(SUM(AC193:AC195)&gt;AC207,1,0)))</f>
        <v>1</v>
      </c>
      <c r="AE193" s="188">
        <v>215</v>
      </c>
      <c r="AF193" s="109">
        <f>IF(SUM(AE193:AE195)+AE207=0,0,IF(SUM(AE193:AE195)=AE207,0.5,IF(SUM(AE193:AE195)&gt;AE207,1,0)))</f>
        <v>1</v>
      </c>
      <c r="AG193" s="188">
        <v>167</v>
      </c>
      <c r="AH193" s="109">
        <f>IF(SUM(AG193:AG195)+AG207=0,0,IF(SUM(AG193:AG195)=AG207,0.5,IF(SUM(AG193:AG195)&gt;AG207,1,0)))</f>
        <v>1</v>
      </c>
      <c r="AI193" s="188">
        <v>191</v>
      </c>
      <c r="AJ193" s="109">
        <f>IF(SUM(AI193:AI195)+AI207=0,0,IF(SUM(AI193:AI195)=AI207,0.5,IF(SUM(AI193:AI195)&gt;AI207,1,0)))</f>
        <v>1</v>
      </c>
      <c r="AK193" s="188">
        <v>168</v>
      </c>
      <c r="AL193" s="109">
        <f>IF(SUM(AK193:AK195)+AK207=0,0,IF(SUM(AK193:AK195)=AK207,0.5,IF(SUM(AK193:AK195)&gt;AK207,1,0)))</f>
        <v>0</v>
      </c>
      <c r="AM193" s="188">
        <v>180</v>
      </c>
      <c r="AN193" s="109">
        <f>IF(SUM(AM193:AM195)+AM207=0,0,IF(SUM(AM193:AM195)=AM207,0.5,IF(SUM(AM193:AM195)&gt;AM207,1,0)))</f>
        <v>1</v>
      </c>
      <c r="AO193" s="188">
        <v>219</v>
      </c>
      <c r="AP193" s="109">
        <f>IF(SUM(AO193:AO195)+AO207=0,0,IF(SUM(AO193:AO195)=AO207,0.5,IF(SUM(AO193:AO195)&gt;AO207,1,0)))</f>
        <v>1</v>
      </c>
      <c r="AQ193" s="188">
        <v>178</v>
      </c>
      <c r="AR193" s="109">
        <f>IF(SUM(AQ193:AQ195)+AQ207=0,0,IF(SUM(AQ193:AQ195)=AQ207,0.5,IF(SUM(AQ193:AQ195)&gt;AQ207,1,0)))</f>
        <v>1</v>
      </c>
      <c r="AS193" s="188">
        <v>178</v>
      </c>
      <c r="AT193" s="109">
        <f>IF(SUM(AS193:AS195)+AS207=0,0,IF(SUM(AS193:AS195)=AS207,0.5,IF(SUM(AS193:AS195)&gt;AS207,1,0)))</f>
        <v>1</v>
      </c>
      <c r="AU193" s="110">
        <f t="shared" si="213"/>
        <v>1634</v>
      </c>
      <c r="AV193" s="111">
        <f>SUM(AD193+AF193+AH193+AJ193+AL193+AN193+AP193+AR193+AT193)</f>
        <v>8</v>
      </c>
      <c r="AW193" s="101"/>
      <c r="AX193" s="102"/>
      <c r="AZ193" s="63"/>
      <c r="BA193" s="212"/>
      <c r="BB193" s="213"/>
      <c r="BC193" s="214"/>
      <c r="BD193" s="217">
        <f t="shared" si="226"/>
        <v>38550</v>
      </c>
      <c r="BE193" s="213">
        <f t="shared" si="227"/>
        <v>1634</v>
      </c>
      <c r="BF193" s="215">
        <f t="shared" si="228"/>
        <v>9</v>
      </c>
      <c r="BG193" s="215">
        <f t="shared" si="229"/>
        <v>9</v>
      </c>
      <c r="BH193" s="215">
        <f t="shared" si="214"/>
        <v>138</v>
      </c>
      <c r="BI193" s="215">
        <f t="shared" si="215"/>
        <v>215</v>
      </c>
      <c r="BJ193" s="215">
        <f t="shared" si="216"/>
        <v>167</v>
      </c>
      <c r="BK193" s="215">
        <f t="shared" si="217"/>
        <v>191</v>
      </c>
      <c r="BL193" s="215">
        <f t="shared" si="218"/>
        <v>168</v>
      </c>
      <c r="BM193" s="215">
        <f t="shared" si="219"/>
        <v>180</v>
      </c>
      <c r="BN193" s="215">
        <f t="shared" si="220"/>
        <v>219</v>
      </c>
      <c r="BO193" s="215">
        <f t="shared" si="221"/>
        <v>178</v>
      </c>
      <c r="BP193" s="215">
        <f t="shared" si="222"/>
        <v>178</v>
      </c>
      <c r="BQ193" s="216"/>
      <c r="BR193" s="214"/>
      <c r="BS193" s="215">
        <f t="shared" si="230"/>
        <v>219</v>
      </c>
      <c r="BT193" s="215">
        <f t="shared" si="231"/>
        <v>0</v>
      </c>
      <c r="BU193" s="215" t="str">
        <f t="shared" si="232"/>
        <v>Schanzer Ingolstadt 1</v>
      </c>
      <c r="BV193" s="214">
        <f t="shared" si="233"/>
        <v>2</v>
      </c>
      <c r="BW193" s="215">
        <f t="shared" si="234"/>
        <v>1634</v>
      </c>
      <c r="BX193" s="215">
        <f>IF(COUNTIF(BH193:BP193,"&gt;0")&lt;Spielorte!$A$23,0,BE193/Spielorte!$A$23)</f>
        <v>181.55555555555554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77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9"/>
      <c r="F194" s="78" t="str">
        <f t="shared" si="205"/>
        <v/>
      </c>
      <c r="G194" s="349"/>
      <c r="H194" s="78" t="str">
        <f t="shared" si="206"/>
        <v/>
      </c>
      <c r="I194" s="349"/>
      <c r="J194" s="78" t="str">
        <f t="shared" si="207"/>
        <v/>
      </c>
      <c r="K194" s="349"/>
      <c r="L194" s="78" t="str">
        <f t="shared" si="208"/>
        <v/>
      </c>
      <c r="M194" s="349"/>
      <c r="N194" s="78" t="str">
        <f t="shared" si="225"/>
        <v/>
      </c>
      <c r="O194" s="349"/>
      <c r="P194" s="78" t="str">
        <f t="shared" si="209"/>
        <v/>
      </c>
      <c r="Q194" s="349"/>
      <c r="R194" s="78" t="str">
        <f t="shared" si="210"/>
        <v/>
      </c>
      <c r="S194" s="349"/>
      <c r="T194" s="78" t="str">
        <f t="shared" si="211"/>
        <v/>
      </c>
      <c r="U194" s="349"/>
      <c r="V194" s="78" t="str">
        <f t="shared" si="212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Schanzer Ingolstadt 1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8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0"/>
      <c r="F195" s="69" t="str">
        <f t="shared" si="205"/>
        <v/>
      </c>
      <c r="G195" s="350"/>
      <c r="H195" s="69" t="str">
        <f t="shared" si="206"/>
        <v/>
      </c>
      <c r="I195" s="350"/>
      <c r="J195" s="69" t="str">
        <f t="shared" si="207"/>
        <v/>
      </c>
      <c r="K195" s="350"/>
      <c r="L195" s="69" t="str">
        <f t="shared" si="208"/>
        <v/>
      </c>
      <c r="M195" s="350"/>
      <c r="N195" s="69" t="str">
        <f t="shared" si="225"/>
        <v/>
      </c>
      <c r="O195" s="350"/>
      <c r="P195" s="69" t="str">
        <f t="shared" si="209"/>
        <v/>
      </c>
      <c r="Q195" s="350"/>
      <c r="R195" s="69" t="str">
        <f t="shared" si="210"/>
        <v/>
      </c>
      <c r="S195" s="350"/>
      <c r="T195" s="69" t="str">
        <f t="shared" si="211"/>
        <v/>
      </c>
      <c r="U195" s="350"/>
      <c r="V195" s="69" t="str">
        <f t="shared" si="212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Schanzer Ingolstadt 1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76" t="s">
        <v>11</v>
      </c>
      <c r="B196" s="73" t="str">
        <f>IF(AA196=0,"",AA196)</f>
        <v>Spielvogel, Jochen</v>
      </c>
      <c r="C196" s="74">
        <f t="shared" si="224"/>
        <v>7348</v>
      </c>
      <c r="D196" s="75">
        <f t="shared" si="224"/>
        <v>147</v>
      </c>
      <c r="E196" s="348">
        <f>IF(AD196="","",AD196)</f>
        <v>0</v>
      </c>
      <c r="F196" s="75">
        <f t="shared" si="205"/>
        <v>194</v>
      </c>
      <c r="G196" s="348">
        <f>IF(AF196="","",AF196)</f>
        <v>0</v>
      </c>
      <c r="H196" s="75">
        <f t="shared" si="206"/>
        <v>186</v>
      </c>
      <c r="I196" s="348">
        <f>IF(AH196="","",AH196)</f>
        <v>1</v>
      </c>
      <c r="J196" s="75">
        <f t="shared" si="207"/>
        <v>258</v>
      </c>
      <c r="K196" s="348">
        <f>IF(AJ196="","",AJ196)</f>
        <v>1</v>
      </c>
      <c r="L196" s="75">
        <f t="shared" si="208"/>
        <v>209</v>
      </c>
      <c r="M196" s="348">
        <f>IF(AL196="","",AL196)</f>
        <v>1</v>
      </c>
      <c r="N196" s="75">
        <f t="shared" si="225"/>
        <v>236</v>
      </c>
      <c r="O196" s="348">
        <f>IF(AN196="","",AN196)</f>
        <v>1</v>
      </c>
      <c r="P196" s="75">
        <f t="shared" si="209"/>
        <v>188</v>
      </c>
      <c r="Q196" s="348">
        <f>IF(AP196="","",AP196)</f>
        <v>0</v>
      </c>
      <c r="R196" s="75">
        <f t="shared" si="210"/>
        <v>229</v>
      </c>
      <c r="S196" s="348">
        <f>IF(AR196="","",AR196)</f>
        <v>1</v>
      </c>
      <c r="T196" s="75">
        <f t="shared" si="211"/>
        <v>209</v>
      </c>
      <c r="U196" s="348">
        <f>IF(AT196="","",AT196)</f>
        <v>1</v>
      </c>
      <c r="V196" s="75">
        <f t="shared" si="212"/>
        <v>1856</v>
      </c>
      <c r="W196" s="348">
        <f>IF(AV196="","",AV196)</f>
        <v>6</v>
      </c>
      <c r="Z196" s="351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147</v>
      </c>
      <c r="AD196" s="109">
        <f>IF(SUM(AC196:AC198)+AC208=0,0,IF(SUM(AC196:AC198)=AC208,0.5,IF(SUM(AC196:AC198)&gt;AC208,1,0)))</f>
        <v>0</v>
      </c>
      <c r="AE196" s="188">
        <v>194</v>
      </c>
      <c r="AF196" s="109">
        <f>IF(SUM(AE196:AE198)+AE208=0,0,IF(SUM(AE196:AE198)=AE208,0.5,IF(SUM(AE196:AE198)&gt;AE208,1,0)))</f>
        <v>0</v>
      </c>
      <c r="AG196" s="188">
        <v>186</v>
      </c>
      <c r="AH196" s="109">
        <f>IF(SUM(AG196:AG198)+AG208=0,0,IF(SUM(AG196:AG198)=AG208,0.5,IF(SUM(AG196:AG198)&gt;AG208,1,0)))</f>
        <v>1</v>
      </c>
      <c r="AI196" s="188">
        <v>258</v>
      </c>
      <c r="AJ196" s="109">
        <f>IF(SUM(AI196:AI198)+AI208=0,0,IF(SUM(AI196:AI198)=AI208,0.5,IF(SUM(AI196:AI198)&gt;AI208,1,0)))</f>
        <v>1</v>
      </c>
      <c r="AK196" s="188">
        <v>209</v>
      </c>
      <c r="AL196" s="109">
        <f>IF(SUM(AK196:AK198)+AK208=0,0,IF(SUM(AK196:AK198)=AK208,0.5,IF(SUM(AK196:AK198)&gt;AK208,1,0)))</f>
        <v>1</v>
      </c>
      <c r="AM196" s="188">
        <v>236</v>
      </c>
      <c r="AN196" s="109">
        <f>IF(SUM(AM196:AM198)+AM208=0,0,IF(SUM(AM196:AM198)=AM208,0.5,IF(SUM(AM196:AM198)&gt;AM208,1,0)))</f>
        <v>1</v>
      </c>
      <c r="AO196" s="188">
        <v>188</v>
      </c>
      <c r="AP196" s="109">
        <f>IF(SUM(AO196:AO198)+AO208=0,0,IF(SUM(AO196:AO198)=AO208,0.5,IF(SUM(AO196:AO198)&gt;AO208,1,0)))</f>
        <v>0</v>
      </c>
      <c r="AQ196" s="188">
        <v>229</v>
      </c>
      <c r="AR196" s="109">
        <f>IF(SUM(AQ196:AQ198)+AQ208=0,0,IF(SUM(AQ196:AQ198)=AQ208,0.5,IF(SUM(AQ196:AQ198)&gt;AQ208,1,0)))</f>
        <v>1</v>
      </c>
      <c r="AS196" s="188">
        <v>209</v>
      </c>
      <c r="AT196" s="109">
        <f>IF(SUM(AS196:AS198)+AS208=0,0,IF(SUM(AS196:AS198)=AS208,0.5,IF(SUM(AS196:AS198)&gt;AS208,1,0)))</f>
        <v>1</v>
      </c>
      <c r="AU196" s="110">
        <f t="shared" si="213"/>
        <v>1856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26"/>
        <v>7348</v>
      </c>
      <c r="BE196" s="213">
        <f t="shared" si="227"/>
        <v>1856</v>
      </c>
      <c r="BF196" s="215">
        <f t="shared" si="228"/>
        <v>9</v>
      </c>
      <c r="BG196" s="215">
        <f t="shared" si="229"/>
        <v>9</v>
      </c>
      <c r="BH196" s="215">
        <f t="shared" si="214"/>
        <v>147</v>
      </c>
      <c r="BI196" s="215">
        <f t="shared" si="215"/>
        <v>194</v>
      </c>
      <c r="BJ196" s="215">
        <f t="shared" si="216"/>
        <v>186</v>
      </c>
      <c r="BK196" s="215">
        <f t="shared" si="217"/>
        <v>258</v>
      </c>
      <c r="BL196" s="215">
        <f t="shared" si="218"/>
        <v>209</v>
      </c>
      <c r="BM196" s="215">
        <f t="shared" si="219"/>
        <v>236</v>
      </c>
      <c r="BN196" s="215">
        <f t="shared" si="220"/>
        <v>188</v>
      </c>
      <c r="BO196" s="215">
        <f t="shared" si="221"/>
        <v>229</v>
      </c>
      <c r="BP196" s="215">
        <f t="shared" si="222"/>
        <v>209</v>
      </c>
      <c r="BQ196" s="216"/>
      <c r="BR196" s="214"/>
      <c r="BS196" s="215">
        <f t="shared" si="230"/>
        <v>258</v>
      </c>
      <c r="BT196" s="215">
        <f t="shared" si="231"/>
        <v>0</v>
      </c>
      <c r="BU196" s="215" t="str">
        <f t="shared" si="232"/>
        <v>Schanzer Ingolstadt 1</v>
      </c>
      <c r="BV196" s="214">
        <f t="shared" si="233"/>
        <v>2</v>
      </c>
      <c r="BW196" s="215">
        <f t="shared" si="234"/>
        <v>1856</v>
      </c>
      <c r="BX196" s="215">
        <f>IF(COUNTIF(BH196:BP196,"&gt;0")&lt;Spielorte!$A$23,0,BE196/Spielorte!$A$23)</f>
        <v>206.22222222222223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77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9"/>
      <c r="F197" s="78" t="str">
        <f t="shared" si="205"/>
        <v/>
      </c>
      <c r="G197" s="349"/>
      <c r="H197" s="78" t="str">
        <f t="shared" si="206"/>
        <v/>
      </c>
      <c r="I197" s="349"/>
      <c r="J197" s="78" t="str">
        <f t="shared" si="207"/>
        <v/>
      </c>
      <c r="K197" s="349"/>
      <c r="L197" s="78" t="str">
        <f t="shared" si="208"/>
        <v/>
      </c>
      <c r="M197" s="349"/>
      <c r="N197" s="78" t="str">
        <f t="shared" si="225"/>
        <v/>
      </c>
      <c r="O197" s="349"/>
      <c r="P197" s="78" t="str">
        <f t="shared" si="209"/>
        <v/>
      </c>
      <c r="Q197" s="349"/>
      <c r="R197" s="78" t="str">
        <f t="shared" si="210"/>
        <v/>
      </c>
      <c r="S197" s="349"/>
      <c r="T197" s="78" t="str">
        <f t="shared" si="211"/>
        <v/>
      </c>
      <c r="U197" s="349"/>
      <c r="V197" s="78" t="str">
        <f t="shared" si="212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Schanzer Ingolstadt 1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8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0"/>
      <c r="F198" s="69" t="str">
        <f t="shared" si="205"/>
        <v/>
      </c>
      <c r="G198" s="350"/>
      <c r="H198" s="69" t="str">
        <f t="shared" si="206"/>
        <v/>
      </c>
      <c r="I198" s="350"/>
      <c r="J198" s="69" t="str">
        <f t="shared" si="207"/>
        <v/>
      </c>
      <c r="K198" s="350"/>
      <c r="L198" s="69" t="str">
        <f t="shared" si="208"/>
        <v/>
      </c>
      <c r="M198" s="350"/>
      <c r="N198" s="69" t="str">
        <f t="shared" si="225"/>
        <v/>
      </c>
      <c r="O198" s="350"/>
      <c r="P198" s="69" t="str">
        <f t="shared" si="209"/>
        <v/>
      </c>
      <c r="Q198" s="350"/>
      <c r="R198" s="69" t="str">
        <f t="shared" si="210"/>
        <v/>
      </c>
      <c r="S198" s="350"/>
      <c r="T198" s="69" t="str">
        <f t="shared" si="211"/>
        <v/>
      </c>
      <c r="U198" s="350"/>
      <c r="V198" s="69" t="str">
        <f t="shared" si="212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Schanzer Ingolstadt 1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676</v>
      </c>
      <c r="E199" s="84">
        <f>IF(AD199="","",AD199)</f>
        <v>2</v>
      </c>
      <c r="F199" s="83">
        <f t="shared" si="205"/>
        <v>774</v>
      </c>
      <c r="G199" s="84">
        <f>IF(AF199="","",AF199)</f>
        <v>2</v>
      </c>
      <c r="H199" s="83">
        <f t="shared" si="206"/>
        <v>651</v>
      </c>
      <c r="I199" s="84">
        <f>IF(AH199="","",AH199)</f>
        <v>0</v>
      </c>
      <c r="J199" s="83">
        <f t="shared" si="207"/>
        <v>786</v>
      </c>
      <c r="K199" s="84">
        <f>IF(AJ199="","",AJ199)</f>
        <v>2</v>
      </c>
      <c r="L199" s="83">
        <f t="shared" si="208"/>
        <v>790</v>
      </c>
      <c r="M199" s="84">
        <f>IF(AL199="","",AL199)</f>
        <v>2</v>
      </c>
      <c r="N199" s="83">
        <f t="shared" si="225"/>
        <v>775</v>
      </c>
      <c r="O199" s="84">
        <f>IF(AN199="","",AN199)</f>
        <v>2</v>
      </c>
      <c r="P199" s="83">
        <f t="shared" si="209"/>
        <v>745</v>
      </c>
      <c r="Q199" s="84">
        <f>IF(AP199="","",AP199)</f>
        <v>0</v>
      </c>
      <c r="R199" s="83">
        <f t="shared" si="210"/>
        <v>743</v>
      </c>
      <c r="S199" s="84">
        <f>IF(AR199="","",AR199)</f>
        <v>0</v>
      </c>
      <c r="T199" s="83">
        <f t="shared" si="211"/>
        <v>702</v>
      </c>
      <c r="U199" s="84">
        <f>IF(AT199="","",AT199)</f>
        <v>2</v>
      </c>
      <c r="V199" s="83">
        <f t="shared" si="212"/>
        <v>6642</v>
      </c>
      <c r="W199" s="84">
        <f>IF(AV199="","",AV199)</f>
        <v>12</v>
      </c>
      <c r="AA199" s="81" t="s">
        <v>1799</v>
      </c>
      <c r="AB199" s="120"/>
      <c r="AC199" s="211">
        <f>ABS(SUM(AC187:AC189))+ABS(SUM(AC190:AC192))+ABS(SUM(AC193:AC195))+ABS(SUM(AC196:AC198))</f>
        <v>676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774</v>
      </c>
      <c r="AF199" s="121">
        <f>IF(AE199+AE209=0,0,IF(AE199=AE209,1,IF(AE199&gt;AE209,2,0)))</f>
        <v>2</v>
      </c>
      <c r="AG199" s="211">
        <f>ABS(SUM(AG187:AG189))+ABS(SUM(AG190:AG192))+ABS(SUM(AG193:AG195))+ABS(SUM(AG196:AG198))</f>
        <v>651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786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775</v>
      </c>
      <c r="AN199" s="121">
        <f>IF(AM199+AM209=0,0,IF(AM199=AM209,1,IF(AM199&gt;AM209,2,0)))</f>
        <v>2</v>
      </c>
      <c r="AO199" s="211">
        <f>ABS(SUM(AO187:AO189))+ABS(SUM(AO190:AO192))+ABS(SUM(AO193:AO195))+ABS(SUM(AO196:AO198))</f>
        <v>745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743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702</v>
      </c>
      <c r="AT199" s="121">
        <f>IF(AS199+AS209=0,0,IF(AS199=AS209,1,IF(AS199&gt;AS209,2,0)))</f>
        <v>2</v>
      </c>
      <c r="AU199" s="122">
        <f>SUM(AC199+AE199+AG199+AI199+AK199+AM199+AO199+AQ199+AS199)</f>
        <v>6642</v>
      </c>
      <c r="AV199" s="123">
        <f>SUM(AD199+AF199+AH199+AJ199+AL199+AN199+AP199+AR199+AT199)</f>
        <v>12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5</v>
      </c>
      <c r="F200" s="86" t="str">
        <f t="shared" si="205"/>
        <v/>
      </c>
      <c r="G200" s="87">
        <f>IF(AF200="","",AF200)</f>
        <v>4</v>
      </c>
      <c r="H200" s="86" t="str">
        <f t="shared" si="206"/>
        <v/>
      </c>
      <c r="I200" s="87">
        <f>IF(AH200="","",AH200)</f>
        <v>2</v>
      </c>
      <c r="J200" s="86" t="str">
        <f t="shared" si="207"/>
        <v/>
      </c>
      <c r="K200" s="87">
        <f>IF(AJ200="","",AJ200)</f>
        <v>4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5</v>
      </c>
      <c r="P200" s="86" t="str">
        <f t="shared" si="209"/>
        <v/>
      </c>
      <c r="Q200" s="87">
        <f>IF(AP200="","",AP200)</f>
        <v>2</v>
      </c>
      <c r="R200" s="86" t="str">
        <f t="shared" si="210"/>
        <v/>
      </c>
      <c r="S200" s="87">
        <f>IF(AR200="","",AR200)</f>
        <v>2</v>
      </c>
      <c r="T200" s="86" t="str">
        <f t="shared" si="211"/>
        <v/>
      </c>
      <c r="U200" s="87">
        <f>IF(AT200="","",AT200)</f>
        <v>5</v>
      </c>
      <c r="V200" s="86" t="str">
        <f t="shared" si="212"/>
        <v/>
      </c>
      <c r="W200" s="87">
        <f>IF(AV200="","",AV200)</f>
        <v>34</v>
      </c>
      <c r="AA200" s="85" t="s">
        <v>1814</v>
      </c>
      <c r="AB200" s="86"/>
      <c r="AC200" s="86"/>
      <c r="AD200" s="124">
        <f>SUM(AD187:AD199)</f>
        <v>5</v>
      </c>
      <c r="AE200" s="86"/>
      <c r="AF200" s="124">
        <f>SUM(AF187:AF199)</f>
        <v>4</v>
      </c>
      <c r="AG200" s="86"/>
      <c r="AH200" s="124">
        <f>SUM(AH187:AH199)</f>
        <v>2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5</v>
      </c>
      <c r="AO200" s="86"/>
      <c r="AP200" s="124">
        <f>SUM(AP187:AP199)</f>
        <v>2</v>
      </c>
      <c r="AQ200" s="86"/>
      <c r="AR200" s="124">
        <f>SUM(AR187:AR199)</f>
        <v>2</v>
      </c>
      <c r="AS200" s="86"/>
      <c r="AT200" s="124">
        <f>SUM(AT187:AT199)</f>
        <v>5</v>
      </c>
      <c r="AU200" s="86"/>
      <c r="AV200" s="125">
        <f>SUM(AV187:AV199)</f>
        <v>34</v>
      </c>
      <c r="AW200" s="101"/>
      <c r="AX200" s="102"/>
      <c r="BA200" s="212">
        <f>+AV200</f>
        <v>34</v>
      </c>
      <c r="BB200" s="213">
        <f>+AU199</f>
        <v>6642</v>
      </c>
      <c r="BC200" s="214">
        <f>+AA182</f>
        <v>7</v>
      </c>
      <c r="BF200" s="215">
        <f>SUM(BF181:BF199)</f>
        <v>36</v>
      </c>
      <c r="BQ200" s="212">
        <f>+BB200/1000000+BA200</f>
        <v>34.006641999999999</v>
      </c>
      <c r="BR200" s="214">
        <f>RANK(BQ200,BQ:BQ)</f>
        <v>2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6">
        <f t="shared" si="236"/>
        <v>9</v>
      </c>
      <c r="E202" s="356" t="str">
        <f t="shared" si="236"/>
        <v/>
      </c>
      <c r="F202" s="356">
        <f t="shared" si="236"/>
        <v>6</v>
      </c>
      <c r="G202" s="356" t="str">
        <f t="shared" si="236"/>
        <v/>
      </c>
      <c r="H202" s="356">
        <f t="shared" si="236"/>
        <v>10</v>
      </c>
      <c r="I202" s="356" t="str">
        <f t="shared" si="236"/>
        <v/>
      </c>
      <c r="J202" s="356">
        <f t="shared" si="236"/>
        <v>4</v>
      </c>
      <c r="K202" s="356" t="str">
        <f t="shared" si="236"/>
        <v/>
      </c>
      <c r="L202" s="356">
        <f t="shared" ref="L202:U204" si="237">IF(AK202=0,"",AK202)</f>
        <v>2</v>
      </c>
      <c r="M202" s="356" t="str">
        <f t="shared" si="237"/>
        <v/>
      </c>
      <c r="N202" s="356">
        <f t="shared" si="237"/>
        <v>3</v>
      </c>
      <c r="O202" s="356" t="str">
        <f t="shared" si="237"/>
        <v/>
      </c>
      <c r="P202" s="356">
        <f t="shared" si="237"/>
        <v>1</v>
      </c>
      <c r="Q202" s="356" t="str">
        <f t="shared" si="237"/>
        <v/>
      </c>
      <c r="R202" s="356">
        <f t="shared" si="237"/>
        <v>8</v>
      </c>
      <c r="S202" s="356" t="str">
        <f t="shared" si="237"/>
        <v/>
      </c>
      <c r="T202" s="356">
        <f t="shared" si="237"/>
        <v>5</v>
      </c>
      <c r="U202" s="356" t="str">
        <f t="shared" si="237"/>
        <v/>
      </c>
      <c r="V202" s="357"/>
      <c r="W202" s="357"/>
      <c r="AA202" s="88" t="s">
        <v>1797</v>
      </c>
      <c r="AB202" s="89" t="s">
        <v>1798</v>
      </c>
      <c r="AC202" s="370">
        <f>VLOOKUP($AA182,Schlüssel!$A$5:$DG$14,43)</f>
        <v>9</v>
      </c>
      <c r="AD202" s="371"/>
      <c r="AE202" s="370">
        <f>VLOOKUP($AA182,Schlüssel!$A$5:$EK$14,44)</f>
        <v>6</v>
      </c>
      <c r="AF202" s="371"/>
      <c r="AG202" s="370">
        <f>VLOOKUP($AA182,Schlüssel!$A$5:$EK$14,45)</f>
        <v>10</v>
      </c>
      <c r="AH202" s="371"/>
      <c r="AI202" s="370">
        <f>VLOOKUP($AA182,Schlüssel!$A$5:$EK$14,46)</f>
        <v>4</v>
      </c>
      <c r="AJ202" s="371"/>
      <c r="AK202" s="370">
        <f>VLOOKUP($AA182,Schlüssel!$A$5:$EK$14,47)</f>
        <v>2</v>
      </c>
      <c r="AL202" s="371"/>
      <c r="AM202" s="370">
        <f>VLOOKUP($AA182,Schlüssel!$A$5:$EK$14,48)</f>
        <v>3</v>
      </c>
      <c r="AN202" s="371"/>
      <c r="AO202" s="370">
        <f>VLOOKUP($AA182,Schlüssel!$A$5:$EK$14,49)</f>
        <v>1</v>
      </c>
      <c r="AP202" s="371"/>
      <c r="AQ202" s="370">
        <f>VLOOKUP($AA182,Schlüssel!$A$5:$EK$14,50)</f>
        <v>8</v>
      </c>
      <c r="AR202" s="371"/>
      <c r="AS202" s="370">
        <f>VLOOKUP($AA182,Schlüssel!$A$5:$EK$14,51)</f>
        <v>5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58" t="str">
        <f t="shared" si="236"/>
        <v>Bowlinghaus Bamberg 1</v>
      </c>
      <c r="E203" s="359" t="str">
        <f t="shared" si="236"/>
        <v/>
      </c>
      <c r="F203" s="358" t="str">
        <f t="shared" si="236"/>
        <v>SG Rottendorf 1</v>
      </c>
      <c r="G203" s="359" t="str">
        <f t="shared" si="236"/>
        <v/>
      </c>
      <c r="H203" s="358" t="str">
        <f t="shared" si="236"/>
        <v>High Roller Rosenheim 1</v>
      </c>
      <c r="I203" s="359" t="str">
        <f t="shared" si="236"/>
        <v/>
      </c>
      <c r="J203" s="358" t="str">
        <f t="shared" si="236"/>
        <v>SG DJK Rimpar</v>
      </c>
      <c r="K203" s="359" t="str">
        <f t="shared" si="236"/>
        <v/>
      </c>
      <c r="L203" s="358" t="str">
        <f t="shared" si="237"/>
        <v>Bajuwaren München 1</v>
      </c>
      <c r="M203" s="359" t="str">
        <f t="shared" si="237"/>
        <v/>
      </c>
      <c r="N203" s="358" t="str">
        <f t="shared" si="237"/>
        <v>BK München 3</v>
      </c>
      <c r="O203" s="359" t="str">
        <f t="shared" si="237"/>
        <v/>
      </c>
      <c r="P203" s="358" t="str">
        <f t="shared" si="237"/>
        <v>BC Comet Nürnberg</v>
      </c>
      <c r="Q203" s="359" t="str">
        <f t="shared" si="237"/>
        <v/>
      </c>
      <c r="R203" s="358" t="str">
        <f t="shared" si="237"/>
        <v>BC EMAX Unterföhring 2</v>
      </c>
      <c r="S203" s="359" t="str">
        <f t="shared" si="237"/>
        <v/>
      </c>
      <c r="T203" s="358" t="str">
        <f t="shared" si="237"/>
        <v>RW Lichtenhof Stein 1</v>
      </c>
      <c r="U203" s="359" t="str">
        <f t="shared" si="237"/>
        <v/>
      </c>
      <c r="V203" s="363"/>
      <c r="W203" s="363"/>
      <c r="AA203" s="90"/>
      <c r="AB203" s="86"/>
      <c r="AC203" s="358" t="str">
        <f>VLOOKUP(AC202,Schlüssel!$A$5:$K$14,2)</f>
        <v>Bowlinghaus Bamberg 1</v>
      </c>
      <c r="AD203" s="359"/>
      <c r="AE203" s="358" t="str">
        <f>VLOOKUP(AE202,Schlüssel!$A$5:$K$14,2)</f>
        <v>SG Rottendorf 1</v>
      </c>
      <c r="AF203" s="359"/>
      <c r="AG203" s="358" t="str">
        <f>VLOOKUP(AG202,Schlüssel!$A$5:$K$14,2)</f>
        <v>High Roller Rosenheim 1</v>
      </c>
      <c r="AH203" s="359"/>
      <c r="AI203" s="358" t="str">
        <f>VLOOKUP(AI202,Schlüssel!$A$5:$K$14,2)</f>
        <v>SG DJK Rimpar</v>
      </c>
      <c r="AJ203" s="359"/>
      <c r="AK203" s="358" t="str">
        <f>VLOOKUP(AK202,Schlüssel!$A$5:$K$14,2)</f>
        <v>Bajuwaren München 1</v>
      </c>
      <c r="AL203" s="359"/>
      <c r="AM203" s="358" t="str">
        <f>VLOOKUP(AM202,Schlüssel!$A$5:$K$14,2)</f>
        <v>BK München 3</v>
      </c>
      <c r="AN203" s="359"/>
      <c r="AO203" s="358" t="str">
        <f>VLOOKUP(AO202,Schlüssel!$A$5:$K$14,2)</f>
        <v>BC Comet Nürnberg</v>
      </c>
      <c r="AP203" s="359"/>
      <c r="AQ203" s="358" t="str">
        <f>VLOOKUP(AQ202,Schlüssel!$A$5:$K$14,2)</f>
        <v>BC EMAX Unterföhring 2</v>
      </c>
      <c r="AR203" s="359"/>
      <c r="AS203" s="358" t="str">
        <f>VLOOKUP(AS202,Schlüssel!$A$5:$K$14,2)</f>
        <v>RW Lichtenhof Stein 1</v>
      </c>
      <c r="AT203" s="359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60" t="str">
        <f t="shared" si="236"/>
        <v/>
      </c>
      <c r="E204" s="360" t="str">
        <f t="shared" si="236"/>
        <v/>
      </c>
      <c r="F204" s="360" t="str">
        <f t="shared" si="236"/>
        <v/>
      </c>
      <c r="G204" s="360" t="str">
        <f t="shared" si="236"/>
        <v/>
      </c>
      <c r="H204" s="360" t="str">
        <f t="shared" si="236"/>
        <v/>
      </c>
      <c r="I204" s="360" t="str">
        <f t="shared" si="236"/>
        <v/>
      </c>
      <c r="J204" s="360" t="str">
        <f t="shared" si="236"/>
        <v/>
      </c>
      <c r="K204" s="360" t="str">
        <f t="shared" si="236"/>
        <v/>
      </c>
      <c r="L204" s="360" t="str">
        <f t="shared" si="237"/>
        <v/>
      </c>
      <c r="M204" s="360" t="str">
        <f t="shared" si="237"/>
        <v/>
      </c>
      <c r="N204" s="360" t="str">
        <f t="shared" si="237"/>
        <v/>
      </c>
      <c r="O204" s="360" t="str">
        <f t="shared" si="237"/>
        <v/>
      </c>
      <c r="P204" s="360" t="str">
        <f t="shared" si="237"/>
        <v/>
      </c>
      <c r="Q204" s="360" t="str">
        <f t="shared" si="237"/>
        <v/>
      </c>
      <c r="R204" s="360" t="str">
        <f t="shared" si="237"/>
        <v/>
      </c>
      <c r="S204" s="360" t="str">
        <f t="shared" si="237"/>
        <v/>
      </c>
      <c r="T204" s="360" t="str">
        <f t="shared" si="237"/>
        <v/>
      </c>
      <c r="U204" s="361" t="str">
        <f t="shared" si="237"/>
        <v/>
      </c>
      <c r="V204" s="298"/>
      <c r="W204" s="298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4" t="str">
        <f t="shared" ref="B205:C209" si="238">IF(AA205=0,"",AA205)</f>
        <v>Spieler 1</v>
      </c>
      <c r="C205" s="375" t="str">
        <f t="shared" si="238"/>
        <v/>
      </c>
      <c r="D205" s="362">
        <f>IF(AC205=301,"",AC205)</f>
        <v>154</v>
      </c>
      <c r="E205" s="362" t="str">
        <f>IF(AD205=0,"",AD205)</f>
        <v/>
      </c>
      <c r="F205" s="362">
        <f>IF(AE205=301,"",AE205)</f>
        <v>182</v>
      </c>
      <c r="G205" s="362" t="str">
        <f>IF(AF205=0,"",AF205)</f>
        <v/>
      </c>
      <c r="H205" s="362">
        <f>IF(AG205=301,"",AG205)</f>
        <v>231</v>
      </c>
      <c r="I205" s="362" t="str">
        <f>IF(AH205=0,"",AH205)</f>
        <v/>
      </c>
      <c r="J205" s="362">
        <f>IF(AI205=301,"",AI205)</f>
        <v>212</v>
      </c>
      <c r="K205" s="362" t="str">
        <f>IF(AJ205=0,"",AJ205)</f>
        <v/>
      </c>
      <c r="L205" s="362">
        <f>IF(AK205=301,"",AK205)</f>
        <v>171</v>
      </c>
      <c r="M205" s="362" t="str">
        <f>IF(AL205=0,"",AL205)</f>
        <v/>
      </c>
      <c r="N205" s="362">
        <f>IF(AM205=301,"",AM205)</f>
        <v>182</v>
      </c>
      <c r="O205" s="362" t="str">
        <f>IF(AN205=0,"",AN205)</f>
        <v/>
      </c>
      <c r="P205" s="362">
        <f>IF(AO205=301,"",AO205)</f>
        <v>164</v>
      </c>
      <c r="Q205" s="362" t="str">
        <f>IF(AP205=0,"",AP205)</f>
        <v/>
      </c>
      <c r="R205" s="362">
        <f>IF(AQ205=301,"",AQ205)</f>
        <v>185</v>
      </c>
      <c r="S205" s="362" t="str">
        <f>IF(AR205=0,"",AR205)</f>
        <v/>
      </c>
      <c r="T205" s="362">
        <f>IF(AS205=301,"",AS205)</f>
        <v>155</v>
      </c>
      <c r="U205" s="362" t="str">
        <f>IF(AT205=0,"",AT205)</f>
        <v/>
      </c>
      <c r="V205" s="364"/>
      <c r="W205" s="364"/>
      <c r="AA205" s="91" t="s">
        <v>0</v>
      </c>
      <c r="AB205" s="92"/>
      <c r="AC205" s="368">
        <f>ABS(INDEX(AC:AC,MATCH(AC202,$AA:$AA,0)+5)+INDEX(AC:AC,MATCH(AC202,$AA:$AA,0)+6)+INDEX(AC:AC,MATCH(AC202,$AA:$AA,0)+7))</f>
        <v>154</v>
      </c>
      <c r="AD205" s="369"/>
      <c r="AE205" s="368">
        <f>ABS(INDEX(AE:AE,MATCH(AE202,$AA:$AA,0)+5)+INDEX(AE:AE,MATCH(AE202,$AA:$AA,0)+6)+INDEX(AE:AE,MATCH(AE202,$AA:$AA,0)+7))</f>
        <v>182</v>
      </c>
      <c r="AF205" s="369"/>
      <c r="AG205" s="368">
        <f>ABS(INDEX(AG:AG,MATCH(AG202,$AA:$AA,0)+5)+INDEX(AG:AG,MATCH(AG202,$AA:$AA,0)+6)+INDEX(AG:AG,MATCH(AG202,$AA:$AA,0)+7))</f>
        <v>231</v>
      </c>
      <c r="AH205" s="369"/>
      <c r="AI205" s="368">
        <f>ABS(INDEX(AI:AI,MATCH(AI202,$AA:$AA,0)+5)+INDEX(AI:AI,MATCH(AI202,$AA:$AA,0)+6)+INDEX(AI:AI,MATCH(AI202,$AA:$AA,0)+7))</f>
        <v>212</v>
      </c>
      <c r="AJ205" s="369"/>
      <c r="AK205" s="368">
        <f>ABS(INDEX(AK:AK,MATCH(AK202,$AA:$AA,0)+5)+INDEX(AK:AK,MATCH(AK202,$AA:$AA,0)+6)+INDEX(AK:AK,MATCH(AK202,$AA:$AA,0)+7))</f>
        <v>171</v>
      </c>
      <c r="AL205" s="369"/>
      <c r="AM205" s="368">
        <f>ABS(INDEX(AM:AM,MATCH(AM202,$AA:$AA,0)+5)+INDEX(AM:AM,MATCH(AM202,$AA:$AA,0)+6)+INDEX(AM:AM,MATCH(AM202,$AA:$AA,0)+7))</f>
        <v>182</v>
      </c>
      <c r="AN205" s="369"/>
      <c r="AO205" s="368">
        <f>ABS(INDEX(AO:AO,MATCH(AO202,$AA:$AA,0)+5)+INDEX(AO:AO,MATCH(AO202,$AA:$AA,0)+6)+INDEX(AO:AO,MATCH(AO202,$AA:$AA,0)+7))</f>
        <v>164</v>
      </c>
      <c r="AP205" s="369"/>
      <c r="AQ205" s="368">
        <f>ABS(INDEX(AQ:AQ,MATCH(AQ202,$AA:$AA,0)+5)+INDEX(AQ:AQ,MATCH(AQ202,$AA:$AA,0)+6)+INDEX(AQ:AQ,MATCH(AQ202,$AA:$AA,0)+7))</f>
        <v>185</v>
      </c>
      <c r="AR205" s="369"/>
      <c r="AS205" s="368">
        <f>ABS(INDEX(AS:AS,MATCH(AS202,$AA:$AA,0)+5)+INDEX(AS:AS,MATCH(AS202,$AA:$AA,0)+6)+INDEX(AS:AS,MATCH(AS202,$AA:$AA,0)+7))</f>
        <v>155</v>
      </c>
      <c r="AT205" s="369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4" t="str">
        <f t="shared" si="238"/>
        <v>Spieler 2</v>
      </c>
      <c r="C206" s="375" t="str">
        <f t="shared" si="238"/>
        <v/>
      </c>
      <c r="D206" s="362">
        <f>IF(AC206=301,"",AC206)</f>
        <v>167</v>
      </c>
      <c r="E206" s="362" t="str">
        <f>IF(AD206=0,"",AD206)</f>
        <v/>
      </c>
      <c r="F206" s="362">
        <f>IF(AE206=301,"",AE206)</f>
        <v>182</v>
      </c>
      <c r="G206" s="362" t="str">
        <f>IF(AF206=0,"",AF206)</f>
        <v/>
      </c>
      <c r="H206" s="362">
        <f>IF(AG206=301,"",AG206)</f>
        <v>183</v>
      </c>
      <c r="I206" s="362" t="str">
        <f>IF(AH206=0,"",AH206)</f>
        <v/>
      </c>
      <c r="J206" s="362">
        <f>IF(AI206=301,"",AI206)</f>
        <v>156</v>
      </c>
      <c r="K206" s="362" t="str">
        <f>IF(AJ206=0,"",AJ206)</f>
        <v/>
      </c>
      <c r="L206" s="362">
        <f>IF(AK206=301,"",AK206)</f>
        <v>175</v>
      </c>
      <c r="M206" s="362" t="str">
        <f>IF(AL206=0,"",AL206)</f>
        <v/>
      </c>
      <c r="N206" s="362">
        <f>IF(AM206=301,"",AM206)</f>
        <v>182</v>
      </c>
      <c r="O206" s="362" t="str">
        <f>IF(AN206=0,"",AN206)</f>
        <v/>
      </c>
      <c r="P206" s="362">
        <f>IF(AO206=301,"",AO206)</f>
        <v>201</v>
      </c>
      <c r="Q206" s="362" t="str">
        <f>IF(AP206=0,"",AP206)</f>
        <v/>
      </c>
      <c r="R206" s="362">
        <f>IF(AQ206=301,"",AQ206)</f>
        <v>213</v>
      </c>
      <c r="S206" s="362" t="str">
        <f>IF(AR206=0,"",AR206)</f>
        <v/>
      </c>
      <c r="T206" s="362">
        <f>IF(AS206=301,"",AS206)</f>
        <v>138</v>
      </c>
      <c r="U206" s="362" t="str">
        <f>IF(AT206=0,"",AT206)</f>
        <v/>
      </c>
      <c r="V206" s="364"/>
      <c r="W206" s="364"/>
      <c r="AA206" s="91" t="s">
        <v>2</v>
      </c>
      <c r="AB206" s="92"/>
      <c r="AC206" s="366">
        <f>ABS(INDEX(AC:AC,MATCH(AC202,$AA:$AA,0)+8)+INDEX(AC:AC,MATCH(AC202,$AA:$AA,0)+9)+INDEX(AC:AC,MATCH(AC202,$AA:$AA,0)+10))</f>
        <v>167</v>
      </c>
      <c r="AD206" s="367"/>
      <c r="AE206" s="366">
        <f>ABS(INDEX(AE:AE,MATCH(AE202,$AA:$AA,0)+8)+INDEX(AE:AE,MATCH(AE202,$AA:$AA,0)+9)+INDEX(AE:AE,MATCH(AE202,$AA:$AA,0)+10))</f>
        <v>182</v>
      </c>
      <c r="AF206" s="367"/>
      <c r="AG206" s="366">
        <f>ABS(INDEX(AG:AG,MATCH(AG202,$AA:$AA,0)+8)+INDEX(AG:AG,MATCH(AG202,$AA:$AA,0)+9)+INDEX(AG:AG,MATCH(AG202,$AA:$AA,0)+10))</f>
        <v>183</v>
      </c>
      <c r="AH206" s="367"/>
      <c r="AI206" s="366">
        <f>ABS(INDEX(AI:AI,MATCH(AI202,$AA:$AA,0)+8)+INDEX(AI:AI,MATCH(AI202,$AA:$AA,0)+9)+INDEX(AI:AI,MATCH(AI202,$AA:$AA,0)+10))</f>
        <v>156</v>
      </c>
      <c r="AJ206" s="367"/>
      <c r="AK206" s="366">
        <f>ABS(INDEX(AK:AK,MATCH(AK202,$AA:$AA,0)+8)+INDEX(AK:AK,MATCH(AK202,$AA:$AA,0)+9)+INDEX(AK:AK,MATCH(AK202,$AA:$AA,0)+10))</f>
        <v>175</v>
      </c>
      <c r="AL206" s="367"/>
      <c r="AM206" s="366">
        <f>ABS(INDEX(AM:AM,MATCH(AM202,$AA:$AA,0)+8)+INDEX(AM:AM,MATCH(AM202,$AA:$AA,0)+9)+INDEX(AM:AM,MATCH(AM202,$AA:$AA,0)+10))</f>
        <v>182</v>
      </c>
      <c r="AN206" s="367"/>
      <c r="AO206" s="366">
        <f>ABS(INDEX(AO:AO,MATCH(AO202,$AA:$AA,0)+8)+INDEX(AO:AO,MATCH(AO202,$AA:$AA,0)+9)+INDEX(AO:AO,MATCH(AO202,$AA:$AA,0)+10))</f>
        <v>201</v>
      </c>
      <c r="AP206" s="367"/>
      <c r="AQ206" s="366">
        <f>ABS(INDEX(AQ:AQ,MATCH(AQ202,$AA:$AA,0)+8)+INDEX(AQ:AQ,MATCH(AQ202,$AA:$AA,0)+9)+INDEX(AQ:AQ,MATCH(AQ202,$AA:$AA,0)+10))</f>
        <v>213</v>
      </c>
      <c r="AR206" s="367"/>
      <c r="AS206" s="366">
        <f>ABS(INDEX(AS:AS,MATCH(AS202,$AA:$AA,0)+8)+INDEX(AS:AS,MATCH(AS202,$AA:$AA,0)+9)+INDEX(AS:AS,MATCH(AS202,$AA:$AA,0)+10))</f>
        <v>138</v>
      </c>
      <c r="AT206" s="367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4" t="str">
        <f t="shared" si="238"/>
        <v>Spieler 3</v>
      </c>
      <c r="C207" s="375" t="str">
        <f t="shared" si="238"/>
        <v/>
      </c>
      <c r="D207" s="362">
        <f>IF(AC207=301,"",AC207)</f>
        <v>129</v>
      </c>
      <c r="E207" s="362" t="str">
        <f>IF(AD207=0,"",AD207)</f>
        <v/>
      </c>
      <c r="F207" s="362">
        <f>IF(AE207=301,"",AE207)</f>
        <v>191</v>
      </c>
      <c r="G207" s="362" t="str">
        <f>IF(AF207=0,"",AF207)</f>
        <v/>
      </c>
      <c r="H207" s="362">
        <f>IF(AG207=301,"",AG207)</f>
        <v>123</v>
      </c>
      <c r="I207" s="362" t="str">
        <f>IF(AH207=0,"",AH207)</f>
        <v/>
      </c>
      <c r="J207" s="362">
        <f>IF(AI207=301,"",AI207)</f>
        <v>168</v>
      </c>
      <c r="K207" s="362" t="str">
        <f>IF(AJ207=0,"",AJ207)</f>
        <v/>
      </c>
      <c r="L207" s="362">
        <f>IF(AK207=301,"",AK207)</f>
        <v>213</v>
      </c>
      <c r="M207" s="362" t="str">
        <f>IF(AL207=0,"",AL207)</f>
        <v/>
      </c>
      <c r="N207" s="362">
        <f>IF(AM207=301,"",AM207)</f>
        <v>146</v>
      </c>
      <c r="O207" s="362" t="str">
        <f>IF(AN207=0,"",AN207)</f>
        <v/>
      </c>
      <c r="P207" s="362">
        <f>IF(AO207=301,"",AO207)</f>
        <v>218</v>
      </c>
      <c r="Q207" s="362" t="str">
        <f>IF(AP207=0,"",AP207)</f>
        <v/>
      </c>
      <c r="R207" s="362">
        <f>IF(AQ207=301,"",AQ207)</f>
        <v>177</v>
      </c>
      <c r="S207" s="362" t="str">
        <f>IF(AR207=0,"",AR207)</f>
        <v/>
      </c>
      <c r="T207" s="362">
        <f>IF(AS207=301,"",AS207)</f>
        <v>168</v>
      </c>
      <c r="U207" s="362" t="str">
        <f>IF(AT207=0,"",AT207)</f>
        <v/>
      </c>
      <c r="V207" s="364"/>
      <c r="W207" s="364"/>
      <c r="AA207" s="91" t="s">
        <v>3</v>
      </c>
      <c r="AB207" s="92"/>
      <c r="AC207" s="366">
        <f>ABS(INDEX(AC:AC,MATCH(AC202,$AA:$AA,0)+11)+INDEX(AC:AC,MATCH(AC202,$AA:$AA,0)+12)+INDEX(AC:AC,MATCH(AC202,$AA:$AA,0)+13))</f>
        <v>129</v>
      </c>
      <c r="AD207" s="367"/>
      <c r="AE207" s="366">
        <f>ABS(INDEX(AE:AE,MATCH(AE202,$AA:$AA,0)+11)+INDEX(AE:AE,MATCH(AE202,$AA:$AA,0)+12)+INDEX(AE:AE,MATCH(AE202,$AA:$AA,0)+13))</f>
        <v>191</v>
      </c>
      <c r="AF207" s="367"/>
      <c r="AG207" s="366">
        <f>ABS(INDEX(AG:AG,MATCH(AG202,$AA:$AA,0)+11)+INDEX(AG:AG,MATCH(AG202,$AA:$AA,0)+12)+INDEX(AG:AG,MATCH(AG202,$AA:$AA,0)+13))</f>
        <v>123</v>
      </c>
      <c r="AH207" s="367"/>
      <c r="AI207" s="366">
        <f>ABS(INDEX(AI:AI,MATCH(AI202,$AA:$AA,0)+11)+INDEX(AI:AI,MATCH(AI202,$AA:$AA,0)+12)+INDEX(AI:AI,MATCH(AI202,$AA:$AA,0)+13))</f>
        <v>168</v>
      </c>
      <c r="AJ207" s="367"/>
      <c r="AK207" s="366">
        <f>ABS(INDEX(AK:AK,MATCH(AK202,$AA:$AA,0)+11)+INDEX(AK:AK,MATCH(AK202,$AA:$AA,0)+12)+INDEX(AK:AK,MATCH(AK202,$AA:$AA,0)+13))</f>
        <v>213</v>
      </c>
      <c r="AL207" s="367"/>
      <c r="AM207" s="366">
        <f>ABS(INDEX(AM:AM,MATCH(AM202,$AA:$AA,0)+11)+INDEX(AM:AM,MATCH(AM202,$AA:$AA,0)+12)+INDEX(AM:AM,MATCH(AM202,$AA:$AA,0)+13))</f>
        <v>146</v>
      </c>
      <c r="AN207" s="367"/>
      <c r="AO207" s="366">
        <f>ABS(INDEX(AO:AO,MATCH(AO202,$AA:$AA,0)+11)+INDEX(AO:AO,MATCH(AO202,$AA:$AA,0)+12)+INDEX(AO:AO,MATCH(AO202,$AA:$AA,0)+13))</f>
        <v>218</v>
      </c>
      <c r="AP207" s="367"/>
      <c r="AQ207" s="366">
        <f>ABS(INDEX(AQ:AQ,MATCH(AQ202,$AA:$AA,0)+11)+INDEX(AQ:AQ,MATCH(AQ202,$AA:$AA,0)+12)+INDEX(AQ:AQ,MATCH(AQ202,$AA:$AA,0)+13))</f>
        <v>177</v>
      </c>
      <c r="AR207" s="367"/>
      <c r="AS207" s="366">
        <f>ABS(INDEX(AS:AS,MATCH(AS202,$AA:$AA,0)+11)+INDEX(AS:AS,MATCH(AS202,$AA:$AA,0)+12)+INDEX(AS:AS,MATCH(AS202,$AA:$AA,0)+13))</f>
        <v>168</v>
      </c>
      <c r="AT207" s="367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4" t="str">
        <f t="shared" si="238"/>
        <v>Spieler 4</v>
      </c>
      <c r="C208" s="375" t="str">
        <f t="shared" si="238"/>
        <v/>
      </c>
      <c r="D208" s="362">
        <f>IF(AC208=301,"",AC208)</f>
        <v>222</v>
      </c>
      <c r="E208" s="362" t="str">
        <f>IF(AD208=0,"",AD208)</f>
        <v/>
      </c>
      <c r="F208" s="362">
        <f>IF(AE208=301,"",AE208)</f>
        <v>198</v>
      </c>
      <c r="G208" s="362" t="str">
        <f>IF(AF208=0,"",AF208)</f>
        <v/>
      </c>
      <c r="H208" s="362">
        <f>IF(AG208=301,"",AG208)</f>
        <v>169</v>
      </c>
      <c r="I208" s="362" t="str">
        <f>IF(AH208=0,"",AH208)</f>
        <v/>
      </c>
      <c r="J208" s="362">
        <f>IF(AI208=301,"",AI208)</f>
        <v>146</v>
      </c>
      <c r="K208" s="362" t="str">
        <f>IF(AJ208=0,"",AJ208)</f>
        <v/>
      </c>
      <c r="L208" s="362">
        <f>IF(AK208=301,"",AK208)</f>
        <v>164</v>
      </c>
      <c r="M208" s="362" t="str">
        <f>IF(AL208=0,"",AL208)</f>
        <v/>
      </c>
      <c r="N208" s="362">
        <f>IF(AM208=301,"",AM208)</f>
        <v>175</v>
      </c>
      <c r="O208" s="362" t="str">
        <f>IF(AN208=0,"",AN208)</f>
        <v/>
      </c>
      <c r="P208" s="362">
        <f>IF(AO208=301,"",AO208)</f>
        <v>202</v>
      </c>
      <c r="Q208" s="362" t="str">
        <f>IF(AP208=0,"",AP208)</f>
        <v/>
      </c>
      <c r="R208" s="362">
        <f>IF(AQ208=301,"",AQ208)</f>
        <v>213</v>
      </c>
      <c r="S208" s="362" t="str">
        <f>IF(AR208=0,"",AR208)</f>
        <v/>
      </c>
      <c r="T208" s="362">
        <f>IF(AS208=301,"",AS208)</f>
        <v>156</v>
      </c>
      <c r="U208" s="362" t="str">
        <f>IF(AT208=0,"",AT208)</f>
        <v/>
      </c>
      <c r="V208" s="364"/>
      <c r="W208" s="364"/>
      <c r="AA208" s="91" t="s">
        <v>11</v>
      </c>
      <c r="AB208" s="92"/>
      <c r="AC208" s="366">
        <f>ABS(INDEX(AC:AC,MATCH(AC202,$AA:$AA,0)+14)+INDEX(AC:AC,MATCH(AC202,$AA:$AA,0)+15)+INDEX(AC:AC,MATCH(AC202,$AA:$AA,0)+16))</f>
        <v>222</v>
      </c>
      <c r="AD208" s="367"/>
      <c r="AE208" s="366">
        <f>ABS(INDEX(AE:AE,MATCH(AE202,$AA:$AA,0)+14)+INDEX(AE:AE,MATCH(AE202,$AA:$AA,0)+15)+INDEX(AE:AE,MATCH(AE202,$AA:$AA,0)+16))</f>
        <v>198</v>
      </c>
      <c r="AF208" s="367"/>
      <c r="AG208" s="366">
        <f>ABS(INDEX(AG:AG,MATCH(AG202,$AA:$AA,0)+14)+INDEX(AG:AG,MATCH(AG202,$AA:$AA,0)+15)+INDEX(AG:AG,MATCH(AG202,$AA:$AA,0)+16))</f>
        <v>169</v>
      </c>
      <c r="AH208" s="367"/>
      <c r="AI208" s="366">
        <f>ABS(INDEX(AI:AI,MATCH(AI202,$AA:$AA,0)+14)+INDEX(AI:AI,MATCH(AI202,$AA:$AA,0)+15)+INDEX(AI:AI,MATCH(AI202,$AA:$AA,0)+16))</f>
        <v>146</v>
      </c>
      <c r="AJ208" s="367"/>
      <c r="AK208" s="366">
        <f>ABS(INDEX(AK:AK,MATCH(AK202,$AA:$AA,0)+14)+INDEX(AK:AK,MATCH(AK202,$AA:$AA,0)+15)+INDEX(AK:AK,MATCH(AK202,$AA:$AA,0)+16))</f>
        <v>164</v>
      </c>
      <c r="AL208" s="367"/>
      <c r="AM208" s="366">
        <f>ABS(INDEX(AM:AM,MATCH(AM202,$AA:$AA,0)+14)+INDEX(AM:AM,MATCH(AM202,$AA:$AA,0)+15)+INDEX(AM:AM,MATCH(AM202,$AA:$AA,0)+16))</f>
        <v>175</v>
      </c>
      <c r="AN208" s="367"/>
      <c r="AO208" s="366">
        <f>ABS(INDEX(AO:AO,MATCH(AO202,$AA:$AA,0)+14)+INDEX(AO:AO,MATCH(AO202,$AA:$AA,0)+15)+INDEX(AO:AO,MATCH(AO202,$AA:$AA,0)+16))</f>
        <v>202</v>
      </c>
      <c r="AP208" s="367"/>
      <c r="AQ208" s="366">
        <f>ABS(INDEX(AQ:AQ,MATCH(AQ202,$AA:$AA,0)+14)+INDEX(AQ:AQ,MATCH(AQ202,$AA:$AA,0)+15)+INDEX(AQ:AQ,MATCH(AQ202,$AA:$AA,0)+16))</f>
        <v>213</v>
      </c>
      <c r="AR208" s="367"/>
      <c r="AS208" s="366">
        <f>ABS(INDEX(AS:AS,MATCH(AS202,$AA:$AA,0)+14)+INDEX(AS:AS,MATCH(AS202,$AA:$AA,0)+15)+INDEX(AS:AS,MATCH(AS202,$AA:$AA,0)+16))</f>
        <v>156</v>
      </c>
      <c r="AT208" s="367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6" t="str">
        <f t="shared" si="238"/>
        <v>Gesamt</v>
      </c>
      <c r="C209" s="347" t="str">
        <f t="shared" si="238"/>
        <v/>
      </c>
      <c r="D209" s="365">
        <f>IF(AC209=1505,"",AC209)</f>
        <v>672</v>
      </c>
      <c r="E209" s="365" t="str">
        <f>IF(AD209=0,"",AD209)</f>
        <v/>
      </c>
      <c r="F209" s="365">
        <f>IF(AE209=1505,"",AE209)</f>
        <v>753</v>
      </c>
      <c r="G209" s="365" t="str">
        <f>IF(AF209=0,"",AF209)</f>
        <v/>
      </c>
      <c r="H209" s="365">
        <f>IF(AG209=1505,"",AG209)</f>
        <v>706</v>
      </c>
      <c r="I209" s="365" t="str">
        <f>IF(AH209=0,"",AH209)</f>
        <v/>
      </c>
      <c r="J209" s="365">
        <f>IF(AI209=1505,"",AI209)</f>
        <v>682</v>
      </c>
      <c r="K209" s="365" t="str">
        <f>IF(AJ209=0,"",AJ209)</f>
        <v/>
      </c>
      <c r="L209" s="365">
        <f>IF(AK209=1505,"",AK209)</f>
        <v>723</v>
      </c>
      <c r="M209" s="365" t="str">
        <f>IF(AL209=0,"",AL209)</f>
        <v/>
      </c>
      <c r="N209" s="365">
        <f>IF(AM209=1505,"",AM209)</f>
        <v>685</v>
      </c>
      <c r="O209" s="365" t="str">
        <f>IF(AN209=0,"",AN209)</f>
        <v/>
      </c>
      <c r="P209" s="365">
        <f>IF(AO209=1505,"",AO209)</f>
        <v>785</v>
      </c>
      <c r="Q209" s="365" t="str">
        <f>IF(AP209=0,"",AP209)</f>
        <v/>
      </c>
      <c r="R209" s="365">
        <f>IF(AQ209=1505,"",AQ209)</f>
        <v>788</v>
      </c>
      <c r="S209" s="365" t="str">
        <f>IF(AR209=0,"",AR209)</f>
        <v/>
      </c>
      <c r="T209" s="365">
        <f>IF(AS209=1505,"",AS209)</f>
        <v>617</v>
      </c>
      <c r="U209" s="365" t="str">
        <f>IF(AT209=0,"",AT209)</f>
        <v/>
      </c>
      <c r="V209" s="301"/>
      <c r="W209" s="301"/>
      <c r="AA209" s="93" t="s">
        <v>1799</v>
      </c>
      <c r="AB209" s="94"/>
      <c r="AC209" s="346">
        <f>SUM(AC205:AC208)</f>
        <v>672</v>
      </c>
      <c r="AD209" s="347"/>
      <c r="AE209" s="346">
        <f>SUM(AE205:AE208)</f>
        <v>753</v>
      </c>
      <c r="AF209" s="347"/>
      <c r="AG209" s="346">
        <f>SUM(AG205:AG208)</f>
        <v>706</v>
      </c>
      <c r="AH209" s="347"/>
      <c r="AI209" s="346">
        <f>SUM(AI205:AI208)</f>
        <v>682</v>
      </c>
      <c r="AJ209" s="347"/>
      <c r="AK209" s="346">
        <f>SUM(AK205:AK208)</f>
        <v>723</v>
      </c>
      <c r="AL209" s="347"/>
      <c r="AM209" s="346">
        <f>SUM(AM205:AM208)</f>
        <v>685</v>
      </c>
      <c r="AN209" s="347"/>
      <c r="AO209" s="346">
        <f>SUM(AO205:AO208)</f>
        <v>785</v>
      </c>
      <c r="AP209" s="347"/>
      <c r="AQ209" s="346">
        <f>SUM(AQ205:AQ208)</f>
        <v>788</v>
      </c>
      <c r="AR209" s="347"/>
      <c r="AS209" s="346">
        <f>SUM(AS205:AS208)</f>
        <v>617</v>
      </c>
      <c r="AT209" s="347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5" t="str">
        <f>AE211</f>
        <v>Bayernliga Herren</v>
      </c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48"/>
      <c r="S211" s="49" t="s">
        <v>1794</v>
      </c>
      <c r="T211" s="50"/>
      <c r="U211" s="341" t="str">
        <f>AT211</f>
        <v>01.02./02.02.</v>
      </c>
      <c r="V211" s="342"/>
      <c r="W211" s="343"/>
      <c r="X211" s="372"/>
      <c r="Y211" s="373"/>
      <c r="Z211" s="373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41" t="str">
        <f>VLOOKUP(AS212,Spielorte!$A$1:$C$6,2)</f>
        <v>01.02./02.02.</v>
      </c>
      <c r="AU211" s="342"/>
      <c r="AV211" s="34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4" t="str">
        <f>AE212</f>
        <v>Unterföhring Dreambowl Palace</v>
      </c>
      <c r="G212" s="344"/>
      <c r="H212" s="344"/>
      <c r="I212" s="344"/>
      <c r="J212" s="344"/>
      <c r="K212" s="344"/>
      <c r="L212" s="344"/>
      <c r="M212" s="344"/>
      <c r="N212" s="344"/>
      <c r="O212" s="344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6" t="s">
        <v>1800</v>
      </c>
      <c r="E215" s="347"/>
      <c r="F215" s="346" t="s">
        <v>1801</v>
      </c>
      <c r="G215" s="347"/>
      <c r="H215" s="346" t="s">
        <v>1802</v>
      </c>
      <c r="I215" s="347"/>
      <c r="J215" s="346" t="s">
        <v>1803</v>
      </c>
      <c r="K215" s="347"/>
      <c r="L215" s="346" t="s">
        <v>1804</v>
      </c>
      <c r="M215" s="347"/>
      <c r="N215" s="346" t="s">
        <v>1805</v>
      </c>
      <c r="O215" s="347"/>
      <c r="P215" s="346" t="s">
        <v>1806</v>
      </c>
      <c r="Q215" s="347"/>
      <c r="R215" s="346" t="s">
        <v>1807</v>
      </c>
      <c r="S215" s="347"/>
      <c r="T215" s="346" t="s">
        <v>1808</v>
      </c>
      <c r="U215" s="347"/>
      <c r="V215" s="354" t="s">
        <v>1799</v>
      </c>
      <c r="W215" s="355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6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190</v>
      </c>
      <c r="E217" s="348">
        <f>IF(AD217="","",AD217)</f>
        <v>1</v>
      </c>
      <c r="F217" s="75">
        <f t="shared" ref="F217:F230" si="239">IF(AE217=0,"",AE217)</f>
        <v>172</v>
      </c>
      <c r="G217" s="348">
        <f>IF(AF217="","",AF217)</f>
        <v>1</v>
      </c>
      <c r="H217" s="75">
        <f t="shared" ref="H217:H230" si="240">IF(AG217=0,"",AG217)</f>
        <v>148</v>
      </c>
      <c r="I217" s="348">
        <f>IF(AH217="","",AH217)</f>
        <v>0</v>
      </c>
      <c r="J217" s="75">
        <f t="shared" ref="J217:J230" si="241">IF(AI217=0,"",AI217)</f>
        <v>136</v>
      </c>
      <c r="K217" s="348">
        <f>IF(AJ217="","",AJ217)</f>
        <v>0</v>
      </c>
      <c r="L217" s="75">
        <f t="shared" ref="L217:L230" si="242">IF(AK217=0,"",AK217)</f>
        <v>167</v>
      </c>
      <c r="M217" s="348">
        <f>IF(AL217="","",AL217)</f>
        <v>0</v>
      </c>
      <c r="N217" s="75">
        <f>IF(AM217=0,"",AM217)</f>
        <v>155</v>
      </c>
      <c r="O217" s="348">
        <f>IF(AN217="","",AN217)</f>
        <v>0</v>
      </c>
      <c r="P217" s="75" t="str">
        <f t="shared" ref="P217:P230" si="243">IF(AO217=0,"",AO217)</f>
        <v/>
      </c>
      <c r="Q217" s="348">
        <f>IF(AP217="","",AP217)</f>
        <v>0</v>
      </c>
      <c r="R217" s="75">
        <f t="shared" ref="R217:R230" si="244">IF(AQ217=0,"",AQ217)</f>
        <v>185</v>
      </c>
      <c r="S217" s="348">
        <f>IF(AR217="","",AR217)</f>
        <v>1</v>
      </c>
      <c r="T217" s="75">
        <f t="shared" ref="T217:T230" si="245">IF(AS217=0,"",AS217)</f>
        <v>136</v>
      </c>
      <c r="U217" s="348">
        <f>IF(AT217="","",AT217)</f>
        <v>0</v>
      </c>
      <c r="V217" s="75">
        <f t="shared" ref="V217:V230" si="246">IF(AU217=0,"",AU217)</f>
        <v>1289</v>
      </c>
      <c r="W217" s="348">
        <f>IF(AV217="","",AV217)</f>
        <v>3</v>
      </c>
      <c r="Z217" s="351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190</v>
      </c>
      <c r="AD217" s="109">
        <f>IF(SUM(AC217:AC219)+AC235=0,0,IF(SUM(AC217:AC219)=AC235,0.5,IF(SUM(AC217:AC219)&gt;AC235,1,0)))</f>
        <v>1</v>
      </c>
      <c r="AE217" s="185">
        <v>172</v>
      </c>
      <c r="AF217" s="109">
        <f>IF(SUM(AE217:AE219)+AE235=0,0,IF(SUM(AE217:AE219)=AE235,0.5,IF(SUM(AE217:AE219)&gt;AE235,1,0)))</f>
        <v>1</v>
      </c>
      <c r="AG217" s="185">
        <v>148</v>
      </c>
      <c r="AH217" s="109">
        <f>IF(SUM(AG217:AG219)+AG235=0,0,IF(SUM(AG217:AG219)=AG235,0.5,IF(SUM(AG217:AG219)&gt;AG235,1,0)))</f>
        <v>0</v>
      </c>
      <c r="AI217" s="185">
        <v>136</v>
      </c>
      <c r="AJ217" s="109">
        <f>IF(SUM(AI217:AI219)+AI235=0,0,IF(SUM(AI217:AI219)=AI235,0.5,IF(SUM(AI217:AI219)&gt;AI235,1,0)))</f>
        <v>0</v>
      </c>
      <c r="AK217" s="185">
        <v>167</v>
      </c>
      <c r="AL217" s="109">
        <f>IF(SUM(AK217:AK219)+AK235=0,0,IF(SUM(AK217:AK219)=AK235,0.5,IF(SUM(AK217:AK219)&gt;AK235,1,0)))</f>
        <v>0</v>
      </c>
      <c r="AM217" s="185">
        <v>155</v>
      </c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>
        <v>185</v>
      </c>
      <c r="AR217" s="109">
        <f>IF(SUM(AQ217:AQ219)+AQ235=0,0,IF(SUM(AQ217:AQ219)=AQ235,0.5,IF(SUM(AQ217:AQ219)&gt;AQ235,1,0)))</f>
        <v>1</v>
      </c>
      <c r="AS217" s="185">
        <v>136</v>
      </c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1289</v>
      </c>
      <c r="AV217" s="111">
        <f>SUM(AD217+AF217+AH217+AJ217+AL217+AN217+AP217+AR217+AT217)</f>
        <v>3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1289</v>
      </c>
      <c r="BF217" s="215">
        <f>COUNT(BH217:BP217)</f>
        <v>8</v>
      </c>
      <c r="BG217" s="215">
        <f>COUNTIF(BH217:BP217,"&gt;0")</f>
        <v>8</v>
      </c>
      <c r="BH217" s="215">
        <f t="shared" ref="BH217:BH228" si="248">IF(AC217=0,"",AC217)</f>
        <v>190</v>
      </c>
      <c r="BI217" s="215">
        <f t="shared" ref="BI217:BI228" si="249">IF(AE217=0,"",AE217)</f>
        <v>172</v>
      </c>
      <c r="BJ217" s="215">
        <f t="shared" ref="BJ217:BJ228" si="250">IF(AG217=0,"",AG217)</f>
        <v>148</v>
      </c>
      <c r="BK217" s="215">
        <f t="shared" ref="BK217:BK228" si="251">IF(AI217=0,"",AI217)</f>
        <v>136</v>
      </c>
      <c r="BL217" s="215">
        <f t="shared" ref="BL217:BL228" si="252">IF(AK217=0,"",AK217)</f>
        <v>167</v>
      </c>
      <c r="BM217" s="215">
        <f t="shared" ref="BM217:BM228" si="253">IF(AM217=0,"",AM217)</f>
        <v>155</v>
      </c>
      <c r="BN217" s="215" t="str">
        <f t="shared" ref="BN217:BN228" si="254">IF(AO217=0,"",AO217)</f>
        <v/>
      </c>
      <c r="BO217" s="215">
        <f t="shared" ref="BO217:BO228" si="255">IF(AQ217=0,"",AQ217)</f>
        <v>185</v>
      </c>
      <c r="BP217" s="215">
        <f t="shared" ref="BP217:BP228" si="256">IF(AS217=0,"",AS217)</f>
        <v>136</v>
      </c>
      <c r="BQ217" s="216"/>
      <c r="BR217" s="214"/>
      <c r="BS217" s="215">
        <f>MAX(BH217:BP217)</f>
        <v>190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1289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77"/>
      <c r="B218" s="76" t="str">
        <f t="shared" ref="B218:D230" si="258">IF(AA218=0,"",AA218)</f>
        <v>Blasits, Ernst</v>
      </c>
      <c r="C218" s="77">
        <f t="shared" si="258"/>
        <v>25554</v>
      </c>
      <c r="D218" s="78" t="str">
        <f t="shared" si="258"/>
        <v/>
      </c>
      <c r="E218" s="349"/>
      <c r="F218" s="78" t="str">
        <f t="shared" si="239"/>
        <v/>
      </c>
      <c r="G218" s="349"/>
      <c r="H218" s="78" t="str">
        <f t="shared" si="240"/>
        <v/>
      </c>
      <c r="I218" s="349"/>
      <c r="J218" s="78" t="str">
        <f t="shared" si="241"/>
        <v/>
      </c>
      <c r="K218" s="349"/>
      <c r="L218" s="78" t="str">
        <f t="shared" si="242"/>
        <v/>
      </c>
      <c r="M218" s="349"/>
      <c r="N218" s="78" t="str">
        <f t="shared" ref="N218:N230" si="259">IF(AM218=0,"",AM218)</f>
        <v/>
      </c>
      <c r="O218" s="349"/>
      <c r="P218" s="78">
        <f t="shared" si="243"/>
        <v>151</v>
      </c>
      <c r="Q218" s="349"/>
      <c r="R218" s="78" t="str">
        <f t="shared" si="244"/>
        <v/>
      </c>
      <c r="S218" s="349"/>
      <c r="T218" s="78" t="str">
        <f t="shared" si="245"/>
        <v/>
      </c>
      <c r="U218" s="349"/>
      <c r="V218" s="78">
        <f t="shared" si="246"/>
        <v>151</v>
      </c>
      <c r="W218" s="349"/>
      <c r="Z218" s="352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>
        <v>151</v>
      </c>
      <c r="AP218" s="112"/>
      <c r="AQ218" s="186"/>
      <c r="AR218" s="112"/>
      <c r="AS218" s="186"/>
      <c r="AT218" s="112"/>
      <c r="AU218" s="113">
        <f t="shared" si="247"/>
        <v>151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25554</v>
      </c>
      <c r="BE218" s="213">
        <f t="shared" ref="BE218:BE228" si="261">+AU218</f>
        <v>151</v>
      </c>
      <c r="BF218" s="215">
        <f t="shared" ref="BF218:BF228" si="262">COUNT(BH218:BP218)</f>
        <v>1</v>
      </c>
      <c r="BG218" s="215">
        <f t="shared" ref="BG218:BG228" si="263">COUNTIF(BH218:BP218,"&gt;0")</f>
        <v>1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>
        <f t="shared" si="254"/>
        <v>151</v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151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BC EMAX Unterföhring 2</v>
      </c>
      <c r="BV218" s="214">
        <f t="shared" ref="BV218:BV228" si="267">RANK(BT218,BT:BT)</f>
        <v>2</v>
      </c>
      <c r="BW218" s="215">
        <f t="shared" ref="BW218:BW228" si="268">SUMIF(BH218:BP218,"&gt;0")</f>
        <v>151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8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0"/>
      <c r="F219" s="69" t="str">
        <f t="shared" si="239"/>
        <v/>
      </c>
      <c r="G219" s="350"/>
      <c r="H219" s="69" t="str">
        <f t="shared" si="240"/>
        <v/>
      </c>
      <c r="I219" s="350"/>
      <c r="J219" s="69" t="str">
        <f t="shared" si="241"/>
        <v/>
      </c>
      <c r="K219" s="350"/>
      <c r="L219" s="69" t="str">
        <f t="shared" si="242"/>
        <v/>
      </c>
      <c r="M219" s="350"/>
      <c r="N219" s="69" t="str">
        <f t="shared" si="259"/>
        <v/>
      </c>
      <c r="O219" s="350"/>
      <c r="P219" s="69" t="str">
        <f t="shared" si="243"/>
        <v/>
      </c>
      <c r="Q219" s="350"/>
      <c r="R219" s="69" t="str">
        <f t="shared" si="244"/>
        <v/>
      </c>
      <c r="S219" s="350"/>
      <c r="T219" s="69" t="str">
        <f t="shared" si="245"/>
        <v/>
      </c>
      <c r="U219" s="350"/>
      <c r="V219" s="69" t="str">
        <f t="shared" si="246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BC EMAX Unterföhring 2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76" t="s">
        <v>2</v>
      </c>
      <c r="B220" s="73" t="str">
        <f t="shared" si="258"/>
        <v>Wegenast, Robert</v>
      </c>
      <c r="C220" s="74">
        <f t="shared" si="258"/>
        <v>25325</v>
      </c>
      <c r="D220" s="75">
        <f t="shared" si="258"/>
        <v>194</v>
      </c>
      <c r="E220" s="348">
        <f>IF(AD220="","",AD220)</f>
        <v>1</v>
      </c>
      <c r="F220" s="75">
        <f t="shared" si="239"/>
        <v>213</v>
      </c>
      <c r="G220" s="348">
        <f>IF(AF220="","",AF220)</f>
        <v>1</v>
      </c>
      <c r="H220" s="75">
        <f t="shared" si="240"/>
        <v>155</v>
      </c>
      <c r="I220" s="348">
        <f>IF(AH220="","",AH220)</f>
        <v>0</v>
      </c>
      <c r="J220" s="75">
        <f t="shared" si="241"/>
        <v>174</v>
      </c>
      <c r="K220" s="348">
        <f>IF(AJ220="","",AJ220)</f>
        <v>1</v>
      </c>
      <c r="L220" s="75">
        <f t="shared" si="242"/>
        <v>180</v>
      </c>
      <c r="M220" s="348">
        <f>IF(AL220="","",AL220)</f>
        <v>1</v>
      </c>
      <c r="N220" s="75">
        <f t="shared" si="259"/>
        <v>198</v>
      </c>
      <c r="O220" s="348">
        <f>IF(AN220="","",AN220)</f>
        <v>1</v>
      </c>
      <c r="P220" s="75">
        <f t="shared" si="243"/>
        <v>206</v>
      </c>
      <c r="Q220" s="348">
        <f>IF(AP220="","",AP220)</f>
        <v>1</v>
      </c>
      <c r="R220" s="75">
        <f t="shared" si="244"/>
        <v>213</v>
      </c>
      <c r="S220" s="348">
        <f>IF(AR220="","",AR220)</f>
        <v>1</v>
      </c>
      <c r="T220" s="75">
        <f t="shared" si="245"/>
        <v>177</v>
      </c>
      <c r="U220" s="348">
        <f>IF(AT220="","",AT220)</f>
        <v>0</v>
      </c>
      <c r="V220" s="75">
        <f t="shared" si="246"/>
        <v>1710</v>
      </c>
      <c r="W220" s="348">
        <f>IF(AV220="","",AV220)</f>
        <v>7</v>
      </c>
      <c r="Z220" s="351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194</v>
      </c>
      <c r="AD220" s="109">
        <f>IF(SUM(AC220:AC222)+AC236=0,0,IF(SUM(AC220:AC222)=AC236,0.5,IF(SUM(AC220:AC222)&gt;AC236,1,0)))</f>
        <v>1</v>
      </c>
      <c r="AE220" s="188">
        <v>213</v>
      </c>
      <c r="AF220" s="109">
        <f>IF(SUM(AE220:AE222)+AE236=0,0,IF(SUM(AE220:AE222)=AE236,0.5,IF(SUM(AE220:AE222)&gt;AE236,1,0)))</f>
        <v>1</v>
      </c>
      <c r="AG220" s="188">
        <v>155</v>
      </c>
      <c r="AH220" s="109">
        <f>IF(SUM(AG220:AG222)+AG236=0,0,IF(SUM(AG220:AG222)=AG236,0.5,IF(SUM(AG220:AG222)&gt;AG236,1,0)))</f>
        <v>0</v>
      </c>
      <c r="AI220" s="188">
        <v>174</v>
      </c>
      <c r="AJ220" s="109">
        <f>IF(SUM(AI220:AI222)+AI236=0,0,IF(SUM(AI220:AI222)=AI236,0.5,IF(SUM(AI220:AI222)&gt;AI236,1,0)))</f>
        <v>1</v>
      </c>
      <c r="AK220" s="188">
        <v>180</v>
      </c>
      <c r="AL220" s="109">
        <f>IF(SUM(AK220:AK222)+AK236=0,0,IF(SUM(AK220:AK222)=AK236,0.5,IF(SUM(AK220:AK222)&gt;AK236,1,0)))</f>
        <v>1</v>
      </c>
      <c r="AM220" s="188">
        <v>198</v>
      </c>
      <c r="AN220" s="109">
        <f>IF(SUM(AM220:AM222)+AM236=0,0,IF(SUM(AM220:AM222)=AM236,0.5,IF(SUM(AM220:AM222)&gt;AM236,1,0)))</f>
        <v>1</v>
      </c>
      <c r="AO220" s="188">
        <v>206</v>
      </c>
      <c r="AP220" s="109">
        <f>IF(SUM(AO220:AO222)+AO236=0,0,IF(SUM(AO220:AO222)=AO236,0.5,IF(SUM(AO220:AO222)&gt;AO236,1,0)))</f>
        <v>1</v>
      </c>
      <c r="AQ220" s="188">
        <v>213</v>
      </c>
      <c r="AR220" s="109">
        <f>IF(SUM(AQ220:AQ222)+AQ236=0,0,IF(SUM(AQ220:AQ222)=AQ236,0.5,IF(SUM(AQ220:AQ222)&gt;AQ236,1,0)))</f>
        <v>1</v>
      </c>
      <c r="AS220" s="188">
        <v>177</v>
      </c>
      <c r="AT220" s="109">
        <f>IF(SUM(AS220:AS222)+AS236=0,0,IF(SUM(AS220:AS222)=AS236,0.5,IF(SUM(AS220:AS222)&gt;AS236,1,0)))</f>
        <v>0</v>
      </c>
      <c r="AU220" s="110">
        <f t="shared" si="247"/>
        <v>1710</v>
      </c>
      <c r="AV220" s="111">
        <f>SUM(AD220+AF220+AH220+AJ220+AL220+AN220+AP220+AR220+AT220)</f>
        <v>7</v>
      </c>
      <c r="AW220" s="101"/>
      <c r="AX220" s="102"/>
      <c r="AZ220" s="63"/>
      <c r="BA220" s="212"/>
      <c r="BB220" s="213"/>
      <c r="BC220" s="214"/>
      <c r="BD220" s="217">
        <f t="shared" si="260"/>
        <v>25325</v>
      </c>
      <c r="BE220" s="213">
        <f t="shared" si="261"/>
        <v>1710</v>
      </c>
      <c r="BF220" s="215">
        <f t="shared" si="262"/>
        <v>9</v>
      </c>
      <c r="BG220" s="215">
        <f t="shared" si="263"/>
        <v>9</v>
      </c>
      <c r="BH220" s="215">
        <f t="shared" si="248"/>
        <v>194</v>
      </c>
      <c r="BI220" s="215">
        <f t="shared" si="249"/>
        <v>213</v>
      </c>
      <c r="BJ220" s="215">
        <f t="shared" si="250"/>
        <v>155</v>
      </c>
      <c r="BK220" s="215">
        <f t="shared" si="251"/>
        <v>174</v>
      </c>
      <c r="BL220" s="215">
        <f t="shared" si="252"/>
        <v>180</v>
      </c>
      <c r="BM220" s="215">
        <f t="shared" si="253"/>
        <v>198</v>
      </c>
      <c r="BN220" s="215">
        <f t="shared" si="254"/>
        <v>206</v>
      </c>
      <c r="BO220" s="215">
        <f t="shared" si="255"/>
        <v>213</v>
      </c>
      <c r="BP220" s="215">
        <f t="shared" si="256"/>
        <v>177</v>
      </c>
      <c r="BQ220" s="216"/>
      <c r="BR220" s="214"/>
      <c r="BS220" s="215">
        <f t="shared" si="264"/>
        <v>213</v>
      </c>
      <c r="BT220" s="215">
        <f t="shared" si="265"/>
        <v>0</v>
      </c>
      <c r="BU220" s="215" t="str">
        <f t="shared" si="266"/>
        <v>BC EMAX Unterföhring 2</v>
      </c>
      <c r="BV220" s="214">
        <f t="shared" si="267"/>
        <v>2</v>
      </c>
      <c r="BW220" s="215">
        <f t="shared" si="268"/>
        <v>1710</v>
      </c>
      <c r="BX220" s="215">
        <f>IF(COUNTIF(BH220:BP220,"&gt;0")&lt;Spielorte!$A$23,0,BE220/Spielorte!$A$23)</f>
        <v>190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77"/>
      <c r="B221" s="76" t="str">
        <f t="shared" si="258"/>
        <v/>
      </c>
      <c r="C221" s="77" t="str">
        <f t="shared" si="258"/>
        <v/>
      </c>
      <c r="D221" s="78" t="str">
        <f t="shared" si="258"/>
        <v/>
      </c>
      <c r="E221" s="349"/>
      <c r="F221" s="78" t="str">
        <f t="shared" si="239"/>
        <v/>
      </c>
      <c r="G221" s="349"/>
      <c r="H221" s="78" t="str">
        <f t="shared" si="240"/>
        <v/>
      </c>
      <c r="I221" s="349"/>
      <c r="J221" s="78" t="str">
        <f t="shared" si="241"/>
        <v/>
      </c>
      <c r="K221" s="349"/>
      <c r="L221" s="78" t="str">
        <f t="shared" si="242"/>
        <v/>
      </c>
      <c r="M221" s="349"/>
      <c r="N221" s="78" t="str">
        <f t="shared" si="259"/>
        <v/>
      </c>
      <c r="O221" s="349"/>
      <c r="P221" s="78" t="str">
        <f t="shared" si="243"/>
        <v/>
      </c>
      <c r="Q221" s="349"/>
      <c r="R221" s="78" t="str">
        <f t="shared" si="244"/>
        <v/>
      </c>
      <c r="S221" s="349"/>
      <c r="T221" s="78" t="str">
        <f t="shared" si="245"/>
        <v/>
      </c>
      <c r="U221" s="349"/>
      <c r="V221" s="78" t="str">
        <f t="shared" si="246"/>
        <v/>
      </c>
      <c r="W221" s="349"/>
      <c r="Z221" s="352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0</v>
      </c>
      <c r="BE221" s="213">
        <f t="shared" si="261"/>
        <v>0</v>
      </c>
      <c r="BF221" s="215">
        <f t="shared" si="262"/>
        <v>0</v>
      </c>
      <c r="BG221" s="215">
        <f t="shared" si="263"/>
        <v>0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0</v>
      </c>
      <c r="BT221" s="215">
        <f t="shared" si="265"/>
        <v>0</v>
      </c>
      <c r="BU221" s="215" t="str">
        <f t="shared" si="266"/>
        <v>BC EMAX Unterföhring 2</v>
      </c>
      <c r="BV221" s="214">
        <f t="shared" si="267"/>
        <v>2</v>
      </c>
      <c r="BW221" s="215">
        <f t="shared" si="268"/>
        <v>0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8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50"/>
      <c r="F222" s="69" t="str">
        <f t="shared" si="239"/>
        <v/>
      </c>
      <c r="G222" s="350"/>
      <c r="H222" s="69" t="str">
        <f t="shared" si="240"/>
        <v/>
      </c>
      <c r="I222" s="350"/>
      <c r="J222" s="69" t="str">
        <f t="shared" si="241"/>
        <v/>
      </c>
      <c r="K222" s="350"/>
      <c r="L222" s="69" t="str">
        <f t="shared" si="242"/>
        <v/>
      </c>
      <c r="M222" s="350"/>
      <c r="N222" s="69" t="str">
        <f t="shared" si="259"/>
        <v/>
      </c>
      <c r="O222" s="350"/>
      <c r="P222" s="69" t="str">
        <f t="shared" si="243"/>
        <v/>
      </c>
      <c r="Q222" s="350"/>
      <c r="R222" s="69" t="str">
        <f t="shared" si="244"/>
        <v/>
      </c>
      <c r="S222" s="350"/>
      <c r="T222" s="69" t="str">
        <f t="shared" si="245"/>
        <v/>
      </c>
      <c r="U222" s="350"/>
      <c r="V222" s="69" t="str">
        <f t="shared" si="246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BC EMAX Unterföhring 2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76" t="s">
        <v>3</v>
      </c>
      <c r="B223" s="73" t="str">
        <f t="shared" si="258"/>
        <v>Pirzer, Robert</v>
      </c>
      <c r="C223" s="74">
        <f t="shared" si="258"/>
        <v>7428</v>
      </c>
      <c r="D223" s="75">
        <f t="shared" si="258"/>
        <v>182</v>
      </c>
      <c r="E223" s="348">
        <f>IF(AD223="","",AD223)</f>
        <v>1</v>
      </c>
      <c r="F223" s="75">
        <f t="shared" si="239"/>
        <v>226</v>
      </c>
      <c r="G223" s="348">
        <f>IF(AF223="","",AF223)</f>
        <v>1</v>
      </c>
      <c r="H223" s="75">
        <f t="shared" si="240"/>
        <v>179</v>
      </c>
      <c r="I223" s="348">
        <f>IF(AH223="","",AH223)</f>
        <v>0</v>
      </c>
      <c r="J223" s="75">
        <f t="shared" si="241"/>
        <v>201</v>
      </c>
      <c r="K223" s="348">
        <f>IF(AJ223="","",AJ223)</f>
        <v>1</v>
      </c>
      <c r="L223" s="75">
        <f t="shared" si="242"/>
        <v>226</v>
      </c>
      <c r="M223" s="348">
        <f>IF(AL223="","",AL223)</f>
        <v>1</v>
      </c>
      <c r="N223" s="75">
        <f t="shared" si="259"/>
        <v>186</v>
      </c>
      <c r="O223" s="348">
        <f>IF(AN223="","",AN223)</f>
        <v>0</v>
      </c>
      <c r="P223" s="75">
        <f t="shared" si="243"/>
        <v>185</v>
      </c>
      <c r="Q223" s="348">
        <f>IF(AP223="","",AP223)</f>
        <v>1</v>
      </c>
      <c r="R223" s="75">
        <f t="shared" si="244"/>
        <v>177</v>
      </c>
      <c r="S223" s="348">
        <f>IF(AR223="","",AR223)</f>
        <v>0</v>
      </c>
      <c r="T223" s="75">
        <f t="shared" si="245"/>
        <v>258</v>
      </c>
      <c r="U223" s="348">
        <f>IF(AT223="","",AT223)</f>
        <v>1</v>
      </c>
      <c r="V223" s="75">
        <f t="shared" si="246"/>
        <v>1820</v>
      </c>
      <c r="W223" s="348">
        <f>IF(AV223="","",AV223)</f>
        <v>6</v>
      </c>
      <c r="Z223" s="351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182</v>
      </c>
      <c r="AD223" s="109">
        <f>IF(SUM(AC223:AC225)+AC237=0,0,IF(SUM(AC223:AC225)=AC237,0.5,IF(SUM(AC223:AC225)&gt;AC237,1,0)))</f>
        <v>1</v>
      </c>
      <c r="AE223" s="188">
        <v>226</v>
      </c>
      <c r="AF223" s="109">
        <f>IF(SUM(AE223:AE225)+AE237=0,0,IF(SUM(AE223:AE225)=AE237,0.5,IF(SUM(AE223:AE225)&gt;AE237,1,0)))</f>
        <v>1</v>
      </c>
      <c r="AG223" s="188">
        <v>179</v>
      </c>
      <c r="AH223" s="109">
        <f>IF(SUM(AG223:AG225)+AG237=0,0,IF(SUM(AG223:AG225)=AG237,0.5,IF(SUM(AG223:AG225)&gt;AG237,1,0)))</f>
        <v>0</v>
      </c>
      <c r="AI223" s="188">
        <v>201</v>
      </c>
      <c r="AJ223" s="109">
        <f>IF(SUM(AI223:AI225)+AI237=0,0,IF(SUM(AI223:AI225)=AI237,0.5,IF(SUM(AI223:AI225)&gt;AI237,1,0)))</f>
        <v>1</v>
      </c>
      <c r="AK223" s="188">
        <v>226</v>
      </c>
      <c r="AL223" s="109">
        <f>IF(SUM(AK223:AK225)+AK237=0,0,IF(SUM(AK223:AK225)=AK237,0.5,IF(SUM(AK223:AK225)&gt;AK237,1,0)))</f>
        <v>1</v>
      </c>
      <c r="AM223" s="188">
        <v>186</v>
      </c>
      <c r="AN223" s="109">
        <f>IF(SUM(AM223:AM225)+AM237=0,0,IF(SUM(AM223:AM225)=AM237,0.5,IF(SUM(AM223:AM225)&gt;AM237,1,0)))</f>
        <v>0</v>
      </c>
      <c r="AO223" s="188">
        <v>185</v>
      </c>
      <c r="AP223" s="109">
        <f>IF(SUM(AO223:AO225)+AO237=0,0,IF(SUM(AO223:AO225)=AO237,0.5,IF(SUM(AO223:AO225)&gt;AO237,1,0)))</f>
        <v>1</v>
      </c>
      <c r="AQ223" s="188">
        <v>177</v>
      </c>
      <c r="AR223" s="109">
        <f>IF(SUM(AQ223:AQ225)+AQ237=0,0,IF(SUM(AQ223:AQ225)=AQ237,0.5,IF(SUM(AQ223:AQ225)&gt;AQ237,1,0)))</f>
        <v>0</v>
      </c>
      <c r="AS223" s="188">
        <v>258</v>
      </c>
      <c r="AT223" s="109">
        <f>IF(SUM(AS223:AS225)+AS237=0,0,IF(SUM(AS223:AS225)=AS237,0.5,IF(SUM(AS223:AS225)&gt;AS237,1,0)))</f>
        <v>1</v>
      </c>
      <c r="AU223" s="110">
        <f t="shared" si="247"/>
        <v>1820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0"/>
        <v>7428</v>
      </c>
      <c r="BE223" s="213">
        <f t="shared" si="261"/>
        <v>1820</v>
      </c>
      <c r="BF223" s="215">
        <f t="shared" si="262"/>
        <v>9</v>
      </c>
      <c r="BG223" s="215">
        <f t="shared" si="263"/>
        <v>9</v>
      </c>
      <c r="BH223" s="215">
        <f t="shared" si="248"/>
        <v>182</v>
      </c>
      <c r="BI223" s="215">
        <f t="shared" si="249"/>
        <v>226</v>
      </c>
      <c r="BJ223" s="215">
        <f t="shared" si="250"/>
        <v>179</v>
      </c>
      <c r="BK223" s="215">
        <f t="shared" si="251"/>
        <v>201</v>
      </c>
      <c r="BL223" s="215">
        <f t="shared" si="252"/>
        <v>226</v>
      </c>
      <c r="BM223" s="215">
        <f t="shared" si="253"/>
        <v>186</v>
      </c>
      <c r="BN223" s="215">
        <f t="shared" si="254"/>
        <v>185</v>
      </c>
      <c r="BO223" s="215">
        <f t="shared" si="255"/>
        <v>177</v>
      </c>
      <c r="BP223" s="215">
        <f t="shared" si="256"/>
        <v>258</v>
      </c>
      <c r="BQ223" s="216"/>
      <c r="BR223" s="214"/>
      <c r="BS223" s="215">
        <f t="shared" si="264"/>
        <v>258</v>
      </c>
      <c r="BT223" s="215">
        <f t="shared" si="265"/>
        <v>0</v>
      </c>
      <c r="BU223" s="215" t="str">
        <f t="shared" si="266"/>
        <v>BC EMAX Unterföhring 2</v>
      </c>
      <c r="BV223" s="214">
        <f t="shared" si="267"/>
        <v>2</v>
      </c>
      <c r="BW223" s="215">
        <f t="shared" si="268"/>
        <v>1820</v>
      </c>
      <c r="BX223" s="215">
        <f>IF(COUNTIF(BH223:BP223,"&gt;0")&lt;Spielorte!$A$23,0,BE223/Spielorte!$A$23)</f>
        <v>202.22222222222223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77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9"/>
      <c r="F224" s="78" t="str">
        <f t="shared" si="239"/>
        <v/>
      </c>
      <c r="G224" s="349"/>
      <c r="H224" s="78" t="str">
        <f t="shared" si="240"/>
        <v/>
      </c>
      <c r="I224" s="349"/>
      <c r="J224" s="78" t="str">
        <f t="shared" si="241"/>
        <v/>
      </c>
      <c r="K224" s="349"/>
      <c r="L224" s="78" t="str">
        <f t="shared" si="242"/>
        <v/>
      </c>
      <c r="M224" s="349"/>
      <c r="N224" s="78" t="str">
        <f t="shared" si="259"/>
        <v/>
      </c>
      <c r="O224" s="349"/>
      <c r="P224" s="78" t="str">
        <f t="shared" si="243"/>
        <v/>
      </c>
      <c r="Q224" s="349"/>
      <c r="R224" s="78" t="str">
        <f t="shared" si="244"/>
        <v/>
      </c>
      <c r="S224" s="349"/>
      <c r="T224" s="78" t="str">
        <f t="shared" si="245"/>
        <v/>
      </c>
      <c r="U224" s="349"/>
      <c r="V224" s="78" t="str">
        <f t="shared" si="246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BC EMAX Unterföhring 2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8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0"/>
      <c r="F225" s="69" t="str">
        <f t="shared" si="239"/>
        <v/>
      </c>
      <c r="G225" s="350"/>
      <c r="H225" s="69" t="str">
        <f t="shared" si="240"/>
        <v/>
      </c>
      <c r="I225" s="350"/>
      <c r="J225" s="69" t="str">
        <f t="shared" si="241"/>
        <v/>
      </c>
      <c r="K225" s="350"/>
      <c r="L225" s="69" t="str">
        <f t="shared" si="242"/>
        <v/>
      </c>
      <c r="M225" s="350"/>
      <c r="N225" s="69" t="str">
        <f t="shared" si="259"/>
        <v/>
      </c>
      <c r="O225" s="350"/>
      <c r="P225" s="69" t="str">
        <f t="shared" si="243"/>
        <v/>
      </c>
      <c r="Q225" s="350"/>
      <c r="R225" s="69" t="str">
        <f t="shared" si="244"/>
        <v/>
      </c>
      <c r="S225" s="350"/>
      <c r="T225" s="69" t="str">
        <f t="shared" si="245"/>
        <v/>
      </c>
      <c r="U225" s="350"/>
      <c r="V225" s="69" t="str">
        <f t="shared" si="246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BC EMAX Unterföhring 2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76" t="s">
        <v>11</v>
      </c>
      <c r="B226" s="73" t="str">
        <f>IF(AA226=0,"",AA226)</f>
        <v>Blasits, Ernst</v>
      </c>
      <c r="C226" s="74">
        <f t="shared" si="258"/>
        <v>25554</v>
      </c>
      <c r="D226" s="75">
        <f t="shared" si="258"/>
        <v>181</v>
      </c>
      <c r="E226" s="348">
        <f>IF(AD226="","",AD226)</f>
        <v>1</v>
      </c>
      <c r="F226" s="75">
        <f t="shared" si="239"/>
        <v>199</v>
      </c>
      <c r="G226" s="348">
        <f>IF(AF226="","",AF226)</f>
        <v>0</v>
      </c>
      <c r="H226" s="75">
        <f t="shared" si="240"/>
        <v>176</v>
      </c>
      <c r="I226" s="348">
        <f>IF(AH226="","",AH226)</f>
        <v>0</v>
      </c>
      <c r="J226" s="75">
        <f t="shared" si="241"/>
        <v>144</v>
      </c>
      <c r="K226" s="348">
        <f>IF(AJ226="","",AJ226)</f>
        <v>0</v>
      </c>
      <c r="L226" s="75" t="str">
        <f t="shared" si="242"/>
        <v/>
      </c>
      <c r="M226" s="348">
        <f>IF(AL226="","",AL226)</f>
        <v>1</v>
      </c>
      <c r="N226" s="75" t="str">
        <f t="shared" si="259"/>
        <v/>
      </c>
      <c r="O226" s="348">
        <f>IF(AN226="","",AN226)</f>
        <v>1</v>
      </c>
      <c r="P226" s="75" t="str">
        <f t="shared" si="243"/>
        <v/>
      </c>
      <c r="Q226" s="348">
        <f>IF(AP226="","",AP226)</f>
        <v>1</v>
      </c>
      <c r="R226" s="75" t="str">
        <f t="shared" si="244"/>
        <v/>
      </c>
      <c r="S226" s="348">
        <f>IF(AR226="","",AR226)</f>
        <v>0</v>
      </c>
      <c r="T226" s="75" t="str">
        <f t="shared" si="245"/>
        <v/>
      </c>
      <c r="U226" s="348">
        <f>IF(AT226="","",AT226)</f>
        <v>1</v>
      </c>
      <c r="V226" s="75">
        <f t="shared" si="246"/>
        <v>700</v>
      </c>
      <c r="W226" s="348">
        <f>IF(AV226="","",AV226)</f>
        <v>5</v>
      </c>
      <c r="Z226" s="351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181</v>
      </c>
      <c r="AD226" s="109">
        <f>IF(SUM(AC226:AC228)+AC238=0,0,IF(SUM(AC226:AC228)=AC238,0.5,IF(SUM(AC226:AC228)&gt;AC238,1,0)))</f>
        <v>1</v>
      </c>
      <c r="AE226" s="188">
        <v>199</v>
      </c>
      <c r="AF226" s="109">
        <f>IF(SUM(AE226:AE228)+AE238=0,0,IF(SUM(AE226:AE228)=AE238,0.5,IF(SUM(AE226:AE228)&gt;AE238,1,0)))</f>
        <v>0</v>
      </c>
      <c r="AG226" s="188">
        <v>176</v>
      </c>
      <c r="AH226" s="109">
        <f>IF(SUM(AG226:AG228)+AG238=0,0,IF(SUM(AG226:AG228)=AG238,0.5,IF(SUM(AG226:AG228)&gt;AG238,1,0)))</f>
        <v>0</v>
      </c>
      <c r="AI226" s="188">
        <v>144</v>
      </c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1</v>
      </c>
      <c r="AM226" s="188"/>
      <c r="AN226" s="109">
        <f>IF(SUM(AM226:AM228)+AM238=0,0,IF(SUM(AM226:AM228)=AM238,0.5,IF(SUM(AM226:AM228)&gt;AM238,1,0)))</f>
        <v>1</v>
      </c>
      <c r="AO226" s="188"/>
      <c r="AP226" s="109">
        <f>IF(SUM(AO226:AO228)+AO238=0,0,IF(SUM(AO226:AO228)=AO238,0.5,IF(SUM(AO226:AO228)&gt;AO238,1,0)))</f>
        <v>1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1</v>
      </c>
      <c r="AU226" s="110">
        <f t="shared" si="247"/>
        <v>700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0"/>
        <v>25554</v>
      </c>
      <c r="BE226" s="213">
        <f t="shared" si="261"/>
        <v>700</v>
      </c>
      <c r="BF226" s="215">
        <f t="shared" si="262"/>
        <v>4</v>
      </c>
      <c r="BG226" s="215">
        <f t="shared" si="263"/>
        <v>4</v>
      </c>
      <c r="BH226" s="215">
        <f t="shared" si="248"/>
        <v>181</v>
      </c>
      <c r="BI226" s="215">
        <f t="shared" si="249"/>
        <v>199</v>
      </c>
      <c r="BJ226" s="215">
        <f t="shared" si="250"/>
        <v>176</v>
      </c>
      <c r="BK226" s="215">
        <f t="shared" si="251"/>
        <v>144</v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199</v>
      </c>
      <c r="BT226" s="215">
        <f t="shared" si="265"/>
        <v>0</v>
      </c>
      <c r="BU226" s="215" t="str">
        <f t="shared" si="266"/>
        <v>BC EMAX Unterföhring 2</v>
      </c>
      <c r="BV226" s="214">
        <f t="shared" si="267"/>
        <v>2</v>
      </c>
      <c r="BW226" s="215">
        <f t="shared" si="268"/>
        <v>700</v>
      </c>
      <c r="BX226" s="215">
        <f>IF(COUNTIF(BH226:BP226,"&gt;0")&lt;Spielorte!$A$23,0,BE226/Spielorte!$A$23)</f>
        <v>0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77"/>
      <c r="B227" s="76" t="str">
        <f>IF(AA227=0,"",AA227)</f>
        <v>Probst, Marco</v>
      </c>
      <c r="C227" s="77">
        <f t="shared" si="258"/>
        <v>7602</v>
      </c>
      <c r="D227" s="78" t="str">
        <f t="shared" si="258"/>
        <v/>
      </c>
      <c r="E227" s="349"/>
      <c r="F227" s="78" t="str">
        <f t="shared" si="239"/>
        <v/>
      </c>
      <c r="G227" s="349"/>
      <c r="H227" s="78" t="str">
        <f t="shared" si="240"/>
        <v/>
      </c>
      <c r="I227" s="349"/>
      <c r="J227" s="78" t="str">
        <f t="shared" si="241"/>
        <v/>
      </c>
      <c r="K227" s="349"/>
      <c r="L227" s="78">
        <f t="shared" si="242"/>
        <v>200</v>
      </c>
      <c r="M227" s="349"/>
      <c r="N227" s="78">
        <f t="shared" si="259"/>
        <v>221</v>
      </c>
      <c r="O227" s="349"/>
      <c r="P227" s="78">
        <f t="shared" si="243"/>
        <v>194</v>
      </c>
      <c r="Q227" s="349"/>
      <c r="R227" s="78">
        <f t="shared" si="244"/>
        <v>213</v>
      </c>
      <c r="S227" s="349"/>
      <c r="T227" s="78">
        <f t="shared" si="245"/>
        <v>191</v>
      </c>
      <c r="U227" s="349"/>
      <c r="V227" s="78">
        <f t="shared" si="246"/>
        <v>1019</v>
      </c>
      <c r="W227" s="349"/>
      <c r="Z227" s="352"/>
      <c r="AA227" s="108" t="str">
        <f>IF(AB227=0,"",VLOOKUP(AB227,Starter!$A$1:$D$199,2,FALSE))</f>
        <v>Probst, Marco</v>
      </c>
      <c r="AB227" s="98">
        <v>7602</v>
      </c>
      <c r="AC227" s="186"/>
      <c r="AD227" s="112"/>
      <c r="AE227" s="186"/>
      <c r="AF227" s="112"/>
      <c r="AG227" s="186"/>
      <c r="AH227" s="112"/>
      <c r="AI227" s="186"/>
      <c r="AJ227" s="112"/>
      <c r="AK227" s="186">
        <v>200</v>
      </c>
      <c r="AL227" s="112"/>
      <c r="AM227" s="186">
        <v>221</v>
      </c>
      <c r="AN227" s="112"/>
      <c r="AO227" s="186">
        <v>194</v>
      </c>
      <c r="AP227" s="112"/>
      <c r="AQ227" s="186">
        <v>213</v>
      </c>
      <c r="AR227" s="112"/>
      <c r="AS227" s="186">
        <v>191</v>
      </c>
      <c r="AT227" s="112"/>
      <c r="AU227" s="113">
        <f t="shared" si="247"/>
        <v>1019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7602</v>
      </c>
      <c r="BE227" s="213">
        <f t="shared" si="261"/>
        <v>1019</v>
      </c>
      <c r="BF227" s="215">
        <f t="shared" si="262"/>
        <v>5</v>
      </c>
      <c r="BG227" s="215">
        <f t="shared" si="263"/>
        <v>5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>
        <f t="shared" si="252"/>
        <v>200</v>
      </c>
      <c r="BM227" s="215">
        <f t="shared" si="253"/>
        <v>221</v>
      </c>
      <c r="BN227" s="215">
        <f t="shared" si="254"/>
        <v>194</v>
      </c>
      <c r="BO227" s="215">
        <f t="shared" si="255"/>
        <v>213</v>
      </c>
      <c r="BP227" s="215">
        <f t="shared" si="256"/>
        <v>191</v>
      </c>
      <c r="BQ227" s="216"/>
      <c r="BR227" s="214"/>
      <c r="BS227" s="215">
        <f t="shared" si="264"/>
        <v>221</v>
      </c>
      <c r="BT227" s="215">
        <f t="shared" si="265"/>
        <v>0</v>
      </c>
      <c r="BU227" s="215" t="str">
        <f t="shared" si="266"/>
        <v>BC EMAX Unterföhring 2</v>
      </c>
      <c r="BV227" s="214">
        <f t="shared" si="267"/>
        <v>2</v>
      </c>
      <c r="BW227" s="215">
        <f t="shared" si="268"/>
        <v>1019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8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50"/>
      <c r="F228" s="69" t="str">
        <f t="shared" si="239"/>
        <v/>
      </c>
      <c r="G228" s="350"/>
      <c r="H228" s="69" t="str">
        <f t="shared" si="240"/>
        <v/>
      </c>
      <c r="I228" s="350"/>
      <c r="J228" s="69" t="str">
        <f t="shared" si="241"/>
        <v/>
      </c>
      <c r="K228" s="350"/>
      <c r="L228" s="69" t="str">
        <f t="shared" si="242"/>
        <v/>
      </c>
      <c r="M228" s="350"/>
      <c r="N228" s="69" t="str">
        <f t="shared" si="259"/>
        <v/>
      </c>
      <c r="O228" s="350"/>
      <c r="P228" s="69" t="str">
        <f t="shared" si="243"/>
        <v/>
      </c>
      <c r="Q228" s="350"/>
      <c r="R228" s="69" t="str">
        <f t="shared" si="244"/>
        <v/>
      </c>
      <c r="S228" s="350"/>
      <c r="T228" s="69" t="str">
        <f t="shared" si="245"/>
        <v/>
      </c>
      <c r="U228" s="350"/>
      <c r="V228" s="69" t="str">
        <f t="shared" si="246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BC EMAX Unterföhring 2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747</v>
      </c>
      <c r="E229" s="84">
        <f>IF(AD229="","",AD229)</f>
        <v>2</v>
      </c>
      <c r="F229" s="83">
        <f t="shared" si="239"/>
        <v>810</v>
      </c>
      <c r="G229" s="84">
        <f>IF(AF229="","",AF229)</f>
        <v>2</v>
      </c>
      <c r="H229" s="83">
        <f t="shared" si="240"/>
        <v>658</v>
      </c>
      <c r="I229" s="84">
        <f>IF(AH229="","",AH229)</f>
        <v>0</v>
      </c>
      <c r="J229" s="83">
        <f t="shared" si="241"/>
        <v>655</v>
      </c>
      <c r="K229" s="84">
        <f>IF(AJ229="","",AJ229)</f>
        <v>0</v>
      </c>
      <c r="L229" s="83">
        <f t="shared" si="242"/>
        <v>773</v>
      </c>
      <c r="M229" s="84">
        <f>IF(AL229="","",AL229)</f>
        <v>0</v>
      </c>
      <c r="N229" s="83">
        <f t="shared" si="259"/>
        <v>760</v>
      </c>
      <c r="O229" s="84">
        <f>IF(AN229="","",AN229)</f>
        <v>2</v>
      </c>
      <c r="P229" s="83">
        <f t="shared" si="243"/>
        <v>736</v>
      </c>
      <c r="Q229" s="84">
        <f>IF(AP229="","",AP229)</f>
        <v>2</v>
      </c>
      <c r="R229" s="83">
        <f t="shared" si="244"/>
        <v>788</v>
      </c>
      <c r="S229" s="84">
        <f>IF(AR229="","",AR229)</f>
        <v>2</v>
      </c>
      <c r="T229" s="83">
        <f t="shared" si="245"/>
        <v>762</v>
      </c>
      <c r="U229" s="84">
        <f>IF(AT229="","",AT229)</f>
        <v>2</v>
      </c>
      <c r="V229" s="83">
        <f t="shared" si="246"/>
        <v>6689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747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810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658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655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773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760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736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788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762</v>
      </c>
      <c r="AT229" s="121">
        <f>IF(AS229+AS239=0,0,IF(AS229=AS239,1,IF(AS229&gt;AS239,2,0)))</f>
        <v>2</v>
      </c>
      <c r="AU229" s="122">
        <f>SUM(AC229+AE229+AG229+AI229+AK229+AM229+AO229+AQ229+AS229)</f>
        <v>6689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6</v>
      </c>
      <c r="F230" s="86" t="str">
        <f t="shared" si="239"/>
        <v/>
      </c>
      <c r="G230" s="87">
        <f>IF(AF230="","",AF230)</f>
        <v>5</v>
      </c>
      <c r="H230" s="86" t="str">
        <f t="shared" si="240"/>
        <v/>
      </c>
      <c r="I230" s="87">
        <f>IF(AH230="","",AH230)</f>
        <v>0</v>
      </c>
      <c r="J230" s="86" t="str">
        <f t="shared" si="241"/>
        <v/>
      </c>
      <c r="K230" s="87">
        <f>IF(AJ230="","",AJ230)</f>
        <v>2</v>
      </c>
      <c r="L230" s="86" t="str">
        <f t="shared" si="242"/>
        <v/>
      </c>
      <c r="M230" s="87">
        <f>IF(AL230="","",AL230)</f>
        <v>3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5</v>
      </c>
      <c r="R230" s="86" t="str">
        <f t="shared" si="244"/>
        <v/>
      </c>
      <c r="S230" s="87">
        <f>IF(AR230="","",AR230)</f>
        <v>4</v>
      </c>
      <c r="T230" s="86" t="str">
        <f t="shared" si="245"/>
        <v/>
      </c>
      <c r="U230" s="87">
        <f>IF(AT230="","",AT230)</f>
        <v>4</v>
      </c>
      <c r="V230" s="86" t="str">
        <f t="shared" si="246"/>
        <v/>
      </c>
      <c r="W230" s="87">
        <f>IF(AV230="","",AV230)</f>
        <v>33</v>
      </c>
      <c r="AA230" s="85" t="s">
        <v>1814</v>
      </c>
      <c r="AB230" s="86"/>
      <c r="AC230" s="86"/>
      <c r="AD230" s="124">
        <f>SUM(AD217:AD229)</f>
        <v>6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3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4</v>
      </c>
      <c r="AU230" s="86"/>
      <c r="AV230" s="125">
        <f>SUM(AV217:AV229)</f>
        <v>33</v>
      </c>
      <c r="AW230" s="101"/>
      <c r="AX230" s="102"/>
      <c r="BA230" s="212">
        <f>+AV230</f>
        <v>33</v>
      </c>
      <c r="BB230" s="213">
        <f>+AU229</f>
        <v>6689</v>
      </c>
      <c r="BC230" s="214">
        <f>+AA212</f>
        <v>8</v>
      </c>
      <c r="BF230" s="215">
        <f>SUM(BF211:BF229)</f>
        <v>36</v>
      </c>
      <c r="BQ230" s="212">
        <f>+BB230/1000000+BA230</f>
        <v>33.006689000000001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6">
        <f t="shared" si="270"/>
        <v>2</v>
      </c>
      <c r="E232" s="356" t="str">
        <f t="shared" si="270"/>
        <v/>
      </c>
      <c r="F232" s="356">
        <f t="shared" si="270"/>
        <v>9</v>
      </c>
      <c r="G232" s="356" t="str">
        <f t="shared" si="270"/>
        <v/>
      </c>
      <c r="H232" s="356">
        <f t="shared" si="270"/>
        <v>1</v>
      </c>
      <c r="I232" s="356" t="str">
        <f t="shared" si="270"/>
        <v/>
      </c>
      <c r="J232" s="356">
        <f t="shared" si="270"/>
        <v>10</v>
      </c>
      <c r="K232" s="356" t="str">
        <f t="shared" si="270"/>
        <v/>
      </c>
      <c r="L232" s="356">
        <f t="shared" ref="L232:U234" si="271">IF(AK232=0,"",AK232)</f>
        <v>4</v>
      </c>
      <c r="M232" s="356" t="str">
        <f t="shared" si="271"/>
        <v/>
      </c>
      <c r="N232" s="356">
        <f t="shared" si="271"/>
        <v>5</v>
      </c>
      <c r="O232" s="356" t="str">
        <f t="shared" si="271"/>
        <v/>
      </c>
      <c r="P232" s="356">
        <f t="shared" si="271"/>
        <v>6</v>
      </c>
      <c r="Q232" s="356" t="str">
        <f t="shared" si="271"/>
        <v/>
      </c>
      <c r="R232" s="356">
        <f t="shared" si="271"/>
        <v>7</v>
      </c>
      <c r="S232" s="356" t="str">
        <f t="shared" si="271"/>
        <v/>
      </c>
      <c r="T232" s="356">
        <f t="shared" si="271"/>
        <v>3</v>
      </c>
      <c r="U232" s="356" t="str">
        <f t="shared" si="271"/>
        <v/>
      </c>
      <c r="V232" s="357"/>
      <c r="W232" s="357"/>
      <c r="AA232" s="88" t="s">
        <v>1797</v>
      </c>
      <c r="AB232" s="89" t="s">
        <v>1798</v>
      </c>
      <c r="AC232" s="370">
        <f>VLOOKUP($AA212,Schlüssel!$A$5:$DG$14,43)</f>
        <v>2</v>
      </c>
      <c r="AD232" s="371"/>
      <c r="AE232" s="370">
        <f>VLOOKUP($AA212,Schlüssel!$A$5:$EK$14,44)</f>
        <v>9</v>
      </c>
      <c r="AF232" s="371"/>
      <c r="AG232" s="370">
        <f>VLOOKUP($AA212,Schlüssel!$A$5:$EK$14,45)</f>
        <v>1</v>
      </c>
      <c r="AH232" s="371"/>
      <c r="AI232" s="370">
        <f>VLOOKUP($AA212,Schlüssel!$A$5:$EK$14,46)</f>
        <v>10</v>
      </c>
      <c r="AJ232" s="371"/>
      <c r="AK232" s="370">
        <f>VLOOKUP($AA212,Schlüssel!$A$5:$EK$14,47)</f>
        <v>4</v>
      </c>
      <c r="AL232" s="371"/>
      <c r="AM232" s="370">
        <f>VLOOKUP($AA212,Schlüssel!$A$5:$EK$14,48)</f>
        <v>5</v>
      </c>
      <c r="AN232" s="371"/>
      <c r="AO232" s="370">
        <f>VLOOKUP($AA212,Schlüssel!$A$5:$EK$14,49)</f>
        <v>6</v>
      </c>
      <c r="AP232" s="371"/>
      <c r="AQ232" s="370">
        <f>VLOOKUP($AA212,Schlüssel!$A$5:$EK$14,50)</f>
        <v>7</v>
      </c>
      <c r="AR232" s="371"/>
      <c r="AS232" s="370">
        <f>VLOOKUP($AA212,Schlüssel!$A$5:$EK$14,51)</f>
        <v>3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58" t="str">
        <f t="shared" si="270"/>
        <v>Bajuwaren München 1</v>
      </c>
      <c r="E233" s="359" t="str">
        <f t="shared" si="270"/>
        <v/>
      </c>
      <c r="F233" s="358" t="str">
        <f t="shared" si="270"/>
        <v>Bowlinghaus Bamberg 1</v>
      </c>
      <c r="G233" s="359" t="str">
        <f t="shared" si="270"/>
        <v/>
      </c>
      <c r="H233" s="358" t="str">
        <f t="shared" si="270"/>
        <v>BC Comet Nürnberg</v>
      </c>
      <c r="I233" s="359" t="str">
        <f t="shared" si="270"/>
        <v/>
      </c>
      <c r="J233" s="358" t="str">
        <f t="shared" si="270"/>
        <v>High Roller Rosenheim 1</v>
      </c>
      <c r="K233" s="359" t="str">
        <f t="shared" si="270"/>
        <v/>
      </c>
      <c r="L233" s="358" t="str">
        <f t="shared" si="271"/>
        <v>SG DJK Rimpar</v>
      </c>
      <c r="M233" s="359" t="str">
        <f t="shared" si="271"/>
        <v/>
      </c>
      <c r="N233" s="358" t="str">
        <f t="shared" si="271"/>
        <v>RW Lichtenhof Stein 1</v>
      </c>
      <c r="O233" s="359" t="str">
        <f t="shared" si="271"/>
        <v/>
      </c>
      <c r="P233" s="358" t="str">
        <f t="shared" si="271"/>
        <v>SG Rottendorf 1</v>
      </c>
      <c r="Q233" s="359" t="str">
        <f t="shared" si="271"/>
        <v/>
      </c>
      <c r="R233" s="358" t="str">
        <f t="shared" si="271"/>
        <v>Schanzer Ingolstadt 1</v>
      </c>
      <c r="S233" s="359" t="str">
        <f t="shared" si="271"/>
        <v/>
      </c>
      <c r="T233" s="358" t="str">
        <f t="shared" si="271"/>
        <v>BK München 3</v>
      </c>
      <c r="U233" s="359" t="str">
        <f t="shared" si="271"/>
        <v/>
      </c>
      <c r="V233" s="363"/>
      <c r="W233" s="363"/>
      <c r="AA233" s="90"/>
      <c r="AB233" s="86"/>
      <c r="AC233" s="358" t="str">
        <f>VLOOKUP(AC232,Schlüssel!$A$5:$K$14,2)</f>
        <v>Bajuwaren München 1</v>
      </c>
      <c r="AD233" s="359"/>
      <c r="AE233" s="358" t="str">
        <f>VLOOKUP(AE232,Schlüssel!$A$5:$K$14,2)</f>
        <v>Bowlinghaus Bamberg 1</v>
      </c>
      <c r="AF233" s="359"/>
      <c r="AG233" s="358" t="str">
        <f>VLOOKUP(AG232,Schlüssel!$A$5:$K$14,2)</f>
        <v>BC Comet Nürnberg</v>
      </c>
      <c r="AH233" s="359"/>
      <c r="AI233" s="358" t="str">
        <f>VLOOKUP(AI232,Schlüssel!$A$5:$K$14,2)</f>
        <v>High Roller Rosenheim 1</v>
      </c>
      <c r="AJ233" s="359"/>
      <c r="AK233" s="358" t="str">
        <f>VLOOKUP(AK232,Schlüssel!$A$5:$K$14,2)</f>
        <v>SG DJK Rimpar</v>
      </c>
      <c r="AL233" s="359"/>
      <c r="AM233" s="358" t="str">
        <f>VLOOKUP(AM232,Schlüssel!$A$5:$K$14,2)</f>
        <v>RW Lichtenhof Stein 1</v>
      </c>
      <c r="AN233" s="359"/>
      <c r="AO233" s="358" t="str">
        <f>VLOOKUP(AO232,Schlüssel!$A$5:$K$14,2)</f>
        <v>SG Rottendorf 1</v>
      </c>
      <c r="AP233" s="359"/>
      <c r="AQ233" s="358" t="str">
        <f>VLOOKUP(AQ232,Schlüssel!$A$5:$K$14,2)</f>
        <v>Schanzer Ingolstadt 1</v>
      </c>
      <c r="AR233" s="359"/>
      <c r="AS233" s="358" t="str">
        <f>VLOOKUP(AS232,Schlüssel!$A$5:$K$14,2)</f>
        <v>BK München 3</v>
      </c>
      <c r="AT233" s="359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60" t="str">
        <f t="shared" si="270"/>
        <v/>
      </c>
      <c r="E234" s="360" t="str">
        <f t="shared" si="270"/>
        <v/>
      </c>
      <c r="F234" s="360" t="str">
        <f t="shared" si="270"/>
        <v/>
      </c>
      <c r="G234" s="360" t="str">
        <f t="shared" si="270"/>
        <v/>
      </c>
      <c r="H234" s="360" t="str">
        <f t="shared" si="270"/>
        <v/>
      </c>
      <c r="I234" s="360" t="str">
        <f t="shared" si="270"/>
        <v/>
      </c>
      <c r="J234" s="360" t="str">
        <f t="shared" si="270"/>
        <v/>
      </c>
      <c r="K234" s="360" t="str">
        <f t="shared" si="270"/>
        <v/>
      </c>
      <c r="L234" s="360" t="str">
        <f t="shared" si="271"/>
        <v/>
      </c>
      <c r="M234" s="360" t="str">
        <f t="shared" si="271"/>
        <v/>
      </c>
      <c r="N234" s="360" t="str">
        <f t="shared" si="271"/>
        <v/>
      </c>
      <c r="O234" s="360" t="str">
        <f t="shared" si="271"/>
        <v/>
      </c>
      <c r="P234" s="360" t="str">
        <f t="shared" si="271"/>
        <v/>
      </c>
      <c r="Q234" s="360" t="str">
        <f t="shared" si="271"/>
        <v/>
      </c>
      <c r="R234" s="360" t="str">
        <f t="shared" si="271"/>
        <v/>
      </c>
      <c r="S234" s="360" t="str">
        <f t="shared" si="271"/>
        <v/>
      </c>
      <c r="T234" s="360" t="str">
        <f t="shared" si="271"/>
        <v/>
      </c>
      <c r="U234" s="361" t="str">
        <f t="shared" si="271"/>
        <v/>
      </c>
      <c r="V234" s="298"/>
      <c r="W234" s="298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4" t="str">
        <f t="shared" ref="B235:C239" si="272">IF(AA235=0,"",AA235)</f>
        <v>Spieler 1</v>
      </c>
      <c r="C235" s="375" t="str">
        <f t="shared" si="272"/>
        <v/>
      </c>
      <c r="D235" s="362">
        <f>IF(AC235=301,"",AC235)</f>
        <v>176</v>
      </c>
      <c r="E235" s="362" t="str">
        <f>IF(AD235=0,"",AD235)</f>
        <v/>
      </c>
      <c r="F235" s="362">
        <f>IF(AE235=301,"",AE235)</f>
        <v>143</v>
      </c>
      <c r="G235" s="362" t="str">
        <f>IF(AF235=0,"",AF235)</f>
        <v/>
      </c>
      <c r="H235" s="362">
        <f>IF(AG235=301,"",AG235)</f>
        <v>160</v>
      </c>
      <c r="I235" s="362" t="str">
        <f>IF(AH235=0,"",AH235)</f>
        <v/>
      </c>
      <c r="J235" s="362">
        <f>IF(AI235=301,"",AI235)</f>
        <v>183</v>
      </c>
      <c r="K235" s="362" t="str">
        <f>IF(AJ235=0,"",AJ235)</f>
        <v/>
      </c>
      <c r="L235" s="362">
        <f>IF(AK235=301,"",AK235)</f>
        <v>259</v>
      </c>
      <c r="M235" s="362" t="str">
        <f>IF(AL235=0,"",AL235)</f>
        <v/>
      </c>
      <c r="N235" s="362">
        <f>IF(AM235=301,"",AM235)</f>
        <v>165</v>
      </c>
      <c r="O235" s="362" t="str">
        <f>IF(AN235=0,"",AN235)</f>
        <v/>
      </c>
      <c r="P235" s="362">
        <f>IF(AO235=301,"",AO235)</f>
        <v>224</v>
      </c>
      <c r="Q235" s="362" t="str">
        <f>IF(AP235=0,"",AP235)</f>
        <v/>
      </c>
      <c r="R235" s="362">
        <f>IF(AQ235=301,"",AQ235)</f>
        <v>175</v>
      </c>
      <c r="S235" s="362" t="str">
        <f>IF(AR235=0,"",AR235)</f>
        <v/>
      </c>
      <c r="T235" s="362">
        <f>IF(AS235=301,"",AS235)</f>
        <v>191</v>
      </c>
      <c r="U235" s="362" t="str">
        <f>IF(AT235=0,"",AT235)</f>
        <v/>
      </c>
      <c r="V235" s="364"/>
      <c r="W235" s="364"/>
      <c r="AA235" s="91" t="s">
        <v>0</v>
      </c>
      <c r="AB235" s="92"/>
      <c r="AC235" s="368">
        <f>ABS(INDEX(AC:AC,MATCH(AC232,$AA:$AA,0)+5)+INDEX(AC:AC,MATCH(AC232,$AA:$AA,0)+6)+INDEX(AC:AC,MATCH(AC232,$AA:$AA,0)+7))</f>
        <v>176</v>
      </c>
      <c r="AD235" s="369"/>
      <c r="AE235" s="368">
        <f>ABS(INDEX(AE:AE,MATCH(AE232,$AA:$AA,0)+5)+INDEX(AE:AE,MATCH(AE232,$AA:$AA,0)+6)+INDEX(AE:AE,MATCH(AE232,$AA:$AA,0)+7))</f>
        <v>143</v>
      </c>
      <c r="AF235" s="369"/>
      <c r="AG235" s="368">
        <f>ABS(INDEX(AG:AG,MATCH(AG232,$AA:$AA,0)+5)+INDEX(AG:AG,MATCH(AG232,$AA:$AA,0)+6)+INDEX(AG:AG,MATCH(AG232,$AA:$AA,0)+7))</f>
        <v>160</v>
      </c>
      <c r="AH235" s="369"/>
      <c r="AI235" s="368">
        <f>ABS(INDEX(AI:AI,MATCH(AI232,$AA:$AA,0)+5)+INDEX(AI:AI,MATCH(AI232,$AA:$AA,0)+6)+INDEX(AI:AI,MATCH(AI232,$AA:$AA,0)+7))</f>
        <v>183</v>
      </c>
      <c r="AJ235" s="369"/>
      <c r="AK235" s="368">
        <f>ABS(INDEX(AK:AK,MATCH(AK232,$AA:$AA,0)+5)+INDEX(AK:AK,MATCH(AK232,$AA:$AA,0)+6)+INDEX(AK:AK,MATCH(AK232,$AA:$AA,0)+7))</f>
        <v>259</v>
      </c>
      <c r="AL235" s="369"/>
      <c r="AM235" s="368">
        <f>ABS(INDEX(AM:AM,MATCH(AM232,$AA:$AA,0)+5)+INDEX(AM:AM,MATCH(AM232,$AA:$AA,0)+6)+INDEX(AM:AM,MATCH(AM232,$AA:$AA,0)+7))</f>
        <v>165</v>
      </c>
      <c r="AN235" s="369"/>
      <c r="AO235" s="368">
        <f>ABS(INDEX(AO:AO,MATCH(AO232,$AA:$AA,0)+5)+INDEX(AO:AO,MATCH(AO232,$AA:$AA,0)+6)+INDEX(AO:AO,MATCH(AO232,$AA:$AA,0)+7))</f>
        <v>224</v>
      </c>
      <c r="AP235" s="369"/>
      <c r="AQ235" s="368">
        <f>ABS(INDEX(AQ:AQ,MATCH(AQ232,$AA:$AA,0)+5)+INDEX(AQ:AQ,MATCH(AQ232,$AA:$AA,0)+6)+INDEX(AQ:AQ,MATCH(AQ232,$AA:$AA,0)+7))</f>
        <v>175</v>
      </c>
      <c r="AR235" s="369"/>
      <c r="AS235" s="368">
        <f>ABS(INDEX(AS:AS,MATCH(AS232,$AA:$AA,0)+5)+INDEX(AS:AS,MATCH(AS232,$AA:$AA,0)+6)+INDEX(AS:AS,MATCH(AS232,$AA:$AA,0)+7))</f>
        <v>191</v>
      </c>
      <c r="AT235" s="369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4" t="str">
        <f t="shared" si="272"/>
        <v>Spieler 2</v>
      </c>
      <c r="C236" s="375" t="str">
        <f t="shared" si="272"/>
        <v/>
      </c>
      <c r="D236" s="362">
        <f>IF(AC236=301,"",AC236)</f>
        <v>146</v>
      </c>
      <c r="E236" s="362" t="str">
        <f>IF(AD236=0,"",AD236)</f>
        <v/>
      </c>
      <c r="F236" s="362">
        <f>IF(AE236=301,"",AE236)</f>
        <v>203</v>
      </c>
      <c r="G236" s="362" t="str">
        <f>IF(AF236=0,"",AF236)</f>
        <v/>
      </c>
      <c r="H236" s="362">
        <f>IF(AG236=301,"",AG236)</f>
        <v>266</v>
      </c>
      <c r="I236" s="362" t="str">
        <f>IF(AH236=0,"",AH236)</f>
        <v/>
      </c>
      <c r="J236" s="362">
        <f>IF(AI236=301,"",AI236)</f>
        <v>155</v>
      </c>
      <c r="K236" s="362" t="str">
        <f>IF(AJ236=0,"",AJ236)</f>
        <v/>
      </c>
      <c r="L236" s="362">
        <f>IF(AK236=301,"",AK236)</f>
        <v>161</v>
      </c>
      <c r="M236" s="362" t="str">
        <f>IF(AL236=0,"",AL236)</f>
        <v/>
      </c>
      <c r="N236" s="362">
        <f>IF(AM236=301,"",AM236)</f>
        <v>155</v>
      </c>
      <c r="O236" s="362" t="str">
        <f>IF(AN236=0,"",AN236)</f>
        <v/>
      </c>
      <c r="P236" s="362">
        <f>IF(AO236=301,"",AO236)</f>
        <v>159</v>
      </c>
      <c r="Q236" s="362" t="str">
        <f>IF(AP236=0,"",AP236)</f>
        <v/>
      </c>
      <c r="R236" s="362">
        <f>IF(AQ236=301,"",AQ236)</f>
        <v>161</v>
      </c>
      <c r="S236" s="362" t="str">
        <f>IF(AR236=0,"",AR236)</f>
        <v/>
      </c>
      <c r="T236" s="362">
        <f>IF(AS236=301,"",AS236)</f>
        <v>178</v>
      </c>
      <c r="U236" s="362" t="str">
        <f>IF(AT236=0,"",AT236)</f>
        <v/>
      </c>
      <c r="V236" s="364"/>
      <c r="W236" s="364"/>
      <c r="AA236" s="91" t="s">
        <v>2</v>
      </c>
      <c r="AB236" s="92"/>
      <c r="AC236" s="366">
        <f>ABS(INDEX(AC:AC,MATCH(AC232,$AA:$AA,0)+8)+INDEX(AC:AC,MATCH(AC232,$AA:$AA,0)+9)+INDEX(AC:AC,MATCH(AC232,$AA:$AA,0)+10))</f>
        <v>146</v>
      </c>
      <c r="AD236" s="367"/>
      <c r="AE236" s="366">
        <f>ABS(INDEX(AE:AE,MATCH(AE232,$AA:$AA,0)+8)+INDEX(AE:AE,MATCH(AE232,$AA:$AA,0)+9)+INDEX(AE:AE,MATCH(AE232,$AA:$AA,0)+10))</f>
        <v>203</v>
      </c>
      <c r="AF236" s="367"/>
      <c r="AG236" s="366">
        <f>ABS(INDEX(AG:AG,MATCH(AG232,$AA:$AA,0)+8)+INDEX(AG:AG,MATCH(AG232,$AA:$AA,0)+9)+INDEX(AG:AG,MATCH(AG232,$AA:$AA,0)+10))</f>
        <v>266</v>
      </c>
      <c r="AH236" s="367"/>
      <c r="AI236" s="366">
        <f>ABS(INDEX(AI:AI,MATCH(AI232,$AA:$AA,0)+8)+INDEX(AI:AI,MATCH(AI232,$AA:$AA,0)+9)+INDEX(AI:AI,MATCH(AI232,$AA:$AA,0)+10))</f>
        <v>155</v>
      </c>
      <c r="AJ236" s="367"/>
      <c r="AK236" s="366">
        <f>ABS(INDEX(AK:AK,MATCH(AK232,$AA:$AA,0)+8)+INDEX(AK:AK,MATCH(AK232,$AA:$AA,0)+9)+INDEX(AK:AK,MATCH(AK232,$AA:$AA,0)+10))</f>
        <v>161</v>
      </c>
      <c r="AL236" s="367"/>
      <c r="AM236" s="366">
        <f>ABS(INDEX(AM:AM,MATCH(AM232,$AA:$AA,0)+8)+INDEX(AM:AM,MATCH(AM232,$AA:$AA,0)+9)+INDEX(AM:AM,MATCH(AM232,$AA:$AA,0)+10))</f>
        <v>155</v>
      </c>
      <c r="AN236" s="367"/>
      <c r="AO236" s="366">
        <f>ABS(INDEX(AO:AO,MATCH(AO232,$AA:$AA,0)+8)+INDEX(AO:AO,MATCH(AO232,$AA:$AA,0)+9)+INDEX(AO:AO,MATCH(AO232,$AA:$AA,0)+10))</f>
        <v>159</v>
      </c>
      <c r="AP236" s="367"/>
      <c r="AQ236" s="366">
        <f>ABS(INDEX(AQ:AQ,MATCH(AQ232,$AA:$AA,0)+8)+INDEX(AQ:AQ,MATCH(AQ232,$AA:$AA,0)+9)+INDEX(AQ:AQ,MATCH(AQ232,$AA:$AA,0)+10))</f>
        <v>161</v>
      </c>
      <c r="AR236" s="367"/>
      <c r="AS236" s="366">
        <f>ABS(INDEX(AS:AS,MATCH(AS232,$AA:$AA,0)+8)+INDEX(AS:AS,MATCH(AS232,$AA:$AA,0)+9)+INDEX(AS:AS,MATCH(AS232,$AA:$AA,0)+10))</f>
        <v>178</v>
      </c>
      <c r="AT236" s="367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4" t="str">
        <f t="shared" si="272"/>
        <v>Spieler 3</v>
      </c>
      <c r="C237" s="375" t="str">
        <f t="shared" si="272"/>
        <v/>
      </c>
      <c r="D237" s="362">
        <f>IF(AC237=301,"",AC237)</f>
        <v>139</v>
      </c>
      <c r="E237" s="362" t="str">
        <f>IF(AD237=0,"",AD237)</f>
        <v/>
      </c>
      <c r="F237" s="362">
        <f>IF(AE237=301,"",AE237)</f>
        <v>169</v>
      </c>
      <c r="G237" s="362" t="str">
        <f>IF(AF237=0,"",AF237)</f>
        <v/>
      </c>
      <c r="H237" s="362">
        <f>IF(AG237=301,"",AG237)</f>
        <v>215</v>
      </c>
      <c r="I237" s="362" t="str">
        <f>IF(AH237=0,"",AH237)</f>
        <v/>
      </c>
      <c r="J237" s="362">
        <f>IF(AI237=301,"",AI237)</f>
        <v>190</v>
      </c>
      <c r="K237" s="362" t="str">
        <f>IF(AJ237=0,"",AJ237)</f>
        <v/>
      </c>
      <c r="L237" s="362">
        <f>IF(AK237=301,"",AK237)</f>
        <v>170</v>
      </c>
      <c r="M237" s="362" t="str">
        <f>IF(AL237=0,"",AL237)</f>
        <v/>
      </c>
      <c r="N237" s="362">
        <f>IF(AM237=301,"",AM237)</f>
        <v>221</v>
      </c>
      <c r="O237" s="362" t="str">
        <f>IF(AN237=0,"",AN237)</f>
        <v/>
      </c>
      <c r="P237" s="362">
        <f>IF(AO237=301,"",AO237)</f>
        <v>139</v>
      </c>
      <c r="Q237" s="362" t="str">
        <f>IF(AP237=0,"",AP237)</f>
        <v/>
      </c>
      <c r="R237" s="362">
        <f>IF(AQ237=301,"",AQ237)</f>
        <v>178</v>
      </c>
      <c r="S237" s="362" t="str">
        <f>IF(AR237=0,"",AR237)</f>
        <v/>
      </c>
      <c r="T237" s="362">
        <f>IF(AS237=301,"",AS237)</f>
        <v>167</v>
      </c>
      <c r="U237" s="362" t="str">
        <f>IF(AT237=0,"",AT237)</f>
        <v/>
      </c>
      <c r="V237" s="364"/>
      <c r="W237" s="364"/>
      <c r="AA237" s="91" t="s">
        <v>3</v>
      </c>
      <c r="AB237" s="92"/>
      <c r="AC237" s="366">
        <f>ABS(INDEX(AC:AC,MATCH(AC232,$AA:$AA,0)+11)+INDEX(AC:AC,MATCH(AC232,$AA:$AA,0)+12)+INDEX(AC:AC,MATCH(AC232,$AA:$AA,0)+13))</f>
        <v>139</v>
      </c>
      <c r="AD237" s="367"/>
      <c r="AE237" s="366">
        <f>ABS(INDEX(AE:AE,MATCH(AE232,$AA:$AA,0)+11)+INDEX(AE:AE,MATCH(AE232,$AA:$AA,0)+12)+INDEX(AE:AE,MATCH(AE232,$AA:$AA,0)+13))</f>
        <v>169</v>
      </c>
      <c r="AF237" s="367"/>
      <c r="AG237" s="366">
        <f>ABS(INDEX(AG:AG,MATCH(AG232,$AA:$AA,0)+11)+INDEX(AG:AG,MATCH(AG232,$AA:$AA,0)+12)+INDEX(AG:AG,MATCH(AG232,$AA:$AA,0)+13))</f>
        <v>215</v>
      </c>
      <c r="AH237" s="367"/>
      <c r="AI237" s="366">
        <f>ABS(INDEX(AI:AI,MATCH(AI232,$AA:$AA,0)+11)+INDEX(AI:AI,MATCH(AI232,$AA:$AA,0)+12)+INDEX(AI:AI,MATCH(AI232,$AA:$AA,0)+13))</f>
        <v>190</v>
      </c>
      <c r="AJ237" s="367"/>
      <c r="AK237" s="366">
        <f>ABS(INDEX(AK:AK,MATCH(AK232,$AA:$AA,0)+11)+INDEX(AK:AK,MATCH(AK232,$AA:$AA,0)+12)+INDEX(AK:AK,MATCH(AK232,$AA:$AA,0)+13))</f>
        <v>170</v>
      </c>
      <c r="AL237" s="367"/>
      <c r="AM237" s="366">
        <f>ABS(INDEX(AM:AM,MATCH(AM232,$AA:$AA,0)+11)+INDEX(AM:AM,MATCH(AM232,$AA:$AA,0)+12)+INDEX(AM:AM,MATCH(AM232,$AA:$AA,0)+13))</f>
        <v>221</v>
      </c>
      <c r="AN237" s="367"/>
      <c r="AO237" s="366">
        <f>ABS(INDEX(AO:AO,MATCH(AO232,$AA:$AA,0)+11)+INDEX(AO:AO,MATCH(AO232,$AA:$AA,0)+12)+INDEX(AO:AO,MATCH(AO232,$AA:$AA,0)+13))</f>
        <v>139</v>
      </c>
      <c r="AP237" s="367"/>
      <c r="AQ237" s="366">
        <f>ABS(INDEX(AQ:AQ,MATCH(AQ232,$AA:$AA,0)+11)+INDEX(AQ:AQ,MATCH(AQ232,$AA:$AA,0)+12)+INDEX(AQ:AQ,MATCH(AQ232,$AA:$AA,0)+13))</f>
        <v>178</v>
      </c>
      <c r="AR237" s="367"/>
      <c r="AS237" s="366">
        <f>ABS(INDEX(AS:AS,MATCH(AS232,$AA:$AA,0)+11)+INDEX(AS:AS,MATCH(AS232,$AA:$AA,0)+12)+INDEX(AS:AS,MATCH(AS232,$AA:$AA,0)+13))</f>
        <v>167</v>
      </c>
      <c r="AT237" s="367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4" t="str">
        <f t="shared" si="272"/>
        <v>Spieler 4</v>
      </c>
      <c r="C238" s="375" t="str">
        <f t="shared" si="272"/>
        <v/>
      </c>
      <c r="D238" s="362">
        <f>IF(AC238=301,"",AC238)</f>
        <v>145</v>
      </c>
      <c r="E238" s="362" t="str">
        <f>IF(AD238=0,"",AD238)</f>
        <v/>
      </c>
      <c r="F238" s="362">
        <f>IF(AE238=301,"",AE238)</f>
        <v>203</v>
      </c>
      <c r="G238" s="362" t="str">
        <f>IF(AF238=0,"",AF238)</f>
        <v/>
      </c>
      <c r="H238" s="362">
        <f>IF(AG238=301,"",AG238)</f>
        <v>252</v>
      </c>
      <c r="I238" s="362" t="str">
        <f>IF(AH238=0,"",AH238)</f>
        <v/>
      </c>
      <c r="J238" s="362">
        <f>IF(AI238=301,"",AI238)</f>
        <v>181</v>
      </c>
      <c r="K238" s="362" t="str">
        <f>IF(AJ238=0,"",AJ238)</f>
        <v/>
      </c>
      <c r="L238" s="362">
        <f>IF(AK238=301,"",AK238)</f>
        <v>192</v>
      </c>
      <c r="M238" s="362" t="str">
        <f>IF(AL238=0,"",AL238)</f>
        <v/>
      </c>
      <c r="N238" s="362">
        <f>IF(AM238=301,"",AM238)</f>
        <v>211</v>
      </c>
      <c r="O238" s="362" t="str">
        <f>IF(AN238=0,"",AN238)</f>
        <v/>
      </c>
      <c r="P238" s="362">
        <f>IF(AO238=301,"",AO238)</f>
        <v>174</v>
      </c>
      <c r="Q238" s="362" t="str">
        <f>IF(AP238=0,"",AP238)</f>
        <v/>
      </c>
      <c r="R238" s="362">
        <f>IF(AQ238=301,"",AQ238)</f>
        <v>229</v>
      </c>
      <c r="S238" s="362" t="str">
        <f>IF(AR238=0,"",AR238)</f>
        <v/>
      </c>
      <c r="T238" s="362">
        <f>IF(AS238=301,"",AS238)</f>
        <v>177</v>
      </c>
      <c r="U238" s="362" t="str">
        <f>IF(AT238=0,"",AT238)</f>
        <v/>
      </c>
      <c r="V238" s="364"/>
      <c r="W238" s="364"/>
      <c r="AA238" s="91" t="s">
        <v>11</v>
      </c>
      <c r="AB238" s="92"/>
      <c r="AC238" s="366">
        <f>ABS(INDEX(AC:AC,MATCH(AC232,$AA:$AA,0)+14)+INDEX(AC:AC,MATCH(AC232,$AA:$AA,0)+15)+INDEX(AC:AC,MATCH(AC232,$AA:$AA,0)+16))</f>
        <v>145</v>
      </c>
      <c r="AD238" s="367"/>
      <c r="AE238" s="366">
        <f>ABS(INDEX(AE:AE,MATCH(AE232,$AA:$AA,0)+14)+INDEX(AE:AE,MATCH(AE232,$AA:$AA,0)+15)+INDEX(AE:AE,MATCH(AE232,$AA:$AA,0)+16))</f>
        <v>203</v>
      </c>
      <c r="AF238" s="367"/>
      <c r="AG238" s="366">
        <f>ABS(INDEX(AG:AG,MATCH(AG232,$AA:$AA,0)+14)+INDEX(AG:AG,MATCH(AG232,$AA:$AA,0)+15)+INDEX(AG:AG,MATCH(AG232,$AA:$AA,0)+16))</f>
        <v>252</v>
      </c>
      <c r="AH238" s="367"/>
      <c r="AI238" s="366">
        <f>ABS(INDEX(AI:AI,MATCH(AI232,$AA:$AA,0)+14)+INDEX(AI:AI,MATCH(AI232,$AA:$AA,0)+15)+INDEX(AI:AI,MATCH(AI232,$AA:$AA,0)+16))</f>
        <v>181</v>
      </c>
      <c r="AJ238" s="367"/>
      <c r="AK238" s="366">
        <f>ABS(INDEX(AK:AK,MATCH(AK232,$AA:$AA,0)+14)+INDEX(AK:AK,MATCH(AK232,$AA:$AA,0)+15)+INDEX(AK:AK,MATCH(AK232,$AA:$AA,0)+16))</f>
        <v>192</v>
      </c>
      <c r="AL238" s="367"/>
      <c r="AM238" s="366">
        <f>ABS(INDEX(AM:AM,MATCH(AM232,$AA:$AA,0)+14)+INDEX(AM:AM,MATCH(AM232,$AA:$AA,0)+15)+INDEX(AM:AM,MATCH(AM232,$AA:$AA,0)+16))</f>
        <v>211</v>
      </c>
      <c r="AN238" s="367"/>
      <c r="AO238" s="366">
        <f>ABS(INDEX(AO:AO,MATCH(AO232,$AA:$AA,0)+14)+INDEX(AO:AO,MATCH(AO232,$AA:$AA,0)+15)+INDEX(AO:AO,MATCH(AO232,$AA:$AA,0)+16))</f>
        <v>174</v>
      </c>
      <c r="AP238" s="367"/>
      <c r="AQ238" s="366">
        <f>ABS(INDEX(AQ:AQ,MATCH(AQ232,$AA:$AA,0)+14)+INDEX(AQ:AQ,MATCH(AQ232,$AA:$AA,0)+15)+INDEX(AQ:AQ,MATCH(AQ232,$AA:$AA,0)+16))</f>
        <v>229</v>
      </c>
      <c r="AR238" s="367"/>
      <c r="AS238" s="366">
        <f>ABS(INDEX(AS:AS,MATCH(AS232,$AA:$AA,0)+14)+INDEX(AS:AS,MATCH(AS232,$AA:$AA,0)+15)+INDEX(AS:AS,MATCH(AS232,$AA:$AA,0)+16))</f>
        <v>177</v>
      </c>
      <c r="AT238" s="367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6" t="str">
        <f t="shared" si="272"/>
        <v>Gesamt</v>
      </c>
      <c r="C239" s="347" t="str">
        <f t="shared" si="272"/>
        <v/>
      </c>
      <c r="D239" s="365">
        <f>IF(AC239=1505,"",AC239)</f>
        <v>606</v>
      </c>
      <c r="E239" s="365" t="str">
        <f>IF(AD239=0,"",AD239)</f>
        <v/>
      </c>
      <c r="F239" s="365">
        <f>IF(AE239=1505,"",AE239)</f>
        <v>718</v>
      </c>
      <c r="G239" s="365" t="str">
        <f>IF(AF239=0,"",AF239)</f>
        <v/>
      </c>
      <c r="H239" s="365">
        <f>IF(AG239=1505,"",AG239)</f>
        <v>893</v>
      </c>
      <c r="I239" s="365" t="str">
        <f>IF(AH239=0,"",AH239)</f>
        <v/>
      </c>
      <c r="J239" s="365">
        <f>IF(AI239=1505,"",AI239)</f>
        <v>709</v>
      </c>
      <c r="K239" s="365" t="str">
        <f>IF(AJ239=0,"",AJ239)</f>
        <v/>
      </c>
      <c r="L239" s="365">
        <f>IF(AK239=1505,"",AK239)</f>
        <v>782</v>
      </c>
      <c r="M239" s="365" t="str">
        <f>IF(AL239=0,"",AL239)</f>
        <v/>
      </c>
      <c r="N239" s="365">
        <f>IF(AM239=1505,"",AM239)</f>
        <v>752</v>
      </c>
      <c r="O239" s="365" t="str">
        <f>IF(AN239=0,"",AN239)</f>
        <v/>
      </c>
      <c r="P239" s="365">
        <f>IF(AO239=1505,"",AO239)</f>
        <v>696</v>
      </c>
      <c r="Q239" s="365" t="str">
        <f>IF(AP239=0,"",AP239)</f>
        <v/>
      </c>
      <c r="R239" s="365">
        <f>IF(AQ239=1505,"",AQ239)</f>
        <v>743</v>
      </c>
      <c r="S239" s="365" t="str">
        <f>IF(AR239=0,"",AR239)</f>
        <v/>
      </c>
      <c r="T239" s="365">
        <f>IF(AS239=1505,"",AS239)</f>
        <v>713</v>
      </c>
      <c r="U239" s="365" t="str">
        <f>IF(AT239=0,"",AT239)</f>
        <v/>
      </c>
      <c r="V239" s="301"/>
      <c r="W239" s="301"/>
      <c r="AA239" s="93" t="s">
        <v>1799</v>
      </c>
      <c r="AB239" s="94"/>
      <c r="AC239" s="346">
        <f>SUM(AC235:AC238)</f>
        <v>606</v>
      </c>
      <c r="AD239" s="347"/>
      <c r="AE239" s="346">
        <f>SUM(AE235:AE238)</f>
        <v>718</v>
      </c>
      <c r="AF239" s="347"/>
      <c r="AG239" s="346">
        <f>SUM(AG235:AG238)</f>
        <v>893</v>
      </c>
      <c r="AH239" s="347"/>
      <c r="AI239" s="346">
        <f>SUM(AI235:AI238)</f>
        <v>709</v>
      </c>
      <c r="AJ239" s="347"/>
      <c r="AK239" s="346">
        <f>SUM(AK235:AK238)</f>
        <v>782</v>
      </c>
      <c r="AL239" s="347"/>
      <c r="AM239" s="346">
        <f>SUM(AM235:AM238)</f>
        <v>752</v>
      </c>
      <c r="AN239" s="347"/>
      <c r="AO239" s="346">
        <f>SUM(AO235:AO238)</f>
        <v>696</v>
      </c>
      <c r="AP239" s="347"/>
      <c r="AQ239" s="346">
        <f>SUM(AQ235:AQ238)</f>
        <v>743</v>
      </c>
      <c r="AR239" s="347"/>
      <c r="AS239" s="346">
        <f>SUM(AS235:AS238)</f>
        <v>713</v>
      </c>
      <c r="AT239" s="347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5" t="str">
        <f>AE241</f>
        <v>Bayernliga Herren</v>
      </c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48"/>
      <c r="S241" s="49" t="s">
        <v>1794</v>
      </c>
      <c r="T241" s="50"/>
      <c r="U241" s="341" t="str">
        <f>AT241</f>
        <v>01.02./02.02.</v>
      </c>
      <c r="V241" s="342"/>
      <c r="W241" s="343"/>
      <c r="X241" s="372"/>
      <c r="Y241" s="373"/>
      <c r="Z241" s="373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41" t="str">
        <f>VLOOKUP(AS242,Spielorte!$A$1:$C$6,2)</f>
        <v>01.02./02.02.</v>
      </c>
      <c r="AU241" s="342"/>
      <c r="AV241" s="34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4" t="str">
        <f>AE242</f>
        <v>Unterföhring Dreambowl Palace</v>
      </c>
      <c r="G242" s="344"/>
      <c r="H242" s="344"/>
      <c r="I242" s="344"/>
      <c r="J242" s="344"/>
      <c r="K242" s="344"/>
      <c r="L242" s="344"/>
      <c r="M242" s="344"/>
      <c r="N242" s="344"/>
      <c r="O242" s="344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6" t="s">
        <v>1800</v>
      </c>
      <c r="E245" s="347"/>
      <c r="F245" s="346" t="s">
        <v>1801</v>
      </c>
      <c r="G245" s="347"/>
      <c r="H245" s="346" t="s">
        <v>1802</v>
      </c>
      <c r="I245" s="347"/>
      <c r="J245" s="346" t="s">
        <v>1803</v>
      </c>
      <c r="K245" s="347"/>
      <c r="L245" s="346" t="s">
        <v>1804</v>
      </c>
      <c r="M245" s="347"/>
      <c r="N245" s="346" t="s">
        <v>1805</v>
      </c>
      <c r="O245" s="347"/>
      <c r="P245" s="346" t="s">
        <v>1806</v>
      </c>
      <c r="Q245" s="347"/>
      <c r="R245" s="346" t="s">
        <v>1807</v>
      </c>
      <c r="S245" s="347"/>
      <c r="T245" s="346" t="s">
        <v>1808</v>
      </c>
      <c r="U245" s="347"/>
      <c r="V245" s="354" t="s">
        <v>1799</v>
      </c>
      <c r="W245" s="355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6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154</v>
      </c>
      <c r="E247" s="348">
        <f>IF(AD247="","",AD247)</f>
        <v>0</v>
      </c>
      <c r="F247" s="75">
        <f t="shared" ref="F247:F260" si="273">IF(AE247=0,"",AE247)</f>
        <v>143</v>
      </c>
      <c r="G247" s="348">
        <f>IF(AF247="","",AF247)</f>
        <v>0</v>
      </c>
      <c r="H247" s="75" t="str">
        <f t="shared" ref="H247:H260" si="274">IF(AG247=0,"",AG247)</f>
        <v/>
      </c>
      <c r="I247" s="348">
        <f>IF(AH247="","",AH247)</f>
        <v>0</v>
      </c>
      <c r="J247" s="75" t="str">
        <f t="shared" ref="J247:J260" si="275">IF(AI247=0,"",AI247)</f>
        <v/>
      </c>
      <c r="K247" s="348">
        <f>IF(AJ247="","",AJ247)</f>
        <v>1</v>
      </c>
      <c r="L247" s="75" t="str">
        <f t="shared" ref="L247:L260" si="276">IF(AK247=0,"",AK247)</f>
        <v/>
      </c>
      <c r="M247" s="348">
        <f>IF(AL247="","",AL247)</f>
        <v>1</v>
      </c>
      <c r="N247" s="75" t="str">
        <f>IF(AM247=0,"",AM247)</f>
        <v/>
      </c>
      <c r="O247" s="348">
        <f>IF(AN247="","",AN247)</f>
        <v>1</v>
      </c>
      <c r="P247" s="75" t="str">
        <f t="shared" ref="P247:P260" si="277">IF(AO247=0,"",AO247)</f>
        <v/>
      </c>
      <c r="Q247" s="348">
        <f>IF(AP247="","",AP247)</f>
        <v>1</v>
      </c>
      <c r="R247" s="75" t="str">
        <f t="shared" ref="R247:R260" si="278">IF(AQ247=0,"",AQ247)</f>
        <v/>
      </c>
      <c r="S247" s="348">
        <f>IF(AR247="","",AR247)</f>
        <v>0</v>
      </c>
      <c r="T247" s="75" t="str">
        <f t="shared" ref="T247:T260" si="279">IF(AS247=0,"",AS247)</f>
        <v/>
      </c>
      <c r="U247" s="348">
        <f>IF(AT247="","",AT247)</f>
        <v>1</v>
      </c>
      <c r="V247" s="75">
        <f t="shared" ref="V247:V260" si="280">IF(AU247=0,"",AU247)</f>
        <v>297</v>
      </c>
      <c r="W247" s="348">
        <f>IF(AV247="","",AV247)</f>
        <v>5</v>
      </c>
      <c r="Z247" s="351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154</v>
      </c>
      <c r="AD247" s="109">
        <f>IF(SUM(AC247:AC249)+AC265=0,0,IF(SUM(AC247:AC249)=AC265,0.5,IF(SUM(AC247:AC249)&gt;AC265,1,0)))</f>
        <v>0</v>
      </c>
      <c r="AE247" s="185">
        <v>143</v>
      </c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1</v>
      </c>
      <c r="AK247" s="185"/>
      <c r="AL247" s="109">
        <f>IF(SUM(AK247:AK249)+AK265=0,0,IF(SUM(AK247:AK249)=AK265,0.5,IF(SUM(AK247:AK249)&gt;AK265,1,0)))</f>
        <v>1</v>
      </c>
      <c r="AM247" s="185"/>
      <c r="AN247" s="109">
        <f>IF(SUM(AM247:AM249)+AM265=0,0,IF(SUM(AM247:AM249)=AM265,0.5,IF(SUM(AM247:AM249)&gt;AM265,1,0)))</f>
        <v>1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297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297</v>
      </c>
      <c r="BF247" s="215">
        <f>COUNT(BH247:BP247)</f>
        <v>2</v>
      </c>
      <c r="BG247" s="215">
        <f>COUNTIF(BH247:BP247,"&gt;0")</f>
        <v>2</v>
      </c>
      <c r="BH247" s="215">
        <f t="shared" ref="BH247:BH258" si="282">IF(AC247=0,"",AC247)</f>
        <v>154</v>
      </c>
      <c r="BI247" s="215">
        <f t="shared" ref="BI247:BI258" si="283">IF(AE247=0,"",AE247)</f>
        <v>143</v>
      </c>
      <c r="BJ247" s="215" t="str">
        <f t="shared" ref="BJ247:BJ258" si="284">IF(AG247=0,"",AG247)</f>
        <v/>
      </c>
      <c r="BK247" s="215" t="str">
        <f t="shared" ref="BK247:BK258" si="285">IF(AI247=0,"",AI247)</f>
        <v/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154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297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77"/>
      <c r="B248" s="76" t="str">
        <f t="shared" ref="B248:D260" si="292">IF(AA248=0,"",AA248)</f>
        <v>Badum, Daniel</v>
      </c>
      <c r="C248" s="77">
        <f t="shared" si="292"/>
        <v>38043</v>
      </c>
      <c r="D248" s="78" t="str">
        <f t="shared" si="292"/>
        <v/>
      </c>
      <c r="E248" s="349"/>
      <c r="F248" s="78" t="str">
        <f t="shared" si="273"/>
        <v/>
      </c>
      <c r="G248" s="349"/>
      <c r="H248" s="78">
        <f t="shared" si="274"/>
        <v>156</v>
      </c>
      <c r="I248" s="349"/>
      <c r="J248" s="78">
        <f t="shared" si="275"/>
        <v>188</v>
      </c>
      <c r="K248" s="349"/>
      <c r="L248" s="78">
        <f t="shared" si="276"/>
        <v>177</v>
      </c>
      <c r="M248" s="349"/>
      <c r="N248" s="78">
        <f t="shared" ref="N248:N260" si="293">IF(AM248=0,"",AM248)</f>
        <v>256</v>
      </c>
      <c r="O248" s="349"/>
      <c r="P248" s="78">
        <f t="shared" si="277"/>
        <v>190</v>
      </c>
      <c r="Q248" s="349"/>
      <c r="R248" s="78">
        <f t="shared" si="278"/>
        <v>222</v>
      </c>
      <c r="S248" s="349"/>
      <c r="T248" s="78">
        <f t="shared" si="279"/>
        <v>194</v>
      </c>
      <c r="U248" s="349"/>
      <c r="V248" s="78">
        <f t="shared" si="280"/>
        <v>1383</v>
      </c>
      <c r="W248" s="349"/>
      <c r="Z248" s="352"/>
      <c r="AA248" s="108" t="str">
        <f>IF(AB248=0,"",VLOOKUP(AB248,Starter!$A$1:$D$199,2,FALSE))</f>
        <v>Badum, Daniel</v>
      </c>
      <c r="AB248" s="98">
        <v>38043</v>
      </c>
      <c r="AC248" s="186"/>
      <c r="AD248" s="112"/>
      <c r="AE248" s="186"/>
      <c r="AF248" s="112"/>
      <c r="AG248" s="186">
        <v>156</v>
      </c>
      <c r="AH248" s="112"/>
      <c r="AI248" s="186">
        <v>188</v>
      </c>
      <c r="AJ248" s="112"/>
      <c r="AK248" s="186">
        <v>177</v>
      </c>
      <c r="AL248" s="112"/>
      <c r="AM248" s="186">
        <v>256</v>
      </c>
      <c r="AN248" s="112"/>
      <c r="AO248" s="186">
        <v>190</v>
      </c>
      <c r="AP248" s="112"/>
      <c r="AQ248" s="186">
        <v>222</v>
      </c>
      <c r="AR248" s="112"/>
      <c r="AS248" s="186">
        <v>194</v>
      </c>
      <c r="AT248" s="112"/>
      <c r="AU248" s="113">
        <f t="shared" si="281"/>
        <v>1383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38043</v>
      </c>
      <c r="BE248" s="213">
        <f t="shared" ref="BE248:BE258" si="295">+AU248</f>
        <v>1383</v>
      </c>
      <c r="BF248" s="215">
        <f t="shared" ref="BF248:BF258" si="296">COUNT(BH248:BP248)</f>
        <v>7</v>
      </c>
      <c r="BG248" s="215">
        <f t="shared" ref="BG248:BG258" si="297">COUNTIF(BH248:BP248,"&gt;0")</f>
        <v>7</v>
      </c>
      <c r="BH248" s="215" t="str">
        <f t="shared" si="282"/>
        <v/>
      </c>
      <c r="BI248" s="215" t="str">
        <f t="shared" si="283"/>
        <v/>
      </c>
      <c r="BJ248" s="215">
        <f t="shared" si="284"/>
        <v>156</v>
      </c>
      <c r="BK248" s="215">
        <f t="shared" si="285"/>
        <v>188</v>
      </c>
      <c r="BL248" s="215">
        <f t="shared" si="286"/>
        <v>177</v>
      </c>
      <c r="BM248" s="215">
        <f t="shared" si="287"/>
        <v>256</v>
      </c>
      <c r="BN248" s="215">
        <f t="shared" si="288"/>
        <v>190</v>
      </c>
      <c r="BO248" s="215">
        <f t="shared" si="289"/>
        <v>222</v>
      </c>
      <c r="BP248" s="215">
        <f t="shared" si="290"/>
        <v>194</v>
      </c>
      <c r="BQ248" s="216"/>
      <c r="BR248" s="214"/>
      <c r="BS248" s="215">
        <f t="shared" ref="BS248:BS258" si="298">MAX(BH248:BP248)</f>
        <v>256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Bowlinghaus Bamberg 1</v>
      </c>
      <c r="BV248" s="214">
        <f t="shared" ref="BV248:BV258" si="301">RANK(BT248,BT:BT)</f>
        <v>2</v>
      </c>
      <c r="BW248" s="215">
        <f t="shared" ref="BW248:BW258" si="302">SUMIF(BH248:BP248,"&gt;0")</f>
        <v>1383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8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0"/>
      <c r="F249" s="69" t="str">
        <f t="shared" si="273"/>
        <v/>
      </c>
      <c r="G249" s="350"/>
      <c r="H249" s="69" t="str">
        <f t="shared" si="274"/>
        <v/>
      </c>
      <c r="I249" s="350"/>
      <c r="J249" s="69" t="str">
        <f t="shared" si="275"/>
        <v/>
      </c>
      <c r="K249" s="350"/>
      <c r="L249" s="69" t="str">
        <f t="shared" si="276"/>
        <v/>
      </c>
      <c r="M249" s="350"/>
      <c r="N249" s="69" t="str">
        <f t="shared" si="293"/>
        <v/>
      </c>
      <c r="O249" s="350"/>
      <c r="P249" s="69" t="str">
        <f t="shared" si="277"/>
        <v/>
      </c>
      <c r="Q249" s="350"/>
      <c r="R249" s="69" t="str">
        <f t="shared" si="278"/>
        <v/>
      </c>
      <c r="S249" s="350"/>
      <c r="T249" s="69" t="str">
        <f t="shared" si="279"/>
        <v/>
      </c>
      <c r="U249" s="350"/>
      <c r="V249" s="69" t="str">
        <f t="shared" si="280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Bowlinghaus Bamberg 1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76" t="s">
        <v>2</v>
      </c>
      <c r="B250" s="73" t="str">
        <f t="shared" si="292"/>
        <v>Nolan, Jonathan</v>
      </c>
      <c r="C250" s="74">
        <f t="shared" si="292"/>
        <v>16873</v>
      </c>
      <c r="D250" s="75">
        <f t="shared" si="292"/>
        <v>167</v>
      </c>
      <c r="E250" s="348">
        <f>IF(AD250="","",AD250)</f>
        <v>0</v>
      </c>
      <c r="F250" s="75">
        <f t="shared" si="273"/>
        <v>203</v>
      </c>
      <c r="G250" s="348">
        <f>IF(AF250="","",AF250)</f>
        <v>0</v>
      </c>
      <c r="H250" s="75">
        <f t="shared" si="274"/>
        <v>171</v>
      </c>
      <c r="I250" s="348">
        <f>IF(AH250="","",AH250)</f>
        <v>0</v>
      </c>
      <c r="J250" s="75">
        <f t="shared" si="275"/>
        <v>180</v>
      </c>
      <c r="K250" s="348">
        <f>IF(AJ250="","",AJ250)</f>
        <v>0</v>
      </c>
      <c r="L250" s="75">
        <f t="shared" si="276"/>
        <v>170</v>
      </c>
      <c r="M250" s="348">
        <f>IF(AL250="","",AL250)</f>
        <v>0</v>
      </c>
      <c r="N250" s="75">
        <f t="shared" si="293"/>
        <v>172</v>
      </c>
      <c r="O250" s="348">
        <f>IF(AN250="","",AN250)</f>
        <v>0</v>
      </c>
      <c r="P250" s="75">
        <f t="shared" si="277"/>
        <v>203</v>
      </c>
      <c r="Q250" s="348">
        <f>IF(AP250="","",AP250)</f>
        <v>0</v>
      </c>
      <c r="R250" s="75">
        <f t="shared" si="278"/>
        <v>166</v>
      </c>
      <c r="S250" s="348">
        <f>IF(AR250="","",AR250)</f>
        <v>1</v>
      </c>
      <c r="T250" s="75">
        <f t="shared" si="279"/>
        <v>157</v>
      </c>
      <c r="U250" s="348">
        <f>IF(AT250="","",AT250)</f>
        <v>0</v>
      </c>
      <c r="V250" s="75">
        <f t="shared" si="280"/>
        <v>1589</v>
      </c>
      <c r="W250" s="348">
        <f>IF(AV250="","",AV250)</f>
        <v>1</v>
      </c>
      <c r="Z250" s="351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167</v>
      </c>
      <c r="AD250" s="109">
        <f>IF(SUM(AC250:AC252)+AC266=0,0,IF(SUM(AC250:AC252)=AC266,0.5,IF(SUM(AC250:AC252)&gt;AC266,1,0)))</f>
        <v>0</v>
      </c>
      <c r="AE250" s="188">
        <v>203</v>
      </c>
      <c r="AF250" s="109">
        <f>IF(SUM(AE250:AE252)+AE266=0,0,IF(SUM(AE250:AE252)=AE266,0.5,IF(SUM(AE250:AE252)&gt;AE266,1,0)))</f>
        <v>0</v>
      </c>
      <c r="AG250" s="188">
        <v>171</v>
      </c>
      <c r="AH250" s="109">
        <f>IF(SUM(AG250:AG252)+AG266=0,0,IF(SUM(AG250:AG252)=AG266,0.5,IF(SUM(AG250:AG252)&gt;AG266,1,0)))</f>
        <v>0</v>
      </c>
      <c r="AI250" s="188">
        <v>180</v>
      </c>
      <c r="AJ250" s="109">
        <f>IF(SUM(AI250:AI252)+AI266=0,0,IF(SUM(AI250:AI252)=AI266,0.5,IF(SUM(AI250:AI252)&gt;AI266,1,0)))</f>
        <v>0</v>
      </c>
      <c r="AK250" s="188">
        <v>170</v>
      </c>
      <c r="AL250" s="109">
        <f>IF(SUM(AK250:AK252)+AK266=0,0,IF(SUM(AK250:AK252)=AK266,0.5,IF(SUM(AK250:AK252)&gt;AK266,1,0)))</f>
        <v>0</v>
      </c>
      <c r="AM250" s="188">
        <v>172</v>
      </c>
      <c r="AN250" s="109">
        <f>IF(SUM(AM250:AM252)+AM266=0,0,IF(SUM(AM250:AM252)=AM266,0.5,IF(SUM(AM250:AM252)&gt;AM266,1,0)))</f>
        <v>0</v>
      </c>
      <c r="AO250" s="188">
        <v>203</v>
      </c>
      <c r="AP250" s="109">
        <f>IF(SUM(AO250:AO252)+AO266=0,0,IF(SUM(AO250:AO252)=AO266,0.5,IF(SUM(AO250:AO252)&gt;AO266,1,0)))</f>
        <v>0</v>
      </c>
      <c r="AQ250" s="188">
        <v>166</v>
      </c>
      <c r="AR250" s="109">
        <f>IF(SUM(AQ250:AQ252)+AQ266=0,0,IF(SUM(AQ250:AQ252)=AQ266,0.5,IF(SUM(AQ250:AQ252)&gt;AQ266,1,0)))</f>
        <v>1</v>
      </c>
      <c r="AS250" s="188">
        <v>157</v>
      </c>
      <c r="AT250" s="109">
        <f>IF(SUM(AS250:AS252)+AS266=0,0,IF(SUM(AS250:AS252)=AS266,0.5,IF(SUM(AS250:AS252)&gt;AS266,1,0)))</f>
        <v>0</v>
      </c>
      <c r="AU250" s="110">
        <f t="shared" si="281"/>
        <v>1589</v>
      </c>
      <c r="AV250" s="111">
        <f>SUM(AD250+AF250+AH250+AJ250+AL250+AN250+AP250+AR250+AT250)</f>
        <v>1</v>
      </c>
      <c r="AW250" s="101"/>
      <c r="AX250" s="102"/>
      <c r="AZ250" s="63"/>
      <c r="BA250" s="212"/>
      <c r="BB250" s="213"/>
      <c r="BC250" s="214"/>
      <c r="BD250" s="217">
        <f t="shared" si="294"/>
        <v>16873</v>
      </c>
      <c r="BE250" s="213">
        <f t="shared" si="295"/>
        <v>1589</v>
      </c>
      <c r="BF250" s="215">
        <f t="shared" si="296"/>
        <v>9</v>
      </c>
      <c r="BG250" s="215">
        <f t="shared" si="297"/>
        <v>9</v>
      </c>
      <c r="BH250" s="215">
        <f t="shared" si="282"/>
        <v>167</v>
      </c>
      <c r="BI250" s="215">
        <f t="shared" si="283"/>
        <v>203</v>
      </c>
      <c r="BJ250" s="215">
        <f t="shared" si="284"/>
        <v>171</v>
      </c>
      <c r="BK250" s="215">
        <f t="shared" si="285"/>
        <v>180</v>
      </c>
      <c r="BL250" s="215">
        <f t="shared" si="286"/>
        <v>170</v>
      </c>
      <c r="BM250" s="215">
        <f t="shared" si="287"/>
        <v>172</v>
      </c>
      <c r="BN250" s="215">
        <f t="shared" si="288"/>
        <v>203</v>
      </c>
      <c r="BO250" s="215">
        <f t="shared" si="289"/>
        <v>166</v>
      </c>
      <c r="BP250" s="215">
        <f t="shared" si="290"/>
        <v>157</v>
      </c>
      <c r="BQ250" s="216"/>
      <c r="BR250" s="214"/>
      <c r="BS250" s="215">
        <f t="shared" si="298"/>
        <v>203</v>
      </c>
      <c r="BT250" s="215">
        <f t="shared" si="299"/>
        <v>0</v>
      </c>
      <c r="BU250" s="215" t="str">
        <f t="shared" si="300"/>
        <v>Bowlinghaus Bamberg 1</v>
      </c>
      <c r="BV250" s="214">
        <f t="shared" si="301"/>
        <v>2</v>
      </c>
      <c r="BW250" s="215">
        <f t="shared" si="302"/>
        <v>1589</v>
      </c>
      <c r="BX250" s="215">
        <f>IF(COUNTIF(BH250:BP250,"&gt;0")&lt;Spielorte!$A$23,0,BE250/Spielorte!$A$23)</f>
        <v>176.55555555555554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77"/>
      <c r="B251" s="76" t="str">
        <f t="shared" si="292"/>
        <v/>
      </c>
      <c r="C251" s="77" t="str">
        <f t="shared" si="292"/>
        <v/>
      </c>
      <c r="D251" s="78" t="str">
        <f t="shared" si="292"/>
        <v/>
      </c>
      <c r="E251" s="349"/>
      <c r="F251" s="78" t="str">
        <f t="shared" si="273"/>
        <v/>
      </c>
      <c r="G251" s="349"/>
      <c r="H251" s="78" t="str">
        <f t="shared" si="274"/>
        <v/>
      </c>
      <c r="I251" s="349"/>
      <c r="J251" s="78" t="str">
        <f t="shared" si="275"/>
        <v/>
      </c>
      <c r="K251" s="349"/>
      <c r="L251" s="78" t="str">
        <f t="shared" si="276"/>
        <v/>
      </c>
      <c r="M251" s="349"/>
      <c r="N251" s="78" t="str">
        <f t="shared" si="293"/>
        <v/>
      </c>
      <c r="O251" s="349"/>
      <c r="P251" s="78" t="str">
        <f t="shared" si="277"/>
        <v/>
      </c>
      <c r="Q251" s="349"/>
      <c r="R251" s="78" t="str">
        <f t="shared" si="278"/>
        <v/>
      </c>
      <c r="S251" s="349"/>
      <c r="T251" s="78" t="str">
        <f t="shared" si="279"/>
        <v/>
      </c>
      <c r="U251" s="349"/>
      <c r="V251" s="78" t="str">
        <f t="shared" si="280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0</v>
      </c>
      <c r="BE251" s="213">
        <f t="shared" si="295"/>
        <v>0</v>
      </c>
      <c r="BF251" s="215">
        <f t="shared" si="296"/>
        <v>0</v>
      </c>
      <c r="BG251" s="215">
        <f t="shared" si="297"/>
        <v>0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0</v>
      </c>
      <c r="BT251" s="215">
        <f t="shared" si="299"/>
        <v>0</v>
      </c>
      <c r="BU251" s="215" t="str">
        <f t="shared" si="300"/>
        <v>Bowlinghaus Bamberg 1</v>
      </c>
      <c r="BV251" s="214">
        <f t="shared" si="301"/>
        <v>2</v>
      </c>
      <c r="BW251" s="215">
        <f t="shared" si="302"/>
        <v>0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8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0"/>
      <c r="F252" s="69" t="str">
        <f t="shared" si="273"/>
        <v/>
      </c>
      <c r="G252" s="350"/>
      <c r="H252" s="69" t="str">
        <f t="shared" si="274"/>
        <v/>
      </c>
      <c r="I252" s="350"/>
      <c r="J252" s="69" t="str">
        <f t="shared" si="275"/>
        <v/>
      </c>
      <c r="K252" s="350"/>
      <c r="L252" s="69" t="str">
        <f t="shared" si="276"/>
        <v/>
      </c>
      <c r="M252" s="350"/>
      <c r="N252" s="69" t="str">
        <f t="shared" si="293"/>
        <v/>
      </c>
      <c r="O252" s="350"/>
      <c r="P252" s="69" t="str">
        <f t="shared" si="277"/>
        <v/>
      </c>
      <c r="Q252" s="350"/>
      <c r="R252" s="69" t="str">
        <f t="shared" si="278"/>
        <v/>
      </c>
      <c r="S252" s="350"/>
      <c r="T252" s="69" t="str">
        <f t="shared" si="279"/>
        <v/>
      </c>
      <c r="U252" s="350"/>
      <c r="V252" s="69" t="str">
        <f t="shared" si="280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Bowlinghaus Bamberg 1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76" t="s">
        <v>3</v>
      </c>
      <c r="B253" s="73" t="str">
        <f t="shared" si="292"/>
        <v>Badum, Daniel</v>
      </c>
      <c r="C253" s="74">
        <f t="shared" si="292"/>
        <v>38043</v>
      </c>
      <c r="D253" s="75">
        <f t="shared" si="292"/>
        <v>129</v>
      </c>
      <c r="E253" s="348">
        <f>IF(AD253="","",AD253)</f>
        <v>0</v>
      </c>
      <c r="F253" s="75" t="str">
        <f t="shared" si="273"/>
        <v/>
      </c>
      <c r="G253" s="348">
        <f>IF(AF253="","",AF253)</f>
        <v>0</v>
      </c>
      <c r="H253" s="75" t="str">
        <f t="shared" si="274"/>
        <v/>
      </c>
      <c r="I253" s="348">
        <f>IF(AH253="","",AH253)</f>
        <v>0</v>
      </c>
      <c r="J253" s="75" t="str">
        <f t="shared" si="275"/>
        <v/>
      </c>
      <c r="K253" s="348">
        <f>IF(AJ253="","",AJ253)</f>
        <v>0</v>
      </c>
      <c r="L253" s="75" t="str">
        <f t="shared" si="276"/>
        <v/>
      </c>
      <c r="M253" s="348">
        <f>IF(AL253="","",AL253)</f>
        <v>1</v>
      </c>
      <c r="N253" s="75" t="str">
        <f t="shared" si="293"/>
        <v/>
      </c>
      <c r="O253" s="348">
        <f>IF(AN253="","",AN253)</f>
        <v>0</v>
      </c>
      <c r="P253" s="75" t="str">
        <f t="shared" si="277"/>
        <v/>
      </c>
      <c r="Q253" s="348">
        <f>IF(AP253="","",AP253)</f>
        <v>1</v>
      </c>
      <c r="R253" s="75" t="str">
        <f t="shared" si="278"/>
        <v/>
      </c>
      <c r="S253" s="348">
        <f>IF(AR253="","",AR253)</f>
        <v>1</v>
      </c>
      <c r="T253" s="75" t="str">
        <f t="shared" si="279"/>
        <v/>
      </c>
      <c r="U253" s="348">
        <f>IF(AT253="","",AT253)</f>
        <v>0</v>
      </c>
      <c r="V253" s="75">
        <f t="shared" si="280"/>
        <v>129</v>
      </c>
      <c r="W253" s="348">
        <f>IF(AV253="","",AV253)</f>
        <v>3</v>
      </c>
      <c r="Z253" s="351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129</v>
      </c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1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1</v>
      </c>
      <c r="AQ253" s="188"/>
      <c r="AR253" s="109">
        <f>IF(SUM(AQ253:AQ255)+AQ267=0,0,IF(SUM(AQ253:AQ255)=AQ267,0.5,IF(SUM(AQ253:AQ255)&gt;AQ267,1,0)))</f>
        <v>1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129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294"/>
        <v>38043</v>
      </c>
      <c r="BE253" s="213">
        <f t="shared" si="295"/>
        <v>129</v>
      </c>
      <c r="BF253" s="215">
        <f t="shared" si="296"/>
        <v>1</v>
      </c>
      <c r="BG253" s="215">
        <f t="shared" si="297"/>
        <v>1</v>
      </c>
      <c r="BH253" s="215">
        <f t="shared" si="282"/>
        <v>129</v>
      </c>
      <c r="BI253" s="215" t="str">
        <f t="shared" si="283"/>
        <v/>
      </c>
      <c r="BJ253" s="215" t="str">
        <f t="shared" si="284"/>
        <v/>
      </c>
      <c r="BK253" s="215" t="str">
        <f t="shared" si="285"/>
        <v/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129</v>
      </c>
      <c r="BT253" s="215">
        <f t="shared" si="299"/>
        <v>0</v>
      </c>
      <c r="BU253" s="215" t="str">
        <f t="shared" si="300"/>
        <v>Bowlinghaus Bamberg 1</v>
      </c>
      <c r="BV253" s="214">
        <f t="shared" si="301"/>
        <v>2</v>
      </c>
      <c r="BW253" s="215">
        <f t="shared" si="302"/>
        <v>129</v>
      </c>
      <c r="BX253" s="215">
        <f>IF(COUNTIF(BH253:BP253,"&gt;0")&lt;Spielorte!$A$23,0,BE253/Spielorte!$A$23)</f>
        <v>0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77"/>
      <c r="B254" s="76" t="str">
        <f t="shared" si="292"/>
        <v>Röhlig, Jörg</v>
      </c>
      <c r="C254" s="77">
        <f t="shared" si="292"/>
        <v>38041</v>
      </c>
      <c r="D254" s="78" t="str">
        <f t="shared" si="292"/>
        <v/>
      </c>
      <c r="E254" s="349"/>
      <c r="F254" s="78">
        <f t="shared" si="273"/>
        <v>169</v>
      </c>
      <c r="G254" s="349"/>
      <c r="H254" s="78">
        <f t="shared" si="274"/>
        <v>178</v>
      </c>
      <c r="I254" s="349"/>
      <c r="J254" s="78">
        <f t="shared" si="275"/>
        <v>193</v>
      </c>
      <c r="K254" s="349"/>
      <c r="L254" s="78">
        <f t="shared" si="276"/>
        <v>217</v>
      </c>
      <c r="M254" s="349"/>
      <c r="N254" s="78">
        <f t="shared" si="293"/>
        <v>189</v>
      </c>
      <c r="O254" s="349"/>
      <c r="P254" s="78">
        <f t="shared" si="277"/>
        <v>199</v>
      </c>
      <c r="Q254" s="349"/>
      <c r="R254" s="78">
        <f t="shared" si="278"/>
        <v>234</v>
      </c>
      <c r="S254" s="349"/>
      <c r="T254" s="78">
        <f t="shared" si="279"/>
        <v>160</v>
      </c>
      <c r="U254" s="349"/>
      <c r="V254" s="78">
        <f t="shared" si="280"/>
        <v>1539</v>
      </c>
      <c r="W254" s="349"/>
      <c r="Z254" s="352"/>
      <c r="AA254" s="108" t="str">
        <f>IF(AB254=0,"",VLOOKUP(AB254,Starter!$A$1:$D$199,2,FALSE))</f>
        <v>Röhlig, Jörg</v>
      </c>
      <c r="AB254" s="98">
        <v>38041</v>
      </c>
      <c r="AC254" s="186"/>
      <c r="AD254" s="112"/>
      <c r="AE254" s="186">
        <v>169</v>
      </c>
      <c r="AF254" s="112"/>
      <c r="AG254" s="186">
        <v>178</v>
      </c>
      <c r="AH254" s="112"/>
      <c r="AI254" s="186">
        <v>193</v>
      </c>
      <c r="AJ254" s="112"/>
      <c r="AK254" s="186">
        <v>217</v>
      </c>
      <c r="AL254" s="112"/>
      <c r="AM254" s="186">
        <v>189</v>
      </c>
      <c r="AN254" s="112"/>
      <c r="AO254" s="186">
        <v>199</v>
      </c>
      <c r="AP254" s="112"/>
      <c r="AQ254" s="186">
        <v>234</v>
      </c>
      <c r="AR254" s="112"/>
      <c r="AS254" s="186">
        <v>160</v>
      </c>
      <c r="AT254" s="112"/>
      <c r="AU254" s="113">
        <f t="shared" si="281"/>
        <v>1539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38041</v>
      </c>
      <c r="BE254" s="213">
        <f t="shared" si="295"/>
        <v>1539</v>
      </c>
      <c r="BF254" s="215">
        <f t="shared" si="296"/>
        <v>8</v>
      </c>
      <c r="BG254" s="215">
        <f t="shared" si="297"/>
        <v>8</v>
      </c>
      <c r="BH254" s="215" t="str">
        <f t="shared" si="282"/>
        <v/>
      </c>
      <c r="BI254" s="215">
        <f t="shared" si="283"/>
        <v>169</v>
      </c>
      <c r="BJ254" s="215">
        <f t="shared" si="284"/>
        <v>178</v>
      </c>
      <c r="BK254" s="215">
        <f t="shared" si="285"/>
        <v>193</v>
      </c>
      <c r="BL254" s="215">
        <f t="shared" si="286"/>
        <v>217</v>
      </c>
      <c r="BM254" s="215">
        <f t="shared" si="287"/>
        <v>189</v>
      </c>
      <c r="BN254" s="215">
        <f t="shared" si="288"/>
        <v>199</v>
      </c>
      <c r="BO254" s="215">
        <f t="shared" si="289"/>
        <v>234</v>
      </c>
      <c r="BP254" s="215">
        <f t="shared" si="290"/>
        <v>160</v>
      </c>
      <c r="BQ254" s="216"/>
      <c r="BR254" s="214"/>
      <c r="BS254" s="215">
        <f t="shared" si="298"/>
        <v>234</v>
      </c>
      <c r="BT254" s="215">
        <f t="shared" si="299"/>
        <v>0</v>
      </c>
      <c r="BU254" s="215" t="str">
        <f t="shared" si="300"/>
        <v>Bowlinghaus Bamberg 1</v>
      </c>
      <c r="BV254" s="214">
        <f t="shared" si="301"/>
        <v>2</v>
      </c>
      <c r="BW254" s="215">
        <f t="shared" si="302"/>
        <v>1539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8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0"/>
      <c r="F255" s="69" t="str">
        <f t="shared" si="273"/>
        <v/>
      </c>
      <c r="G255" s="350"/>
      <c r="H255" s="69" t="str">
        <f t="shared" si="274"/>
        <v/>
      </c>
      <c r="I255" s="350"/>
      <c r="J255" s="69" t="str">
        <f t="shared" si="275"/>
        <v/>
      </c>
      <c r="K255" s="350"/>
      <c r="L255" s="69" t="str">
        <f t="shared" si="276"/>
        <v/>
      </c>
      <c r="M255" s="350"/>
      <c r="N255" s="69" t="str">
        <f t="shared" si="293"/>
        <v/>
      </c>
      <c r="O255" s="350"/>
      <c r="P255" s="69" t="str">
        <f t="shared" si="277"/>
        <v/>
      </c>
      <c r="Q255" s="350"/>
      <c r="R255" s="69" t="str">
        <f t="shared" si="278"/>
        <v/>
      </c>
      <c r="S255" s="350"/>
      <c r="T255" s="69" t="str">
        <f t="shared" si="279"/>
        <v/>
      </c>
      <c r="U255" s="350"/>
      <c r="V255" s="69" t="str">
        <f t="shared" si="280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Bowlinghaus Bamberg 1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76" t="s">
        <v>11</v>
      </c>
      <c r="B256" s="73" t="str">
        <f>IF(AA256=0,"",AA256)</f>
        <v>Holzinger, Sebastian</v>
      </c>
      <c r="C256" s="74">
        <f t="shared" si="292"/>
        <v>7099</v>
      </c>
      <c r="D256" s="75">
        <f t="shared" si="292"/>
        <v>222</v>
      </c>
      <c r="E256" s="348">
        <f>IF(AD256="","",AD256)</f>
        <v>1</v>
      </c>
      <c r="F256" s="75">
        <f t="shared" si="273"/>
        <v>203</v>
      </c>
      <c r="G256" s="348">
        <f>IF(AF256="","",AF256)</f>
        <v>1</v>
      </c>
      <c r="H256" s="75">
        <f t="shared" si="274"/>
        <v>187</v>
      </c>
      <c r="I256" s="348">
        <f>IF(AH256="","",AH256)</f>
        <v>1</v>
      </c>
      <c r="J256" s="75">
        <f t="shared" si="275"/>
        <v>216</v>
      </c>
      <c r="K256" s="348">
        <f>IF(AJ256="","",AJ256)</f>
        <v>1</v>
      </c>
      <c r="L256" s="75">
        <f t="shared" si="276"/>
        <v>217</v>
      </c>
      <c r="M256" s="348">
        <f>IF(AL256="","",AL256)</f>
        <v>0</v>
      </c>
      <c r="N256" s="75">
        <f t="shared" si="293"/>
        <v>236</v>
      </c>
      <c r="O256" s="348">
        <f>IF(AN256="","",AN256)</f>
        <v>1</v>
      </c>
      <c r="P256" s="75">
        <f t="shared" si="277"/>
        <v>236</v>
      </c>
      <c r="Q256" s="348">
        <f>IF(AP256="","",AP256)</f>
        <v>1</v>
      </c>
      <c r="R256" s="75">
        <f t="shared" si="278"/>
        <v>188</v>
      </c>
      <c r="S256" s="348">
        <f>IF(AR256="","",AR256)</f>
        <v>0</v>
      </c>
      <c r="T256" s="75">
        <f t="shared" si="279"/>
        <v>200</v>
      </c>
      <c r="U256" s="348">
        <f>IF(AT256="","",AT256)</f>
        <v>1</v>
      </c>
      <c r="V256" s="75">
        <f t="shared" si="280"/>
        <v>1905</v>
      </c>
      <c r="W256" s="348">
        <f>IF(AV256="","",AV256)</f>
        <v>7</v>
      </c>
      <c r="Z256" s="351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222</v>
      </c>
      <c r="AD256" s="109">
        <f>IF(SUM(AC256:AC258)+AC268=0,0,IF(SUM(AC256:AC258)=AC268,0.5,IF(SUM(AC256:AC258)&gt;AC268,1,0)))</f>
        <v>1</v>
      </c>
      <c r="AE256" s="188">
        <v>203</v>
      </c>
      <c r="AF256" s="109">
        <f>IF(SUM(AE256:AE258)+AE268=0,0,IF(SUM(AE256:AE258)=AE268,0.5,IF(SUM(AE256:AE258)&gt;AE268,1,0)))</f>
        <v>1</v>
      </c>
      <c r="AG256" s="188">
        <v>187</v>
      </c>
      <c r="AH256" s="109">
        <f>IF(SUM(AG256:AG258)+AG268=0,0,IF(SUM(AG256:AG258)=AG268,0.5,IF(SUM(AG256:AG258)&gt;AG268,1,0)))</f>
        <v>1</v>
      </c>
      <c r="AI256" s="188">
        <v>216</v>
      </c>
      <c r="AJ256" s="109">
        <f>IF(SUM(AI256:AI258)+AI268=0,0,IF(SUM(AI256:AI258)=AI268,0.5,IF(SUM(AI256:AI258)&gt;AI268,1,0)))</f>
        <v>1</v>
      </c>
      <c r="AK256" s="188">
        <v>217</v>
      </c>
      <c r="AL256" s="109">
        <f>IF(SUM(AK256:AK258)+AK268=0,0,IF(SUM(AK256:AK258)=AK268,0.5,IF(SUM(AK256:AK258)&gt;AK268,1,0)))</f>
        <v>0</v>
      </c>
      <c r="AM256" s="188">
        <v>236</v>
      </c>
      <c r="AN256" s="109">
        <f>IF(SUM(AM256:AM258)+AM268=0,0,IF(SUM(AM256:AM258)=AM268,0.5,IF(SUM(AM256:AM258)&gt;AM268,1,0)))</f>
        <v>1</v>
      </c>
      <c r="AO256" s="188">
        <v>236</v>
      </c>
      <c r="AP256" s="109">
        <f>IF(SUM(AO256:AO258)+AO268=0,0,IF(SUM(AO256:AO258)=AO268,0.5,IF(SUM(AO256:AO258)&gt;AO268,1,0)))</f>
        <v>1</v>
      </c>
      <c r="AQ256" s="188">
        <v>188</v>
      </c>
      <c r="AR256" s="109">
        <f>IF(SUM(AQ256:AQ258)+AQ268=0,0,IF(SUM(AQ256:AQ258)=AQ268,0.5,IF(SUM(AQ256:AQ258)&gt;AQ268,1,0)))</f>
        <v>0</v>
      </c>
      <c r="AS256" s="188">
        <v>200</v>
      </c>
      <c r="AT256" s="109">
        <f>IF(SUM(AS256:AS258)+AS268=0,0,IF(SUM(AS256:AS258)=AS268,0.5,IF(SUM(AS256:AS258)&gt;AS268,1,0)))</f>
        <v>1</v>
      </c>
      <c r="AU256" s="110">
        <f t="shared" si="281"/>
        <v>1905</v>
      </c>
      <c r="AV256" s="111">
        <f>SUM(AD256+AF256+AH256+AJ256+AL256+AN256+AP256+AR256+AT256)</f>
        <v>7</v>
      </c>
      <c r="AW256" s="101"/>
      <c r="AX256" s="102"/>
      <c r="AZ256" s="63"/>
      <c r="BA256" s="212"/>
      <c r="BB256" s="213"/>
      <c r="BC256" s="214"/>
      <c r="BD256" s="217">
        <f t="shared" si="294"/>
        <v>7099</v>
      </c>
      <c r="BE256" s="213">
        <f t="shared" si="295"/>
        <v>1905</v>
      </c>
      <c r="BF256" s="215">
        <f t="shared" si="296"/>
        <v>9</v>
      </c>
      <c r="BG256" s="215">
        <f t="shared" si="297"/>
        <v>9</v>
      </c>
      <c r="BH256" s="215">
        <f t="shared" si="282"/>
        <v>222</v>
      </c>
      <c r="BI256" s="215">
        <f t="shared" si="283"/>
        <v>203</v>
      </c>
      <c r="BJ256" s="215">
        <f t="shared" si="284"/>
        <v>187</v>
      </c>
      <c r="BK256" s="215">
        <f t="shared" si="285"/>
        <v>216</v>
      </c>
      <c r="BL256" s="215">
        <f t="shared" si="286"/>
        <v>217</v>
      </c>
      <c r="BM256" s="215">
        <f t="shared" si="287"/>
        <v>236</v>
      </c>
      <c r="BN256" s="215">
        <f t="shared" si="288"/>
        <v>236</v>
      </c>
      <c r="BO256" s="215">
        <f t="shared" si="289"/>
        <v>188</v>
      </c>
      <c r="BP256" s="215">
        <f t="shared" si="290"/>
        <v>200</v>
      </c>
      <c r="BQ256" s="216"/>
      <c r="BR256" s="214"/>
      <c r="BS256" s="215">
        <f t="shared" si="298"/>
        <v>236</v>
      </c>
      <c r="BT256" s="215">
        <f t="shared" si="299"/>
        <v>0</v>
      </c>
      <c r="BU256" s="215" t="str">
        <f t="shared" si="300"/>
        <v>Bowlinghaus Bamberg 1</v>
      </c>
      <c r="BV256" s="214">
        <f t="shared" si="301"/>
        <v>2</v>
      </c>
      <c r="BW256" s="215">
        <f t="shared" si="302"/>
        <v>1905</v>
      </c>
      <c r="BX256" s="215">
        <f>IF(COUNTIF(BH256:BP256,"&gt;0")&lt;Spielorte!$A$23,0,BE256/Spielorte!$A$23)</f>
        <v>211.66666666666666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77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9"/>
      <c r="F257" s="78" t="str">
        <f t="shared" si="273"/>
        <v/>
      </c>
      <c r="G257" s="349"/>
      <c r="H257" s="78" t="str">
        <f t="shared" si="274"/>
        <v/>
      </c>
      <c r="I257" s="349"/>
      <c r="J257" s="78" t="str">
        <f t="shared" si="275"/>
        <v/>
      </c>
      <c r="K257" s="349"/>
      <c r="L257" s="78" t="str">
        <f t="shared" si="276"/>
        <v/>
      </c>
      <c r="M257" s="349"/>
      <c r="N257" s="78" t="str">
        <f t="shared" si="293"/>
        <v/>
      </c>
      <c r="O257" s="349"/>
      <c r="P257" s="78" t="str">
        <f t="shared" si="277"/>
        <v/>
      </c>
      <c r="Q257" s="349"/>
      <c r="R257" s="78" t="str">
        <f t="shared" si="278"/>
        <v/>
      </c>
      <c r="S257" s="349"/>
      <c r="T257" s="78" t="str">
        <f t="shared" si="279"/>
        <v/>
      </c>
      <c r="U257" s="349"/>
      <c r="V257" s="78" t="str">
        <f t="shared" si="280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Bowlinghaus Bamberg 1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8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0"/>
      <c r="F258" s="69" t="str">
        <f t="shared" si="273"/>
        <v/>
      </c>
      <c r="G258" s="350"/>
      <c r="H258" s="69" t="str">
        <f t="shared" si="274"/>
        <v/>
      </c>
      <c r="I258" s="350"/>
      <c r="J258" s="69" t="str">
        <f t="shared" si="275"/>
        <v/>
      </c>
      <c r="K258" s="350"/>
      <c r="L258" s="69" t="str">
        <f t="shared" si="276"/>
        <v/>
      </c>
      <c r="M258" s="350"/>
      <c r="N258" s="69" t="str">
        <f t="shared" si="293"/>
        <v/>
      </c>
      <c r="O258" s="350"/>
      <c r="P258" s="69" t="str">
        <f t="shared" si="277"/>
        <v/>
      </c>
      <c r="Q258" s="350"/>
      <c r="R258" s="69" t="str">
        <f t="shared" si="278"/>
        <v/>
      </c>
      <c r="S258" s="350"/>
      <c r="T258" s="69" t="str">
        <f t="shared" si="279"/>
        <v/>
      </c>
      <c r="U258" s="350"/>
      <c r="V258" s="69" t="str">
        <f t="shared" si="280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Bowlinghaus Bamberg 1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672</v>
      </c>
      <c r="E259" s="84">
        <f>IF(AD259="","",AD259)</f>
        <v>0</v>
      </c>
      <c r="F259" s="83">
        <f t="shared" si="273"/>
        <v>718</v>
      </c>
      <c r="G259" s="84">
        <f>IF(AF259="","",AF259)</f>
        <v>0</v>
      </c>
      <c r="H259" s="83">
        <f t="shared" si="274"/>
        <v>692</v>
      </c>
      <c r="I259" s="84">
        <f>IF(AH259="","",AH259)</f>
        <v>0</v>
      </c>
      <c r="J259" s="83">
        <f t="shared" si="275"/>
        <v>777</v>
      </c>
      <c r="K259" s="84">
        <f>IF(AJ259="","",AJ259)</f>
        <v>2</v>
      </c>
      <c r="L259" s="83">
        <f t="shared" si="276"/>
        <v>781</v>
      </c>
      <c r="M259" s="84">
        <f>IF(AL259="","",AL259)</f>
        <v>2</v>
      </c>
      <c r="N259" s="83">
        <f t="shared" si="293"/>
        <v>853</v>
      </c>
      <c r="O259" s="84">
        <f>IF(AN259="","",AN259)</f>
        <v>2</v>
      </c>
      <c r="P259" s="83">
        <f t="shared" si="277"/>
        <v>828</v>
      </c>
      <c r="Q259" s="84">
        <f>IF(AP259="","",AP259)</f>
        <v>2</v>
      </c>
      <c r="R259" s="83">
        <f t="shared" si="278"/>
        <v>810</v>
      </c>
      <c r="S259" s="84">
        <f>IF(AR259="","",AR259)</f>
        <v>2</v>
      </c>
      <c r="T259" s="83">
        <f t="shared" si="279"/>
        <v>711</v>
      </c>
      <c r="U259" s="84">
        <f>IF(AT259="","",AT259)</f>
        <v>0</v>
      </c>
      <c r="V259" s="83">
        <f t="shared" si="280"/>
        <v>6842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672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692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777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781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853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828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810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711</v>
      </c>
      <c r="AT259" s="121">
        <f>IF(AS259+AS269=0,0,IF(AS259=AS269,1,IF(AS259&gt;AS269,2,0)))</f>
        <v>0</v>
      </c>
      <c r="AU259" s="122">
        <f>SUM(AC259+AE259+AG259+AI259+AK259+AM259+AO259+AQ259+AS259)</f>
        <v>6842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1</v>
      </c>
      <c r="F260" s="86" t="str">
        <f t="shared" si="273"/>
        <v/>
      </c>
      <c r="G260" s="87">
        <f>IF(AF260="","",AF260)</f>
        <v>1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4</v>
      </c>
      <c r="L260" s="86" t="str">
        <f t="shared" si="276"/>
        <v/>
      </c>
      <c r="M260" s="87">
        <f>IF(AL260="","",AL260)</f>
        <v>4</v>
      </c>
      <c r="N260" s="86" t="str">
        <f t="shared" si="293"/>
        <v/>
      </c>
      <c r="O260" s="87">
        <f>IF(AN260="","",AN260)</f>
        <v>4</v>
      </c>
      <c r="P260" s="86" t="str">
        <f t="shared" si="277"/>
        <v/>
      </c>
      <c r="Q260" s="87">
        <f>IF(AP260="","",AP260)</f>
        <v>5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26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1</v>
      </c>
      <c r="AI260" s="86"/>
      <c r="AJ260" s="124">
        <f>SUM(AJ247:AJ259)</f>
        <v>4</v>
      </c>
      <c r="AK260" s="86"/>
      <c r="AL260" s="124">
        <f>SUM(AL247:AL259)</f>
        <v>4</v>
      </c>
      <c r="AM260" s="86"/>
      <c r="AN260" s="124">
        <f>SUM(AN247:AN259)</f>
        <v>4</v>
      </c>
      <c r="AO260" s="86"/>
      <c r="AP260" s="124">
        <f>SUM(AP247:AP259)</f>
        <v>5</v>
      </c>
      <c r="AQ260" s="86"/>
      <c r="AR260" s="124">
        <f>SUM(AR247:AR259)</f>
        <v>4</v>
      </c>
      <c r="AS260" s="86"/>
      <c r="AT260" s="124">
        <f>SUM(AT247:AT259)</f>
        <v>2</v>
      </c>
      <c r="AU260" s="86"/>
      <c r="AV260" s="125">
        <f>SUM(AV247:AV259)</f>
        <v>26</v>
      </c>
      <c r="AW260" s="101"/>
      <c r="AX260" s="102"/>
      <c r="BA260" s="212">
        <f>+AV260</f>
        <v>26</v>
      </c>
      <c r="BB260" s="213">
        <f>+AU259</f>
        <v>6842</v>
      </c>
      <c r="BC260" s="214">
        <f>+AA242</f>
        <v>9</v>
      </c>
      <c r="BF260" s="215">
        <f>SUM(BF241:BF259)</f>
        <v>36</v>
      </c>
      <c r="BQ260" s="212">
        <f>+BB260/1000000+BA260</f>
        <v>26.006841999999999</v>
      </c>
      <c r="BR260" s="214">
        <f>RANK(BQ260,BQ:BQ)</f>
        <v>7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6">
        <f t="shared" si="304"/>
        <v>7</v>
      </c>
      <c r="E262" s="356" t="str">
        <f t="shared" si="304"/>
        <v/>
      </c>
      <c r="F262" s="356">
        <f t="shared" si="304"/>
        <v>8</v>
      </c>
      <c r="G262" s="356" t="str">
        <f t="shared" si="304"/>
        <v/>
      </c>
      <c r="H262" s="356">
        <f t="shared" si="304"/>
        <v>4</v>
      </c>
      <c r="I262" s="356" t="str">
        <f t="shared" si="304"/>
        <v/>
      </c>
      <c r="J262" s="356">
        <f t="shared" si="304"/>
        <v>5</v>
      </c>
      <c r="K262" s="356" t="str">
        <f t="shared" si="304"/>
        <v/>
      </c>
      <c r="L262" s="356">
        <f t="shared" ref="L262:U264" si="305">IF(AK262=0,"",AK262)</f>
        <v>3</v>
      </c>
      <c r="M262" s="356" t="str">
        <f t="shared" si="305"/>
        <v/>
      </c>
      <c r="N262" s="356">
        <f t="shared" si="305"/>
        <v>10</v>
      </c>
      <c r="O262" s="356" t="str">
        <f t="shared" si="305"/>
        <v/>
      </c>
      <c r="P262" s="356">
        <f t="shared" si="305"/>
        <v>2</v>
      </c>
      <c r="Q262" s="356" t="str">
        <f t="shared" si="305"/>
        <v/>
      </c>
      <c r="R262" s="356">
        <f t="shared" si="305"/>
        <v>1</v>
      </c>
      <c r="S262" s="356" t="str">
        <f t="shared" si="305"/>
        <v/>
      </c>
      <c r="T262" s="356">
        <f t="shared" si="305"/>
        <v>6</v>
      </c>
      <c r="U262" s="356" t="str">
        <f t="shared" si="305"/>
        <v/>
      </c>
      <c r="V262" s="357"/>
      <c r="W262" s="357"/>
      <c r="AA262" s="88" t="s">
        <v>1797</v>
      </c>
      <c r="AB262" s="89" t="s">
        <v>1798</v>
      </c>
      <c r="AC262" s="370">
        <f>VLOOKUP($AA242,Schlüssel!$A$5:$DG$14,43)</f>
        <v>7</v>
      </c>
      <c r="AD262" s="371"/>
      <c r="AE262" s="370">
        <f>VLOOKUP($AA242,Schlüssel!$A$5:$EK$14,44)</f>
        <v>8</v>
      </c>
      <c r="AF262" s="371"/>
      <c r="AG262" s="370">
        <f>VLOOKUP($AA242,Schlüssel!$A$5:$EK$14,45)</f>
        <v>4</v>
      </c>
      <c r="AH262" s="371"/>
      <c r="AI262" s="370">
        <f>VLOOKUP($AA242,Schlüssel!$A$5:$EK$14,46)</f>
        <v>5</v>
      </c>
      <c r="AJ262" s="371"/>
      <c r="AK262" s="370">
        <f>VLOOKUP($AA242,Schlüssel!$A$5:$EK$14,47)</f>
        <v>3</v>
      </c>
      <c r="AL262" s="371"/>
      <c r="AM262" s="370">
        <f>VLOOKUP($AA242,Schlüssel!$A$5:$EK$14,48)</f>
        <v>10</v>
      </c>
      <c r="AN262" s="371"/>
      <c r="AO262" s="370">
        <f>VLOOKUP($AA242,Schlüssel!$A$5:$EK$14,49)</f>
        <v>2</v>
      </c>
      <c r="AP262" s="371"/>
      <c r="AQ262" s="370">
        <f>VLOOKUP($AA242,Schlüssel!$A$5:$EK$14,50)</f>
        <v>1</v>
      </c>
      <c r="AR262" s="371"/>
      <c r="AS262" s="370">
        <f>VLOOKUP($AA242,Schlüssel!$A$5:$EK$14,51)</f>
        <v>6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58" t="str">
        <f t="shared" si="304"/>
        <v>Schanzer Ingolstadt 1</v>
      </c>
      <c r="E263" s="359" t="str">
        <f t="shared" si="304"/>
        <v/>
      </c>
      <c r="F263" s="358" t="str">
        <f t="shared" si="304"/>
        <v>BC EMAX Unterföhring 2</v>
      </c>
      <c r="G263" s="359" t="str">
        <f t="shared" si="304"/>
        <v/>
      </c>
      <c r="H263" s="358" t="str">
        <f t="shared" si="304"/>
        <v>SG DJK Rimpar</v>
      </c>
      <c r="I263" s="359" t="str">
        <f t="shared" si="304"/>
        <v/>
      </c>
      <c r="J263" s="358" t="str">
        <f t="shared" si="304"/>
        <v>RW Lichtenhof Stein 1</v>
      </c>
      <c r="K263" s="359" t="str">
        <f t="shared" si="304"/>
        <v/>
      </c>
      <c r="L263" s="358" t="str">
        <f t="shared" si="305"/>
        <v>BK München 3</v>
      </c>
      <c r="M263" s="359" t="str">
        <f t="shared" si="305"/>
        <v/>
      </c>
      <c r="N263" s="358" t="str">
        <f t="shared" si="305"/>
        <v>High Roller Rosenheim 1</v>
      </c>
      <c r="O263" s="359" t="str">
        <f t="shared" si="305"/>
        <v/>
      </c>
      <c r="P263" s="358" t="str">
        <f t="shared" si="305"/>
        <v>Bajuwaren München 1</v>
      </c>
      <c r="Q263" s="359" t="str">
        <f t="shared" si="305"/>
        <v/>
      </c>
      <c r="R263" s="358" t="str">
        <f t="shared" si="305"/>
        <v>BC Comet Nürnberg</v>
      </c>
      <c r="S263" s="359" t="str">
        <f t="shared" si="305"/>
        <v/>
      </c>
      <c r="T263" s="358" t="str">
        <f t="shared" si="305"/>
        <v>SG Rottendorf 1</v>
      </c>
      <c r="U263" s="359" t="str">
        <f t="shared" si="305"/>
        <v/>
      </c>
      <c r="V263" s="363"/>
      <c r="W263" s="363"/>
      <c r="AA263" s="90"/>
      <c r="AB263" s="86"/>
      <c r="AC263" s="358" t="str">
        <f>VLOOKUP(AC262,Schlüssel!$A$5:$K$14,2)</f>
        <v>Schanzer Ingolstadt 1</v>
      </c>
      <c r="AD263" s="359"/>
      <c r="AE263" s="358" t="str">
        <f>VLOOKUP(AE262,Schlüssel!$A$5:$K$14,2)</f>
        <v>BC EMAX Unterföhring 2</v>
      </c>
      <c r="AF263" s="359"/>
      <c r="AG263" s="358" t="str">
        <f>VLOOKUP(AG262,Schlüssel!$A$5:$K$14,2)</f>
        <v>SG DJK Rimpar</v>
      </c>
      <c r="AH263" s="359"/>
      <c r="AI263" s="358" t="str">
        <f>VLOOKUP(AI262,Schlüssel!$A$5:$K$14,2)</f>
        <v>RW Lichtenhof Stein 1</v>
      </c>
      <c r="AJ263" s="359"/>
      <c r="AK263" s="358" t="str">
        <f>VLOOKUP(AK262,Schlüssel!$A$5:$K$14,2)</f>
        <v>BK München 3</v>
      </c>
      <c r="AL263" s="359"/>
      <c r="AM263" s="358" t="str">
        <f>VLOOKUP(AM262,Schlüssel!$A$5:$K$14,2)</f>
        <v>High Roller Rosenheim 1</v>
      </c>
      <c r="AN263" s="359"/>
      <c r="AO263" s="358" t="str">
        <f>VLOOKUP(AO262,Schlüssel!$A$5:$K$14,2)</f>
        <v>Bajuwaren München 1</v>
      </c>
      <c r="AP263" s="359"/>
      <c r="AQ263" s="358" t="str">
        <f>VLOOKUP(AQ262,Schlüssel!$A$5:$K$14,2)</f>
        <v>BC Comet Nürnberg</v>
      </c>
      <c r="AR263" s="359"/>
      <c r="AS263" s="358" t="str">
        <f>VLOOKUP(AS262,Schlüssel!$A$5:$K$14,2)</f>
        <v>SG Rottendorf 1</v>
      </c>
      <c r="AT263" s="359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60" t="str">
        <f t="shared" si="304"/>
        <v/>
      </c>
      <c r="E264" s="360" t="str">
        <f t="shared" si="304"/>
        <v/>
      </c>
      <c r="F264" s="360" t="str">
        <f t="shared" si="304"/>
        <v/>
      </c>
      <c r="G264" s="360" t="str">
        <f t="shared" si="304"/>
        <v/>
      </c>
      <c r="H264" s="360" t="str">
        <f t="shared" si="304"/>
        <v/>
      </c>
      <c r="I264" s="360" t="str">
        <f t="shared" si="304"/>
        <v/>
      </c>
      <c r="J264" s="360" t="str">
        <f t="shared" si="304"/>
        <v/>
      </c>
      <c r="K264" s="360" t="str">
        <f t="shared" si="304"/>
        <v/>
      </c>
      <c r="L264" s="360" t="str">
        <f t="shared" si="305"/>
        <v/>
      </c>
      <c r="M264" s="360" t="str">
        <f t="shared" si="305"/>
        <v/>
      </c>
      <c r="N264" s="360" t="str">
        <f t="shared" si="305"/>
        <v/>
      </c>
      <c r="O264" s="360" t="str">
        <f t="shared" si="305"/>
        <v/>
      </c>
      <c r="P264" s="360" t="str">
        <f t="shared" si="305"/>
        <v/>
      </c>
      <c r="Q264" s="360" t="str">
        <f t="shared" si="305"/>
        <v/>
      </c>
      <c r="R264" s="360" t="str">
        <f t="shared" si="305"/>
        <v/>
      </c>
      <c r="S264" s="360" t="str">
        <f t="shared" si="305"/>
        <v/>
      </c>
      <c r="T264" s="360" t="str">
        <f t="shared" si="305"/>
        <v/>
      </c>
      <c r="U264" s="361" t="str">
        <f t="shared" si="305"/>
        <v/>
      </c>
      <c r="V264" s="298"/>
      <c r="W264" s="298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4" t="str">
        <f t="shared" ref="B265:C269" si="306">IF(AA265=0,"",AA265)</f>
        <v>Spieler 1</v>
      </c>
      <c r="C265" s="375" t="str">
        <f t="shared" si="306"/>
        <v/>
      </c>
      <c r="D265" s="362">
        <f>IF(AC265=301,"",AC265)</f>
        <v>190</v>
      </c>
      <c r="E265" s="362" t="str">
        <f>IF(AD265=0,"",AD265)</f>
        <v/>
      </c>
      <c r="F265" s="362">
        <f>IF(AE265=301,"",AE265)</f>
        <v>172</v>
      </c>
      <c r="G265" s="362" t="str">
        <f>IF(AF265=0,"",AF265)</f>
        <v/>
      </c>
      <c r="H265" s="362">
        <f>IF(AG265=301,"",AG265)</f>
        <v>192</v>
      </c>
      <c r="I265" s="362" t="str">
        <f>IF(AH265=0,"",AH265)</f>
        <v/>
      </c>
      <c r="J265" s="362">
        <f>IF(AI265=301,"",AI265)</f>
        <v>167</v>
      </c>
      <c r="K265" s="362" t="str">
        <f>IF(AJ265=0,"",AJ265)</f>
        <v/>
      </c>
      <c r="L265" s="362">
        <f>IF(AK265=301,"",AK265)</f>
        <v>119</v>
      </c>
      <c r="M265" s="362" t="str">
        <f>IF(AL265=0,"",AL265)</f>
        <v/>
      </c>
      <c r="N265" s="362">
        <f>IF(AM265=301,"",AM265)</f>
        <v>157</v>
      </c>
      <c r="O265" s="362" t="str">
        <f>IF(AN265=0,"",AN265)</f>
        <v/>
      </c>
      <c r="P265" s="362">
        <f>IF(AO265=301,"",AO265)</f>
        <v>186</v>
      </c>
      <c r="Q265" s="362" t="str">
        <f>IF(AP265=0,"",AP265)</f>
        <v/>
      </c>
      <c r="R265" s="362">
        <f>IF(AQ265=301,"",AQ265)</f>
        <v>226</v>
      </c>
      <c r="S265" s="362" t="str">
        <f>IF(AR265=0,"",AR265)</f>
        <v/>
      </c>
      <c r="T265" s="362">
        <f>IF(AS265=301,"",AS265)</f>
        <v>190</v>
      </c>
      <c r="U265" s="362" t="str">
        <f>IF(AT265=0,"",AT265)</f>
        <v/>
      </c>
      <c r="V265" s="364"/>
      <c r="W265" s="364"/>
      <c r="AA265" s="91" t="s">
        <v>0</v>
      </c>
      <c r="AB265" s="92"/>
      <c r="AC265" s="368">
        <f>ABS(INDEX(AC:AC,MATCH(AC262,$AA:$AA,0)+5)+INDEX(AC:AC,MATCH(AC262,$AA:$AA,0)+6)+INDEX(AC:AC,MATCH(AC262,$AA:$AA,0)+7))</f>
        <v>190</v>
      </c>
      <c r="AD265" s="369"/>
      <c r="AE265" s="368">
        <f>ABS(INDEX(AE:AE,MATCH(AE262,$AA:$AA,0)+5)+INDEX(AE:AE,MATCH(AE262,$AA:$AA,0)+6)+INDEX(AE:AE,MATCH(AE262,$AA:$AA,0)+7))</f>
        <v>172</v>
      </c>
      <c r="AF265" s="369"/>
      <c r="AG265" s="368">
        <f>ABS(INDEX(AG:AG,MATCH(AG262,$AA:$AA,0)+5)+INDEX(AG:AG,MATCH(AG262,$AA:$AA,0)+6)+INDEX(AG:AG,MATCH(AG262,$AA:$AA,0)+7))</f>
        <v>192</v>
      </c>
      <c r="AH265" s="369"/>
      <c r="AI265" s="368">
        <f>ABS(INDEX(AI:AI,MATCH(AI262,$AA:$AA,0)+5)+INDEX(AI:AI,MATCH(AI262,$AA:$AA,0)+6)+INDEX(AI:AI,MATCH(AI262,$AA:$AA,0)+7))</f>
        <v>167</v>
      </c>
      <c r="AJ265" s="369"/>
      <c r="AK265" s="368">
        <f>ABS(INDEX(AK:AK,MATCH(AK262,$AA:$AA,0)+5)+INDEX(AK:AK,MATCH(AK262,$AA:$AA,0)+6)+INDEX(AK:AK,MATCH(AK262,$AA:$AA,0)+7))</f>
        <v>119</v>
      </c>
      <c r="AL265" s="369"/>
      <c r="AM265" s="368">
        <f>ABS(INDEX(AM:AM,MATCH(AM262,$AA:$AA,0)+5)+INDEX(AM:AM,MATCH(AM262,$AA:$AA,0)+6)+INDEX(AM:AM,MATCH(AM262,$AA:$AA,0)+7))</f>
        <v>157</v>
      </c>
      <c r="AN265" s="369"/>
      <c r="AO265" s="368">
        <f>ABS(INDEX(AO:AO,MATCH(AO262,$AA:$AA,0)+5)+INDEX(AO:AO,MATCH(AO262,$AA:$AA,0)+6)+INDEX(AO:AO,MATCH(AO262,$AA:$AA,0)+7))</f>
        <v>186</v>
      </c>
      <c r="AP265" s="369"/>
      <c r="AQ265" s="368">
        <f>ABS(INDEX(AQ:AQ,MATCH(AQ262,$AA:$AA,0)+5)+INDEX(AQ:AQ,MATCH(AQ262,$AA:$AA,0)+6)+INDEX(AQ:AQ,MATCH(AQ262,$AA:$AA,0)+7))</f>
        <v>226</v>
      </c>
      <c r="AR265" s="369"/>
      <c r="AS265" s="368">
        <f>ABS(INDEX(AS:AS,MATCH(AS262,$AA:$AA,0)+5)+INDEX(AS:AS,MATCH(AS262,$AA:$AA,0)+6)+INDEX(AS:AS,MATCH(AS262,$AA:$AA,0)+7))</f>
        <v>190</v>
      </c>
      <c r="AT265" s="369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4" t="str">
        <f t="shared" si="306"/>
        <v>Spieler 2</v>
      </c>
      <c r="C266" s="375" t="str">
        <f t="shared" si="306"/>
        <v/>
      </c>
      <c r="D266" s="362">
        <f>IF(AC266=301,"",AC266)</f>
        <v>201</v>
      </c>
      <c r="E266" s="362" t="str">
        <f>IF(AD266=0,"",AD266)</f>
        <v/>
      </c>
      <c r="F266" s="362">
        <f>IF(AE266=301,"",AE266)</f>
        <v>213</v>
      </c>
      <c r="G266" s="362" t="str">
        <f>IF(AF266=0,"",AF266)</f>
        <v/>
      </c>
      <c r="H266" s="362">
        <f>IF(AG266=301,"",AG266)</f>
        <v>255</v>
      </c>
      <c r="I266" s="362" t="str">
        <f>IF(AH266=0,"",AH266)</f>
        <v/>
      </c>
      <c r="J266" s="362">
        <f>IF(AI266=301,"",AI266)</f>
        <v>182</v>
      </c>
      <c r="K266" s="362" t="str">
        <f>IF(AJ266=0,"",AJ266)</f>
        <v/>
      </c>
      <c r="L266" s="362">
        <f>IF(AK266=301,"",AK266)</f>
        <v>202</v>
      </c>
      <c r="M266" s="362" t="str">
        <f>IF(AL266=0,"",AL266)</f>
        <v/>
      </c>
      <c r="N266" s="362">
        <f>IF(AM266=301,"",AM266)</f>
        <v>211</v>
      </c>
      <c r="O266" s="362" t="str">
        <f>IF(AN266=0,"",AN266)</f>
        <v/>
      </c>
      <c r="P266" s="362">
        <f>IF(AO266=301,"",AO266)</f>
        <v>238</v>
      </c>
      <c r="Q266" s="362" t="str">
        <f>IF(AP266=0,"",AP266)</f>
        <v/>
      </c>
      <c r="R266" s="362">
        <f>IF(AQ266=301,"",AQ266)</f>
        <v>160</v>
      </c>
      <c r="S266" s="362" t="str">
        <f>IF(AR266=0,"",AR266)</f>
        <v/>
      </c>
      <c r="T266" s="362">
        <f>IF(AS266=301,"",AS266)</f>
        <v>210</v>
      </c>
      <c r="U266" s="362" t="str">
        <f>IF(AT266=0,"",AT266)</f>
        <v/>
      </c>
      <c r="V266" s="364"/>
      <c r="W266" s="364"/>
      <c r="AA266" s="91" t="s">
        <v>2</v>
      </c>
      <c r="AB266" s="92"/>
      <c r="AC266" s="366">
        <f>ABS(INDEX(AC:AC,MATCH(AC262,$AA:$AA,0)+8)+INDEX(AC:AC,MATCH(AC262,$AA:$AA,0)+9)+INDEX(AC:AC,MATCH(AC262,$AA:$AA,0)+10))</f>
        <v>201</v>
      </c>
      <c r="AD266" s="367"/>
      <c r="AE266" s="366">
        <f>ABS(INDEX(AE:AE,MATCH(AE262,$AA:$AA,0)+8)+INDEX(AE:AE,MATCH(AE262,$AA:$AA,0)+9)+INDEX(AE:AE,MATCH(AE262,$AA:$AA,0)+10))</f>
        <v>213</v>
      </c>
      <c r="AF266" s="367"/>
      <c r="AG266" s="366">
        <f>ABS(INDEX(AG:AG,MATCH(AG262,$AA:$AA,0)+8)+INDEX(AG:AG,MATCH(AG262,$AA:$AA,0)+9)+INDEX(AG:AG,MATCH(AG262,$AA:$AA,0)+10))</f>
        <v>255</v>
      </c>
      <c r="AH266" s="367"/>
      <c r="AI266" s="366">
        <f>ABS(INDEX(AI:AI,MATCH(AI262,$AA:$AA,0)+8)+INDEX(AI:AI,MATCH(AI262,$AA:$AA,0)+9)+INDEX(AI:AI,MATCH(AI262,$AA:$AA,0)+10))</f>
        <v>182</v>
      </c>
      <c r="AJ266" s="367"/>
      <c r="AK266" s="366">
        <f>ABS(INDEX(AK:AK,MATCH(AK262,$AA:$AA,0)+8)+INDEX(AK:AK,MATCH(AK262,$AA:$AA,0)+9)+INDEX(AK:AK,MATCH(AK262,$AA:$AA,0)+10))</f>
        <v>202</v>
      </c>
      <c r="AL266" s="367"/>
      <c r="AM266" s="366">
        <f>ABS(INDEX(AM:AM,MATCH(AM262,$AA:$AA,0)+8)+INDEX(AM:AM,MATCH(AM262,$AA:$AA,0)+9)+INDEX(AM:AM,MATCH(AM262,$AA:$AA,0)+10))</f>
        <v>211</v>
      </c>
      <c r="AN266" s="367"/>
      <c r="AO266" s="366">
        <f>ABS(INDEX(AO:AO,MATCH(AO262,$AA:$AA,0)+8)+INDEX(AO:AO,MATCH(AO262,$AA:$AA,0)+9)+INDEX(AO:AO,MATCH(AO262,$AA:$AA,0)+10))</f>
        <v>238</v>
      </c>
      <c r="AP266" s="367"/>
      <c r="AQ266" s="366">
        <f>ABS(INDEX(AQ:AQ,MATCH(AQ262,$AA:$AA,0)+8)+INDEX(AQ:AQ,MATCH(AQ262,$AA:$AA,0)+9)+INDEX(AQ:AQ,MATCH(AQ262,$AA:$AA,0)+10))</f>
        <v>160</v>
      </c>
      <c r="AR266" s="367"/>
      <c r="AS266" s="366">
        <f>ABS(INDEX(AS:AS,MATCH(AS262,$AA:$AA,0)+8)+INDEX(AS:AS,MATCH(AS262,$AA:$AA,0)+9)+INDEX(AS:AS,MATCH(AS262,$AA:$AA,0)+10))</f>
        <v>210</v>
      </c>
      <c r="AT266" s="367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4" t="str">
        <f t="shared" si="306"/>
        <v>Spieler 3</v>
      </c>
      <c r="C267" s="375" t="str">
        <f t="shared" si="306"/>
        <v/>
      </c>
      <c r="D267" s="362">
        <f>IF(AC267=301,"",AC267)</f>
        <v>138</v>
      </c>
      <c r="E267" s="362" t="str">
        <f>IF(AD267=0,"",AD267)</f>
        <v/>
      </c>
      <c r="F267" s="362">
        <f>IF(AE267=301,"",AE267)</f>
        <v>226</v>
      </c>
      <c r="G267" s="362" t="str">
        <f>IF(AF267=0,"",AF267)</f>
        <v/>
      </c>
      <c r="H267" s="362">
        <f>IF(AG267=301,"",AG267)</f>
        <v>192</v>
      </c>
      <c r="I267" s="362" t="str">
        <f>IF(AH267=0,"",AH267)</f>
        <v/>
      </c>
      <c r="J267" s="362">
        <f>IF(AI267=301,"",AI267)</f>
        <v>196</v>
      </c>
      <c r="K267" s="362" t="str">
        <f>IF(AJ267=0,"",AJ267)</f>
        <v/>
      </c>
      <c r="L267" s="362">
        <f>IF(AK267=301,"",AK267)</f>
        <v>166</v>
      </c>
      <c r="M267" s="362" t="str">
        <f>IF(AL267=0,"",AL267)</f>
        <v/>
      </c>
      <c r="N267" s="362">
        <f>IF(AM267=301,"",AM267)</f>
        <v>197</v>
      </c>
      <c r="O267" s="362" t="str">
        <f>IF(AN267=0,"",AN267)</f>
        <v/>
      </c>
      <c r="P267" s="362">
        <f>IF(AO267=301,"",AO267)</f>
        <v>186</v>
      </c>
      <c r="Q267" s="362" t="str">
        <f>IF(AP267=0,"",AP267)</f>
        <v/>
      </c>
      <c r="R267" s="362">
        <f>IF(AQ267=301,"",AQ267)</f>
        <v>196</v>
      </c>
      <c r="S267" s="362" t="str">
        <f>IF(AR267=0,"",AR267)</f>
        <v/>
      </c>
      <c r="T267" s="362">
        <f>IF(AS267=301,"",AS267)</f>
        <v>190</v>
      </c>
      <c r="U267" s="362" t="str">
        <f>IF(AT267=0,"",AT267)</f>
        <v/>
      </c>
      <c r="V267" s="364"/>
      <c r="W267" s="364"/>
      <c r="AA267" s="91" t="s">
        <v>3</v>
      </c>
      <c r="AB267" s="92"/>
      <c r="AC267" s="366">
        <f>ABS(INDEX(AC:AC,MATCH(AC262,$AA:$AA,0)+11)+INDEX(AC:AC,MATCH(AC262,$AA:$AA,0)+12)+INDEX(AC:AC,MATCH(AC262,$AA:$AA,0)+13))</f>
        <v>138</v>
      </c>
      <c r="AD267" s="367"/>
      <c r="AE267" s="366">
        <f>ABS(INDEX(AE:AE,MATCH(AE262,$AA:$AA,0)+11)+INDEX(AE:AE,MATCH(AE262,$AA:$AA,0)+12)+INDEX(AE:AE,MATCH(AE262,$AA:$AA,0)+13))</f>
        <v>226</v>
      </c>
      <c r="AF267" s="367"/>
      <c r="AG267" s="366">
        <f>ABS(INDEX(AG:AG,MATCH(AG262,$AA:$AA,0)+11)+INDEX(AG:AG,MATCH(AG262,$AA:$AA,0)+12)+INDEX(AG:AG,MATCH(AG262,$AA:$AA,0)+13))</f>
        <v>192</v>
      </c>
      <c r="AH267" s="367"/>
      <c r="AI267" s="366">
        <f>ABS(INDEX(AI:AI,MATCH(AI262,$AA:$AA,0)+11)+INDEX(AI:AI,MATCH(AI262,$AA:$AA,0)+12)+INDEX(AI:AI,MATCH(AI262,$AA:$AA,0)+13))</f>
        <v>196</v>
      </c>
      <c r="AJ267" s="367"/>
      <c r="AK267" s="366">
        <f>ABS(INDEX(AK:AK,MATCH(AK262,$AA:$AA,0)+11)+INDEX(AK:AK,MATCH(AK262,$AA:$AA,0)+12)+INDEX(AK:AK,MATCH(AK262,$AA:$AA,0)+13))</f>
        <v>166</v>
      </c>
      <c r="AL267" s="367"/>
      <c r="AM267" s="366">
        <f>ABS(INDEX(AM:AM,MATCH(AM262,$AA:$AA,0)+11)+INDEX(AM:AM,MATCH(AM262,$AA:$AA,0)+12)+INDEX(AM:AM,MATCH(AM262,$AA:$AA,0)+13))</f>
        <v>197</v>
      </c>
      <c r="AN267" s="367"/>
      <c r="AO267" s="366">
        <f>ABS(INDEX(AO:AO,MATCH(AO262,$AA:$AA,0)+11)+INDEX(AO:AO,MATCH(AO262,$AA:$AA,0)+12)+INDEX(AO:AO,MATCH(AO262,$AA:$AA,0)+13))</f>
        <v>186</v>
      </c>
      <c r="AP267" s="367"/>
      <c r="AQ267" s="366">
        <f>ABS(INDEX(AQ:AQ,MATCH(AQ262,$AA:$AA,0)+11)+INDEX(AQ:AQ,MATCH(AQ262,$AA:$AA,0)+12)+INDEX(AQ:AQ,MATCH(AQ262,$AA:$AA,0)+13))</f>
        <v>196</v>
      </c>
      <c r="AR267" s="367"/>
      <c r="AS267" s="366">
        <f>ABS(INDEX(AS:AS,MATCH(AS262,$AA:$AA,0)+11)+INDEX(AS:AS,MATCH(AS262,$AA:$AA,0)+12)+INDEX(AS:AS,MATCH(AS262,$AA:$AA,0)+13))</f>
        <v>190</v>
      </c>
      <c r="AT267" s="367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4" t="str">
        <f t="shared" si="306"/>
        <v>Spieler 4</v>
      </c>
      <c r="C268" s="375" t="str">
        <f t="shared" si="306"/>
        <v/>
      </c>
      <c r="D268" s="362">
        <f>IF(AC268=301,"",AC268)</f>
        <v>147</v>
      </c>
      <c r="E268" s="362" t="str">
        <f>IF(AD268=0,"",AD268)</f>
        <v/>
      </c>
      <c r="F268" s="362">
        <f>IF(AE268=301,"",AE268)</f>
        <v>199</v>
      </c>
      <c r="G268" s="362" t="str">
        <f>IF(AF268=0,"",AF268)</f>
        <v/>
      </c>
      <c r="H268" s="362">
        <f>IF(AG268=301,"",AG268)</f>
        <v>176</v>
      </c>
      <c r="I268" s="362" t="str">
        <f>IF(AH268=0,"",AH268)</f>
        <v/>
      </c>
      <c r="J268" s="362">
        <f>IF(AI268=301,"",AI268)</f>
        <v>174</v>
      </c>
      <c r="K268" s="362" t="str">
        <f>IF(AJ268=0,"",AJ268)</f>
        <v/>
      </c>
      <c r="L268" s="362">
        <f>IF(AK268=301,"",AK268)</f>
        <v>233</v>
      </c>
      <c r="M268" s="362" t="str">
        <f>IF(AL268=0,"",AL268)</f>
        <v/>
      </c>
      <c r="N268" s="362">
        <f>IF(AM268=301,"",AM268)</f>
        <v>185</v>
      </c>
      <c r="O268" s="362" t="str">
        <f>IF(AN268=0,"",AN268)</f>
        <v/>
      </c>
      <c r="P268" s="362">
        <f>IF(AO268=301,"",AO268)</f>
        <v>160</v>
      </c>
      <c r="Q268" s="362" t="str">
        <f>IF(AP268=0,"",AP268)</f>
        <v/>
      </c>
      <c r="R268" s="362">
        <f>IF(AQ268=301,"",AQ268)</f>
        <v>206</v>
      </c>
      <c r="S268" s="362" t="str">
        <f>IF(AR268=0,"",AR268)</f>
        <v/>
      </c>
      <c r="T268" s="362">
        <f>IF(AS268=301,"",AS268)</f>
        <v>172</v>
      </c>
      <c r="U268" s="362" t="str">
        <f>IF(AT268=0,"",AT268)</f>
        <v/>
      </c>
      <c r="V268" s="364"/>
      <c r="W268" s="364"/>
      <c r="AA268" s="91" t="s">
        <v>11</v>
      </c>
      <c r="AB268" s="92"/>
      <c r="AC268" s="366">
        <f>ABS(INDEX(AC:AC,MATCH(AC262,$AA:$AA,0)+14)+INDEX(AC:AC,MATCH(AC262,$AA:$AA,0)+15)+INDEX(AC:AC,MATCH(AC262,$AA:$AA,0)+16))</f>
        <v>147</v>
      </c>
      <c r="AD268" s="367"/>
      <c r="AE268" s="366">
        <f>ABS(INDEX(AE:AE,MATCH(AE262,$AA:$AA,0)+14)+INDEX(AE:AE,MATCH(AE262,$AA:$AA,0)+15)+INDEX(AE:AE,MATCH(AE262,$AA:$AA,0)+16))</f>
        <v>199</v>
      </c>
      <c r="AF268" s="367"/>
      <c r="AG268" s="366">
        <f>ABS(INDEX(AG:AG,MATCH(AG262,$AA:$AA,0)+14)+INDEX(AG:AG,MATCH(AG262,$AA:$AA,0)+15)+INDEX(AG:AG,MATCH(AG262,$AA:$AA,0)+16))</f>
        <v>176</v>
      </c>
      <c r="AH268" s="367"/>
      <c r="AI268" s="366">
        <f>ABS(INDEX(AI:AI,MATCH(AI262,$AA:$AA,0)+14)+INDEX(AI:AI,MATCH(AI262,$AA:$AA,0)+15)+INDEX(AI:AI,MATCH(AI262,$AA:$AA,0)+16))</f>
        <v>174</v>
      </c>
      <c r="AJ268" s="367"/>
      <c r="AK268" s="366">
        <f>ABS(INDEX(AK:AK,MATCH(AK262,$AA:$AA,0)+14)+INDEX(AK:AK,MATCH(AK262,$AA:$AA,0)+15)+INDEX(AK:AK,MATCH(AK262,$AA:$AA,0)+16))</f>
        <v>233</v>
      </c>
      <c r="AL268" s="367"/>
      <c r="AM268" s="366">
        <f>ABS(INDEX(AM:AM,MATCH(AM262,$AA:$AA,0)+14)+INDEX(AM:AM,MATCH(AM262,$AA:$AA,0)+15)+INDEX(AM:AM,MATCH(AM262,$AA:$AA,0)+16))</f>
        <v>185</v>
      </c>
      <c r="AN268" s="367"/>
      <c r="AO268" s="366">
        <f>ABS(INDEX(AO:AO,MATCH(AO262,$AA:$AA,0)+14)+INDEX(AO:AO,MATCH(AO262,$AA:$AA,0)+15)+INDEX(AO:AO,MATCH(AO262,$AA:$AA,0)+16))</f>
        <v>160</v>
      </c>
      <c r="AP268" s="367"/>
      <c r="AQ268" s="366">
        <f>ABS(INDEX(AQ:AQ,MATCH(AQ262,$AA:$AA,0)+14)+INDEX(AQ:AQ,MATCH(AQ262,$AA:$AA,0)+15)+INDEX(AQ:AQ,MATCH(AQ262,$AA:$AA,0)+16))</f>
        <v>206</v>
      </c>
      <c r="AR268" s="367"/>
      <c r="AS268" s="366">
        <f>ABS(INDEX(AS:AS,MATCH(AS262,$AA:$AA,0)+14)+INDEX(AS:AS,MATCH(AS262,$AA:$AA,0)+15)+INDEX(AS:AS,MATCH(AS262,$AA:$AA,0)+16))</f>
        <v>172</v>
      </c>
      <c r="AT268" s="367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6" t="str">
        <f t="shared" si="306"/>
        <v>Gesamt</v>
      </c>
      <c r="C269" s="347" t="str">
        <f t="shared" si="306"/>
        <v/>
      </c>
      <c r="D269" s="365">
        <f>IF(AC269=1505,"",AC269)</f>
        <v>676</v>
      </c>
      <c r="E269" s="365" t="str">
        <f>IF(AD269=0,"",AD269)</f>
        <v/>
      </c>
      <c r="F269" s="365">
        <f>IF(AE269=1505,"",AE269)</f>
        <v>810</v>
      </c>
      <c r="G269" s="365" t="str">
        <f>IF(AF269=0,"",AF269)</f>
        <v/>
      </c>
      <c r="H269" s="365">
        <f>IF(AG269=1505,"",AG269)</f>
        <v>815</v>
      </c>
      <c r="I269" s="365" t="str">
        <f>IF(AH269=0,"",AH269)</f>
        <v/>
      </c>
      <c r="J269" s="365">
        <f>IF(AI269=1505,"",AI269)</f>
        <v>719</v>
      </c>
      <c r="K269" s="365" t="str">
        <f>IF(AJ269=0,"",AJ269)</f>
        <v/>
      </c>
      <c r="L269" s="365">
        <f>IF(AK269=1505,"",AK269)</f>
        <v>720</v>
      </c>
      <c r="M269" s="365" t="str">
        <f>IF(AL269=0,"",AL269)</f>
        <v/>
      </c>
      <c r="N269" s="365">
        <f>IF(AM269=1505,"",AM269)</f>
        <v>750</v>
      </c>
      <c r="O269" s="365" t="str">
        <f>IF(AN269=0,"",AN269)</f>
        <v/>
      </c>
      <c r="P269" s="365">
        <f>IF(AO269=1505,"",AO269)</f>
        <v>770</v>
      </c>
      <c r="Q269" s="365" t="str">
        <f>IF(AP269=0,"",AP269)</f>
        <v/>
      </c>
      <c r="R269" s="365">
        <f>IF(AQ269=1505,"",AQ269)</f>
        <v>788</v>
      </c>
      <c r="S269" s="365" t="str">
        <f>IF(AR269=0,"",AR269)</f>
        <v/>
      </c>
      <c r="T269" s="365">
        <f>IF(AS269=1505,"",AS269)</f>
        <v>762</v>
      </c>
      <c r="U269" s="365" t="str">
        <f>IF(AT269=0,"",AT269)</f>
        <v/>
      </c>
      <c r="V269" s="301"/>
      <c r="W269" s="301"/>
      <c r="AA269" s="93" t="s">
        <v>1799</v>
      </c>
      <c r="AB269" s="94"/>
      <c r="AC269" s="346">
        <f>SUM(AC265:AC268)</f>
        <v>676</v>
      </c>
      <c r="AD269" s="347"/>
      <c r="AE269" s="346">
        <f>SUM(AE265:AE268)</f>
        <v>810</v>
      </c>
      <c r="AF269" s="347"/>
      <c r="AG269" s="346">
        <f>SUM(AG265:AG268)</f>
        <v>815</v>
      </c>
      <c r="AH269" s="347"/>
      <c r="AI269" s="346">
        <f>SUM(AI265:AI268)</f>
        <v>719</v>
      </c>
      <c r="AJ269" s="347"/>
      <c r="AK269" s="346">
        <f>SUM(AK265:AK268)</f>
        <v>720</v>
      </c>
      <c r="AL269" s="347"/>
      <c r="AM269" s="346">
        <f>SUM(AM265:AM268)</f>
        <v>750</v>
      </c>
      <c r="AN269" s="347"/>
      <c r="AO269" s="346">
        <f>SUM(AO265:AO268)</f>
        <v>770</v>
      </c>
      <c r="AP269" s="347"/>
      <c r="AQ269" s="346">
        <f>SUM(AQ265:AQ268)</f>
        <v>788</v>
      </c>
      <c r="AR269" s="347"/>
      <c r="AS269" s="346">
        <f>SUM(AS265:AS268)</f>
        <v>762</v>
      </c>
      <c r="AT269" s="347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5" t="str">
        <f>AE271</f>
        <v>Bayernliga Herren</v>
      </c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48"/>
      <c r="S271" s="49" t="s">
        <v>1794</v>
      </c>
      <c r="T271" s="50"/>
      <c r="U271" s="341" t="str">
        <f>AT271</f>
        <v>01.02./02.02.</v>
      </c>
      <c r="V271" s="342"/>
      <c r="W271" s="343"/>
      <c r="X271" s="372"/>
      <c r="Y271" s="373"/>
      <c r="Z271" s="373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41" t="str">
        <f>VLOOKUP(AS272,Spielorte!$A$1:$C$6,2)</f>
        <v>01.02./02.02.</v>
      </c>
      <c r="AU271" s="342"/>
      <c r="AV271" s="34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4" t="str">
        <f>AE272</f>
        <v>Unterföhring Dreambowl Palace</v>
      </c>
      <c r="G272" s="344"/>
      <c r="H272" s="344"/>
      <c r="I272" s="344"/>
      <c r="J272" s="344"/>
      <c r="K272" s="344"/>
      <c r="L272" s="344"/>
      <c r="M272" s="344"/>
      <c r="N272" s="344"/>
      <c r="O272" s="344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6" t="s">
        <v>1800</v>
      </c>
      <c r="E275" s="347"/>
      <c r="F275" s="346" t="s">
        <v>1801</v>
      </c>
      <c r="G275" s="347"/>
      <c r="H275" s="346" t="s">
        <v>1802</v>
      </c>
      <c r="I275" s="347"/>
      <c r="J275" s="346" t="s">
        <v>1803</v>
      </c>
      <c r="K275" s="347"/>
      <c r="L275" s="346" t="s">
        <v>1804</v>
      </c>
      <c r="M275" s="347"/>
      <c r="N275" s="346" t="s">
        <v>1805</v>
      </c>
      <c r="O275" s="347"/>
      <c r="P275" s="346" t="s">
        <v>1806</v>
      </c>
      <c r="Q275" s="347"/>
      <c r="R275" s="346" t="s">
        <v>1807</v>
      </c>
      <c r="S275" s="347"/>
      <c r="T275" s="346" t="s">
        <v>1808</v>
      </c>
      <c r="U275" s="347"/>
      <c r="V275" s="354" t="s">
        <v>1799</v>
      </c>
      <c r="W275" s="355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6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180</v>
      </c>
      <c r="E277" s="348">
        <f>IF(AD277="","",AD277)</f>
        <v>0</v>
      </c>
      <c r="F277" s="75">
        <f t="shared" ref="F277:F290" si="307">IF(AE277=0,"",AE277)</f>
        <v>163</v>
      </c>
      <c r="G277" s="348">
        <f>IF(AF277="","",AF277)</f>
        <v>0</v>
      </c>
      <c r="H277" s="75">
        <f t="shared" ref="H277:H290" si="308">IF(AG277=0,"",AG277)</f>
        <v>231</v>
      </c>
      <c r="I277" s="348">
        <f>IF(AH277="","",AH277)</f>
        <v>1</v>
      </c>
      <c r="J277" s="75">
        <f t="shared" ref="J277:J290" si="309">IF(AI277=0,"",AI277)</f>
        <v>183</v>
      </c>
      <c r="K277" s="348">
        <f>IF(AJ277="","",AJ277)</f>
        <v>1</v>
      </c>
      <c r="L277" s="75" t="str">
        <f t="shared" ref="L277:L290" si="310">IF(AK277=0,"",AK277)</f>
        <v/>
      </c>
      <c r="M277" s="348">
        <f>IF(AL277="","",AL277)</f>
        <v>1</v>
      </c>
      <c r="N277" s="75" t="str">
        <f>IF(AM277=0,"",AM277)</f>
        <v/>
      </c>
      <c r="O277" s="348">
        <f>IF(AN277="","",AN277)</f>
        <v>0</v>
      </c>
      <c r="P277" s="75" t="str">
        <f t="shared" ref="P277:P290" si="311">IF(AO277=0,"",AO277)</f>
        <v/>
      </c>
      <c r="Q277" s="348">
        <f>IF(AP277="","",AP277)</f>
        <v>0</v>
      </c>
      <c r="R277" s="75" t="str">
        <f t="shared" ref="R277:R290" si="312">IF(AQ277=0,"",AQ277)</f>
        <v/>
      </c>
      <c r="S277" s="348">
        <f>IF(AR277="","",AR277)</f>
        <v>0</v>
      </c>
      <c r="T277" s="75" t="str">
        <f t="shared" ref="T277:T290" si="313">IF(AS277=0,"",AS277)</f>
        <v/>
      </c>
      <c r="U277" s="348">
        <f>IF(AT277="","",AT277)</f>
        <v>0</v>
      </c>
      <c r="V277" s="75">
        <f t="shared" ref="V277:V290" si="314">IF(AU277=0,"",AU277)</f>
        <v>757</v>
      </c>
      <c r="W277" s="348">
        <f>IF(AV277="","",AV277)</f>
        <v>3</v>
      </c>
      <c r="Z277" s="351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180</v>
      </c>
      <c r="AD277" s="109">
        <f>IF(SUM(AC277:AC279)+AC295=0,0,IF(SUM(AC277:AC279)=AC295,0.5,IF(SUM(AC277:AC279)&gt;AC295,1,0)))</f>
        <v>0</v>
      </c>
      <c r="AE277" s="185">
        <v>163</v>
      </c>
      <c r="AF277" s="109">
        <f>IF(SUM(AE277:AE279)+AE295=0,0,IF(SUM(AE277:AE279)=AE295,0.5,IF(SUM(AE277:AE279)&gt;AE295,1,0)))</f>
        <v>0</v>
      </c>
      <c r="AG277" s="185">
        <v>231</v>
      </c>
      <c r="AH277" s="109">
        <f>IF(SUM(AG277:AG279)+AG295=0,0,IF(SUM(AG277:AG279)=AG295,0.5,IF(SUM(AG277:AG279)&gt;AG295,1,0)))</f>
        <v>1</v>
      </c>
      <c r="AI277" s="185">
        <v>183</v>
      </c>
      <c r="AJ277" s="109">
        <f>IF(SUM(AI277:AI279)+AI295=0,0,IF(SUM(AI277:AI279)=AI295,0.5,IF(SUM(AI277:AI279)&gt;AI295,1,0)))</f>
        <v>1</v>
      </c>
      <c r="AK277" s="185"/>
      <c r="AL277" s="109">
        <f>IF(SUM(AK277:AK279)+AK295=0,0,IF(SUM(AK277:AK279)=AK295,0.5,IF(SUM(AK277:AK279)&gt;AK295,1,0)))</f>
        <v>1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757</v>
      </c>
      <c r="AV277" s="111">
        <f>SUM(AD277+AF277+AH277+AJ277+AL277+AN277+AP277+AR277+AT277)</f>
        <v>3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757</v>
      </c>
      <c r="BF277" s="215">
        <f>COUNT(BH277:BP277)</f>
        <v>4</v>
      </c>
      <c r="BG277" s="215">
        <f>COUNTIF(BH277:BP277,"&gt;0")</f>
        <v>4</v>
      </c>
      <c r="BH277" s="215">
        <f t="shared" ref="BH277:BH288" si="316">IF(AC277=0,"",AC277)</f>
        <v>180</v>
      </c>
      <c r="BI277" s="215">
        <f t="shared" ref="BI277:BI288" si="317">IF(AE277=0,"",AE277)</f>
        <v>163</v>
      </c>
      <c r="BJ277" s="215">
        <f t="shared" ref="BJ277:BJ288" si="318">IF(AG277=0,"",AG277)</f>
        <v>231</v>
      </c>
      <c r="BK277" s="215">
        <f t="shared" ref="BK277:BK288" si="319">IF(AI277=0,"",AI277)</f>
        <v>183</v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231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757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77"/>
      <c r="B278" s="76" t="str">
        <f t="shared" ref="B278:D290" si="326">IF(AA278=0,"",AA278)</f>
        <v>Tavares, S.</v>
      </c>
      <c r="C278" s="77">
        <f t="shared" si="326"/>
        <v>22116</v>
      </c>
      <c r="D278" s="78" t="str">
        <f t="shared" si="326"/>
        <v/>
      </c>
      <c r="E278" s="349"/>
      <c r="F278" s="78" t="str">
        <f t="shared" si="307"/>
        <v/>
      </c>
      <c r="G278" s="349"/>
      <c r="H278" s="78" t="str">
        <f t="shared" si="308"/>
        <v/>
      </c>
      <c r="I278" s="349"/>
      <c r="J278" s="78" t="str">
        <f t="shared" si="309"/>
        <v/>
      </c>
      <c r="K278" s="349"/>
      <c r="L278" s="78">
        <f t="shared" si="310"/>
        <v>216</v>
      </c>
      <c r="M278" s="349"/>
      <c r="N278" s="78">
        <f t="shared" ref="N278:N290" si="327">IF(AM278=0,"",AM278)</f>
        <v>157</v>
      </c>
      <c r="O278" s="349"/>
      <c r="P278" s="78">
        <f t="shared" si="311"/>
        <v>175</v>
      </c>
      <c r="Q278" s="349"/>
      <c r="R278" s="78" t="str">
        <f t="shared" si="312"/>
        <v/>
      </c>
      <c r="S278" s="349"/>
      <c r="T278" s="78" t="str">
        <f t="shared" si="313"/>
        <v/>
      </c>
      <c r="U278" s="349"/>
      <c r="V278" s="78">
        <f t="shared" si="314"/>
        <v>548</v>
      </c>
      <c r="W278" s="349"/>
      <c r="Z278" s="352"/>
      <c r="AA278" s="108" t="str">
        <f>IF(AB278=0,"",VLOOKUP(AB278,Starter!$A$1:$D$199,2,FALSE))</f>
        <v>Tavares, S.</v>
      </c>
      <c r="AB278" s="98">
        <v>22116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216</v>
      </c>
      <c r="AL278" s="112"/>
      <c r="AM278" s="186">
        <v>157</v>
      </c>
      <c r="AN278" s="112"/>
      <c r="AO278" s="186">
        <v>175</v>
      </c>
      <c r="AP278" s="112"/>
      <c r="AQ278" s="186"/>
      <c r="AR278" s="112"/>
      <c r="AS278" s="186"/>
      <c r="AT278" s="112"/>
      <c r="AU278" s="113">
        <f t="shared" si="315"/>
        <v>548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22116</v>
      </c>
      <c r="BE278" s="213">
        <f t="shared" ref="BE278:BE288" si="329">+AU278</f>
        <v>548</v>
      </c>
      <c r="BF278" s="215">
        <f t="shared" ref="BF278:BF288" si="330">COUNT(BH278:BP278)</f>
        <v>3</v>
      </c>
      <c r="BG278" s="215">
        <f t="shared" ref="BG278:BG288" si="331">COUNTIF(BH278:BP278,"&gt;0")</f>
        <v>3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>
        <f t="shared" si="320"/>
        <v>216</v>
      </c>
      <c r="BM278" s="215">
        <f t="shared" si="321"/>
        <v>157</v>
      </c>
      <c r="BN278" s="215">
        <f t="shared" si="322"/>
        <v>175</v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216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High Roller Rosenheim 1</v>
      </c>
      <c r="BV278" s="214">
        <f t="shared" ref="BV278:BV288" si="335">RANK(BT278,BT:BT)</f>
        <v>2</v>
      </c>
      <c r="BW278" s="215">
        <f t="shared" ref="BW278:BW288" si="336">SUMIF(BH278:BP278,"&gt;0")</f>
        <v>548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8"/>
      <c r="B279" s="79" t="str">
        <f t="shared" si="326"/>
        <v>Lengen, Peter</v>
      </c>
      <c r="C279" s="80">
        <f t="shared" si="326"/>
        <v>25297</v>
      </c>
      <c r="D279" s="69" t="str">
        <f t="shared" si="326"/>
        <v/>
      </c>
      <c r="E279" s="350"/>
      <c r="F279" s="69" t="str">
        <f t="shared" si="307"/>
        <v/>
      </c>
      <c r="G279" s="350"/>
      <c r="H279" s="69" t="str">
        <f t="shared" si="308"/>
        <v/>
      </c>
      <c r="I279" s="350"/>
      <c r="J279" s="69" t="str">
        <f t="shared" si="309"/>
        <v/>
      </c>
      <c r="K279" s="350"/>
      <c r="L279" s="69" t="str">
        <f t="shared" si="310"/>
        <v/>
      </c>
      <c r="M279" s="350"/>
      <c r="N279" s="69" t="str">
        <f t="shared" si="327"/>
        <v/>
      </c>
      <c r="O279" s="350"/>
      <c r="P279" s="69" t="str">
        <f t="shared" si="311"/>
        <v/>
      </c>
      <c r="Q279" s="350"/>
      <c r="R279" s="69">
        <f t="shared" si="312"/>
        <v>172</v>
      </c>
      <c r="S279" s="350"/>
      <c r="T279" s="69">
        <f t="shared" si="313"/>
        <v>125</v>
      </c>
      <c r="U279" s="350"/>
      <c r="V279" s="69">
        <f t="shared" si="314"/>
        <v>297</v>
      </c>
      <c r="W279" s="350"/>
      <c r="Z279" s="353"/>
      <c r="AA279" s="115" t="str">
        <f>IF(AB279=0,"",VLOOKUP(AB279,Starter!$A$1:$D$199,2,FALSE))</f>
        <v>Lengen, Peter</v>
      </c>
      <c r="AB279" s="100">
        <v>25297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172</v>
      </c>
      <c r="AR279" s="112"/>
      <c r="AS279" s="187">
        <v>125</v>
      </c>
      <c r="AT279" s="112"/>
      <c r="AU279" s="116">
        <f t="shared" si="315"/>
        <v>297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25297</v>
      </c>
      <c r="BE279" s="213">
        <f t="shared" si="329"/>
        <v>297</v>
      </c>
      <c r="BF279" s="215">
        <f t="shared" si="330"/>
        <v>2</v>
      </c>
      <c r="BG279" s="215">
        <f t="shared" si="331"/>
        <v>2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>
        <f t="shared" si="323"/>
        <v>172</v>
      </c>
      <c r="BP279" s="215">
        <f t="shared" si="324"/>
        <v>125</v>
      </c>
      <c r="BQ279" s="216"/>
      <c r="BR279" s="214"/>
      <c r="BS279" s="215">
        <f t="shared" si="332"/>
        <v>172</v>
      </c>
      <c r="BT279" s="215">
        <f t="shared" si="333"/>
        <v>0</v>
      </c>
      <c r="BU279" s="215" t="str">
        <f t="shared" si="334"/>
        <v>High Roller Rosenheim 1</v>
      </c>
      <c r="BV279" s="214">
        <f t="shared" si="335"/>
        <v>2</v>
      </c>
      <c r="BW279" s="215">
        <f t="shared" si="336"/>
        <v>297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76" t="s">
        <v>2</v>
      </c>
      <c r="B280" s="73" t="str">
        <f t="shared" si="326"/>
        <v>Schwarz, Christian</v>
      </c>
      <c r="C280" s="74">
        <f t="shared" si="326"/>
        <v>25061</v>
      </c>
      <c r="D280" s="75">
        <f t="shared" si="326"/>
        <v>234</v>
      </c>
      <c r="E280" s="348">
        <f>IF(AD280="","",AD280)</f>
        <v>1</v>
      </c>
      <c r="F280" s="75">
        <f t="shared" si="307"/>
        <v>173</v>
      </c>
      <c r="G280" s="348">
        <f>IF(AF280="","",AF280)</f>
        <v>0</v>
      </c>
      <c r="H280" s="75">
        <f t="shared" si="308"/>
        <v>183</v>
      </c>
      <c r="I280" s="348">
        <f>IF(AH280="","",AH280)</f>
        <v>1</v>
      </c>
      <c r="J280" s="75">
        <f t="shared" si="309"/>
        <v>155</v>
      </c>
      <c r="K280" s="348">
        <f>IF(AJ280="","",AJ280)</f>
        <v>0</v>
      </c>
      <c r="L280" s="75">
        <f t="shared" si="310"/>
        <v>174</v>
      </c>
      <c r="M280" s="348">
        <f>IF(AL280="","",AL280)</f>
        <v>1</v>
      </c>
      <c r="N280" s="75">
        <f t="shared" si="327"/>
        <v>211</v>
      </c>
      <c r="O280" s="348">
        <f>IF(AN280="","",AN280)</f>
        <v>1</v>
      </c>
      <c r="P280" s="75">
        <f t="shared" si="311"/>
        <v>201</v>
      </c>
      <c r="Q280" s="348">
        <f>IF(AP280="","",AP280)</f>
        <v>1</v>
      </c>
      <c r="R280" s="75">
        <f t="shared" si="312"/>
        <v>181</v>
      </c>
      <c r="S280" s="348">
        <f>IF(AR280="","",AR280)</f>
        <v>1</v>
      </c>
      <c r="T280" s="75">
        <f t="shared" si="313"/>
        <v>167</v>
      </c>
      <c r="U280" s="348">
        <f>IF(AT280="","",AT280)</f>
        <v>0</v>
      </c>
      <c r="V280" s="75">
        <f t="shared" si="314"/>
        <v>1679</v>
      </c>
      <c r="W280" s="348">
        <f>IF(AV280="","",AV280)</f>
        <v>6</v>
      </c>
      <c r="Z280" s="351" t="s">
        <v>2</v>
      </c>
      <c r="AA280" s="108" t="str">
        <f>IF(AB280=0,"",VLOOKUP(AB280,Starter!$A$1:$D$199,2,FALSE))</f>
        <v>Schwarz, Christian</v>
      </c>
      <c r="AB280" s="99">
        <v>25061</v>
      </c>
      <c r="AC280" s="188">
        <v>234</v>
      </c>
      <c r="AD280" s="109">
        <f>IF(SUM(AC280:AC282)+AC296=0,0,IF(SUM(AC280:AC282)=AC296,0.5,IF(SUM(AC280:AC282)&gt;AC296,1,0)))</f>
        <v>1</v>
      </c>
      <c r="AE280" s="188">
        <v>173</v>
      </c>
      <c r="AF280" s="109">
        <f>IF(SUM(AE280:AE282)+AE296=0,0,IF(SUM(AE280:AE282)=AE296,0.5,IF(SUM(AE280:AE282)&gt;AE296,1,0)))</f>
        <v>0</v>
      </c>
      <c r="AG280" s="188">
        <v>183</v>
      </c>
      <c r="AH280" s="109">
        <f>IF(SUM(AG280:AG282)+AG296=0,0,IF(SUM(AG280:AG282)=AG296,0.5,IF(SUM(AG280:AG282)&gt;AG296,1,0)))</f>
        <v>1</v>
      </c>
      <c r="AI280" s="188">
        <v>155</v>
      </c>
      <c r="AJ280" s="109">
        <f>IF(SUM(AI280:AI282)+AI296=0,0,IF(SUM(AI280:AI282)=AI296,0.5,IF(SUM(AI280:AI282)&gt;AI296,1,0)))</f>
        <v>0</v>
      </c>
      <c r="AK280" s="188">
        <v>174</v>
      </c>
      <c r="AL280" s="109">
        <f>IF(SUM(AK280:AK282)+AK296=0,0,IF(SUM(AK280:AK282)=AK296,0.5,IF(SUM(AK280:AK282)&gt;AK296,1,0)))</f>
        <v>1</v>
      </c>
      <c r="AM280" s="188">
        <v>211</v>
      </c>
      <c r="AN280" s="109">
        <f>IF(SUM(AM280:AM282)+AM296=0,0,IF(SUM(AM280:AM282)=AM296,0.5,IF(SUM(AM280:AM282)&gt;AM296,1,0)))</f>
        <v>1</v>
      </c>
      <c r="AO280" s="188">
        <v>201</v>
      </c>
      <c r="AP280" s="109">
        <f>IF(SUM(AO280:AO282)+AO296=0,0,IF(SUM(AO280:AO282)=AO296,0.5,IF(SUM(AO280:AO282)&gt;AO296,1,0)))</f>
        <v>1</v>
      </c>
      <c r="AQ280" s="188">
        <v>181</v>
      </c>
      <c r="AR280" s="109">
        <f>IF(SUM(AQ280:AQ282)+AQ296=0,0,IF(SUM(AQ280:AQ282)=AQ296,0.5,IF(SUM(AQ280:AQ282)&gt;AQ296,1,0)))</f>
        <v>1</v>
      </c>
      <c r="AS280" s="188">
        <v>167</v>
      </c>
      <c r="AT280" s="109">
        <f>IF(SUM(AS280:AS282)+AS296=0,0,IF(SUM(AS280:AS282)=AS296,0.5,IF(SUM(AS280:AS282)&gt;AS296,1,0)))</f>
        <v>0</v>
      </c>
      <c r="AU280" s="110">
        <f t="shared" si="315"/>
        <v>1679</v>
      </c>
      <c r="AV280" s="111">
        <f>SUM(AD280+AF280+AH280+AJ280+AL280+AN280+AP280+AR280+AT280)</f>
        <v>6</v>
      </c>
      <c r="AW280" s="101"/>
      <c r="AX280" s="102"/>
      <c r="AZ280" s="63"/>
      <c r="BA280" s="212"/>
      <c r="BB280" s="213"/>
      <c r="BC280" s="214"/>
      <c r="BD280" s="217">
        <f t="shared" si="328"/>
        <v>25061</v>
      </c>
      <c r="BE280" s="213">
        <f t="shared" si="329"/>
        <v>1679</v>
      </c>
      <c r="BF280" s="215">
        <f t="shared" si="330"/>
        <v>9</v>
      </c>
      <c r="BG280" s="215">
        <f t="shared" si="331"/>
        <v>9</v>
      </c>
      <c r="BH280" s="215">
        <f t="shared" si="316"/>
        <v>234</v>
      </c>
      <c r="BI280" s="215">
        <f t="shared" si="317"/>
        <v>173</v>
      </c>
      <c r="BJ280" s="215">
        <f t="shared" si="318"/>
        <v>183</v>
      </c>
      <c r="BK280" s="215">
        <f t="shared" si="319"/>
        <v>155</v>
      </c>
      <c r="BL280" s="215">
        <f t="shared" si="320"/>
        <v>174</v>
      </c>
      <c r="BM280" s="215">
        <f t="shared" si="321"/>
        <v>211</v>
      </c>
      <c r="BN280" s="215">
        <f t="shared" si="322"/>
        <v>201</v>
      </c>
      <c r="BO280" s="215">
        <f t="shared" si="323"/>
        <v>181</v>
      </c>
      <c r="BP280" s="215">
        <f t="shared" si="324"/>
        <v>167</v>
      </c>
      <c r="BQ280" s="216"/>
      <c r="BR280" s="214"/>
      <c r="BS280" s="215">
        <f t="shared" si="332"/>
        <v>234</v>
      </c>
      <c r="BT280" s="215">
        <f t="shared" si="333"/>
        <v>0</v>
      </c>
      <c r="BU280" s="215" t="str">
        <f t="shared" si="334"/>
        <v>High Roller Rosenheim 1</v>
      </c>
      <c r="BV280" s="214">
        <f t="shared" si="335"/>
        <v>2</v>
      </c>
      <c r="BW280" s="215">
        <f t="shared" si="336"/>
        <v>1679</v>
      </c>
      <c r="BX280" s="215">
        <f>IF(COUNTIF(BH280:BP280,"&gt;0")&lt;Spielorte!$A$23,0,BE280/Spielorte!$A$23)</f>
        <v>186.55555555555554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77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49"/>
      <c r="F281" s="78" t="str">
        <f t="shared" si="307"/>
        <v/>
      </c>
      <c r="G281" s="349"/>
      <c r="H281" s="78" t="str">
        <f t="shared" si="308"/>
        <v/>
      </c>
      <c r="I281" s="349"/>
      <c r="J281" s="78" t="str">
        <f t="shared" si="309"/>
        <v/>
      </c>
      <c r="K281" s="349"/>
      <c r="L281" s="78" t="str">
        <f t="shared" si="310"/>
        <v/>
      </c>
      <c r="M281" s="349"/>
      <c r="N281" s="78" t="str">
        <f t="shared" si="327"/>
        <v/>
      </c>
      <c r="O281" s="349"/>
      <c r="P281" s="78" t="str">
        <f t="shared" si="311"/>
        <v/>
      </c>
      <c r="Q281" s="349"/>
      <c r="R281" s="78" t="str">
        <f t="shared" si="312"/>
        <v/>
      </c>
      <c r="S281" s="349"/>
      <c r="T281" s="78" t="str">
        <f t="shared" si="313"/>
        <v/>
      </c>
      <c r="U281" s="349"/>
      <c r="V281" s="78" t="str">
        <f t="shared" si="314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High Roller Rosenheim 1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8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0"/>
      <c r="F282" s="69" t="str">
        <f t="shared" si="307"/>
        <v/>
      </c>
      <c r="G282" s="350"/>
      <c r="H282" s="69" t="str">
        <f t="shared" si="308"/>
        <v/>
      </c>
      <c r="I282" s="350"/>
      <c r="J282" s="69" t="str">
        <f t="shared" si="309"/>
        <v/>
      </c>
      <c r="K282" s="350"/>
      <c r="L282" s="69" t="str">
        <f t="shared" si="310"/>
        <v/>
      </c>
      <c r="M282" s="350"/>
      <c r="N282" s="69" t="str">
        <f t="shared" si="327"/>
        <v/>
      </c>
      <c r="O282" s="350"/>
      <c r="P282" s="69" t="str">
        <f t="shared" si="311"/>
        <v/>
      </c>
      <c r="Q282" s="350"/>
      <c r="R282" s="69" t="str">
        <f t="shared" si="312"/>
        <v/>
      </c>
      <c r="S282" s="350"/>
      <c r="T282" s="69" t="str">
        <f t="shared" si="313"/>
        <v/>
      </c>
      <c r="U282" s="350"/>
      <c r="V282" s="69" t="str">
        <f t="shared" si="314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High Roller Rosenheim 1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76" t="s">
        <v>3</v>
      </c>
      <c r="B283" s="73" t="str">
        <f t="shared" si="326"/>
        <v>Kabel, Nicolas</v>
      </c>
      <c r="C283" s="74">
        <f t="shared" si="326"/>
        <v>38092</v>
      </c>
      <c r="D283" s="75">
        <f t="shared" si="326"/>
        <v>177</v>
      </c>
      <c r="E283" s="348">
        <f>IF(AD283="","",AD283)</f>
        <v>0</v>
      </c>
      <c r="F283" s="75">
        <f t="shared" si="307"/>
        <v>190</v>
      </c>
      <c r="G283" s="348">
        <f>IF(AF283="","",AF283)</f>
        <v>0</v>
      </c>
      <c r="H283" s="75">
        <f t="shared" si="308"/>
        <v>123</v>
      </c>
      <c r="I283" s="348">
        <f>IF(AH283="","",AH283)</f>
        <v>0</v>
      </c>
      <c r="J283" s="75">
        <f t="shared" si="309"/>
        <v>190</v>
      </c>
      <c r="K283" s="348">
        <f>IF(AJ283="","",AJ283)</f>
        <v>0</v>
      </c>
      <c r="L283" s="75">
        <f t="shared" si="310"/>
        <v>212</v>
      </c>
      <c r="M283" s="348">
        <f>IF(AL283="","",AL283)</f>
        <v>1</v>
      </c>
      <c r="N283" s="75">
        <f t="shared" si="327"/>
        <v>197</v>
      </c>
      <c r="O283" s="348">
        <f>IF(AN283="","",AN283)</f>
        <v>1</v>
      </c>
      <c r="P283" s="75">
        <f t="shared" si="311"/>
        <v>184</v>
      </c>
      <c r="Q283" s="348">
        <f>IF(AP283="","",AP283)</f>
        <v>0</v>
      </c>
      <c r="R283" s="75">
        <f t="shared" si="312"/>
        <v>168</v>
      </c>
      <c r="S283" s="348">
        <f>IF(AR283="","",AR283)</f>
        <v>0</v>
      </c>
      <c r="T283" s="75">
        <f t="shared" si="313"/>
        <v>150</v>
      </c>
      <c r="U283" s="348">
        <f>IF(AT283="","",AT283)</f>
        <v>0</v>
      </c>
      <c r="V283" s="75">
        <f t="shared" si="314"/>
        <v>1591</v>
      </c>
      <c r="W283" s="348">
        <f>IF(AV283="","",AV283)</f>
        <v>2</v>
      </c>
      <c r="Z283" s="351" t="s">
        <v>3</v>
      </c>
      <c r="AA283" s="108" t="str">
        <f>IF(AB283=0,"",VLOOKUP(AB283,Starter!$A$1:$D$199,2,FALSE))</f>
        <v>Kabel, Nicolas</v>
      </c>
      <c r="AB283" s="99">
        <v>38092</v>
      </c>
      <c r="AC283" s="188">
        <v>177</v>
      </c>
      <c r="AD283" s="109">
        <f>IF(SUM(AC283:AC285)+AC297=0,0,IF(SUM(AC283:AC285)=AC297,0.5,IF(SUM(AC283:AC285)&gt;AC297,1,0)))</f>
        <v>0</v>
      </c>
      <c r="AE283" s="188">
        <v>190</v>
      </c>
      <c r="AF283" s="109">
        <f>IF(SUM(AE283:AE285)+AE297=0,0,IF(SUM(AE283:AE285)=AE297,0.5,IF(SUM(AE283:AE285)&gt;AE297,1,0)))</f>
        <v>0</v>
      </c>
      <c r="AG283" s="188">
        <v>123</v>
      </c>
      <c r="AH283" s="109">
        <f>IF(SUM(AG283:AG285)+AG297=0,0,IF(SUM(AG283:AG285)=AG297,0.5,IF(SUM(AG283:AG285)&gt;AG297,1,0)))</f>
        <v>0</v>
      </c>
      <c r="AI283" s="188">
        <v>190</v>
      </c>
      <c r="AJ283" s="109">
        <f>IF(SUM(AI283:AI285)+AI297=0,0,IF(SUM(AI283:AI285)=AI297,0.5,IF(SUM(AI283:AI285)&gt;AI297,1,0)))</f>
        <v>0</v>
      </c>
      <c r="AK283" s="188">
        <v>212</v>
      </c>
      <c r="AL283" s="109">
        <f>IF(SUM(AK283:AK285)+AK297=0,0,IF(SUM(AK283:AK285)=AK297,0.5,IF(SUM(AK283:AK285)&gt;AK297,1,0)))</f>
        <v>1</v>
      </c>
      <c r="AM283" s="188">
        <v>197</v>
      </c>
      <c r="AN283" s="109">
        <f>IF(SUM(AM283:AM285)+AM297=0,0,IF(SUM(AM283:AM285)=AM297,0.5,IF(SUM(AM283:AM285)&gt;AM297,1,0)))</f>
        <v>1</v>
      </c>
      <c r="AO283" s="188">
        <v>184</v>
      </c>
      <c r="AP283" s="109">
        <f>IF(SUM(AO283:AO285)+AO297=0,0,IF(SUM(AO283:AO285)=AO297,0.5,IF(SUM(AO283:AO285)&gt;AO297,1,0)))</f>
        <v>0</v>
      </c>
      <c r="AQ283" s="188">
        <v>168</v>
      </c>
      <c r="AR283" s="109">
        <f>IF(SUM(AQ283:AQ285)+AQ297=0,0,IF(SUM(AQ283:AQ285)=AQ297,0.5,IF(SUM(AQ283:AQ285)&gt;AQ297,1,0)))</f>
        <v>0</v>
      </c>
      <c r="AS283" s="188">
        <v>150</v>
      </c>
      <c r="AT283" s="109">
        <f>IF(SUM(AS283:AS285)+AS297=0,0,IF(SUM(AS283:AS285)=AS297,0.5,IF(SUM(AS283:AS285)&gt;AS297,1,0)))</f>
        <v>0</v>
      </c>
      <c r="AU283" s="110">
        <f t="shared" si="315"/>
        <v>1591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28"/>
        <v>38092</v>
      </c>
      <c r="BE283" s="213">
        <f t="shared" si="329"/>
        <v>1591</v>
      </c>
      <c r="BF283" s="215">
        <f t="shared" si="330"/>
        <v>9</v>
      </c>
      <c r="BG283" s="215">
        <f t="shared" si="331"/>
        <v>9</v>
      </c>
      <c r="BH283" s="215">
        <f t="shared" si="316"/>
        <v>177</v>
      </c>
      <c r="BI283" s="215">
        <f t="shared" si="317"/>
        <v>190</v>
      </c>
      <c r="BJ283" s="215">
        <f t="shared" si="318"/>
        <v>123</v>
      </c>
      <c r="BK283" s="215">
        <f t="shared" si="319"/>
        <v>190</v>
      </c>
      <c r="BL283" s="215">
        <f t="shared" si="320"/>
        <v>212</v>
      </c>
      <c r="BM283" s="215">
        <f t="shared" si="321"/>
        <v>197</v>
      </c>
      <c r="BN283" s="215">
        <f t="shared" si="322"/>
        <v>184</v>
      </c>
      <c r="BO283" s="215">
        <f t="shared" si="323"/>
        <v>168</v>
      </c>
      <c r="BP283" s="215">
        <f t="shared" si="324"/>
        <v>150</v>
      </c>
      <c r="BQ283" s="216"/>
      <c r="BR283" s="214"/>
      <c r="BS283" s="215">
        <f t="shared" si="332"/>
        <v>212</v>
      </c>
      <c r="BT283" s="215">
        <f t="shared" si="333"/>
        <v>0</v>
      </c>
      <c r="BU283" s="215" t="str">
        <f t="shared" si="334"/>
        <v>High Roller Rosenheim 1</v>
      </c>
      <c r="BV283" s="214">
        <f t="shared" si="335"/>
        <v>2</v>
      </c>
      <c r="BW283" s="215">
        <f t="shared" si="336"/>
        <v>1591</v>
      </c>
      <c r="BX283" s="215">
        <f>IF(COUNTIF(BH283:BP283,"&gt;0")&lt;Spielorte!$A$23,0,BE283/Spielorte!$A$23)</f>
        <v>176.77777777777777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77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49"/>
      <c r="F284" s="78" t="str">
        <f t="shared" si="307"/>
        <v/>
      </c>
      <c r="G284" s="349"/>
      <c r="H284" s="78" t="str">
        <f t="shared" si="308"/>
        <v/>
      </c>
      <c r="I284" s="349"/>
      <c r="J284" s="78" t="str">
        <f t="shared" si="309"/>
        <v/>
      </c>
      <c r="K284" s="349"/>
      <c r="L284" s="78" t="str">
        <f t="shared" si="310"/>
        <v/>
      </c>
      <c r="M284" s="349"/>
      <c r="N284" s="78" t="str">
        <f t="shared" si="327"/>
        <v/>
      </c>
      <c r="O284" s="349"/>
      <c r="P284" s="78" t="str">
        <f t="shared" si="311"/>
        <v/>
      </c>
      <c r="Q284" s="349"/>
      <c r="R284" s="78" t="str">
        <f t="shared" si="312"/>
        <v/>
      </c>
      <c r="S284" s="349"/>
      <c r="T284" s="78" t="str">
        <f t="shared" si="313"/>
        <v/>
      </c>
      <c r="U284" s="349"/>
      <c r="V284" s="78" t="str">
        <f t="shared" si="314"/>
        <v/>
      </c>
      <c r="W284" s="349"/>
      <c r="Z284" s="352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0</v>
      </c>
      <c r="BU284" s="215" t="str">
        <f t="shared" si="334"/>
        <v>High Roller Rosenheim 1</v>
      </c>
      <c r="BV284" s="214">
        <f t="shared" si="335"/>
        <v>2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8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0"/>
      <c r="F285" s="69" t="str">
        <f t="shared" si="307"/>
        <v/>
      </c>
      <c r="G285" s="350"/>
      <c r="H285" s="69" t="str">
        <f t="shared" si="308"/>
        <v/>
      </c>
      <c r="I285" s="350"/>
      <c r="J285" s="69" t="str">
        <f t="shared" si="309"/>
        <v/>
      </c>
      <c r="K285" s="350"/>
      <c r="L285" s="69" t="str">
        <f t="shared" si="310"/>
        <v/>
      </c>
      <c r="M285" s="350"/>
      <c r="N285" s="69" t="str">
        <f t="shared" si="327"/>
        <v/>
      </c>
      <c r="O285" s="350"/>
      <c r="P285" s="69" t="str">
        <f t="shared" si="311"/>
        <v/>
      </c>
      <c r="Q285" s="350"/>
      <c r="R285" s="69" t="str">
        <f t="shared" si="312"/>
        <v/>
      </c>
      <c r="S285" s="350"/>
      <c r="T285" s="69" t="str">
        <f t="shared" si="313"/>
        <v/>
      </c>
      <c r="U285" s="350"/>
      <c r="V285" s="69" t="str">
        <f t="shared" si="314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High Roller Rosenheim 1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76" t="s">
        <v>11</v>
      </c>
      <c r="B286" s="73" t="str">
        <f>IF(AA286=0,"",AA286)</f>
        <v>Lengen, Peter</v>
      </c>
      <c r="C286" s="74">
        <f t="shared" si="326"/>
        <v>25297</v>
      </c>
      <c r="D286" s="75">
        <f t="shared" si="326"/>
        <v>155</v>
      </c>
      <c r="E286" s="348">
        <f>IF(AD286="","",AD286)</f>
        <v>0</v>
      </c>
      <c r="F286" s="75">
        <f t="shared" si="307"/>
        <v>128</v>
      </c>
      <c r="G286" s="348">
        <f>IF(AF286="","",AF286)</f>
        <v>0</v>
      </c>
      <c r="H286" s="75" t="str">
        <f t="shared" si="308"/>
        <v/>
      </c>
      <c r="I286" s="348">
        <f>IF(AH286="","",AH286)</f>
        <v>0</v>
      </c>
      <c r="J286" s="75" t="str">
        <f t="shared" si="309"/>
        <v/>
      </c>
      <c r="K286" s="348">
        <f>IF(AJ286="","",AJ286)</f>
        <v>1</v>
      </c>
      <c r="L286" s="75" t="str">
        <f t="shared" si="310"/>
        <v/>
      </c>
      <c r="M286" s="348">
        <f>IF(AL286="","",AL286)</f>
        <v>1</v>
      </c>
      <c r="N286" s="75" t="str">
        <f t="shared" si="327"/>
        <v/>
      </c>
      <c r="O286" s="348">
        <f>IF(AN286="","",AN286)</f>
        <v>0</v>
      </c>
      <c r="P286" s="75" t="str">
        <f t="shared" si="311"/>
        <v/>
      </c>
      <c r="Q286" s="348">
        <f>IF(AP286="","",AP286)</f>
        <v>1</v>
      </c>
      <c r="R286" s="75" t="str">
        <f t="shared" si="312"/>
        <v/>
      </c>
      <c r="S286" s="348">
        <f>IF(AR286="","",AR286)</f>
        <v>1</v>
      </c>
      <c r="T286" s="75" t="str">
        <f t="shared" si="313"/>
        <v/>
      </c>
      <c r="U286" s="348">
        <f>IF(AT286="","",AT286)</f>
        <v>0</v>
      </c>
      <c r="V286" s="75">
        <f t="shared" si="314"/>
        <v>283</v>
      </c>
      <c r="W286" s="348">
        <f>IF(AV286="","",AV286)</f>
        <v>4</v>
      </c>
      <c r="Z286" s="351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IF(SUM(AC286:AC288)+AC298=0,0,IF(SUM(AC286:AC288)=AC298,0.5,IF(SUM(AC286:AC288)&gt;AC298,1,0)))</f>
        <v>0</v>
      </c>
      <c r="AE286" s="188">
        <v>128</v>
      </c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1</v>
      </c>
      <c r="AK286" s="188"/>
      <c r="AL286" s="109">
        <f>IF(SUM(AK286:AK288)+AK298=0,0,IF(SUM(AK286:AK288)=AK298,0.5,IF(SUM(AK286:AK288)&gt;AK298,1,0)))</f>
        <v>1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1</v>
      </c>
      <c r="AQ286" s="188"/>
      <c r="AR286" s="109">
        <f>IF(SUM(AQ286:AQ288)+AQ298=0,0,IF(SUM(AQ286:AQ288)=AQ298,0.5,IF(SUM(AQ286:AQ288)&gt;AQ298,1,0)))</f>
        <v>1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283</v>
      </c>
      <c r="AV286" s="111">
        <f>SUM(AD286+AF286+AH286+AJ286+AL286+AN286+AP286+AR286+AT286)</f>
        <v>4</v>
      </c>
      <c r="AW286" s="101"/>
      <c r="AX286" s="102"/>
      <c r="AZ286" s="63"/>
      <c r="BA286" s="212"/>
      <c r="BB286" s="213"/>
      <c r="BC286" s="214"/>
      <c r="BD286" s="217">
        <f t="shared" si="328"/>
        <v>25297</v>
      </c>
      <c r="BE286" s="213">
        <f t="shared" si="329"/>
        <v>283</v>
      </c>
      <c r="BF286" s="215">
        <f t="shared" si="330"/>
        <v>2</v>
      </c>
      <c r="BG286" s="215">
        <f t="shared" si="331"/>
        <v>2</v>
      </c>
      <c r="BH286" s="215">
        <f t="shared" si="316"/>
        <v>155</v>
      </c>
      <c r="BI286" s="215">
        <f t="shared" si="317"/>
        <v>128</v>
      </c>
      <c r="BJ286" s="215" t="str">
        <f t="shared" si="318"/>
        <v/>
      </c>
      <c r="BK286" s="215" t="str">
        <f t="shared" si="319"/>
        <v/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155</v>
      </c>
      <c r="BT286" s="215">
        <f t="shared" si="333"/>
        <v>0</v>
      </c>
      <c r="BU286" s="215" t="str">
        <f t="shared" si="334"/>
        <v>High Roller Rosenheim 1</v>
      </c>
      <c r="BV286" s="214">
        <f t="shared" si="335"/>
        <v>2</v>
      </c>
      <c r="BW286" s="215">
        <f t="shared" si="336"/>
        <v>283</v>
      </c>
      <c r="BX286" s="215">
        <f>IF(COUNTIF(BH286:BP286,"&gt;0")&lt;Spielorte!$A$23,0,BE286/Spielorte!$A$23)</f>
        <v>0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77"/>
      <c r="B287" s="76" t="str">
        <f>IF(AA287=0,"",AA287)</f>
        <v>Tos, Sascha</v>
      </c>
      <c r="C287" s="77">
        <f t="shared" si="326"/>
        <v>16519</v>
      </c>
      <c r="D287" s="78" t="str">
        <f t="shared" si="326"/>
        <v/>
      </c>
      <c r="E287" s="349"/>
      <c r="F287" s="78" t="str">
        <f t="shared" si="307"/>
        <v/>
      </c>
      <c r="G287" s="349"/>
      <c r="H287" s="78">
        <f t="shared" si="308"/>
        <v>169</v>
      </c>
      <c r="I287" s="349"/>
      <c r="J287" s="78">
        <f t="shared" si="309"/>
        <v>181</v>
      </c>
      <c r="K287" s="349"/>
      <c r="L287" s="78">
        <f t="shared" si="310"/>
        <v>222</v>
      </c>
      <c r="M287" s="349"/>
      <c r="N287" s="78">
        <f t="shared" si="327"/>
        <v>185</v>
      </c>
      <c r="O287" s="349"/>
      <c r="P287" s="78">
        <f t="shared" si="311"/>
        <v>177</v>
      </c>
      <c r="Q287" s="349"/>
      <c r="R287" s="78">
        <f t="shared" si="312"/>
        <v>209</v>
      </c>
      <c r="S287" s="349"/>
      <c r="T287" s="78">
        <f t="shared" si="313"/>
        <v>209</v>
      </c>
      <c r="U287" s="349"/>
      <c r="V287" s="78">
        <f t="shared" si="314"/>
        <v>1352</v>
      </c>
      <c r="W287" s="349"/>
      <c r="Z287" s="352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169</v>
      </c>
      <c r="AH287" s="112"/>
      <c r="AI287" s="186">
        <v>181</v>
      </c>
      <c r="AJ287" s="112"/>
      <c r="AK287" s="186">
        <v>222</v>
      </c>
      <c r="AL287" s="112"/>
      <c r="AM287" s="186">
        <v>185</v>
      </c>
      <c r="AN287" s="112"/>
      <c r="AO287" s="186">
        <v>177</v>
      </c>
      <c r="AP287" s="112"/>
      <c r="AQ287" s="186">
        <v>209</v>
      </c>
      <c r="AR287" s="112"/>
      <c r="AS287" s="186">
        <v>209</v>
      </c>
      <c r="AT287" s="112"/>
      <c r="AU287" s="113">
        <f t="shared" si="315"/>
        <v>1352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16519</v>
      </c>
      <c r="BE287" s="213">
        <f t="shared" si="329"/>
        <v>1352</v>
      </c>
      <c r="BF287" s="215">
        <f t="shared" si="330"/>
        <v>7</v>
      </c>
      <c r="BG287" s="215">
        <f t="shared" si="331"/>
        <v>7</v>
      </c>
      <c r="BH287" s="215" t="str">
        <f t="shared" si="316"/>
        <v/>
      </c>
      <c r="BI287" s="215" t="str">
        <f t="shared" si="317"/>
        <v/>
      </c>
      <c r="BJ287" s="215">
        <f t="shared" si="318"/>
        <v>169</v>
      </c>
      <c r="BK287" s="215">
        <f t="shared" si="319"/>
        <v>181</v>
      </c>
      <c r="BL287" s="215">
        <f t="shared" si="320"/>
        <v>222</v>
      </c>
      <c r="BM287" s="215">
        <f t="shared" si="321"/>
        <v>185</v>
      </c>
      <c r="BN287" s="215">
        <f t="shared" si="322"/>
        <v>177</v>
      </c>
      <c r="BO287" s="215">
        <f t="shared" si="323"/>
        <v>209</v>
      </c>
      <c r="BP287" s="215">
        <f t="shared" si="324"/>
        <v>209</v>
      </c>
      <c r="BQ287" s="216"/>
      <c r="BR287" s="214"/>
      <c r="BS287" s="215">
        <f t="shared" si="332"/>
        <v>222</v>
      </c>
      <c r="BT287" s="215">
        <f t="shared" si="333"/>
        <v>0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1352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8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0"/>
      <c r="F288" s="69" t="str">
        <f t="shared" si="307"/>
        <v/>
      </c>
      <c r="G288" s="350"/>
      <c r="H288" s="69" t="str">
        <f t="shared" si="308"/>
        <v/>
      </c>
      <c r="I288" s="350"/>
      <c r="J288" s="69" t="str">
        <f t="shared" si="309"/>
        <v/>
      </c>
      <c r="K288" s="350"/>
      <c r="L288" s="69" t="str">
        <f t="shared" si="310"/>
        <v/>
      </c>
      <c r="M288" s="350"/>
      <c r="N288" s="69" t="str">
        <f t="shared" si="327"/>
        <v/>
      </c>
      <c r="O288" s="350"/>
      <c r="P288" s="69" t="str">
        <f t="shared" si="311"/>
        <v/>
      </c>
      <c r="Q288" s="350"/>
      <c r="R288" s="69" t="str">
        <f t="shared" si="312"/>
        <v/>
      </c>
      <c r="S288" s="350"/>
      <c r="T288" s="69" t="str">
        <f t="shared" si="313"/>
        <v/>
      </c>
      <c r="U288" s="350"/>
      <c r="V288" s="69" t="str">
        <f t="shared" si="314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High Roller Rosenheim 1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746</v>
      </c>
      <c r="E289" s="84">
        <f>IF(AD289="","",AD289)</f>
        <v>0</v>
      </c>
      <c r="F289" s="83">
        <f t="shared" si="307"/>
        <v>654</v>
      </c>
      <c r="G289" s="84">
        <f>IF(AF289="","",AF289)</f>
        <v>0</v>
      </c>
      <c r="H289" s="83">
        <f t="shared" si="308"/>
        <v>706</v>
      </c>
      <c r="I289" s="84">
        <f>IF(AH289="","",AH289)</f>
        <v>2</v>
      </c>
      <c r="J289" s="83">
        <f t="shared" si="309"/>
        <v>709</v>
      </c>
      <c r="K289" s="84">
        <f>IF(AJ289="","",AJ289)</f>
        <v>2</v>
      </c>
      <c r="L289" s="83">
        <f t="shared" si="310"/>
        <v>824</v>
      </c>
      <c r="M289" s="84">
        <f>IF(AL289="","",AL289)</f>
        <v>2</v>
      </c>
      <c r="N289" s="83">
        <f t="shared" si="327"/>
        <v>750</v>
      </c>
      <c r="O289" s="84">
        <f>IF(AN289="","",AN289)</f>
        <v>0</v>
      </c>
      <c r="P289" s="83">
        <f t="shared" si="311"/>
        <v>737</v>
      </c>
      <c r="Q289" s="84">
        <f>IF(AP289="","",AP289)</f>
        <v>0</v>
      </c>
      <c r="R289" s="83">
        <f t="shared" si="312"/>
        <v>730</v>
      </c>
      <c r="S289" s="84">
        <f>IF(AR289="","",AR289)</f>
        <v>2</v>
      </c>
      <c r="T289" s="83">
        <f t="shared" si="313"/>
        <v>651</v>
      </c>
      <c r="U289" s="84">
        <f>IF(AT289="","",AT289)</f>
        <v>0</v>
      </c>
      <c r="V289" s="83">
        <f t="shared" si="314"/>
        <v>6507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746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654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706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709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824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750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737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730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651</v>
      </c>
      <c r="AT289" s="121">
        <f>IF(AS289+AS299=0,0,IF(AS289=AS299,1,IF(AS289&gt;AS299,2,0)))</f>
        <v>0</v>
      </c>
      <c r="AU289" s="122">
        <f>SUM(AC289+AE289+AG289+AI289+AK289+AM289+AO289+AQ289+AS289)</f>
        <v>6507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1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4</v>
      </c>
      <c r="J290" s="86" t="str">
        <f t="shared" si="309"/>
        <v/>
      </c>
      <c r="K290" s="87">
        <f>IF(AJ290="","",AJ290)</f>
        <v>4</v>
      </c>
      <c r="L290" s="86" t="str">
        <f t="shared" si="310"/>
        <v/>
      </c>
      <c r="M290" s="87">
        <f>IF(AL290="","",AL290)</f>
        <v>6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2</v>
      </c>
      <c r="R290" s="86" t="str">
        <f t="shared" si="312"/>
        <v/>
      </c>
      <c r="S290" s="87">
        <f>IF(AR290="","",AR290)</f>
        <v>4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0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6</v>
      </c>
      <c r="AM290" s="86"/>
      <c r="AN290" s="124">
        <f>SUM(AN277:AN289)</f>
        <v>2</v>
      </c>
      <c r="AO290" s="86"/>
      <c r="AP290" s="124">
        <f>SUM(AP277:AP289)</f>
        <v>2</v>
      </c>
      <c r="AQ290" s="86"/>
      <c r="AR290" s="124">
        <f>SUM(AR277:AR289)</f>
        <v>4</v>
      </c>
      <c r="AS290" s="86"/>
      <c r="AT290" s="124">
        <f>SUM(AT277:AT289)</f>
        <v>0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6507</v>
      </c>
      <c r="BC290" s="214">
        <f>+AA272</f>
        <v>10</v>
      </c>
      <c r="BF290" s="215">
        <f>SUM(BF271:BF289)</f>
        <v>36</v>
      </c>
      <c r="BQ290" s="212">
        <f>+BB290/1000000+BA290</f>
        <v>23.006506999999999</v>
      </c>
      <c r="BR290" s="214">
        <f>RANK(BQ290,BQ:BQ)</f>
        <v>8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6">
        <f t="shared" si="338"/>
        <v>3</v>
      </c>
      <c r="E292" s="356" t="str">
        <f t="shared" si="338"/>
        <v/>
      </c>
      <c r="F292" s="356">
        <f t="shared" si="338"/>
        <v>2</v>
      </c>
      <c r="G292" s="356" t="str">
        <f t="shared" si="338"/>
        <v/>
      </c>
      <c r="H292" s="356">
        <f t="shared" si="338"/>
        <v>7</v>
      </c>
      <c r="I292" s="356" t="str">
        <f t="shared" si="338"/>
        <v/>
      </c>
      <c r="J292" s="356">
        <f t="shared" si="338"/>
        <v>8</v>
      </c>
      <c r="K292" s="356" t="str">
        <f t="shared" si="338"/>
        <v/>
      </c>
      <c r="L292" s="356">
        <f t="shared" ref="L292:U294" si="339">IF(AK292=0,"",AK292)</f>
        <v>5</v>
      </c>
      <c r="M292" s="356" t="str">
        <f t="shared" si="339"/>
        <v/>
      </c>
      <c r="N292" s="356">
        <f t="shared" si="339"/>
        <v>9</v>
      </c>
      <c r="O292" s="356" t="str">
        <f t="shared" si="339"/>
        <v/>
      </c>
      <c r="P292" s="356">
        <f t="shared" si="339"/>
        <v>4</v>
      </c>
      <c r="Q292" s="356" t="str">
        <f t="shared" si="339"/>
        <v/>
      </c>
      <c r="R292" s="356">
        <f t="shared" si="339"/>
        <v>6</v>
      </c>
      <c r="S292" s="356" t="str">
        <f t="shared" si="339"/>
        <v/>
      </c>
      <c r="T292" s="356">
        <f t="shared" si="339"/>
        <v>1</v>
      </c>
      <c r="U292" s="356" t="str">
        <f t="shared" si="339"/>
        <v/>
      </c>
      <c r="V292" s="357"/>
      <c r="W292" s="357"/>
      <c r="AA292" s="88" t="s">
        <v>1797</v>
      </c>
      <c r="AB292" s="89" t="s">
        <v>1798</v>
      </c>
      <c r="AC292" s="370">
        <f>VLOOKUP($AA272,Schlüssel!$A$5:$DG$14,43)</f>
        <v>3</v>
      </c>
      <c r="AD292" s="371"/>
      <c r="AE292" s="370">
        <f>VLOOKUP($AA272,Schlüssel!$A$5:$EK$14,44)</f>
        <v>2</v>
      </c>
      <c r="AF292" s="371"/>
      <c r="AG292" s="370">
        <f>VLOOKUP($AA272,Schlüssel!$A$5:$EK$14,45)</f>
        <v>7</v>
      </c>
      <c r="AH292" s="371"/>
      <c r="AI292" s="370">
        <f>VLOOKUP($AA272,Schlüssel!$A$5:$EK$14,46)</f>
        <v>8</v>
      </c>
      <c r="AJ292" s="371"/>
      <c r="AK292" s="370">
        <f>VLOOKUP($AA272,Schlüssel!$A$5:$EK$14,47)</f>
        <v>5</v>
      </c>
      <c r="AL292" s="371"/>
      <c r="AM292" s="370">
        <f>VLOOKUP($AA272,Schlüssel!$A$5:$EK$14,48)</f>
        <v>9</v>
      </c>
      <c r="AN292" s="371"/>
      <c r="AO292" s="370">
        <f>VLOOKUP($AA272,Schlüssel!$A$5:$EK$14,49)</f>
        <v>4</v>
      </c>
      <c r="AP292" s="371"/>
      <c r="AQ292" s="370">
        <f>VLOOKUP($AA272,Schlüssel!$A$5:$EK$14,50)</f>
        <v>6</v>
      </c>
      <c r="AR292" s="371"/>
      <c r="AS292" s="370">
        <f>VLOOKUP($AA272,Schlüssel!$A$5:$EK$14,51)</f>
        <v>1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58" t="str">
        <f t="shared" si="338"/>
        <v>BK München 3</v>
      </c>
      <c r="E293" s="359" t="str">
        <f t="shared" si="338"/>
        <v/>
      </c>
      <c r="F293" s="358" t="str">
        <f t="shared" si="338"/>
        <v>Bajuwaren München 1</v>
      </c>
      <c r="G293" s="359" t="str">
        <f t="shared" si="338"/>
        <v/>
      </c>
      <c r="H293" s="358" t="str">
        <f t="shared" si="338"/>
        <v>Schanzer Ingolstadt 1</v>
      </c>
      <c r="I293" s="359" t="str">
        <f t="shared" si="338"/>
        <v/>
      </c>
      <c r="J293" s="358" t="str">
        <f t="shared" si="338"/>
        <v>BC EMAX Unterföhring 2</v>
      </c>
      <c r="K293" s="359" t="str">
        <f t="shared" si="338"/>
        <v/>
      </c>
      <c r="L293" s="358" t="str">
        <f t="shared" si="339"/>
        <v>RW Lichtenhof Stein 1</v>
      </c>
      <c r="M293" s="359" t="str">
        <f t="shared" si="339"/>
        <v/>
      </c>
      <c r="N293" s="358" t="str">
        <f t="shared" si="339"/>
        <v>Bowlinghaus Bamberg 1</v>
      </c>
      <c r="O293" s="359" t="str">
        <f t="shared" si="339"/>
        <v/>
      </c>
      <c r="P293" s="358" t="str">
        <f t="shared" si="339"/>
        <v>SG DJK Rimpar</v>
      </c>
      <c r="Q293" s="359" t="str">
        <f t="shared" si="339"/>
        <v/>
      </c>
      <c r="R293" s="358" t="str">
        <f t="shared" si="339"/>
        <v>SG Rottendorf 1</v>
      </c>
      <c r="S293" s="359" t="str">
        <f t="shared" si="339"/>
        <v/>
      </c>
      <c r="T293" s="358" t="str">
        <f t="shared" si="339"/>
        <v>BC Comet Nürnberg</v>
      </c>
      <c r="U293" s="359" t="str">
        <f t="shared" si="339"/>
        <v/>
      </c>
      <c r="V293" s="363"/>
      <c r="W293" s="363"/>
      <c r="AA293" s="90"/>
      <c r="AB293" s="86"/>
      <c r="AC293" s="358" t="str">
        <f>VLOOKUP(AC292,Schlüssel!$A$5:$K$14,2)</f>
        <v>BK München 3</v>
      </c>
      <c r="AD293" s="359"/>
      <c r="AE293" s="358" t="str">
        <f>VLOOKUP(AE292,Schlüssel!$A$5:$K$14,2)</f>
        <v>Bajuwaren München 1</v>
      </c>
      <c r="AF293" s="359"/>
      <c r="AG293" s="358" t="str">
        <f>VLOOKUP(AG292,Schlüssel!$A$5:$K$14,2)</f>
        <v>Schanzer Ingolstadt 1</v>
      </c>
      <c r="AH293" s="359"/>
      <c r="AI293" s="358" t="str">
        <f>VLOOKUP(AI292,Schlüssel!$A$5:$K$14,2)</f>
        <v>BC EMAX Unterföhring 2</v>
      </c>
      <c r="AJ293" s="359"/>
      <c r="AK293" s="358" t="str">
        <f>VLOOKUP(AK292,Schlüssel!$A$5:$K$14,2)</f>
        <v>RW Lichtenhof Stein 1</v>
      </c>
      <c r="AL293" s="359"/>
      <c r="AM293" s="358" t="str">
        <f>VLOOKUP(AM292,Schlüssel!$A$5:$K$14,2)</f>
        <v>Bowlinghaus Bamberg 1</v>
      </c>
      <c r="AN293" s="359"/>
      <c r="AO293" s="358" t="str">
        <f>VLOOKUP(AO292,Schlüssel!$A$5:$K$14,2)</f>
        <v>SG DJK Rimpar</v>
      </c>
      <c r="AP293" s="359"/>
      <c r="AQ293" s="358" t="str">
        <f>VLOOKUP(AQ292,Schlüssel!$A$5:$K$14,2)</f>
        <v>SG Rottendorf 1</v>
      </c>
      <c r="AR293" s="359"/>
      <c r="AS293" s="358" t="str">
        <f>VLOOKUP(AS292,Schlüssel!$A$5:$K$14,2)</f>
        <v>BC Comet Nürnberg</v>
      </c>
      <c r="AT293" s="359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60" t="str">
        <f t="shared" si="338"/>
        <v/>
      </c>
      <c r="E294" s="360" t="str">
        <f t="shared" si="338"/>
        <v/>
      </c>
      <c r="F294" s="360" t="str">
        <f t="shared" si="338"/>
        <v/>
      </c>
      <c r="G294" s="360" t="str">
        <f t="shared" si="338"/>
        <v/>
      </c>
      <c r="H294" s="360" t="str">
        <f t="shared" si="338"/>
        <v/>
      </c>
      <c r="I294" s="360" t="str">
        <f t="shared" si="338"/>
        <v/>
      </c>
      <c r="J294" s="360" t="str">
        <f t="shared" si="338"/>
        <v/>
      </c>
      <c r="K294" s="360" t="str">
        <f t="shared" si="338"/>
        <v/>
      </c>
      <c r="L294" s="360" t="str">
        <f t="shared" si="339"/>
        <v/>
      </c>
      <c r="M294" s="360" t="str">
        <f t="shared" si="339"/>
        <v/>
      </c>
      <c r="N294" s="360" t="str">
        <f t="shared" si="339"/>
        <v/>
      </c>
      <c r="O294" s="360" t="str">
        <f t="shared" si="339"/>
        <v/>
      </c>
      <c r="P294" s="360" t="str">
        <f t="shared" si="339"/>
        <v/>
      </c>
      <c r="Q294" s="360" t="str">
        <f t="shared" si="339"/>
        <v/>
      </c>
      <c r="R294" s="360" t="str">
        <f t="shared" si="339"/>
        <v/>
      </c>
      <c r="S294" s="360" t="str">
        <f t="shared" si="339"/>
        <v/>
      </c>
      <c r="T294" s="360" t="str">
        <f t="shared" si="339"/>
        <v/>
      </c>
      <c r="U294" s="361" t="str">
        <f t="shared" si="339"/>
        <v/>
      </c>
      <c r="V294" s="298"/>
      <c r="W294" s="298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4" t="str">
        <f t="shared" ref="B295:C299" si="340">IF(AA295=0,"",AA295)</f>
        <v>Spieler 1</v>
      </c>
      <c r="C295" s="375" t="str">
        <f t="shared" si="340"/>
        <v/>
      </c>
      <c r="D295" s="362">
        <f>IF(AC295=301,"",AC295)</f>
        <v>213</v>
      </c>
      <c r="E295" s="362" t="str">
        <f>IF(AD295=0,"",AD295)</f>
        <v/>
      </c>
      <c r="F295" s="362">
        <f>IF(AE295=301,"",AE295)</f>
        <v>247</v>
      </c>
      <c r="G295" s="362" t="str">
        <f>IF(AF295=0,"",AF295)</f>
        <v/>
      </c>
      <c r="H295" s="362">
        <f>IF(AG295=301,"",AG295)</f>
        <v>169</v>
      </c>
      <c r="I295" s="362" t="str">
        <f>IF(AH295=0,"",AH295)</f>
        <v/>
      </c>
      <c r="J295" s="362">
        <f>IF(AI295=301,"",AI295)</f>
        <v>136</v>
      </c>
      <c r="K295" s="362" t="str">
        <f>IF(AJ295=0,"",AJ295)</f>
        <v/>
      </c>
      <c r="L295" s="362">
        <f>IF(AK295=301,"",AK295)</f>
        <v>190</v>
      </c>
      <c r="M295" s="362" t="str">
        <f>IF(AL295=0,"",AL295)</f>
        <v/>
      </c>
      <c r="N295" s="362">
        <f>IF(AM295=301,"",AM295)</f>
        <v>256</v>
      </c>
      <c r="O295" s="362" t="str">
        <f>IF(AN295=0,"",AN295)</f>
        <v/>
      </c>
      <c r="P295" s="362">
        <f>IF(AO295=301,"",AO295)</f>
        <v>234</v>
      </c>
      <c r="Q295" s="362" t="str">
        <f>IF(AP295=0,"",AP295)</f>
        <v/>
      </c>
      <c r="R295" s="362">
        <f>IF(AQ295=301,"",AQ295)</f>
        <v>185</v>
      </c>
      <c r="S295" s="362" t="str">
        <f>IF(AR295=0,"",AR295)</f>
        <v/>
      </c>
      <c r="T295" s="362">
        <f>IF(AS295=301,"",AS295)</f>
        <v>209</v>
      </c>
      <c r="U295" s="362" t="str">
        <f>IF(AT295=0,"",AT295)</f>
        <v/>
      </c>
      <c r="V295" s="364"/>
      <c r="W295" s="364"/>
      <c r="AA295" s="91" t="s">
        <v>0</v>
      </c>
      <c r="AB295" s="92"/>
      <c r="AC295" s="368">
        <f>ABS(INDEX(AC:AC,MATCH(AC292,$AA:$AA,0)+5)+INDEX(AC:AC,MATCH(AC292,$AA:$AA,0)+6)+INDEX(AC:AC,MATCH(AC292,$AA:$AA,0)+7))</f>
        <v>213</v>
      </c>
      <c r="AD295" s="369"/>
      <c r="AE295" s="368">
        <f>ABS(INDEX(AE:AE,MATCH(AE292,$AA:$AA,0)+5)+INDEX(AE:AE,MATCH(AE292,$AA:$AA,0)+6)+INDEX(AE:AE,MATCH(AE292,$AA:$AA,0)+7))</f>
        <v>247</v>
      </c>
      <c r="AF295" s="369"/>
      <c r="AG295" s="368">
        <f>ABS(INDEX(AG:AG,MATCH(AG292,$AA:$AA,0)+5)+INDEX(AG:AG,MATCH(AG292,$AA:$AA,0)+6)+INDEX(AG:AG,MATCH(AG292,$AA:$AA,0)+7))</f>
        <v>169</v>
      </c>
      <c r="AH295" s="369"/>
      <c r="AI295" s="368">
        <f>ABS(INDEX(AI:AI,MATCH(AI292,$AA:$AA,0)+5)+INDEX(AI:AI,MATCH(AI292,$AA:$AA,0)+6)+INDEX(AI:AI,MATCH(AI292,$AA:$AA,0)+7))</f>
        <v>136</v>
      </c>
      <c r="AJ295" s="369"/>
      <c r="AK295" s="368">
        <f>ABS(INDEX(AK:AK,MATCH(AK292,$AA:$AA,0)+5)+INDEX(AK:AK,MATCH(AK292,$AA:$AA,0)+6)+INDEX(AK:AK,MATCH(AK292,$AA:$AA,0)+7))</f>
        <v>190</v>
      </c>
      <c r="AL295" s="369"/>
      <c r="AM295" s="368">
        <f>ABS(INDEX(AM:AM,MATCH(AM292,$AA:$AA,0)+5)+INDEX(AM:AM,MATCH(AM292,$AA:$AA,0)+6)+INDEX(AM:AM,MATCH(AM292,$AA:$AA,0)+7))</f>
        <v>256</v>
      </c>
      <c r="AN295" s="369"/>
      <c r="AO295" s="368">
        <f>ABS(INDEX(AO:AO,MATCH(AO292,$AA:$AA,0)+5)+INDEX(AO:AO,MATCH(AO292,$AA:$AA,0)+6)+INDEX(AO:AO,MATCH(AO292,$AA:$AA,0)+7))</f>
        <v>234</v>
      </c>
      <c r="AP295" s="369"/>
      <c r="AQ295" s="368">
        <f>ABS(INDEX(AQ:AQ,MATCH(AQ292,$AA:$AA,0)+5)+INDEX(AQ:AQ,MATCH(AQ292,$AA:$AA,0)+6)+INDEX(AQ:AQ,MATCH(AQ292,$AA:$AA,0)+7))</f>
        <v>185</v>
      </c>
      <c r="AR295" s="369"/>
      <c r="AS295" s="368">
        <f>ABS(INDEX(AS:AS,MATCH(AS292,$AA:$AA,0)+5)+INDEX(AS:AS,MATCH(AS292,$AA:$AA,0)+6)+INDEX(AS:AS,MATCH(AS292,$AA:$AA,0)+7))</f>
        <v>209</v>
      </c>
      <c r="AT295" s="369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4" t="str">
        <f t="shared" si="340"/>
        <v>Spieler 2</v>
      </c>
      <c r="C296" s="375" t="str">
        <f t="shared" si="340"/>
        <v/>
      </c>
      <c r="D296" s="362">
        <f>IF(AC296=301,"",AC296)</f>
        <v>225</v>
      </c>
      <c r="E296" s="362" t="str">
        <f>IF(AD296=0,"",AD296)</f>
        <v/>
      </c>
      <c r="F296" s="362">
        <f>IF(AE296=301,"",AE296)</f>
        <v>178</v>
      </c>
      <c r="G296" s="362" t="str">
        <f>IF(AF296=0,"",AF296)</f>
        <v/>
      </c>
      <c r="H296" s="362">
        <f>IF(AG296=301,"",AG296)</f>
        <v>129</v>
      </c>
      <c r="I296" s="362" t="str">
        <f>IF(AH296=0,"",AH296)</f>
        <v/>
      </c>
      <c r="J296" s="362">
        <f>IF(AI296=301,"",AI296)</f>
        <v>174</v>
      </c>
      <c r="K296" s="362" t="str">
        <f>IF(AJ296=0,"",AJ296)</f>
        <v/>
      </c>
      <c r="L296" s="362">
        <f>IF(AK296=301,"",AK296)</f>
        <v>157</v>
      </c>
      <c r="M296" s="362" t="str">
        <f>IF(AL296=0,"",AL296)</f>
        <v/>
      </c>
      <c r="N296" s="362">
        <f>IF(AM296=301,"",AM296)</f>
        <v>172</v>
      </c>
      <c r="O296" s="362" t="str">
        <f>IF(AN296=0,"",AN296)</f>
        <v/>
      </c>
      <c r="P296" s="362">
        <f>IF(AO296=301,"",AO296)</f>
        <v>172</v>
      </c>
      <c r="Q296" s="362" t="str">
        <f>IF(AP296=0,"",AP296)</f>
        <v/>
      </c>
      <c r="R296" s="362">
        <f>IF(AQ296=301,"",AQ296)</f>
        <v>168</v>
      </c>
      <c r="S296" s="362" t="str">
        <f>IF(AR296=0,"",AR296)</f>
        <v/>
      </c>
      <c r="T296" s="362">
        <f>IF(AS296=301,"",AS296)</f>
        <v>174</v>
      </c>
      <c r="U296" s="362" t="str">
        <f>IF(AT296=0,"",AT296)</f>
        <v/>
      </c>
      <c r="V296" s="364"/>
      <c r="W296" s="364"/>
      <c r="AA296" s="91" t="s">
        <v>2</v>
      </c>
      <c r="AB296" s="92"/>
      <c r="AC296" s="366">
        <f>ABS(INDEX(AC:AC,MATCH(AC292,$AA:$AA,0)+8)+INDEX(AC:AC,MATCH(AC292,$AA:$AA,0)+9)+INDEX(AC:AC,MATCH(AC292,$AA:$AA,0)+10))</f>
        <v>225</v>
      </c>
      <c r="AD296" s="367"/>
      <c r="AE296" s="366">
        <f>ABS(INDEX(AE:AE,MATCH(AE292,$AA:$AA,0)+8)+INDEX(AE:AE,MATCH(AE292,$AA:$AA,0)+9)+INDEX(AE:AE,MATCH(AE292,$AA:$AA,0)+10))</f>
        <v>178</v>
      </c>
      <c r="AF296" s="367"/>
      <c r="AG296" s="366">
        <f>ABS(INDEX(AG:AG,MATCH(AG292,$AA:$AA,0)+8)+INDEX(AG:AG,MATCH(AG292,$AA:$AA,0)+9)+INDEX(AG:AG,MATCH(AG292,$AA:$AA,0)+10))</f>
        <v>129</v>
      </c>
      <c r="AH296" s="367"/>
      <c r="AI296" s="366">
        <f>ABS(INDEX(AI:AI,MATCH(AI292,$AA:$AA,0)+8)+INDEX(AI:AI,MATCH(AI292,$AA:$AA,0)+9)+INDEX(AI:AI,MATCH(AI292,$AA:$AA,0)+10))</f>
        <v>174</v>
      </c>
      <c r="AJ296" s="367"/>
      <c r="AK296" s="366">
        <f>ABS(INDEX(AK:AK,MATCH(AK292,$AA:$AA,0)+8)+INDEX(AK:AK,MATCH(AK292,$AA:$AA,0)+9)+INDEX(AK:AK,MATCH(AK292,$AA:$AA,0)+10))</f>
        <v>157</v>
      </c>
      <c r="AL296" s="367"/>
      <c r="AM296" s="366">
        <f>ABS(INDEX(AM:AM,MATCH(AM292,$AA:$AA,0)+8)+INDEX(AM:AM,MATCH(AM292,$AA:$AA,0)+9)+INDEX(AM:AM,MATCH(AM292,$AA:$AA,0)+10))</f>
        <v>172</v>
      </c>
      <c r="AN296" s="367"/>
      <c r="AO296" s="366">
        <f>ABS(INDEX(AO:AO,MATCH(AO292,$AA:$AA,0)+8)+INDEX(AO:AO,MATCH(AO292,$AA:$AA,0)+9)+INDEX(AO:AO,MATCH(AO292,$AA:$AA,0)+10))</f>
        <v>172</v>
      </c>
      <c r="AP296" s="367"/>
      <c r="AQ296" s="366">
        <f>ABS(INDEX(AQ:AQ,MATCH(AQ292,$AA:$AA,0)+8)+INDEX(AQ:AQ,MATCH(AQ292,$AA:$AA,0)+9)+INDEX(AQ:AQ,MATCH(AQ292,$AA:$AA,0)+10))</f>
        <v>168</v>
      </c>
      <c r="AR296" s="367"/>
      <c r="AS296" s="366">
        <f>ABS(INDEX(AS:AS,MATCH(AS292,$AA:$AA,0)+8)+INDEX(AS:AS,MATCH(AS292,$AA:$AA,0)+9)+INDEX(AS:AS,MATCH(AS292,$AA:$AA,0)+10))</f>
        <v>174</v>
      </c>
      <c r="AT296" s="367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4" t="str">
        <f t="shared" si="340"/>
        <v>Spieler 3</v>
      </c>
      <c r="C297" s="375" t="str">
        <f t="shared" si="340"/>
        <v/>
      </c>
      <c r="D297" s="362">
        <f>IF(AC297=301,"",AC297)</f>
        <v>180</v>
      </c>
      <c r="E297" s="362" t="str">
        <f>IF(AD297=0,"",AD297)</f>
        <v/>
      </c>
      <c r="F297" s="362">
        <f>IF(AE297=301,"",AE297)</f>
        <v>212</v>
      </c>
      <c r="G297" s="362" t="str">
        <f>IF(AF297=0,"",AF297)</f>
        <v/>
      </c>
      <c r="H297" s="362">
        <f>IF(AG297=301,"",AG297)</f>
        <v>167</v>
      </c>
      <c r="I297" s="362" t="str">
        <f>IF(AH297=0,"",AH297)</f>
        <v/>
      </c>
      <c r="J297" s="362">
        <f>IF(AI297=301,"",AI297)</f>
        <v>201</v>
      </c>
      <c r="K297" s="362" t="str">
        <f>IF(AJ297=0,"",AJ297)</f>
        <v/>
      </c>
      <c r="L297" s="362">
        <f>IF(AK297=301,"",AK297)</f>
        <v>180</v>
      </c>
      <c r="M297" s="362" t="str">
        <f>IF(AL297=0,"",AL297)</f>
        <v/>
      </c>
      <c r="N297" s="362">
        <f>IF(AM297=301,"",AM297)</f>
        <v>189</v>
      </c>
      <c r="O297" s="362" t="str">
        <f>IF(AN297=0,"",AN297)</f>
        <v/>
      </c>
      <c r="P297" s="362">
        <f>IF(AO297=301,"",AO297)</f>
        <v>216</v>
      </c>
      <c r="Q297" s="362" t="str">
        <f>IF(AP297=0,"",AP297)</f>
        <v/>
      </c>
      <c r="R297" s="362">
        <f>IF(AQ297=301,"",AQ297)</f>
        <v>171</v>
      </c>
      <c r="S297" s="362" t="str">
        <f>IF(AR297=0,"",AR297)</f>
        <v/>
      </c>
      <c r="T297" s="362">
        <f>IF(AS297=301,"",AS297)</f>
        <v>206</v>
      </c>
      <c r="U297" s="362" t="str">
        <f>IF(AT297=0,"",AT297)</f>
        <v/>
      </c>
      <c r="V297" s="364"/>
      <c r="W297" s="364"/>
      <c r="AA297" s="91" t="s">
        <v>3</v>
      </c>
      <c r="AB297" s="92"/>
      <c r="AC297" s="366">
        <f>ABS(INDEX(AC:AC,MATCH(AC292,$AA:$AA,0)+11)+INDEX(AC:AC,MATCH(AC292,$AA:$AA,0)+12)+INDEX(AC:AC,MATCH(AC292,$AA:$AA,0)+13))</f>
        <v>180</v>
      </c>
      <c r="AD297" s="367"/>
      <c r="AE297" s="366">
        <f>ABS(INDEX(AE:AE,MATCH(AE292,$AA:$AA,0)+11)+INDEX(AE:AE,MATCH(AE292,$AA:$AA,0)+12)+INDEX(AE:AE,MATCH(AE292,$AA:$AA,0)+13))</f>
        <v>212</v>
      </c>
      <c r="AF297" s="367"/>
      <c r="AG297" s="366">
        <f>ABS(INDEX(AG:AG,MATCH(AG292,$AA:$AA,0)+11)+INDEX(AG:AG,MATCH(AG292,$AA:$AA,0)+12)+INDEX(AG:AG,MATCH(AG292,$AA:$AA,0)+13))</f>
        <v>167</v>
      </c>
      <c r="AH297" s="367"/>
      <c r="AI297" s="366">
        <f>ABS(INDEX(AI:AI,MATCH(AI292,$AA:$AA,0)+11)+INDEX(AI:AI,MATCH(AI292,$AA:$AA,0)+12)+INDEX(AI:AI,MATCH(AI292,$AA:$AA,0)+13))</f>
        <v>201</v>
      </c>
      <c r="AJ297" s="367"/>
      <c r="AK297" s="366">
        <f>ABS(INDEX(AK:AK,MATCH(AK292,$AA:$AA,0)+11)+INDEX(AK:AK,MATCH(AK292,$AA:$AA,0)+12)+INDEX(AK:AK,MATCH(AK292,$AA:$AA,0)+13))</f>
        <v>180</v>
      </c>
      <c r="AL297" s="367"/>
      <c r="AM297" s="366">
        <f>ABS(INDEX(AM:AM,MATCH(AM292,$AA:$AA,0)+11)+INDEX(AM:AM,MATCH(AM292,$AA:$AA,0)+12)+INDEX(AM:AM,MATCH(AM292,$AA:$AA,0)+13))</f>
        <v>189</v>
      </c>
      <c r="AN297" s="367"/>
      <c r="AO297" s="366">
        <f>ABS(INDEX(AO:AO,MATCH(AO292,$AA:$AA,0)+11)+INDEX(AO:AO,MATCH(AO292,$AA:$AA,0)+12)+INDEX(AO:AO,MATCH(AO292,$AA:$AA,0)+13))</f>
        <v>216</v>
      </c>
      <c r="AP297" s="367"/>
      <c r="AQ297" s="366">
        <f>ABS(INDEX(AQ:AQ,MATCH(AQ292,$AA:$AA,0)+11)+INDEX(AQ:AQ,MATCH(AQ292,$AA:$AA,0)+12)+INDEX(AQ:AQ,MATCH(AQ292,$AA:$AA,0)+13))</f>
        <v>171</v>
      </c>
      <c r="AR297" s="367"/>
      <c r="AS297" s="366">
        <f>ABS(INDEX(AS:AS,MATCH(AS292,$AA:$AA,0)+11)+INDEX(AS:AS,MATCH(AS292,$AA:$AA,0)+12)+INDEX(AS:AS,MATCH(AS292,$AA:$AA,0)+13))</f>
        <v>206</v>
      </c>
      <c r="AT297" s="367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4" t="str">
        <f t="shared" si="340"/>
        <v>Spieler 4</v>
      </c>
      <c r="C298" s="375" t="str">
        <f t="shared" si="340"/>
        <v/>
      </c>
      <c r="D298" s="362">
        <f>IF(AC298=301,"",AC298)</f>
        <v>190</v>
      </c>
      <c r="E298" s="362" t="str">
        <f>IF(AD298=0,"",AD298)</f>
        <v/>
      </c>
      <c r="F298" s="362">
        <f>IF(AE298=301,"",AE298)</f>
        <v>187</v>
      </c>
      <c r="G298" s="362" t="str">
        <f>IF(AF298=0,"",AF298)</f>
        <v/>
      </c>
      <c r="H298" s="362">
        <f>IF(AG298=301,"",AG298)</f>
        <v>186</v>
      </c>
      <c r="I298" s="362" t="str">
        <f>IF(AH298=0,"",AH298)</f>
        <v/>
      </c>
      <c r="J298" s="362">
        <f>IF(AI298=301,"",AI298)</f>
        <v>144</v>
      </c>
      <c r="K298" s="362" t="str">
        <f>IF(AJ298=0,"",AJ298)</f>
        <v/>
      </c>
      <c r="L298" s="362">
        <f>IF(AK298=301,"",AK298)</f>
        <v>208</v>
      </c>
      <c r="M298" s="362" t="str">
        <f>IF(AL298=0,"",AL298)</f>
        <v/>
      </c>
      <c r="N298" s="362">
        <f>IF(AM298=301,"",AM298)</f>
        <v>236</v>
      </c>
      <c r="O298" s="362" t="str">
        <f>IF(AN298=0,"",AN298)</f>
        <v/>
      </c>
      <c r="P298" s="362">
        <f>IF(AO298=301,"",AO298)</f>
        <v>159</v>
      </c>
      <c r="Q298" s="362" t="str">
        <f>IF(AP298=0,"",AP298)</f>
        <v/>
      </c>
      <c r="R298" s="362">
        <f>IF(AQ298=301,"",AQ298)</f>
        <v>178</v>
      </c>
      <c r="S298" s="362" t="str">
        <f>IF(AR298=0,"",AR298)</f>
        <v/>
      </c>
      <c r="T298" s="362">
        <f>IF(AS298=301,"",AS298)</f>
        <v>219</v>
      </c>
      <c r="U298" s="362" t="str">
        <f>IF(AT298=0,"",AT298)</f>
        <v/>
      </c>
      <c r="V298" s="364"/>
      <c r="W298" s="364"/>
      <c r="AA298" s="91" t="s">
        <v>11</v>
      </c>
      <c r="AB298" s="92"/>
      <c r="AC298" s="366">
        <f>ABS(INDEX(AC:AC,MATCH(AC292,$AA:$AA,0)+14)+INDEX(AC:AC,MATCH(AC292,$AA:$AA,0)+15)+INDEX(AC:AC,MATCH(AC292,$AA:$AA,0)+16))</f>
        <v>190</v>
      </c>
      <c r="AD298" s="367"/>
      <c r="AE298" s="366">
        <f>ABS(INDEX(AE:AE,MATCH(AE292,$AA:$AA,0)+14)+INDEX(AE:AE,MATCH(AE292,$AA:$AA,0)+15)+INDEX(AE:AE,MATCH(AE292,$AA:$AA,0)+16))</f>
        <v>187</v>
      </c>
      <c r="AF298" s="367"/>
      <c r="AG298" s="366">
        <f>ABS(INDEX(AG:AG,MATCH(AG292,$AA:$AA,0)+14)+INDEX(AG:AG,MATCH(AG292,$AA:$AA,0)+15)+INDEX(AG:AG,MATCH(AG292,$AA:$AA,0)+16))</f>
        <v>186</v>
      </c>
      <c r="AH298" s="367"/>
      <c r="AI298" s="366">
        <f>ABS(INDEX(AI:AI,MATCH(AI292,$AA:$AA,0)+14)+INDEX(AI:AI,MATCH(AI292,$AA:$AA,0)+15)+INDEX(AI:AI,MATCH(AI292,$AA:$AA,0)+16))</f>
        <v>144</v>
      </c>
      <c r="AJ298" s="367"/>
      <c r="AK298" s="366">
        <f>ABS(INDEX(AK:AK,MATCH(AK292,$AA:$AA,0)+14)+INDEX(AK:AK,MATCH(AK292,$AA:$AA,0)+15)+INDEX(AK:AK,MATCH(AK292,$AA:$AA,0)+16))</f>
        <v>208</v>
      </c>
      <c r="AL298" s="367"/>
      <c r="AM298" s="366">
        <f>ABS(INDEX(AM:AM,MATCH(AM292,$AA:$AA,0)+14)+INDEX(AM:AM,MATCH(AM292,$AA:$AA,0)+15)+INDEX(AM:AM,MATCH(AM292,$AA:$AA,0)+16))</f>
        <v>236</v>
      </c>
      <c r="AN298" s="367"/>
      <c r="AO298" s="366">
        <f>ABS(INDEX(AO:AO,MATCH(AO292,$AA:$AA,0)+14)+INDEX(AO:AO,MATCH(AO292,$AA:$AA,0)+15)+INDEX(AO:AO,MATCH(AO292,$AA:$AA,0)+16))</f>
        <v>159</v>
      </c>
      <c r="AP298" s="367"/>
      <c r="AQ298" s="366">
        <f>ABS(INDEX(AQ:AQ,MATCH(AQ292,$AA:$AA,0)+14)+INDEX(AQ:AQ,MATCH(AQ292,$AA:$AA,0)+15)+INDEX(AQ:AQ,MATCH(AQ292,$AA:$AA,0)+16))</f>
        <v>178</v>
      </c>
      <c r="AR298" s="367"/>
      <c r="AS298" s="366">
        <f>ABS(INDEX(AS:AS,MATCH(AS292,$AA:$AA,0)+14)+INDEX(AS:AS,MATCH(AS292,$AA:$AA,0)+15)+INDEX(AS:AS,MATCH(AS292,$AA:$AA,0)+16))</f>
        <v>219</v>
      </c>
      <c r="AT298" s="367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6" t="str">
        <f t="shared" si="340"/>
        <v>Gesamt</v>
      </c>
      <c r="C299" s="347" t="str">
        <f t="shared" si="340"/>
        <v/>
      </c>
      <c r="D299" s="365">
        <f>IF(AC299=1505,"",AC299)</f>
        <v>808</v>
      </c>
      <c r="E299" s="365" t="str">
        <f>IF(AD299=0,"",AD299)</f>
        <v/>
      </c>
      <c r="F299" s="365">
        <f>IF(AE299=1505,"",AE299)</f>
        <v>824</v>
      </c>
      <c r="G299" s="365" t="str">
        <f>IF(AF299=0,"",AF299)</f>
        <v/>
      </c>
      <c r="H299" s="365">
        <f>IF(AG299=1505,"",AG299)</f>
        <v>651</v>
      </c>
      <c r="I299" s="365" t="str">
        <f>IF(AH299=0,"",AH299)</f>
        <v/>
      </c>
      <c r="J299" s="365">
        <f>IF(AI299=1505,"",AI299)</f>
        <v>655</v>
      </c>
      <c r="K299" s="365" t="str">
        <f>IF(AJ299=0,"",AJ299)</f>
        <v/>
      </c>
      <c r="L299" s="365">
        <f>IF(AK299=1505,"",AK299)</f>
        <v>735</v>
      </c>
      <c r="M299" s="365" t="str">
        <f>IF(AL299=0,"",AL299)</f>
        <v/>
      </c>
      <c r="N299" s="365">
        <f>IF(AM299=1505,"",AM299)</f>
        <v>853</v>
      </c>
      <c r="O299" s="365" t="str">
        <f>IF(AN299=0,"",AN299)</f>
        <v/>
      </c>
      <c r="P299" s="365">
        <f>IF(AO299=1505,"",AO299)</f>
        <v>781</v>
      </c>
      <c r="Q299" s="365" t="str">
        <f>IF(AP299=0,"",AP299)</f>
        <v/>
      </c>
      <c r="R299" s="365">
        <f>IF(AQ299=1505,"",AQ299)</f>
        <v>702</v>
      </c>
      <c r="S299" s="365" t="str">
        <f>IF(AR299=0,"",AR299)</f>
        <v/>
      </c>
      <c r="T299" s="365">
        <f>IF(AS299=1505,"",AS299)</f>
        <v>808</v>
      </c>
      <c r="U299" s="365" t="str">
        <f>IF(AT299=0,"",AT299)</f>
        <v/>
      </c>
      <c r="V299" s="301"/>
      <c r="W299" s="301"/>
      <c r="AA299" s="93" t="s">
        <v>1799</v>
      </c>
      <c r="AB299" s="94"/>
      <c r="AC299" s="346">
        <f>SUM(AC295:AC298)</f>
        <v>808</v>
      </c>
      <c r="AD299" s="347"/>
      <c r="AE299" s="346">
        <f>SUM(AE295:AE298)</f>
        <v>824</v>
      </c>
      <c r="AF299" s="347"/>
      <c r="AG299" s="346">
        <f>SUM(AG295:AG298)</f>
        <v>651</v>
      </c>
      <c r="AH299" s="347"/>
      <c r="AI299" s="346">
        <f>SUM(AI295:AI298)</f>
        <v>655</v>
      </c>
      <c r="AJ299" s="347"/>
      <c r="AK299" s="346">
        <f>SUM(AK295:AK298)</f>
        <v>735</v>
      </c>
      <c r="AL299" s="347"/>
      <c r="AM299" s="346">
        <f>SUM(AM295:AM298)</f>
        <v>853</v>
      </c>
      <c r="AN299" s="347"/>
      <c r="AO299" s="346">
        <f>SUM(AO295:AO298)</f>
        <v>781</v>
      </c>
      <c r="AP299" s="347"/>
      <c r="AQ299" s="346">
        <f>SUM(AQ295:AQ298)</f>
        <v>702</v>
      </c>
      <c r="AR299" s="347"/>
      <c r="AS299" s="346">
        <f>SUM(AS295:AS298)</f>
        <v>808</v>
      </c>
      <c r="AT299" s="347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0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10" sqref="C10"/>
    </sheetView>
  </sheetViews>
  <sheetFormatPr baseColWidth="10" defaultRowHeight="13.2" x14ac:dyDescent="0.25"/>
  <cols>
    <col min="1" max="1" width="4.6640625" style="2" customWidth="1"/>
    <col min="2" max="2" width="15" style="2" customWidth="1"/>
    <col min="3" max="3" width="28.5546875" customWidth="1"/>
  </cols>
  <sheetData>
    <row r="1" spans="1:5" x14ac:dyDescent="0.25">
      <c r="A1" s="2">
        <v>1</v>
      </c>
      <c r="B1" s="6" t="s">
        <v>2428</v>
      </c>
      <c r="C1" s="5" t="s">
        <v>2426</v>
      </c>
      <c r="E1" t="s">
        <v>2407</v>
      </c>
    </row>
    <row r="2" spans="1:5" x14ac:dyDescent="0.25">
      <c r="A2" s="2">
        <v>2</v>
      </c>
      <c r="B2" s="6" t="s">
        <v>2429</v>
      </c>
      <c r="C2" s="5" t="s">
        <v>2419</v>
      </c>
      <c r="E2" t="s">
        <v>2408</v>
      </c>
    </row>
    <row r="3" spans="1:5" x14ac:dyDescent="0.25">
      <c r="A3" s="2">
        <v>3</v>
      </c>
      <c r="B3" s="6" t="s">
        <v>2430</v>
      </c>
      <c r="C3" s="5" t="s">
        <v>2426</v>
      </c>
      <c r="E3" t="s">
        <v>2409</v>
      </c>
    </row>
    <row r="4" spans="1:5" x14ac:dyDescent="0.25">
      <c r="A4" s="2">
        <v>4</v>
      </c>
      <c r="B4" s="6" t="s">
        <v>2431</v>
      </c>
      <c r="C4" s="5" t="s">
        <v>2422</v>
      </c>
      <c r="E4" t="s">
        <v>2410</v>
      </c>
    </row>
    <row r="5" spans="1:5" x14ac:dyDescent="0.25">
      <c r="A5" s="2">
        <v>5</v>
      </c>
      <c r="B5" s="6" t="s">
        <v>2432</v>
      </c>
      <c r="C5" s="5" t="s">
        <v>2409</v>
      </c>
      <c r="E5" t="s">
        <v>2411</v>
      </c>
    </row>
    <row r="6" spans="1:5" x14ac:dyDescent="0.25">
      <c r="A6" s="2">
        <v>6</v>
      </c>
      <c r="B6" s="4" t="s">
        <v>2433</v>
      </c>
      <c r="C6" s="5" t="s">
        <v>2410</v>
      </c>
      <c r="E6" t="s">
        <v>2412</v>
      </c>
    </row>
    <row r="7" spans="1:5" x14ac:dyDescent="0.25">
      <c r="E7" t="s">
        <v>2413</v>
      </c>
    </row>
    <row r="8" spans="1:5" x14ac:dyDescent="0.25">
      <c r="E8" t="s">
        <v>2414</v>
      </c>
    </row>
    <row r="9" spans="1:5" x14ac:dyDescent="0.25">
      <c r="E9" t="s">
        <v>2415</v>
      </c>
    </row>
    <row r="10" spans="1:5" x14ac:dyDescent="0.25">
      <c r="E10" t="s">
        <v>2416</v>
      </c>
    </row>
    <row r="11" spans="1:5" x14ac:dyDescent="0.25">
      <c r="E11" t="s">
        <v>2417</v>
      </c>
    </row>
    <row r="12" spans="1:5" x14ac:dyDescent="0.25">
      <c r="E12" t="s">
        <v>2418</v>
      </c>
    </row>
    <row r="13" spans="1:5" x14ac:dyDescent="0.25">
      <c r="E13" t="s">
        <v>2419</v>
      </c>
    </row>
    <row r="14" spans="1:5" x14ac:dyDescent="0.25">
      <c r="E14" t="s">
        <v>2420</v>
      </c>
    </row>
    <row r="15" spans="1:5" x14ac:dyDescent="0.25">
      <c r="E15" t="s">
        <v>2421</v>
      </c>
    </row>
    <row r="16" spans="1:5" x14ac:dyDescent="0.25">
      <c r="E16" t="s">
        <v>2422</v>
      </c>
    </row>
    <row r="17" spans="1:5" x14ac:dyDescent="0.25">
      <c r="E17" t="s">
        <v>2423</v>
      </c>
    </row>
    <row r="18" spans="1:5" x14ac:dyDescent="0.25">
      <c r="A18" s="292" t="s">
        <v>2020</v>
      </c>
      <c r="B18" s="292"/>
      <c r="C18" s="199" t="s">
        <v>2244</v>
      </c>
      <c r="E18" t="s">
        <v>2424</v>
      </c>
    </row>
    <row r="19" spans="1:5" x14ac:dyDescent="0.25">
      <c r="E19" t="s">
        <v>2425</v>
      </c>
    </row>
    <row r="20" spans="1:5" x14ac:dyDescent="0.25">
      <c r="A20" s="293" t="s">
        <v>2021</v>
      </c>
      <c r="B20" s="293"/>
      <c r="E20" t="s">
        <v>2426</v>
      </c>
    </row>
    <row r="21" spans="1:5" x14ac:dyDescent="0.25">
      <c r="A21" s="200">
        <v>10</v>
      </c>
      <c r="B21" s="199" t="s">
        <v>1817</v>
      </c>
      <c r="E21" t="s">
        <v>2427</v>
      </c>
    </row>
    <row r="22" spans="1:5" x14ac:dyDescent="0.25">
      <c r="A22" s="200">
        <v>6</v>
      </c>
      <c r="B22" s="201" t="s">
        <v>2022</v>
      </c>
    </row>
    <row r="23" spans="1:5" x14ac:dyDescent="0.25">
      <c r="A23" s="200">
        <v>9</v>
      </c>
      <c r="B23" s="201" t="s">
        <v>2023</v>
      </c>
    </row>
    <row r="622" spans="1:3" x14ac:dyDescent="0.25">
      <c r="A622" s="291" t="s">
        <v>2018</v>
      </c>
      <c r="B622" s="291"/>
      <c r="C622" s="291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topLeftCell="A7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5"/>
      <c r="Y1" s="5"/>
      <c r="AA1" s="215" t="s">
        <v>2080</v>
      </c>
    </row>
    <row r="2" spans="1:31" ht="28.5" customHeight="1" x14ac:dyDescent="0.25">
      <c r="A2" s="386" t="str">
        <f>"Saison "&amp;Spielorte!C18&amp;"     -     Spieltag "&amp;Erfassung3!AS2&amp;"     -     "&amp;Erfassung3!AT1</f>
        <v>Saison 2024/2025     -     Spieltag 3     -     01.02./02.02.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5"/>
      <c r="Y2" s="5"/>
    </row>
    <row r="3" spans="1:31" ht="28.5" customHeight="1" x14ac:dyDescent="0.25">
      <c r="A3" s="386" t="str">
        <f>+Erfassung3!AE2</f>
        <v>Unterföhring Dreambowl Palace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9" t="s">
        <v>1816</v>
      </c>
      <c r="B5" s="391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1" t="s">
        <v>1808</v>
      </c>
      <c r="T5" s="380"/>
      <c r="U5" s="379" t="s">
        <v>1799</v>
      </c>
      <c r="V5" s="380"/>
      <c r="W5" s="387" t="s">
        <v>1818</v>
      </c>
    </row>
    <row r="6" spans="1:31" ht="13.8" thickBot="1" x14ac:dyDescent="0.3">
      <c r="A6" s="390"/>
      <c r="B6" s="392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8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INDEX(Erfassung3!$AA:$AA,MATCH($A7,Erfassung3!$BR:$BR,0)-17)</f>
        <v>BC Comet Nürnberg</v>
      </c>
      <c r="C7" s="129">
        <f>INDEX(Erfassung3!AC:AC,MATCH($A7,Erfassung3!$BR:$BR,0)-1)</f>
        <v>783</v>
      </c>
      <c r="D7" s="130">
        <f>INDEX(Erfassung3!AD:AD,MATCH($A7,Erfassung3!$BR:$BR,0))</f>
        <v>5</v>
      </c>
      <c r="E7" s="129">
        <f>INDEX(Erfassung3!AE:AE,MATCH($A7,Erfassung3!$BR:$BR,0)-1)</f>
        <v>776</v>
      </c>
      <c r="F7" s="130">
        <f>INDEX(Erfassung3!AF:AF,MATCH($A7,Erfassung3!$BR:$BR,0))</f>
        <v>1</v>
      </c>
      <c r="G7" s="129">
        <f>INDEX(Erfassung3!AG:AG,MATCH($A7,Erfassung3!$BR:$BR,0)-1)</f>
        <v>893</v>
      </c>
      <c r="H7" s="130">
        <f>INDEX(Erfassung3!AH:AH,MATCH($A7,Erfassung3!$BR:$BR,0))</f>
        <v>6</v>
      </c>
      <c r="I7" s="129">
        <f>INDEX(Erfassung3!AI:AI,MATCH($A7,Erfassung3!$BR:$BR,0)-1)</f>
        <v>766</v>
      </c>
      <c r="J7" s="130">
        <f>INDEX(Erfassung3!AJ:AJ,MATCH($A7,Erfassung3!$BR:$BR,0))</f>
        <v>4</v>
      </c>
      <c r="K7" s="129">
        <f>INDEX(Erfassung3!AK:AK,MATCH($A7,Erfassung3!$BR:$BR,0)-1)</f>
        <v>803</v>
      </c>
      <c r="L7" s="130">
        <f>INDEX(Erfassung3!AL:AL,MATCH($A7,Erfassung3!$BR:$BR,0))</f>
        <v>6</v>
      </c>
      <c r="M7" s="129">
        <f>INDEX(Erfassung3!AM:AM,MATCH($A7,Erfassung3!$BR:$BR,0)-1)</f>
        <v>813</v>
      </c>
      <c r="N7" s="130">
        <f>INDEX(Erfassung3!AN:AN,MATCH($A7,Erfassung3!$BR:$BR,0))</f>
        <v>5</v>
      </c>
      <c r="O7" s="129">
        <f>INDEX(Erfassung3!AO:AO,MATCH($A7,Erfassung3!$BR:$BR,0)-1)</f>
        <v>785</v>
      </c>
      <c r="P7" s="130">
        <f>INDEX(Erfassung3!AP:AP,MATCH($A7,Erfassung3!$BR:$BR,0))</f>
        <v>4</v>
      </c>
      <c r="Q7" s="129">
        <f>INDEX(Erfassung3!AQ:AQ,MATCH($A7,Erfassung3!$BR:$BR,0)-1)</f>
        <v>788</v>
      </c>
      <c r="R7" s="130">
        <f>INDEX(Erfassung3!AR:AR,MATCH($A7,Erfassung3!$BR:$BR,0))</f>
        <v>2</v>
      </c>
      <c r="S7" s="129">
        <f>INDEX(Erfassung3!AS:AS,MATCH($A7,Erfassung3!$BR:$BR,0)-1)</f>
        <v>808</v>
      </c>
      <c r="T7" s="130">
        <f>INDEX(Erfassung3!AT:AT,MATCH($A7,Erfassung3!$BR:$BR,0))</f>
        <v>6</v>
      </c>
      <c r="U7" s="131">
        <f t="shared" ref="U7:V16" si="0">SUM(C7+E7+G7+I7+K7+M7+O7+Q7+S7)</f>
        <v>7215</v>
      </c>
      <c r="V7" s="132">
        <f t="shared" si="0"/>
        <v>39</v>
      </c>
      <c r="W7" s="224">
        <f>IFERROR(U7/INDEX(Erfassung3!BF:BF,MATCH(A7,Erfassung3!BR:BR,0)),0)</f>
        <v>200.41666666666666</v>
      </c>
      <c r="X7" s="25"/>
      <c r="AA7" s="225">
        <f>INDEX(TabGes2!G:G,MATCH($B7,TabGes2!$B:$B,0))+U7</f>
        <v>21639</v>
      </c>
      <c r="AB7" s="225">
        <f>INDEX(TabGes2!H:H,MATCH($B7,TabGes2!$B:$B,0))+V7</f>
        <v>102.5</v>
      </c>
      <c r="AC7" s="215">
        <f>+AB7+AA7/1000000000</f>
        <v>102.500021639</v>
      </c>
      <c r="AD7" s="215">
        <f>RANK(AC7,AC:AC)</f>
        <v>1</v>
      </c>
      <c r="AE7" s="215">
        <f>INDEX(Tabelle2!AE:AE,MATCH(B7,Tabelle2!B:B,0))+SUMIF(Erfassung3!BU:BU,B7,Erfassung3!BF:BF)</f>
        <v>108</v>
      </c>
    </row>
    <row r="8" spans="1:31" ht="42" customHeight="1" thickBot="1" x14ac:dyDescent="0.3">
      <c r="A8" s="223">
        <v>2</v>
      </c>
      <c r="B8" s="128" t="str">
        <f>INDEX(Erfassung3!$AA:$AA,MATCH($A8,Erfassung3!$BR:$BR,0)-17)</f>
        <v>Schanzer Ingolstadt 1</v>
      </c>
      <c r="C8" s="129">
        <f>INDEX(Erfassung3!AC:AC,MATCH($A8,Erfassung3!$BR:$BR,0)-1)</f>
        <v>676</v>
      </c>
      <c r="D8" s="130">
        <f>INDEX(Erfassung3!AD:AD,MATCH($A8,Erfassung3!$BR:$BR,0))</f>
        <v>5</v>
      </c>
      <c r="E8" s="129">
        <f>INDEX(Erfassung3!AE:AE,MATCH($A8,Erfassung3!$BR:$BR,0)-1)</f>
        <v>774</v>
      </c>
      <c r="F8" s="130">
        <f>INDEX(Erfassung3!AF:AF,MATCH($A8,Erfassung3!$BR:$BR,0))</f>
        <v>4</v>
      </c>
      <c r="G8" s="129">
        <f>INDEX(Erfassung3!AG:AG,MATCH($A8,Erfassung3!$BR:$BR,0)-1)</f>
        <v>651</v>
      </c>
      <c r="H8" s="130">
        <f>INDEX(Erfassung3!AH:AH,MATCH($A8,Erfassung3!$BR:$BR,0))</f>
        <v>2</v>
      </c>
      <c r="I8" s="129">
        <f>INDEX(Erfassung3!AI:AI,MATCH($A8,Erfassung3!$BR:$BR,0)-1)</f>
        <v>786</v>
      </c>
      <c r="J8" s="130">
        <f>INDEX(Erfassung3!AJ:AJ,MATCH($A8,Erfassung3!$BR:$BR,0))</f>
        <v>4</v>
      </c>
      <c r="K8" s="129">
        <f>INDEX(Erfassung3!AK:AK,MATCH($A8,Erfassung3!$BR:$BR,0)-1)</f>
        <v>790</v>
      </c>
      <c r="L8" s="130">
        <f>INDEX(Erfassung3!AL:AL,MATCH($A8,Erfassung3!$BR:$BR,0))</f>
        <v>5</v>
      </c>
      <c r="M8" s="129">
        <f>INDEX(Erfassung3!AM:AM,MATCH($A8,Erfassung3!$BR:$BR,0)-1)</f>
        <v>775</v>
      </c>
      <c r="N8" s="130">
        <f>INDEX(Erfassung3!AN:AN,MATCH($A8,Erfassung3!$BR:$BR,0))</f>
        <v>5</v>
      </c>
      <c r="O8" s="129">
        <f>INDEX(Erfassung3!AO:AO,MATCH($A8,Erfassung3!$BR:$BR,0)-1)</f>
        <v>745</v>
      </c>
      <c r="P8" s="130">
        <f>INDEX(Erfassung3!AP:AP,MATCH($A8,Erfassung3!$BR:$BR,0))</f>
        <v>2</v>
      </c>
      <c r="Q8" s="129">
        <f>INDEX(Erfassung3!AQ:AQ,MATCH($A8,Erfassung3!$BR:$BR,0)-1)</f>
        <v>743</v>
      </c>
      <c r="R8" s="130">
        <f>INDEX(Erfassung3!AR:AR,MATCH($A8,Erfassung3!$BR:$BR,0))</f>
        <v>2</v>
      </c>
      <c r="S8" s="129">
        <f>INDEX(Erfassung3!AS:AS,MATCH($A8,Erfassung3!$BR:$BR,0)-1)</f>
        <v>702</v>
      </c>
      <c r="T8" s="130">
        <f>INDEX(Erfassung3!AT:AT,MATCH($A8,Erfassung3!$BR:$BR,0))</f>
        <v>5</v>
      </c>
      <c r="U8" s="131">
        <f t="shared" si="0"/>
        <v>6642</v>
      </c>
      <c r="V8" s="132">
        <f t="shared" si="0"/>
        <v>34</v>
      </c>
      <c r="W8" s="224">
        <f>IFERROR(U8/INDEX(Erfassung3!BF:BF,MATCH(A8,Erfassung3!BR:BR,0)),0)</f>
        <v>184.5</v>
      </c>
      <c r="X8" s="25"/>
      <c r="AA8" s="225">
        <f>INDEX(TabGes2!G:G,MATCH($B8,TabGes2!$B:$B,0))+U8</f>
        <v>19294</v>
      </c>
      <c r="AB8" s="225">
        <f>INDEX(TabGes2!H:H,MATCH($B8,TabGes2!$B:$B,0))+V8</f>
        <v>68</v>
      </c>
      <c r="AC8" s="215">
        <f t="shared" ref="AC8:AC16" si="1">+AB8+AA8/1000000000</f>
        <v>68.000019293999998</v>
      </c>
      <c r="AD8" s="215">
        <f t="shared" ref="AD8:AD16" si="2">RANK(AC8,AC:AC)</f>
        <v>8</v>
      </c>
      <c r="AE8" s="215">
        <f>INDEX(Tabelle2!AE:AE,MATCH(B8,Tabelle2!B:B,0))+SUMIF(Erfassung3!BU:BU,B8,Erfassung3!BF:BF)</f>
        <v>108</v>
      </c>
    </row>
    <row r="9" spans="1:31" ht="42" customHeight="1" thickBot="1" x14ac:dyDescent="0.3">
      <c r="A9" s="223">
        <v>3</v>
      </c>
      <c r="B9" s="128" t="str">
        <f>INDEX(Erfassung3!$AA:$AA,MATCH($A9,Erfassung3!$BR:$BR,0)-17)</f>
        <v>BC EMAX Unterföhring 2</v>
      </c>
      <c r="C9" s="129">
        <f>INDEX(Erfassung3!AC:AC,MATCH($A9,Erfassung3!$BR:$BR,0)-1)</f>
        <v>747</v>
      </c>
      <c r="D9" s="130">
        <f>INDEX(Erfassung3!AD:AD,MATCH($A9,Erfassung3!$BR:$BR,0))</f>
        <v>6</v>
      </c>
      <c r="E9" s="129">
        <f>INDEX(Erfassung3!AE:AE,MATCH($A9,Erfassung3!$BR:$BR,0)-1)</f>
        <v>810</v>
      </c>
      <c r="F9" s="130">
        <f>INDEX(Erfassung3!AF:AF,MATCH($A9,Erfassung3!$BR:$BR,0))</f>
        <v>5</v>
      </c>
      <c r="G9" s="129">
        <f>INDEX(Erfassung3!AG:AG,MATCH($A9,Erfassung3!$BR:$BR,0)-1)</f>
        <v>658</v>
      </c>
      <c r="H9" s="130">
        <f>INDEX(Erfassung3!AH:AH,MATCH($A9,Erfassung3!$BR:$BR,0))</f>
        <v>0</v>
      </c>
      <c r="I9" s="129">
        <f>INDEX(Erfassung3!AI:AI,MATCH($A9,Erfassung3!$BR:$BR,0)-1)</f>
        <v>655</v>
      </c>
      <c r="J9" s="130">
        <f>INDEX(Erfassung3!AJ:AJ,MATCH($A9,Erfassung3!$BR:$BR,0))</f>
        <v>2</v>
      </c>
      <c r="K9" s="129">
        <f>INDEX(Erfassung3!AK:AK,MATCH($A9,Erfassung3!$BR:$BR,0)-1)</f>
        <v>773</v>
      </c>
      <c r="L9" s="130">
        <f>INDEX(Erfassung3!AL:AL,MATCH($A9,Erfassung3!$BR:$BR,0))</f>
        <v>3</v>
      </c>
      <c r="M9" s="129">
        <f>INDEX(Erfassung3!AM:AM,MATCH($A9,Erfassung3!$BR:$BR,0)-1)</f>
        <v>760</v>
      </c>
      <c r="N9" s="130">
        <f>INDEX(Erfassung3!AN:AN,MATCH($A9,Erfassung3!$BR:$BR,0))</f>
        <v>4</v>
      </c>
      <c r="O9" s="129">
        <f>INDEX(Erfassung3!AO:AO,MATCH($A9,Erfassung3!$BR:$BR,0)-1)</f>
        <v>736</v>
      </c>
      <c r="P9" s="130">
        <f>INDEX(Erfassung3!AP:AP,MATCH($A9,Erfassung3!$BR:$BR,0))</f>
        <v>5</v>
      </c>
      <c r="Q9" s="129">
        <f>INDEX(Erfassung3!AQ:AQ,MATCH($A9,Erfassung3!$BR:$BR,0)-1)</f>
        <v>788</v>
      </c>
      <c r="R9" s="130">
        <f>INDEX(Erfassung3!AR:AR,MATCH($A9,Erfassung3!$BR:$BR,0))</f>
        <v>4</v>
      </c>
      <c r="S9" s="129">
        <f>INDEX(Erfassung3!AS:AS,MATCH($A9,Erfassung3!$BR:$BR,0)-1)</f>
        <v>762</v>
      </c>
      <c r="T9" s="130">
        <f>INDEX(Erfassung3!AT:AT,MATCH($A9,Erfassung3!$BR:$BR,0))</f>
        <v>4</v>
      </c>
      <c r="U9" s="131">
        <f t="shared" si="0"/>
        <v>6689</v>
      </c>
      <c r="V9" s="132">
        <f t="shared" si="0"/>
        <v>33</v>
      </c>
      <c r="W9" s="224">
        <f>IFERROR(U9/INDEX(Erfassung3!BF:BF,MATCH(A9,Erfassung3!BR:BR,0)),0)</f>
        <v>185.80555555555554</v>
      </c>
      <c r="X9" s="25"/>
      <c r="AA9" s="225">
        <f>INDEX(TabGes2!G:G,MATCH($B9,TabGes2!$B:$B,0))+U9</f>
        <v>20550</v>
      </c>
      <c r="AB9" s="225">
        <f>INDEX(TabGes2!H:H,MATCH($B9,TabGes2!$B:$B,0))+V9</f>
        <v>79.5</v>
      </c>
      <c r="AC9" s="215">
        <f t="shared" si="1"/>
        <v>79.500020550000002</v>
      </c>
      <c r="AD9" s="215">
        <f t="shared" si="2"/>
        <v>6</v>
      </c>
      <c r="AE9" s="215">
        <f>INDEX(Tabelle2!AE:AE,MATCH(B9,Tabelle2!B:B,0))+SUMIF(Erfassung3!BU:BU,B9,Erfassung3!BF:BF)</f>
        <v>108</v>
      </c>
    </row>
    <row r="10" spans="1:31" ht="42" customHeight="1" thickBot="1" x14ac:dyDescent="0.3">
      <c r="A10" s="223">
        <v>4</v>
      </c>
      <c r="B10" s="128" t="str">
        <f>INDEX(Erfassung3!$AA:$AA,MATCH($A10,Erfassung3!$BR:$BR,0)-17)</f>
        <v>Bajuwaren München 1</v>
      </c>
      <c r="C10" s="129">
        <f>INDEX(Erfassung3!AC:AC,MATCH($A10,Erfassung3!$BR:$BR,0)-1)</f>
        <v>606</v>
      </c>
      <c r="D10" s="130">
        <f>INDEX(Erfassung3!AD:AD,MATCH($A10,Erfassung3!$BR:$BR,0))</f>
        <v>0</v>
      </c>
      <c r="E10" s="129">
        <f>INDEX(Erfassung3!AE:AE,MATCH($A10,Erfassung3!$BR:$BR,0)-1)</f>
        <v>824</v>
      </c>
      <c r="F10" s="130">
        <f>INDEX(Erfassung3!AF:AF,MATCH($A10,Erfassung3!$BR:$BR,0))</f>
        <v>6</v>
      </c>
      <c r="G10" s="129">
        <f>INDEX(Erfassung3!AG:AG,MATCH($A10,Erfassung3!$BR:$BR,0)-1)</f>
        <v>759</v>
      </c>
      <c r="H10" s="130">
        <f>INDEX(Erfassung3!AH:AH,MATCH($A10,Erfassung3!$BR:$BR,0))</f>
        <v>3</v>
      </c>
      <c r="I10" s="129">
        <f>INDEX(Erfassung3!AI:AI,MATCH($A10,Erfassung3!$BR:$BR,0)-1)</f>
        <v>735</v>
      </c>
      <c r="J10" s="130">
        <f>INDEX(Erfassung3!AJ:AJ,MATCH($A10,Erfassung3!$BR:$BR,0))</f>
        <v>2</v>
      </c>
      <c r="K10" s="129">
        <f>INDEX(Erfassung3!AK:AK,MATCH($A10,Erfassung3!$BR:$BR,0)-1)</f>
        <v>723</v>
      </c>
      <c r="L10" s="130">
        <f>INDEX(Erfassung3!AL:AL,MATCH($A10,Erfassung3!$BR:$BR,0))</f>
        <v>1</v>
      </c>
      <c r="M10" s="129">
        <f>INDEX(Erfassung3!AM:AM,MATCH($A10,Erfassung3!$BR:$BR,0)-1)</f>
        <v>861</v>
      </c>
      <c r="N10" s="130">
        <f>INDEX(Erfassung3!AN:AN,MATCH($A10,Erfassung3!$BR:$BR,0))</f>
        <v>6</v>
      </c>
      <c r="O10" s="129">
        <f>INDEX(Erfassung3!AO:AO,MATCH($A10,Erfassung3!$BR:$BR,0)-1)</f>
        <v>770</v>
      </c>
      <c r="P10" s="130">
        <f>INDEX(Erfassung3!AP:AP,MATCH($A10,Erfassung3!$BR:$BR,0))</f>
        <v>1</v>
      </c>
      <c r="Q10" s="129">
        <f>INDEX(Erfassung3!AQ:AQ,MATCH($A10,Erfassung3!$BR:$BR,0)-1)</f>
        <v>753</v>
      </c>
      <c r="R10" s="130">
        <f>INDEX(Erfassung3!AR:AR,MATCH($A10,Erfassung3!$BR:$BR,0))</f>
        <v>5</v>
      </c>
      <c r="S10" s="129">
        <f>INDEX(Erfassung3!AS:AS,MATCH($A10,Erfassung3!$BR:$BR,0)-1)</f>
        <v>768</v>
      </c>
      <c r="T10" s="130">
        <f>INDEX(Erfassung3!AT:AT,MATCH($A10,Erfassung3!$BR:$BR,0))</f>
        <v>5</v>
      </c>
      <c r="U10" s="131">
        <f t="shared" si="0"/>
        <v>6799</v>
      </c>
      <c r="V10" s="132">
        <f t="shared" si="0"/>
        <v>29</v>
      </c>
      <c r="W10" s="224">
        <f>IFERROR(U10/INDEX(Erfassung3!BF:BF,MATCH(A10,Erfassung3!BR:BR,0)),0)</f>
        <v>188.86111111111111</v>
      </c>
      <c r="X10" s="25"/>
      <c r="AA10" s="225">
        <f>INDEX(TabGes2!G:G,MATCH($B10,TabGes2!$B:$B,0))+U10</f>
        <v>20907</v>
      </c>
      <c r="AB10" s="225">
        <f>INDEX(TabGes2!H:H,MATCH($B10,TabGes2!$B:$B,0))+V10</f>
        <v>94</v>
      </c>
      <c r="AC10" s="215">
        <f t="shared" si="1"/>
        <v>94.000020907000007</v>
      </c>
      <c r="AD10" s="215">
        <f t="shared" si="2"/>
        <v>3</v>
      </c>
      <c r="AE10" s="215">
        <f>INDEX(Tabelle2!AE:AE,MATCH(B10,Tabelle2!B:B,0))+SUMIF(Erfassung3!BU:BU,B10,Erfassung3!BF:BF)</f>
        <v>108</v>
      </c>
    </row>
    <row r="11" spans="1:31" ht="42" customHeight="1" thickBot="1" x14ac:dyDescent="0.3">
      <c r="A11" s="223">
        <v>5</v>
      </c>
      <c r="B11" s="128" t="str">
        <f>INDEX(Erfassung3!$AA:$AA,MATCH($A11,Erfassung3!$BR:$BR,0)-17)</f>
        <v>BK München 3</v>
      </c>
      <c r="C11" s="129">
        <f>INDEX(Erfassung3!AC:AC,MATCH($A11,Erfassung3!$BR:$BR,0)-1)</f>
        <v>808</v>
      </c>
      <c r="D11" s="130">
        <f>INDEX(Erfassung3!AD:AD,MATCH($A11,Erfassung3!$BR:$BR,0))</f>
        <v>5</v>
      </c>
      <c r="E11" s="129">
        <f>INDEX(Erfassung3!AE:AE,MATCH($A11,Erfassung3!$BR:$BR,0)-1)</f>
        <v>859</v>
      </c>
      <c r="F11" s="130">
        <f>INDEX(Erfassung3!AF:AF,MATCH($A11,Erfassung3!$BR:$BR,0))</f>
        <v>5</v>
      </c>
      <c r="G11" s="129">
        <f>INDEX(Erfassung3!AG:AG,MATCH($A11,Erfassung3!$BR:$BR,0)-1)</f>
        <v>781</v>
      </c>
      <c r="H11" s="130">
        <f>INDEX(Erfassung3!AH:AH,MATCH($A11,Erfassung3!$BR:$BR,0))</f>
        <v>3</v>
      </c>
      <c r="I11" s="129">
        <f>INDEX(Erfassung3!AI:AI,MATCH($A11,Erfassung3!$BR:$BR,0)-1)</f>
        <v>802</v>
      </c>
      <c r="J11" s="130">
        <f>INDEX(Erfassung3!AJ:AJ,MATCH($A11,Erfassung3!$BR:$BR,0))</f>
        <v>4</v>
      </c>
      <c r="K11" s="129">
        <f>INDEX(Erfassung3!AK:AK,MATCH($A11,Erfassung3!$BR:$BR,0)-1)</f>
        <v>720</v>
      </c>
      <c r="L11" s="130">
        <f>INDEX(Erfassung3!AL:AL,MATCH($A11,Erfassung3!$BR:$BR,0))</f>
        <v>2</v>
      </c>
      <c r="M11" s="129">
        <f>INDEX(Erfassung3!AM:AM,MATCH($A11,Erfassung3!$BR:$BR,0)-1)</f>
        <v>685</v>
      </c>
      <c r="N11" s="130">
        <f>INDEX(Erfassung3!AN:AN,MATCH($A11,Erfassung3!$BR:$BR,0))</f>
        <v>1</v>
      </c>
      <c r="O11" s="129">
        <f>INDEX(Erfassung3!AO:AO,MATCH($A11,Erfassung3!$BR:$BR,0)-1)</f>
        <v>803</v>
      </c>
      <c r="P11" s="130">
        <f>INDEX(Erfassung3!AP:AP,MATCH($A11,Erfassung3!$BR:$BR,0))</f>
        <v>4</v>
      </c>
      <c r="Q11" s="129">
        <f>INDEX(Erfassung3!AQ:AQ,MATCH($A11,Erfassung3!$BR:$BR,0)-1)</f>
        <v>727</v>
      </c>
      <c r="R11" s="130">
        <f>INDEX(Erfassung3!AR:AR,MATCH($A11,Erfassung3!$BR:$BR,0))</f>
        <v>2</v>
      </c>
      <c r="S11" s="129">
        <f>INDEX(Erfassung3!AS:AS,MATCH($A11,Erfassung3!$BR:$BR,0)-1)</f>
        <v>713</v>
      </c>
      <c r="T11" s="130">
        <f>INDEX(Erfassung3!AT:AT,MATCH($A11,Erfassung3!$BR:$BR,0))</f>
        <v>2</v>
      </c>
      <c r="U11" s="131">
        <f t="shared" si="0"/>
        <v>6898</v>
      </c>
      <c r="V11" s="132">
        <f t="shared" si="0"/>
        <v>28</v>
      </c>
      <c r="W11" s="224">
        <f>IFERROR(U11/INDEX(Erfassung3!BF:BF,MATCH(A11,Erfassung3!BR:BR,0)),0)</f>
        <v>191.61111111111111</v>
      </c>
      <c r="X11" s="25"/>
      <c r="AA11" s="225">
        <f>INDEX(TabGes2!G:G,MATCH($B11,TabGes2!$B:$B,0))+U11</f>
        <v>21434</v>
      </c>
      <c r="AB11" s="225">
        <f>INDEX(TabGes2!H:H,MATCH($B11,TabGes2!$B:$B,0))+V11</f>
        <v>88</v>
      </c>
      <c r="AC11" s="215">
        <f t="shared" si="1"/>
        <v>88.000021434000004</v>
      </c>
      <c r="AD11" s="215">
        <f t="shared" si="2"/>
        <v>4</v>
      </c>
      <c r="AE11" s="215">
        <f>INDEX(Tabelle2!AE:AE,MATCH(B11,Tabelle2!B:B,0))+SUMIF(Erfassung3!BU:BU,B11,Erfassung3!BF:BF)</f>
        <v>108</v>
      </c>
    </row>
    <row r="12" spans="1:31" ht="42" customHeight="1" thickBot="1" x14ac:dyDescent="0.3">
      <c r="A12" s="223">
        <v>6</v>
      </c>
      <c r="B12" s="128" t="str">
        <f>INDEX(Erfassung3!$AA:$AA,MATCH($A12,Erfassung3!$BR:$BR,0)-17)</f>
        <v>SG DJK Rimpar</v>
      </c>
      <c r="C12" s="129">
        <f>INDEX(Erfassung3!AC:AC,MATCH($A12,Erfassung3!$BR:$BR,0)-1)</f>
        <v>695</v>
      </c>
      <c r="D12" s="130">
        <f>INDEX(Erfassung3!AD:AD,MATCH($A12,Erfassung3!$BR:$BR,0))</f>
        <v>2</v>
      </c>
      <c r="E12" s="129">
        <f>INDEX(Erfassung3!AE:AE,MATCH($A12,Erfassung3!$BR:$BR,0)-1)</f>
        <v>793</v>
      </c>
      <c r="F12" s="130">
        <f>INDEX(Erfassung3!AF:AF,MATCH($A12,Erfassung3!$BR:$BR,0))</f>
        <v>5</v>
      </c>
      <c r="G12" s="129">
        <f>INDEX(Erfassung3!AG:AG,MATCH($A12,Erfassung3!$BR:$BR,0)-1)</f>
        <v>815</v>
      </c>
      <c r="H12" s="130">
        <f>INDEX(Erfassung3!AH:AH,MATCH($A12,Erfassung3!$BR:$BR,0))</f>
        <v>5</v>
      </c>
      <c r="I12" s="129">
        <f>INDEX(Erfassung3!AI:AI,MATCH($A12,Erfassung3!$BR:$BR,0)-1)</f>
        <v>682</v>
      </c>
      <c r="J12" s="130">
        <f>INDEX(Erfassung3!AJ:AJ,MATCH($A12,Erfassung3!$BR:$BR,0))</f>
        <v>2</v>
      </c>
      <c r="K12" s="129">
        <f>INDEX(Erfassung3!AK:AK,MATCH($A12,Erfassung3!$BR:$BR,0)-1)</f>
        <v>782</v>
      </c>
      <c r="L12" s="130">
        <f>INDEX(Erfassung3!AL:AL,MATCH($A12,Erfassung3!$BR:$BR,0))</f>
        <v>3</v>
      </c>
      <c r="M12" s="129">
        <f>INDEX(Erfassung3!AM:AM,MATCH($A12,Erfassung3!$BR:$BR,0)-1)</f>
        <v>659</v>
      </c>
      <c r="N12" s="130">
        <f>INDEX(Erfassung3!AN:AN,MATCH($A12,Erfassung3!$BR:$BR,0))</f>
        <v>1</v>
      </c>
      <c r="O12" s="129">
        <f>INDEX(Erfassung3!AO:AO,MATCH($A12,Erfassung3!$BR:$BR,0)-1)</f>
        <v>781</v>
      </c>
      <c r="P12" s="130">
        <f>INDEX(Erfassung3!AP:AP,MATCH($A12,Erfassung3!$BR:$BR,0))</f>
        <v>4</v>
      </c>
      <c r="Q12" s="129">
        <f>INDEX(Erfassung3!AQ:AQ,MATCH($A12,Erfassung3!$BR:$BR,0)-1)</f>
        <v>750</v>
      </c>
      <c r="R12" s="130">
        <f>INDEX(Erfassung3!AR:AR,MATCH($A12,Erfassung3!$BR:$BR,0))</f>
        <v>4</v>
      </c>
      <c r="S12" s="129">
        <f>INDEX(Erfassung3!AS:AS,MATCH($A12,Erfassung3!$BR:$BR,0)-1)</f>
        <v>726</v>
      </c>
      <c r="T12" s="130">
        <f>INDEX(Erfassung3!AT:AT,MATCH($A12,Erfassung3!$BR:$BR,0))</f>
        <v>1</v>
      </c>
      <c r="U12" s="131">
        <f t="shared" si="0"/>
        <v>6683</v>
      </c>
      <c r="V12" s="132">
        <f t="shared" si="0"/>
        <v>27</v>
      </c>
      <c r="W12" s="224">
        <f>IFERROR(U12/INDEX(Erfassung3!BF:BF,MATCH(A12,Erfassung3!BR:BR,0)),0)</f>
        <v>185.63888888888889</v>
      </c>
      <c r="X12" s="25"/>
      <c r="AA12" s="225">
        <f>INDEX(TabGes2!G:G,MATCH($B12,TabGes2!$B:$B,0))+U12</f>
        <v>21396</v>
      </c>
      <c r="AB12" s="225">
        <f>INDEX(TabGes2!H:H,MATCH($B12,TabGes2!$B:$B,0))+V12</f>
        <v>96.5</v>
      </c>
      <c r="AC12" s="215">
        <f t="shared" si="1"/>
        <v>96.500021395999994</v>
      </c>
      <c r="AD12" s="215">
        <f t="shared" si="2"/>
        <v>2</v>
      </c>
      <c r="AE12" s="215">
        <f>INDEX(Tabelle2!AE:AE,MATCH(B12,Tabelle2!B:B,0))+SUMIF(Erfassung3!BU:BU,B12,Erfassung3!BF:BF)</f>
        <v>108</v>
      </c>
    </row>
    <row r="13" spans="1:31" ht="42" customHeight="1" thickBot="1" x14ac:dyDescent="0.3">
      <c r="A13" s="223">
        <v>7</v>
      </c>
      <c r="B13" s="128" t="str">
        <f>INDEX(Erfassung3!$AA:$AA,MATCH($A13,Erfassung3!$BR:$BR,0)-17)</f>
        <v>Bowlinghaus Bamberg 1</v>
      </c>
      <c r="C13" s="129">
        <f>INDEX(Erfassung3!AC:AC,MATCH($A13,Erfassung3!$BR:$BR,0)-1)</f>
        <v>672</v>
      </c>
      <c r="D13" s="130">
        <f>INDEX(Erfassung3!AD:AD,MATCH($A13,Erfassung3!$BR:$BR,0))</f>
        <v>1</v>
      </c>
      <c r="E13" s="129">
        <f>INDEX(Erfassung3!AE:AE,MATCH($A13,Erfassung3!$BR:$BR,0)-1)</f>
        <v>718</v>
      </c>
      <c r="F13" s="130">
        <f>INDEX(Erfassung3!AF:AF,MATCH($A13,Erfassung3!$BR:$BR,0))</f>
        <v>1</v>
      </c>
      <c r="G13" s="129">
        <f>INDEX(Erfassung3!AG:AG,MATCH($A13,Erfassung3!$BR:$BR,0)-1)</f>
        <v>692</v>
      </c>
      <c r="H13" s="130">
        <f>INDEX(Erfassung3!AH:AH,MATCH($A13,Erfassung3!$BR:$BR,0))</f>
        <v>1</v>
      </c>
      <c r="I13" s="129">
        <f>INDEX(Erfassung3!AI:AI,MATCH($A13,Erfassung3!$BR:$BR,0)-1)</f>
        <v>777</v>
      </c>
      <c r="J13" s="130">
        <f>INDEX(Erfassung3!AJ:AJ,MATCH($A13,Erfassung3!$BR:$BR,0))</f>
        <v>4</v>
      </c>
      <c r="K13" s="129">
        <f>INDEX(Erfassung3!AK:AK,MATCH($A13,Erfassung3!$BR:$BR,0)-1)</f>
        <v>781</v>
      </c>
      <c r="L13" s="130">
        <f>INDEX(Erfassung3!AL:AL,MATCH($A13,Erfassung3!$BR:$BR,0))</f>
        <v>4</v>
      </c>
      <c r="M13" s="129">
        <f>INDEX(Erfassung3!AM:AM,MATCH($A13,Erfassung3!$BR:$BR,0)-1)</f>
        <v>853</v>
      </c>
      <c r="N13" s="130">
        <f>INDEX(Erfassung3!AN:AN,MATCH($A13,Erfassung3!$BR:$BR,0))</f>
        <v>4</v>
      </c>
      <c r="O13" s="129">
        <f>INDEX(Erfassung3!AO:AO,MATCH($A13,Erfassung3!$BR:$BR,0)-1)</f>
        <v>828</v>
      </c>
      <c r="P13" s="130">
        <f>INDEX(Erfassung3!AP:AP,MATCH($A13,Erfassung3!$BR:$BR,0))</f>
        <v>5</v>
      </c>
      <c r="Q13" s="129">
        <f>INDEX(Erfassung3!AQ:AQ,MATCH($A13,Erfassung3!$BR:$BR,0)-1)</f>
        <v>810</v>
      </c>
      <c r="R13" s="130">
        <f>INDEX(Erfassung3!AR:AR,MATCH($A13,Erfassung3!$BR:$BR,0))</f>
        <v>4</v>
      </c>
      <c r="S13" s="129">
        <f>INDEX(Erfassung3!AS:AS,MATCH($A13,Erfassung3!$BR:$BR,0)-1)</f>
        <v>711</v>
      </c>
      <c r="T13" s="130">
        <f>INDEX(Erfassung3!AT:AT,MATCH($A13,Erfassung3!$BR:$BR,0))</f>
        <v>2</v>
      </c>
      <c r="U13" s="131">
        <f t="shared" si="0"/>
        <v>6842</v>
      </c>
      <c r="V13" s="132">
        <f t="shared" si="0"/>
        <v>26</v>
      </c>
      <c r="W13" s="224">
        <f>IFERROR(U13/INDEX(Erfassung3!BF:BF,MATCH(A13,Erfassung3!BR:BR,0)),0)</f>
        <v>190.05555555555554</v>
      </c>
      <c r="X13" s="25"/>
      <c r="AA13" s="225">
        <f>INDEX(TabGes2!G:G,MATCH($B13,TabGes2!$B:$B,0))+U13</f>
        <v>20772</v>
      </c>
      <c r="AB13" s="225">
        <f>INDEX(TabGes2!H:H,MATCH($B13,TabGes2!$B:$B,0))+V13</f>
        <v>86</v>
      </c>
      <c r="AC13" s="215">
        <f t="shared" si="1"/>
        <v>86.000020771999999</v>
      </c>
      <c r="AD13" s="215">
        <f t="shared" si="2"/>
        <v>5</v>
      </c>
      <c r="AE13" s="215">
        <f>INDEX(Tabelle2!AE:AE,MATCH(B13,Tabelle2!B:B,0))+SUMIF(Erfassung3!BU:BU,B13,Erfassung3!BF:BF)</f>
        <v>108</v>
      </c>
    </row>
    <row r="14" spans="1:31" ht="42" customHeight="1" thickBot="1" x14ac:dyDescent="0.3">
      <c r="A14" s="223">
        <v>8</v>
      </c>
      <c r="B14" s="128" t="str">
        <f>INDEX(Erfassung3!$AA:$AA,MATCH($A14,Erfassung3!$BR:$BR,0)-17)</f>
        <v>High Roller Rosenheim 1</v>
      </c>
      <c r="C14" s="129">
        <f>INDEX(Erfassung3!AC:AC,MATCH($A14,Erfassung3!$BR:$BR,0)-1)</f>
        <v>746</v>
      </c>
      <c r="D14" s="130">
        <f>INDEX(Erfassung3!AD:AD,MATCH($A14,Erfassung3!$BR:$BR,0))</f>
        <v>1</v>
      </c>
      <c r="E14" s="129">
        <f>INDEX(Erfassung3!AE:AE,MATCH($A14,Erfassung3!$BR:$BR,0)-1)</f>
        <v>654</v>
      </c>
      <c r="F14" s="130">
        <f>INDEX(Erfassung3!AF:AF,MATCH($A14,Erfassung3!$BR:$BR,0))</f>
        <v>0</v>
      </c>
      <c r="G14" s="129">
        <f>INDEX(Erfassung3!AG:AG,MATCH($A14,Erfassung3!$BR:$BR,0)-1)</f>
        <v>706</v>
      </c>
      <c r="H14" s="130">
        <f>INDEX(Erfassung3!AH:AH,MATCH($A14,Erfassung3!$BR:$BR,0))</f>
        <v>4</v>
      </c>
      <c r="I14" s="129">
        <f>INDEX(Erfassung3!AI:AI,MATCH($A14,Erfassung3!$BR:$BR,0)-1)</f>
        <v>709</v>
      </c>
      <c r="J14" s="130">
        <f>INDEX(Erfassung3!AJ:AJ,MATCH($A14,Erfassung3!$BR:$BR,0))</f>
        <v>4</v>
      </c>
      <c r="K14" s="129">
        <f>INDEX(Erfassung3!AK:AK,MATCH($A14,Erfassung3!$BR:$BR,0)-1)</f>
        <v>824</v>
      </c>
      <c r="L14" s="130">
        <f>INDEX(Erfassung3!AL:AL,MATCH($A14,Erfassung3!$BR:$BR,0))</f>
        <v>6</v>
      </c>
      <c r="M14" s="129">
        <f>INDEX(Erfassung3!AM:AM,MATCH($A14,Erfassung3!$BR:$BR,0)-1)</f>
        <v>750</v>
      </c>
      <c r="N14" s="130">
        <f>INDEX(Erfassung3!AN:AN,MATCH($A14,Erfassung3!$BR:$BR,0))</f>
        <v>2</v>
      </c>
      <c r="O14" s="129">
        <f>INDEX(Erfassung3!AO:AO,MATCH($A14,Erfassung3!$BR:$BR,0)-1)</f>
        <v>737</v>
      </c>
      <c r="P14" s="130">
        <f>INDEX(Erfassung3!AP:AP,MATCH($A14,Erfassung3!$BR:$BR,0))</f>
        <v>2</v>
      </c>
      <c r="Q14" s="129">
        <f>INDEX(Erfassung3!AQ:AQ,MATCH($A14,Erfassung3!$BR:$BR,0)-1)</f>
        <v>730</v>
      </c>
      <c r="R14" s="130">
        <f>INDEX(Erfassung3!AR:AR,MATCH($A14,Erfassung3!$BR:$BR,0))</f>
        <v>4</v>
      </c>
      <c r="S14" s="129">
        <f>INDEX(Erfassung3!AS:AS,MATCH($A14,Erfassung3!$BR:$BR,0)-1)</f>
        <v>651</v>
      </c>
      <c r="T14" s="130">
        <f>INDEX(Erfassung3!AT:AT,MATCH($A14,Erfassung3!$BR:$BR,0))</f>
        <v>0</v>
      </c>
      <c r="U14" s="131">
        <f t="shared" si="0"/>
        <v>6507</v>
      </c>
      <c r="V14" s="132">
        <f t="shared" si="0"/>
        <v>23</v>
      </c>
      <c r="W14" s="224">
        <f>IFERROR(U14/INDEX(Erfassung3!BF:BF,MATCH(A14,Erfassung3!BR:BR,0)),0)</f>
        <v>180.75</v>
      </c>
      <c r="X14" s="25"/>
      <c r="AA14" s="225">
        <f>INDEX(TabGes2!G:G,MATCH($B14,TabGes2!$B:$B,0))+U14</f>
        <v>19844</v>
      </c>
      <c r="AB14" s="225">
        <f>INDEX(TabGes2!H:H,MATCH($B14,TabGes2!$B:$B,0))+V14</f>
        <v>66.5</v>
      </c>
      <c r="AC14" s="215">
        <f t="shared" si="1"/>
        <v>66.500019843999993</v>
      </c>
      <c r="AD14" s="215">
        <f t="shared" si="2"/>
        <v>9</v>
      </c>
      <c r="AE14" s="215">
        <f>INDEX(Tabelle2!AE:AE,MATCH(B14,Tabelle2!B:B,0))+SUMIF(Erfassung3!BU:BU,B14,Erfassung3!BF:BF)</f>
        <v>108</v>
      </c>
    </row>
    <row r="15" spans="1:31" ht="42" customHeight="1" thickBot="1" x14ac:dyDescent="0.3">
      <c r="A15" s="223">
        <v>9</v>
      </c>
      <c r="B15" s="128" t="str">
        <f>INDEX(Erfassung3!$AA:$AA,MATCH($A15,Erfassung3!$BR:$BR,0)-17)</f>
        <v>SG Rottendorf 1</v>
      </c>
      <c r="C15" s="129">
        <f>INDEX(Erfassung3!AC:AC,MATCH($A15,Erfassung3!$BR:$BR,0)-1)</f>
        <v>731</v>
      </c>
      <c r="D15" s="130">
        <f>INDEX(Erfassung3!AD:AD,MATCH($A15,Erfassung3!$BR:$BR,0))</f>
        <v>4</v>
      </c>
      <c r="E15" s="129">
        <f>INDEX(Erfassung3!AE:AE,MATCH($A15,Erfassung3!$BR:$BR,0)-1)</f>
        <v>753</v>
      </c>
      <c r="F15" s="130">
        <f>INDEX(Erfassung3!AF:AF,MATCH($A15,Erfassung3!$BR:$BR,0))</f>
        <v>2</v>
      </c>
      <c r="G15" s="129">
        <f>INDEX(Erfassung3!AG:AG,MATCH($A15,Erfassung3!$BR:$BR,0)-1)</f>
        <v>755</v>
      </c>
      <c r="H15" s="130">
        <f>INDEX(Erfassung3!AH:AH,MATCH($A15,Erfassung3!$BR:$BR,0))</f>
        <v>5</v>
      </c>
      <c r="I15" s="129">
        <f>INDEX(Erfassung3!AI:AI,MATCH($A15,Erfassung3!$BR:$BR,0)-1)</f>
        <v>758</v>
      </c>
      <c r="J15" s="130">
        <f>INDEX(Erfassung3!AJ:AJ,MATCH($A15,Erfassung3!$BR:$BR,0))</f>
        <v>2</v>
      </c>
      <c r="K15" s="129">
        <f>INDEX(Erfassung3!AK:AK,MATCH($A15,Erfassung3!$BR:$BR,0)-1)</f>
        <v>677</v>
      </c>
      <c r="L15" s="130">
        <f>INDEX(Erfassung3!AL:AL,MATCH($A15,Erfassung3!$BR:$BR,0))</f>
        <v>0</v>
      </c>
      <c r="M15" s="129">
        <f>INDEX(Erfassung3!AM:AM,MATCH($A15,Erfassung3!$BR:$BR,0)-1)</f>
        <v>673</v>
      </c>
      <c r="N15" s="130">
        <f>INDEX(Erfassung3!AN:AN,MATCH($A15,Erfassung3!$BR:$BR,0))</f>
        <v>0</v>
      </c>
      <c r="O15" s="129">
        <f>INDEX(Erfassung3!AO:AO,MATCH($A15,Erfassung3!$BR:$BR,0)-1)</f>
        <v>696</v>
      </c>
      <c r="P15" s="130">
        <f>INDEX(Erfassung3!AP:AP,MATCH($A15,Erfassung3!$BR:$BR,0))</f>
        <v>1</v>
      </c>
      <c r="Q15" s="129">
        <f>INDEX(Erfassung3!AQ:AQ,MATCH($A15,Erfassung3!$BR:$BR,0)-1)</f>
        <v>702</v>
      </c>
      <c r="R15" s="130">
        <f>INDEX(Erfassung3!AR:AR,MATCH($A15,Erfassung3!$BR:$BR,0))</f>
        <v>2</v>
      </c>
      <c r="S15" s="129">
        <f>INDEX(Erfassung3!AS:AS,MATCH($A15,Erfassung3!$BR:$BR,0)-1)</f>
        <v>762</v>
      </c>
      <c r="T15" s="130">
        <f>INDEX(Erfassung3!AT:AT,MATCH($A15,Erfassung3!$BR:$BR,0))</f>
        <v>4</v>
      </c>
      <c r="U15" s="131">
        <f t="shared" si="0"/>
        <v>6507</v>
      </c>
      <c r="V15" s="132">
        <f t="shared" si="0"/>
        <v>20</v>
      </c>
      <c r="W15" s="224">
        <f>IFERROR(U15/INDEX(Erfassung3!BF:BF,MATCH(A15,Erfassung3!BR:BR,0)),0)</f>
        <v>180.75</v>
      </c>
      <c r="X15" s="25"/>
      <c r="AA15" s="225">
        <f>INDEX(TabGes2!G:G,MATCH($B15,TabGes2!$B:$B,0))+U15</f>
        <v>20125</v>
      </c>
      <c r="AB15" s="225">
        <f>INDEX(TabGes2!H:H,MATCH($B15,TabGes2!$B:$B,0))+V15</f>
        <v>76.5</v>
      </c>
      <c r="AC15" s="215">
        <f t="shared" si="1"/>
        <v>76.500020125000006</v>
      </c>
      <c r="AD15" s="215">
        <f t="shared" si="2"/>
        <v>7</v>
      </c>
      <c r="AE15" s="215">
        <f>INDEX(Tabelle2!AE:AE,MATCH(B15,Tabelle2!B:B,0))+SUMIF(Erfassung3!BU:BU,B15,Erfassung3!BF:BF)</f>
        <v>107</v>
      </c>
    </row>
    <row r="16" spans="1:31" ht="42" customHeight="1" thickBot="1" x14ac:dyDescent="0.3">
      <c r="A16" s="223">
        <v>10</v>
      </c>
      <c r="B16" s="128" t="str">
        <f>INDEX(Erfassung3!$AA:$AA,MATCH($A16,Erfassung3!$BR:$BR,0)-17)</f>
        <v>RW Lichtenhof Stein 1</v>
      </c>
      <c r="C16" s="129">
        <f>INDEX(Erfassung3!AC:AC,MATCH($A16,Erfassung3!$BR:$BR,0)-1)</f>
        <v>695</v>
      </c>
      <c r="D16" s="130">
        <f>INDEX(Erfassung3!AD:AD,MATCH($A16,Erfassung3!$BR:$BR,0))</f>
        <v>1</v>
      </c>
      <c r="E16" s="129">
        <f>INDEX(Erfassung3!AE:AE,MATCH($A16,Erfassung3!$BR:$BR,0)-1)</f>
        <v>724</v>
      </c>
      <c r="F16" s="130">
        <f>INDEX(Erfassung3!AF:AF,MATCH($A16,Erfassung3!$BR:$BR,0))</f>
        <v>1</v>
      </c>
      <c r="G16" s="129">
        <f>INDEX(Erfassung3!AG:AG,MATCH($A16,Erfassung3!$BR:$BR,0)-1)</f>
        <v>706</v>
      </c>
      <c r="H16" s="130">
        <f>INDEX(Erfassung3!AH:AH,MATCH($A16,Erfassung3!$BR:$BR,0))</f>
        <v>1</v>
      </c>
      <c r="I16" s="129">
        <f>INDEX(Erfassung3!AI:AI,MATCH($A16,Erfassung3!$BR:$BR,0)-1)</f>
        <v>719</v>
      </c>
      <c r="J16" s="130">
        <f>INDEX(Erfassung3!AJ:AJ,MATCH($A16,Erfassung3!$BR:$BR,0))</f>
        <v>2</v>
      </c>
      <c r="K16" s="129">
        <f>INDEX(Erfassung3!AK:AK,MATCH($A16,Erfassung3!$BR:$BR,0)-1)</f>
        <v>735</v>
      </c>
      <c r="L16" s="130">
        <f>INDEX(Erfassung3!AL:AL,MATCH($A16,Erfassung3!$BR:$BR,0))</f>
        <v>0</v>
      </c>
      <c r="M16" s="129">
        <f>INDEX(Erfassung3!AM:AM,MATCH($A16,Erfassung3!$BR:$BR,0)-1)</f>
        <v>752</v>
      </c>
      <c r="N16" s="130">
        <f>INDEX(Erfassung3!AN:AN,MATCH($A16,Erfassung3!$BR:$BR,0))</f>
        <v>2</v>
      </c>
      <c r="O16" s="129">
        <f>INDEX(Erfassung3!AO:AO,MATCH($A16,Erfassung3!$BR:$BR,0)-1)</f>
        <v>799</v>
      </c>
      <c r="P16" s="130">
        <f>INDEX(Erfassung3!AP:AP,MATCH($A16,Erfassung3!$BR:$BR,0))</f>
        <v>2</v>
      </c>
      <c r="Q16" s="129">
        <f>INDEX(Erfassung3!AQ:AQ,MATCH($A16,Erfassung3!$BR:$BR,0)-1)</f>
        <v>739</v>
      </c>
      <c r="R16" s="130">
        <f>INDEX(Erfassung3!AR:AR,MATCH($A16,Erfassung3!$BR:$BR,0))</f>
        <v>1</v>
      </c>
      <c r="S16" s="129">
        <f>INDEX(Erfassung3!AS:AS,MATCH($A16,Erfassung3!$BR:$BR,0)-1)</f>
        <v>617</v>
      </c>
      <c r="T16" s="130">
        <f>INDEX(Erfassung3!AT:AT,MATCH($A16,Erfassung3!$BR:$BR,0))</f>
        <v>1</v>
      </c>
      <c r="U16" s="131">
        <f t="shared" si="0"/>
        <v>6486</v>
      </c>
      <c r="V16" s="132">
        <f t="shared" si="0"/>
        <v>11</v>
      </c>
      <c r="W16" s="224">
        <f>IFERROR(U16/INDEX(Erfassung3!BF:BF,MATCH(A16,Erfassung3!BR:BR,0)),0)</f>
        <v>180.16666666666666</v>
      </c>
      <c r="X16" s="25"/>
      <c r="AA16" s="225">
        <f>INDEX(TabGes2!G:G,MATCH($B16,TabGes2!$B:$B,0))+U16</f>
        <v>19708</v>
      </c>
      <c r="AB16" s="225">
        <f>INDEX(TabGes2!H:H,MATCH($B16,TabGes2!$B:$B,0))+V16</f>
        <v>52.5</v>
      </c>
      <c r="AC16" s="215">
        <f t="shared" si="1"/>
        <v>52.500019708000004</v>
      </c>
      <c r="AD16" s="215">
        <f t="shared" si="2"/>
        <v>10</v>
      </c>
      <c r="AE16" s="215">
        <f>INDEX(Tabelle2!AE:AE,MATCH(B16,Tabelle2!B:B,0))+SUMIF(Erfassung3!BU:BU,B16,Erfassung3!BF:BF)</f>
        <v>108</v>
      </c>
    </row>
    <row r="19" spans="2:23" ht="15.6" x14ac:dyDescent="0.3">
      <c r="B19" s="382" t="s">
        <v>1827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3"/>
      <c r="V19" s="383"/>
      <c r="W19" s="383"/>
    </row>
    <row r="20" spans="2:23" x14ac:dyDescent="0.25">
      <c r="C20" s="383"/>
      <c r="D20" s="383"/>
      <c r="E20" s="383"/>
      <c r="F20" s="383"/>
      <c r="G20" s="383"/>
      <c r="H20" s="383"/>
    </row>
    <row r="21" spans="2:23" x14ac:dyDescent="0.25">
      <c r="B21" s="166" t="s">
        <v>1826</v>
      </c>
      <c r="C21" t="str">
        <f>IFERROR(INDEX(Erfassung3!AA:AA,MATCH(1,Erfassung3!BV:BV,0)),"")</f>
        <v>Glatzer, Daniel</v>
      </c>
      <c r="H21" t="str">
        <f>INDEX(Erfassung3!BU:BU,MATCH(C21,Erfassung3!AA:AA,0))</f>
        <v>BC Comet Nürnberg</v>
      </c>
      <c r="N21" s="133">
        <f>IFERROR(ROUND(INDEX(Erfassung3!BT:BT,MATCH(1,Erfassung3!BV:BV,0)),0),"")</f>
        <v>267</v>
      </c>
    </row>
    <row r="22" spans="2:23" x14ac:dyDescent="0.25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x14ac:dyDescent="0.25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x14ac:dyDescent="0.25">
      <c r="B24" s="166" t="s">
        <v>1828</v>
      </c>
      <c r="C24" t="str">
        <f>IFERROR(INDEX(Erfassung3!AA:AA,MATCH(1,Erfassung3!BZ:BZ,0)),"")</f>
        <v>Glatzer, Daniel</v>
      </c>
      <c r="H24" t="str">
        <f>INDEX(Erfassung3!BU:BU,MATCH(C24,Erfassung3!AA:AA,0))</f>
        <v>BC Comet Nürnberg</v>
      </c>
      <c r="N24" s="384" t="str">
        <f>IFERROR(ROUND(INDEX(Erfassung3!BW:BW,MATCH(1,Erfassung3!BZ:BZ,0)),0),"")&amp;"  /  "&amp;ROUND(IFERROR(ROUND(INDEX(Erfassung3!BW:BW,MATCH(1,Erfassung3!BZ:BZ,0)),0),"")/9,2)</f>
        <v>1986  /  220,67</v>
      </c>
      <c r="O24" s="384"/>
      <c r="P24" s="384"/>
    </row>
    <row r="25" spans="2:23" x14ac:dyDescent="0.25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25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  <mergeCell ref="C20:H20"/>
    <mergeCell ref="N24:P24"/>
    <mergeCell ref="Q5:R5"/>
    <mergeCell ref="S5:T5"/>
    <mergeCell ref="U5:V5"/>
    <mergeCell ref="B19:T19"/>
    <mergeCell ref="U19:W19"/>
    <mergeCell ref="M5:N5"/>
    <mergeCell ref="O5:P5"/>
  </mergeCells>
  <conditionalFormatting sqref="C7:T16">
    <cfRule type="top10" dxfId="9" priority="1" stopIfTrue="1" rank="1"/>
  </conditionalFormatting>
  <conditionalFormatting sqref="U7:U16">
    <cfRule type="top10" dxfId="8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8" width="8.6640625" customWidth="1"/>
    <col min="9" max="9" width="13.44140625" customWidth="1"/>
    <col min="10" max="10" width="9.44140625" customWidth="1"/>
    <col min="12" max="12" width="6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6" t="str">
        <f>"Saison "&amp;Spielorte!C18&amp;"     -     Spieltag "&amp;Erfassung3!AS2&amp;"     -     "&amp;Erfassung3!AT1</f>
        <v>Saison 2024/2025     -     Spieltag 3     -     01.02./02.02.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6" t="s">
        <v>2082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3"/>
      <c r="E4" s="393"/>
      <c r="F4" s="393"/>
      <c r="G4" s="393"/>
      <c r="H4" s="393"/>
      <c r="I4" s="393"/>
      <c r="J4" s="30"/>
      <c r="K4" s="27"/>
    </row>
    <row r="5" spans="1:31" x14ac:dyDescent="0.25">
      <c r="A5" s="389" t="s">
        <v>1816</v>
      </c>
      <c r="B5" s="391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79" t="s">
        <v>1799</v>
      </c>
      <c r="J5" s="380"/>
      <c r="K5" s="387" t="s">
        <v>1818</v>
      </c>
    </row>
    <row r="6" spans="1:31" ht="13.8" thickBot="1" x14ac:dyDescent="0.3">
      <c r="A6" s="390"/>
      <c r="B6" s="392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8"/>
    </row>
    <row r="7" spans="1:31" ht="42" customHeight="1" thickBot="1" x14ac:dyDescent="0.3">
      <c r="A7" s="34">
        <v>1</v>
      </c>
      <c r="B7" s="128" t="str">
        <f>INDEX(Tabelle3!B:B,MATCH(A7,Tabelle3!AD:AD,0))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9">
        <f t="shared" ref="I7:I16" si="0">SUM(C7+E7+G7)</f>
        <v>21639</v>
      </c>
      <c r="J7" s="40">
        <f t="shared" ref="J7:J16" si="1">SUM(D7+F7+H7)</f>
        <v>102.5</v>
      </c>
      <c r="K7" s="37">
        <f>I7/INDEX(Tabelle3!$AE:$AE,MATCH($B7,Tabelle3!$B:$B,0))</f>
        <v>200.36111111111111</v>
      </c>
      <c r="L7" s="25"/>
    </row>
    <row r="8" spans="1:31" ht="42" customHeight="1" thickBot="1" x14ac:dyDescent="0.3">
      <c r="A8" s="34">
        <v>2</v>
      </c>
      <c r="B8" s="128" t="str">
        <f>INDEX(Tabelle3!B:B,MATCH(A8,Tabelle3!AD:AD,0))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9">
        <f t="shared" si="0"/>
        <v>21396</v>
      </c>
      <c r="J8" s="40">
        <f t="shared" si="1"/>
        <v>96.5</v>
      </c>
      <c r="K8" s="37">
        <f>I8/INDEX(Tabelle3!$AE:$AE,MATCH($B8,Tabelle3!$B:$B,0))</f>
        <v>198.11111111111111</v>
      </c>
      <c r="L8" s="25"/>
    </row>
    <row r="9" spans="1:31" ht="42" customHeight="1" thickBot="1" x14ac:dyDescent="0.3">
      <c r="A9" s="34">
        <v>3</v>
      </c>
      <c r="B9" s="128" t="str">
        <f>INDEX(Tabelle3!B:B,MATCH(A9,Tabelle3!AD:AD,0))</f>
        <v>Bajuwaren München 1</v>
      </c>
      <c r="C9" s="35">
        <f>INDEX(Tabelle1!U:U,MATCH(B9,Tabelle1!B:B,0))</f>
        <v>7404</v>
      </c>
      <c r="D9" s="36">
        <f>INDEX(Tabelle1!V:V,MATCH(B9,Tabelle1!B:B,0))</f>
        <v>39</v>
      </c>
      <c r="E9" s="35">
        <f>INDEX(Tabelle2!U:U,MATCH(B9,Tabelle2!B:B,0))</f>
        <v>6704</v>
      </c>
      <c r="F9" s="36">
        <f>INDEX(Tabelle2!V:V,MATCH(B9,Tabelle2!B:B,0))</f>
        <v>26</v>
      </c>
      <c r="G9" s="35">
        <f>INDEX(Tabelle3!U:U,MATCH(B9,Tabelle3!B:B,0))</f>
        <v>6799</v>
      </c>
      <c r="H9" s="38">
        <f>INDEX(Tabelle3!V:V,MATCH(B9,Tabelle3!B:B,0))</f>
        <v>29</v>
      </c>
      <c r="I9" s="39">
        <f t="shared" si="0"/>
        <v>20907</v>
      </c>
      <c r="J9" s="40">
        <f t="shared" si="1"/>
        <v>94</v>
      </c>
      <c r="K9" s="37">
        <f>I9/INDEX(Tabelle3!$AE:$AE,MATCH($B9,Tabelle3!$B:$B,0))</f>
        <v>193.58333333333334</v>
      </c>
      <c r="L9" s="25"/>
    </row>
    <row r="10" spans="1:31" ht="42" customHeight="1" thickBot="1" x14ac:dyDescent="0.3">
      <c r="A10" s="34">
        <v>4</v>
      </c>
      <c r="B10" s="128" t="str">
        <f>INDEX(Tabelle3!B:B,MATCH(A10,Tabelle3!AD:AD,0))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35">
        <f>INDEX(Tabelle3!U:U,MATCH(B10,Tabelle3!B:B,0))</f>
        <v>6898</v>
      </c>
      <c r="H10" s="38">
        <f>INDEX(Tabelle3!V:V,MATCH(B10,Tabelle3!B:B,0))</f>
        <v>28</v>
      </c>
      <c r="I10" s="39">
        <f t="shared" si="0"/>
        <v>21434</v>
      </c>
      <c r="J10" s="40">
        <f t="shared" si="1"/>
        <v>88</v>
      </c>
      <c r="K10" s="37">
        <f>I10/INDEX(Tabelle3!$AE:$AE,MATCH($B10,Tabelle3!$B:$B,0))</f>
        <v>198.46296296296296</v>
      </c>
      <c r="L10" s="25"/>
    </row>
    <row r="11" spans="1:31" ht="42" customHeight="1" thickBot="1" x14ac:dyDescent="0.3">
      <c r="A11" s="34">
        <v>5</v>
      </c>
      <c r="B11" s="128" t="str">
        <f>INDEX(Tabelle3!B:B,MATCH(A11,Tabelle3!AD:AD,0))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35">
        <f>INDEX(Tabelle3!U:U,MATCH(B11,Tabelle3!B:B,0))</f>
        <v>6842</v>
      </c>
      <c r="H11" s="38">
        <f>INDEX(Tabelle3!V:V,MATCH(B11,Tabelle3!B:B,0))</f>
        <v>26</v>
      </c>
      <c r="I11" s="39">
        <f t="shared" si="0"/>
        <v>20772</v>
      </c>
      <c r="J11" s="40">
        <f t="shared" si="1"/>
        <v>86</v>
      </c>
      <c r="K11" s="37">
        <f>I11/INDEX(Tabelle3!$AE:$AE,MATCH($B11,Tabelle3!$B:$B,0))</f>
        <v>192.33333333333334</v>
      </c>
      <c r="L11" s="25"/>
    </row>
    <row r="12" spans="1:31" ht="42" customHeight="1" thickBot="1" x14ac:dyDescent="0.3">
      <c r="A12" s="34">
        <v>6</v>
      </c>
      <c r="B12" s="128" t="str">
        <f>INDEX(Tabelle3!B:B,MATCH(A12,Tabelle3!AD:AD,0))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9">
        <f t="shared" si="0"/>
        <v>20550</v>
      </c>
      <c r="J12" s="40">
        <f t="shared" si="1"/>
        <v>79.5</v>
      </c>
      <c r="K12" s="37">
        <f>I12/INDEX(Tabelle3!$AE:$AE,MATCH($B12,Tabelle3!$B:$B,0))</f>
        <v>190.27777777777777</v>
      </c>
      <c r="L12" s="25"/>
    </row>
    <row r="13" spans="1:31" ht="42" customHeight="1" thickBot="1" x14ac:dyDescent="0.3">
      <c r="A13" s="34">
        <v>7</v>
      </c>
      <c r="B13" s="128" t="str">
        <f>INDEX(Tabelle3!B:B,MATCH(A13,Tabelle3!AD:AD,0))</f>
        <v>SG Rottendorf 1</v>
      </c>
      <c r="C13" s="35">
        <f>INDEX(Tabelle1!U:U,MATCH(B13,Tabelle1!B:B,0))</f>
        <v>6830</v>
      </c>
      <c r="D13" s="36">
        <f>INDEX(Tabelle1!V:V,MATCH(B13,Tabelle1!B:B,0))</f>
        <v>26.5</v>
      </c>
      <c r="E13" s="35">
        <f>INDEX(Tabelle2!U:U,MATCH(B13,Tabelle2!B:B,0))</f>
        <v>6788</v>
      </c>
      <c r="F13" s="36">
        <f>INDEX(Tabelle2!V:V,MATCH(B13,Tabelle2!B:B,0))</f>
        <v>30</v>
      </c>
      <c r="G13" s="35">
        <f>INDEX(Tabelle3!U:U,MATCH(B13,Tabelle3!B:B,0))</f>
        <v>6507</v>
      </c>
      <c r="H13" s="38">
        <f>INDEX(Tabelle3!V:V,MATCH(B13,Tabelle3!B:B,0))</f>
        <v>20</v>
      </c>
      <c r="I13" s="39">
        <f t="shared" si="0"/>
        <v>20125</v>
      </c>
      <c r="J13" s="40">
        <f t="shared" si="1"/>
        <v>76.5</v>
      </c>
      <c r="K13" s="37">
        <f>I13/INDEX(Tabelle3!$AE:$AE,MATCH($B13,Tabelle3!$B:$B,0))</f>
        <v>188.0841121495327</v>
      </c>
      <c r="L13" s="25"/>
    </row>
    <row r="14" spans="1:31" ht="42" customHeight="1" thickBot="1" x14ac:dyDescent="0.3">
      <c r="A14" s="34">
        <v>8</v>
      </c>
      <c r="B14" s="128" t="str">
        <f>INDEX(Tabelle3!B:B,MATCH(A14,Tabelle3!AD:AD,0))</f>
        <v>Schanzer Ingolstadt 1</v>
      </c>
      <c r="C14" s="35">
        <f>INDEX(Tabelle1!U:U,MATCH(B14,Tabelle1!B:B,0))</f>
        <v>6254</v>
      </c>
      <c r="D14" s="36">
        <f>INDEX(Tabelle1!V:V,MATCH(B14,Tabelle1!B:B,0))</f>
        <v>14</v>
      </c>
      <c r="E14" s="35">
        <f>INDEX(Tabelle2!U:U,MATCH(B14,Tabelle2!B:B,0))</f>
        <v>6398</v>
      </c>
      <c r="F14" s="36">
        <f>INDEX(Tabelle2!V:V,MATCH(B14,Tabelle2!B:B,0))</f>
        <v>20</v>
      </c>
      <c r="G14" s="35">
        <f>INDEX(Tabelle3!U:U,MATCH(B14,Tabelle3!B:B,0))</f>
        <v>6642</v>
      </c>
      <c r="H14" s="38">
        <f>INDEX(Tabelle3!V:V,MATCH(B14,Tabelle3!B:B,0))</f>
        <v>34</v>
      </c>
      <c r="I14" s="39">
        <f t="shared" si="0"/>
        <v>19294</v>
      </c>
      <c r="J14" s="40">
        <f t="shared" si="1"/>
        <v>68</v>
      </c>
      <c r="K14" s="37">
        <f>I14/INDEX(Tabelle3!$AE:$AE,MATCH($B14,Tabelle3!$B:$B,0))</f>
        <v>178.64814814814815</v>
      </c>
      <c r="L14" s="25"/>
    </row>
    <row r="15" spans="1:31" ht="42" customHeight="1" thickBot="1" x14ac:dyDescent="0.3">
      <c r="A15" s="34">
        <v>9</v>
      </c>
      <c r="B15" s="128" t="str">
        <f>INDEX(Tabelle3!B:B,MATCH(A15,Tabelle3!AD:AD,0))</f>
        <v>High Roller Rosenheim 1</v>
      </c>
      <c r="C15" s="35">
        <f>INDEX(Tabelle1!U:U,MATCH(B15,Tabelle1!B:B,0))</f>
        <v>6696</v>
      </c>
      <c r="D15" s="36">
        <f>INDEX(Tabelle1!V:V,MATCH(B15,Tabelle1!B:B,0))</f>
        <v>20.5</v>
      </c>
      <c r="E15" s="35">
        <f>INDEX(Tabelle2!U:U,MATCH(B15,Tabelle2!B:B,0))</f>
        <v>6641</v>
      </c>
      <c r="F15" s="36">
        <f>INDEX(Tabelle2!V:V,MATCH(B15,Tabelle2!B:B,0))</f>
        <v>23</v>
      </c>
      <c r="G15" s="35">
        <f>INDEX(Tabelle3!U:U,MATCH(B15,Tabelle3!B:B,0))</f>
        <v>6507</v>
      </c>
      <c r="H15" s="38">
        <f>INDEX(Tabelle3!V:V,MATCH(B15,Tabelle3!B:B,0))</f>
        <v>23</v>
      </c>
      <c r="I15" s="39">
        <f t="shared" si="0"/>
        <v>19844</v>
      </c>
      <c r="J15" s="40">
        <f t="shared" si="1"/>
        <v>66.5</v>
      </c>
      <c r="K15" s="37">
        <f>I15/INDEX(Tabelle3!$AE:$AE,MATCH($B15,Tabelle3!$B:$B,0))</f>
        <v>183.74074074074073</v>
      </c>
      <c r="L15" s="25"/>
    </row>
    <row r="16" spans="1:31" ht="42" customHeight="1" thickBot="1" x14ac:dyDescent="0.3">
      <c r="A16" s="34">
        <v>10</v>
      </c>
      <c r="B16" s="128" t="str">
        <f>INDEX(Tabelle3!B:B,MATCH(A16,Tabelle3!AD:AD,0))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9">
        <f t="shared" si="0"/>
        <v>19708</v>
      </c>
      <c r="J16" s="40">
        <f t="shared" si="1"/>
        <v>52.5</v>
      </c>
      <c r="K16" s="37">
        <f>I16/INDEX(Tabelle3!$AE:$AE,MATCH($B16,Tabelle3!$B:$B,0))</f>
        <v>182.4814814814815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16253</v>
      </c>
      <c r="M2">
        <f>SUMIF(Erfassung3!BD:BD,L2,Erfassung3!BW:BW)</f>
        <v>0</v>
      </c>
      <c r="N2">
        <f>SUMIF(Erfassung3!BD:BD,L2,Erfassung3!BG:BG)</f>
        <v>0</v>
      </c>
      <c r="O2">
        <f t="shared" ref="O2:O65" si="0">IF(N2=0,0,M2/N2-ROW()/1000000000)</f>
        <v>0</v>
      </c>
      <c r="P2">
        <f t="shared" ref="P2:P65" si="1">RANK(O2,O:O)</f>
        <v>52</v>
      </c>
    </row>
    <row r="3" spans="1:16" x14ac:dyDescent="0.25">
      <c r="L3" s="227">
        <f>INDEX(Starter!A:A,ROW()-1)</f>
        <v>38687</v>
      </c>
      <c r="M3">
        <f>SUMIF(Erfassung3!BD:BD,L3,Erfassung3!BW:BW)</f>
        <v>1662</v>
      </c>
      <c r="N3">
        <f>SUMIF(Erfassung3!BD:BD,L3,Erfassung3!BG:BG)</f>
        <v>9</v>
      </c>
      <c r="O3">
        <f t="shared" si="0"/>
        <v>184.66666666366666</v>
      </c>
      <c r="P3">
        <f t="shared" si="1"/>
        <v>26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SUMIF(Erfassung3!BD:BD,L4,Erfassung3!BW:BW)</f>
        <v>1822</v>
      </c>
      <c r="N4">
        <f>SUMIF(Erfassung3!BD:BD,L4,Erfassung3!BG:BG)</f>
        <v>9</v>
      </c>
      <c r="O4">
        <f t="shared" si="0"/>
        <v>202.44444444044447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16243</v>
      </c>
      <c r="C5" t="str">
        <f>IFERROR(INDEX(Starter!B:B,MATCH(B5,Starter!A:A,0)),"")</f>
        <v>Glatzer, Daniel</v>
      </c>
      <c r="D5" t="str">
        <f>IFERROR(INDEX(Starter!C:C,MATCH(B5,Starter!A:A,0)),"")</f>
        <v>Comet</v>
      </c>
      <c r="E5" s="102">
        <f t="shared" ref="E5:E36" si="3">IFERROR(INDEX(M:M,MATCH(A5,P:P,0)),"")</f>
        <v>1986</v>
      </c>
      <c r="F5">
        <f t="shared" ref="F5:F36" si="4">IFERROR(INDEX(N:N,MATCH(A5,P:P,0)),"")</f>
        <v>9</v>
      </c>
      <c r="G5" s="137">
        <f t="shared" ref="G5:G36" si="5">IFERROR(INDEX(O:O,MATCH(A5,P:P,0)),"")</f>
        <v>220.66666664066665</v>
      </c>
      <c r="L5" s="227">
        <f>INDEX(Starter!A:A,ROW()-1)</f>
        <v>16301</v>
      </c>
      <c r="M5">
        <f>SUMIF(Erfassung3!BD:BD,L5,Erfassung3!BW:BW)</f>
        <v>1584</v>
      </c>
      <c r="N5">
        <f>SUMIF(Erfassung3!BD:BD,L5,Erfassung3!BG:BG)</f>
        <v>9</v>
      </c>
      <c r="O5">
        <f t="shared" si="0"/>
        <v>175.999999995</v>
      </c>
      <c r="P5">
        <f t="shared" si="1"/>
        <v>37</v>
      </c>
    </row>
    <row r="6" spans="1:16" x14ac:dyDescent="0.25">
      <c r="A6">
        <f t="shared" ref="A6:A37" si="6">IFERROR(IF(A5+1&gt;MAX(P:P)-1,"",A5+1),"")</f>
        <v>2</v>
      </c>
      <c r="B6">
        <f t="shared" si="2"/>
        <v>7099</v>
      </c>
      <c r="C6" t="str">
        <f>IFERROR(INDEX(Starter!B:B,MATCH(B6,Starter!A:A,0)),"")</f>
        <v>Holzinger, Sebastian</v>
      </c>
      <c r="D6" t="str">
        <f>IFERROR(INDEX(Starter!C:C,MATCH(B6,Starter!A:A,0)),"")</f>
        <v>BC Bamberger Bowlinghaus</v>
      </c>
      <c r="E6" s="102">
        <f t="shared" si="3"/>
        <v>1905</v>
      </c>
      <c r="F6">
        <f t="shared" si="4"/>
        <v>9</v>
      </c>
      <c r="G6" s="137">
        <f t="shared" si="5"/>
        <v>211.66666662966665</v>
      </c>
      <c r="L6" s="227">
        <f>INDEX(Starter!A:A,ROW()-1)</f>
        <v>38411</v>
      </c>
      <c r="M6">
        <f>SUMIF(Erfassung3!BD:BD,L6,Erfassung3!BW:BW)</f>
        <v>1585</v>
      </c>
      <c r="N6">
        <f>SUMIF(Erfassung3!BD:BD,L6,Erfassung3!BG:BG)</f>
        <v>9</v>
      </c>
      <c r="O6">
        <f t="shared" si="0"/>
        <v>176.11111110511112</v>
      </c>
      <c r="P6">
        <f t="shared" si="1"/>
        <v>36</v>
      </c>
    </row>
    <row r="7" spans="1:16" x14ac:dyDescent="0.25">
      <c r="A7">
        <f t="shared" si="6"/>
        <v>3</v>
      </c>
      <c r="B7">
        <f t="shared" si="2"/>
        <v>7408</v>
      </c>
      <c r="C7" t="str">
        <f>IFERROR(INDEX(Starter!B:B,MATCH(B7,Starter!A:A,0)),"")</f>
        <v>Glasl jun., Hans-Jürgen</v>
      </c>
      <c r="D7" t="str">
        <f>IFERROR(INDEX(Starter!C:C,MATCH(B7,Starter!A:A,0)),"")</f>
        <v>BC Bajuwaren 1976 München</v>
      </c>
      <c r="E7" s="102">
        <f t="shared" si="3"/>
        <v>1869</v>
      </c>
      <c r="F7">
        <f t="shared" si="4"/>
        <v>9</v>
      </c>
      <c r="G7" s="137">
        <f t="shared" si="5"/>
        <v>207.66666664866665</v>
      </c>
      <c r="L7" s="227">
        <f>INDEX(Starter!A:A,ROW()-1)</f>
        <v>38361</v>
      </c>
      <c r="M7">
        <f>SUMIF(Erfassung3!BD:BD,L7,Erfassung3!BW:BW)</f>
        <v>1567</v>
      </c>
      <c r="N7">
        <f>SUMIF(Erfassung3!BD:BD,L7,Erfassung3!BG:BG)</f>
        <v>9</v>
      </c>
      <c r="O7">
        <f t="shared" si="0"/>
        <v>174.1111111041111</v>
      </c>
      <c r="P7">
        <f t="shared" si="1"/>
        <v>40</v>
      </c>
    </row>
    <row r="8" spans="1:16" x14ac:dyDescent="0.25">
      <c r="A8">
        <f t="shared" si="6"/>
        <v>4</v>
      </c>
      <c r="B8">
        <f t="shared" si="2"/>
        <v>7348</v>
      </c>
      <c r="C8" t="str">
        <f>IFERROR(INDEX(Starter!B:B,MATCH(B8,Starter!A:A,0)),"")</f>
        <v>Spielvogel, Jochen</v>
      </c>
      <c r="D8" t="str">
        <f>IFERROR(INDEX(Starter!C:C,MATCH(B8,Starter!A:A,0)),"")</f>
        <v>BC Schanzer Strikers</v>
      </c>
      <c r="E8" s="102">
        <f t="shared" si="3"/>
        <v>1856</v>
      </c>
      <c r="F8">
        <f t="shared" si="4"/>
        <v>9</v>
      </c>
      <c r="G8" s="137">
        <f t="shared" si="5"/>
        <v>206.22222221322224</v>
      </c>
      <c r="L8" s="227">
        <f>INDEX(Starter!A:A,ROW()-1)</f>
        <v>38550</v>
      </c>
      <c r="M8">
        <f>SUMIF(Erfassung3!BD:BD,L8,Erfassung3!BW:BW)</f>
        <v>1634</v>
      </c>
      <c r="N8">
        <f>SUMIF(Erfassung3!BD:BD,L8,Erfassung3!BG:BG)</f>
        <v>9</v>
      </c>
      <c r="O8">
        <f t="shared" si="0"/>
        <v>181.55555554755554</v>
      </c>
      <c r="P8">
        <f t="shared" si="1"/>
        <v>30</v>
      </c>
    </row>
    <row r="9" spans="1:16" x14ac:dyDescent="0.25">
      <c r="A9">
        <f t="shared" si="6"/>
        <v>5</v>
      </c>
      <c r="B9">
        <f t="shared" si="2"/>
        <v>7725</v>
      </c>
      <c r="C9" t="str">
        <f>IFERROR(INDEX(Starter!B:B,MATCH(B9,Starter!A:A,0)),"")</f>
        <v>Schlundt, Michael</v>
      </c>
      <c r="D9" t="str">
        <f>IFERROR(INDEX(Starter!C:C,MATCH(B9,Starter!A:A,0)),"")</f>
        <v>Comet</v>
      </c>
      <c r="E9" s="102">
        <f t="shared" si="3"/>
        <v>1852</v>
      </c>
      <c r="F9">
        <f t="shared" si="4"/>
        <v>9</v>
      </c>
      <c r="G9" s="137">
        <f t="shared" si="5"/>
        <v>205.77777775077777</v>
      </c>
      <c r="L9" s="227">
        <f>INDEX(Starter!A:A,ROW()-1)</f>
        <v>7348</v>
      </c>
      <c r="M9">
        <f>SUMIF(Erfassung3!BD:BD,L9,Erfassung3!BW:BW)</f>
        <v>1856</v>
      </c>
      <c r="N9">
        <f>SUMIF(Erfassung3!BD:BD,L9,Erfassung3!BG:BG)</f>
        <v>9</v>
      </c>
      <c r="O9">
        <f t="shared" si="0"/>
        <v>206.22222221322224</v>
      </c>
      <c r="P9">
        <f t="shared" si="1"/>
        <v>4</v>
      </c>
    </row>
    <row r="10" spans="1:16" x14ac:dyDescent="0.25">
      <c r="A10">
        <f t="shared" si="6"/>
        <v>6</v>
      </c>
      <c r="B10">
        <f t="shared" si="2"/>
        <v>16912</v>
      </c>
      <c r="C10" t="str">
        <f>IFERROR(INDEX(Starter!B:B,MATCH(B10,Starter!A:A,0)),"")</f>
        <v>Hellmessen, Maximilian</v>
      </c>
      <c r="D10" t="str">
        <f>IFERROR(INDEX(Starter!C:C,MATCH(B10,Starter!A:A,0)),"")</f>
        <v>BK München</v>
      </c>
      <c r="E10" s="102">
        <f t="shared" si="3"/>
        <v>1843</v>
      </c>
      <c r="F10">
        <f t="shared" si="4"/>
        <v>9</v>
      </c>
      <c r="G10" s="137">
        <f t="shared" si="5"/>
        <v>204.77777776177777</v>
      </c>
      <c r="L10" s="227">
        <f>INDEX(Starter!A:A,ROW()-1)</f>
        <v>16852</v>
      </c>
      <c r="M10">
        <f>SUMIF(Erfassung3!BD:BD,L10,Erfassung3!BW:BW)</f>
        <v>524</v>
      </c>
      <c r="N10">
        <f>SUMIF(Erfassung3!BD:BD,L10,Erfassung3!BG:BG)</f>
        <v>3</v>
      </c>
      <c r="O10">
        <f t="shared" si="0"/>
        <v>174.66666665666665</v>
      </c>
      <c r="P10">
        <f t="shared" si="1"/>
        <v>38</v>
      </c>
    </row>
    <row r="11" spans="1:16" x14ac:dyDescent="0.25">
      <c r="A11">
        <f t="shared" si="6"/>
        <v>7</v>
      </c>
      <c r="B11">
        <f t="shared" si="2"/>
        <v>7602</v>
      </c>
      <c r="C11" t="str">
        <f>IFERROR(INDEX(Starter!B:B,MATCH(B11,Starter!A:A,0)),"")</f>
        <v>Probst, Marco</v>
      </c>
      <c r="D11" t="str">
        <f>IFERROR(INDEX(Starter!C:C,MATCH(B11,Starter!A:A,0)),"")</f>
        <v>BC EMAX</v>
      </c>
      <c r="E11" s="102">
        <f t="shared" si="3"/>
        <v>1019</v>
      </c>
      <c r="F11">
        <f t="shared" si="4"/>
        <v>5</v>
      </c>
      <c r="G11" s="137">
        <f t="shared" si="5"/>
        <v>203.79999994600001</v>
      </c>
      <c r="L11" s="227">
        <f>INDEX(Starter!A:A,ROW()-1)</f>
        <v>16352</v>
      </c>
      <c r="M11">
        <f>SUMIF(Erfassung3!BD:BD,L11,Erfassung3!BW:BW)</f>
        <v>1197</v>
      </c>
      <c r="N11">
        <f>SUMIF(Erfassung3!BD:BD,L11,Erfassung3!BG:BG)</f>
        <v>7</v>
      </c>
      <c r="O11">
        <f t="shared" si="0"/>
        <v>170.999999989</v>
      </c>
      <c r="P11">
        <f t="shared" si="1"/>
        <v>42</v>
      </c>
    </row>
    <row r="12" spans="1:16" x14ac:dyDescent="0.25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1822</v>
      </c>
      <c r="F12">
        <f t="shared" si="4"/>
        <v>9</v>
      </c>
      <c r="G12" s="137">
        <f t="shared" si="5"/>
        <v>202.44444444044447</v>
      </c>
      <c r="L12" s="227">
        <f>INDEX(Starter!A:A,ROW()-1)</f>
        <v>16495</v>
      </c>
      <c r="M12">
        <f>SUMIF(Erfassung3!BD:BD,L12,Erfassung3!BW:BW)</f>
        <v>1388</v>
      </c>
      <c r="N12">
        <f>SUMIF(Erfassung3!BD:BD,L12,Erfassung3!BG:BG)</f>
        <v>8</v>
      </c>
      <c r="O12">
        <f t="shared" si="0"/>
        <v>173.49999998800001</v>
      </c>
      <c r="P12">
        <f t="shared" si="1"/>
        <v>41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1820</v>
      </c>
      <c r="F13">
        <f t="shared" si="4"/>
        <v>9</v>
      </c>
      <c r="G13" s="137">
        <f t="shared" si="5"/>
        <v>202.22222216622222</v>
      </c>
      <c r="L13" s="227">
        <f>INDEX(Starter!A:A,ROW()-1)</f>
        <v>16945</v>
      </c>
      <c r="M13">
        <f>SUMIF(Erfassung3!BD:BD,L13,Erfassung3!BW:BW)</f>
        <v>1756</v>
      </c>
      <c r="N13">
        <f>SUMIF(Erfassung3!BD:BD,L13,Erfassung3!BG:BG)</f>
        <v>9</v>
      </c>
      <c r="O13">
        <f t="shared" si="0"/>
        <v>195.11111109811111</v>
      </c>
      <c r="P13">
        <f t="shared" si="1"/>
        <v>12</v>
      </c>
    </row>
    <row r="14" spans="1:16" x14ac:dyDescent="0.25">
      <c r="A14">
        <f t="shared" si="6"/>
        <v>10</v>
      </c>
      <c r="B14">
        <f t="shared" si="2"/>
        <v>7591</v>
      </c>
      <c r="C14" t="str">
        <f>IFERROR(INDEX(Starter!B:B,MATCH(B14,Starter!A:A,0)),"")</f>
        <v>Börding, Daniel</v>
      </c>
      <c r="D14" t="str">
        <f>IFERROR(INDEX(Starter!C:C,MATCH(B14,Starter!A:A,0)),"")</f>
        <v>BK München</v>
      </c>
      <c r="E14" s="102">
        <f t="shared" si="3"/>
        <v>996</v>
      </c>
      <c r="F14">
        <f t="shared" si="4"/>
        <v>5</v>
      </c>
      <c r="G14" s="137">
        <f t="shared" si="5"/>
        <v>199.199999953</v>
      </c>
      <c r="L14" s="227">
        <f>INDEX(Starter!A:A,ROW()-1)</f>
        <v>7867</v>
      </c>
      <c r="M14">
        <f>SUMIF(Erfassung3!BD:BD,L14,Erfassung3!BW:BW)</f>
        <v>670</v>
      </c>
      <c r="N14">
        <f>SUMIF(Erfassung3!BD:BD,L14,Erfassung3!BG:BG)</f>
        <v>4</v>
      </c>
      <c r="O14">
        <f t="shared" si="0"/>
        <v>167.49999998600001</v>
      </c>
      <c r="P14">
        <f t="shared" si="1"/>
        <v>45</v>
      </c>
    </row>
    <row r="15" spans="1:16" x14ac:dyDescent="0.25">
      <c r="A15">
        <f t="shared" si="6"/>
        <v>11</v>
      </c>
      <c r="B15">
        <f t="shared" si="2"/>
        <v>7102</v>
      </c>
      <c r="C15" t="str">
        <f>IFERROR(INDEX(Starter!B:B,MATCH(B15,Starter!A:A,0)),"")</f>
        <v>Schick, Andreas</v>
      </c>
      <c r="D15" t="str">
        <f>IFERROR(INDEX(Starter!C:C,MATCH(B15,Starter!A:A,0)),"")</f>
        <v>Comet</v>
      </c>
      <c r="E15" s="102">
        <f t="shared" si="3"/>
        <v>1776</v>
      </c>
      <c r="F15">
        <f t="shared" si="4"/>
        <v>9</v>
      </c>
      <c r="G15" s="137">
        <f t="shared" si="5"/>
        <v>197.33333330233333</v>
      </c>
      <c r="L15" s="227">
        <f>INDEX(Starter!A:A,ROW()-1)</f>
        <v>7597</v>
      </c>
      <c r="M15">
        <f>SUMIF(Erfassung3!BD:BD,L15,Erfassung3!BW:BW)</f>
        <v>940</v>
      </c>
      <c r="N15">
        <f>SUMIF(Erfassung3!BD:BD,L15,Erfassung3!BG:BG)</f>
        <v>5</v>
      </c>
      <c r="O15">
        <f t="shared" si="0"/>
        <v>187.99999998499999</v>
      </c>
      <c r="P15">
        <f t="shared" si="1"/>
        <v>23</v>
      </c>
    </row>
    <row r="16" spans="1:16" x14ac:dyDescent="0.25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1756</v>
      </c>
      <c r="F16">
        <f t="shared" si="4"/>
        <v>9</v>
      </c>
      <c r="G16" s="137">
        <f t="shared" si="5"/>
        <v>195.11111109811111</v>
      </c>
      <c r="L16" s="227">
        <f>INDEX(Starter!A:A,ROW()-1)</f>
        <v>16912</v>
      </c>
      <c r="M16">
        <f>SUMIF(Erfassung3!BD:BD,L16,Erfassung3!BW:BW)</f>
        <v>1843</v>
      </c>
      <c r="N16">
        <f>SUMIF(Erfassung3!BD:BD,L16,Erfassung3!BG:BG)</f>
        <v>9</v>
      </c>
      <c r="O16">
        <f t="shared" si="0"/>
        <v>204.77777776177777</v>
      </c>
      <c r="P16">
        <f t="shared" si="1"/>
        <v>6</v>
      </c>
    </row>
    <row r="17" spans="1:16" x14ac:dyDescent="0.25">
      <c r="A17">
        <f t="shared" si="6"/>
        <v>13</v>
      </c>
      <c r="B17">
        <f t="shared" si="2"/>
        <v>16519</v>
      </c>
      <c r="C17" t="str">
        <f>IFERROR(INDEX(Starter!B:B,MATCH(B17,Starter!A:A,0)),"")</f>
        <v>Tos, Sascha</v>
      </c>
      <c r="D17" t="str">
        <f>IFERROR(INDEX(Starter!C:C,MATCH(B17,Starter!A:A,0)),"")</f>
        <v>BSC Highroller Rosenheim</v>
      </c>
      <c r="E17" s="102">
        <f t="shared" si="3"/>
        <v>1352</v>
      </c>
      <c r="F17">
        <f t="shared" si="4"/>
        <v>7</v>
      </c>
      <c r="G17" s="137">
        <f t="shared" si="5"/>
        <v>193.14285708285715</v>
      </c>
      <c r="L17" s="227">
        <f>INDEX(Starter!A:A,ROW()-1)</f>
        <v>7885</v>
      </c>
      <c r="M17">
        <f>SUMIF(Erfassung3!BD:BD,L17,Erfassung3!BW:BW)</f>
        <v>757</v>
      </c>
      <c r="N17">
        <f>SUMIF(Erfassung3!BD:BD,L17,Erfassung3!BG:BG)</f>
        <v>4</v>
      </c>
      <c r="O17">
        <f t="shared" si="0"/>
        <v>189.24999998300001</v>
      </c>
      <c r="P17">
        <f t="shared" si="1"/>
        <v>19</v>
      </c>
    </row>
    <row r="18" spans="1:16" x14ac:dyDescent="0.25">
      <c r="A18">
        <f t="shared" si="6"/>
        <v>14</v>
      </c>
      <c r="B18">
        <f t="shared" si="2"/>
        <v>16896</v>
      </c>
      <c r="C18" t="str">
        <f>IFERROR(INDEX(Starter!B:B,MATCH(B18,Starter!A:A,0)),"")</f>
        <v>Mittelmaier, Andreas</v>
      </c>
      <c r="D18" t="str">
        <f>IFERROR(INDEX(Starter!C:C,MATCH(B18,Starter!A:A,0)),"")</f>
        <v>Comet</v>
      </c>
      <c r="E18" s="102">
        <f t="shared" si="3"/>
        <v>771</v>
      </c>
      <c r="F18">
        <f t="shared" si="4"/>
        <v>4</v>
      </c>
      <c r="G18" s="137">
        <f t="shared" si="5"/>
        <v>192.74999997</v>
      </c>
      <c r="L18" s="227">
        <f>INDEX(Starter!A:A,ROW()-1)</f>
        <v>7408</v>
      </c>
      <c r="M18">
        <f>SUMIF(Erfassung3!BD:BD,L18,Erfassung3!BW:BW)</f>
        <v>1869</v>
      </c>
      <c r="N18">
        <f>SUMIF(Erfassung3!BD:BD,L18,Erfassung3!BG:BG)</f>
        <v>9</v>
      </c>
      <c r="O18">
        <f t="shared" si="0"/>
        <v>207.66666664866665</v>
      </c>
      <c r="P18">
        <f t="shared" si="1"/>
        <v>3</v>
      </c>
    </row>
    <row r="19" spans="1:16" x14ac:dyDescent="0.25">
      <c r="A19">
        <f t="shared" si="6"/>
        <v>15</v>
      </c>
      <c r="B19">
        <f t="shared" si="2"/>
        <v>38041</v>
      </c>
      <c r="C19" t="str">
        <f>IFERROR(INDEX(Starter!B:B,MATCH(B19,Starter!A:A,0)),"")</f>
        <v>Röhlig, Jörg</v>
      </c>
      <c r="D19" t="str">
        <f>IFERROR(INDEX(Starter!C:C,MATCH(B19,Starter!A:A,0)),"")</f>
        <v>BC Bamberger Bowlinghaus</v>
      </c>
      <c r="E19" s="102">
        <f t="shared" si="3"/>
        <v>1539</v>
      </c>
      <c r="F19">
        <f t="shared" si="4"/>
        <v>8</v>
      </c>
      <c r="G19" s="137">
        <f t="shared" si="5"/>
        <v>192.374999962</v>
      </c>
      <c r="L19" s="227">
        <f>INDEX(Starter!A:A,ROW()-1)</f>
        <v>16762</v>
      </c>
      <c r="M19">
        <f>SUMIF(Erfassung3!BD:BD,L19,Erfassung3!BW:BW)</f>
        <v>838</v>
      </c>
      <c r="N19">
        <f>SUMIF(Erfassung3!BD:BD,L19,Erfassung3!BG:BG)</f>
        <v>5</v>
      </c>
      <c r="O19">
        <f t="shared" si="0"/>
        <v>167.599999981</v>
      </c>
      <c r="P19">
        <f t="shared" si="1"/>
        <v>44</v>
      </c>
    </row>
    <row r="20" spans="1:16" x14ac:dyDescent="0.25">
      <c r="A20">
        <f t="shared" si="6"/>
        <v>16</v>
      </c>
      <c r="B20">
        <f t="shared" si="2"/>
        <v>7600</v>
      </c>
      <c r="C20" t="str">
        <f>IFERROR(INDEX(Starter!B:B,MATCH(B20,Starter!A:A,0)),"")</f>
        <v>Lüthje, Dennis</v>
      </c>
      <c r="D20" t="str">
        <f>IFERROR(INDEX(Starter!C:C,MATCH(B20,Starter!A:A,0)),"")</f>
        <v>BC Bajuwaren 1976 München</v>
      </c>
      <c r="E20" s="102">
        <f t="shared" si="3"/>
        <v>1726</v>
      </c>
      <c r="F20">
        <f t="shared" si="4"/>
        <v>9</v>
      </c>
      <c r="G20" s="137">
        <f t="shared" si="5"/>
        <v>191.77777775777778</v>
      </c>
      <c r="L20" s="227">
        <f>INDEX(Starter!A:A,ROW()-1)</f>
        <v>7600</v>
      </c>
      <c r="M20">
        <f>SUMIF(Erfassung3!BD:BD,L20,Erfassung3!BW:BW)</f>
        <v>1726</v>
      </c>
      <c r="N20">
        <f>SUMIF(Erfassung3!BD:BD,L20,Erfassung3!BG:BG)</f>
        <v>9</v>
      </c>
      <c r="O20">
        <f t="shared" si="0"/>
        <v>191.77777775777778</v>
      </c>
      <c r="P20">
        <f t="shared" si="1"/>
        <v>16</v>
      </c>
    </row>
    <row r="21" spans="1:16" x14ac:dyDescent="0.25">
      <c r="A21">
        <f t="shared" si="6"/>
        <v>17</v>
      </c>
      <c r="B21">
        <f t="shared" si="2"/>
        <v>25325</v>
      </c>
      <c r="C21" t="str">
        <f>IFERROR(INDEX(Starter!B:B,MATCH(B21,Starter!A:A,0)),"")</f>
        <v>Wegenast, Robert</v>
      </c>
      <c r="D21" t="str">
        <f>IFERROR(INDEX(Starter!C:C,MATCH(B21,Starter!A:A,0)),"")</f>
        <v>BC EMAX</v>
      </c>
      <c r="E21" s="102">
        <f t="shared" si="3"/>
        <v>1710</v>
      </c>
      <c r="F21">
        <f t="shared" si="4"/>
        <v>9</v>
      </c>
      <c r="G21" s="137">
        <f t="shared" si="5"/>
        <v>189.99999994500001</v>
      </c>
      <c r="L21" s="227">
        <f>INDEX(Starter!A:A,ROW()-1)</f>
        <v>7416</v>
      </c>
      <c r="M21">
        <f>SUMIF(Erfassung3!BD:BD,L21,Erfassung3!BW:BW)</f>
        <v>1704</v>
      </c>
      <c r="N21">
        <f>SUMIF(Erfassung3!BD:BD,L21,Erfassung3!BG:BG)</f>
        <v>9</v>
      </c>
      <c r="O21">
        <f t="shared" si="0"/>
        <v>189.33333331233334</v>
      </c>
      <c r="P21">
        <f t="shared" si="1"/>
        <v>18</v>
      </c>
    </row>
    <row r="22" spans="1:16" x14ac:dyDescent="0.25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1704</v>
      </c>
      <c r="F22">
        <f t="shared" si="4"/>
        <v>9</v>
      </c>
      <c r="G22" s="137">
        <f t="shared" si="5"/>
        <v>189.33333331233334</v>
      </c>
      <c r="L22" s="227">
        <f>INDEX(Starter!A:A,ROW()-1)</f>
        <v>7425</v>
      </c>
      <c r="M22">
        <f>SUMIF(Erfassung3!BD:BD,L22,Erfassung3!BW:BW)</f>
        <v>0</v>
      </c>
      <c r="N22">
        <f>SUMIF(Erfassung3!BD:BD,L22,Erfassung3!BG:BG)</f>
        <v>0</v>
      </c>
      <c r="O22">
        <f t="shared" si="0"/>
        <v>0</v>
      </c>
      <c r="P22">
        <f t="shared" si="1"/>
        <v>52</v>
      </c>
    </row>
    <row r="23" spans="1:16" x14ac:dyDescent="0.25">
      <c r="A23">
        <f t="shared" si="6"/>
        <v>19</v>
      </c>
      <c r="B23">
        <f t="shared" si="2"/>
        <v>7885</v>
      </c>
      <c r="C23" t="str">
        <f>IFERROR(INDEX(Starter!B:B,MATCH(B23,Starter!A:A,0)),"")</f>
        <v>Hinterwimmer, Sebastian</v>
      </c>
      <c r="D23" t="str">
        <f>IFERROR(INDEX(Starter!C:C,MATCH(B23,Starter!A:A,0)),"")</f>
        <v>BK München</v>
      </c>
      <c r="E23" s="102">
        <f t="shared" si="3"/>
        <v>757</v>
      </c>
      <c r="F23">
        <f t="shared" si="4"/>
        <v>4</v>
      </c>
      <c r="G23" s="137">
        <f t="shared" si="5"/>
        <v>189.24999998300001</v>
      </c>
      <c r="L23" s="227">
        <f>INDEX(Starter!A:A,ROW()-1)</f>
        <v>25297</v>
      </c>
      <c r="M23">
        <f>SUMIF(Erfassung3!BD:BD,L23,Erfassung3!BW:BW)</f>
        <v>580</v>
      </c>
      <c r="N23">
        <f>SUMIF(Erfassung3!BD:BD,L23,Erfassung3!BG:BG)</f>
        <v>4</v>
      </c>
      <c r="O23">
        <f t="shared" si="0"/>
        <v>144.99999997699999</v>
      </c>
      <c r="P23">
        <f t="shared" si="1"/>
        <v>51</v>
      </c>
    </row>
    <row r="24" spans="1:16" x14ac:dyDescent="0.25">
      <c r="A24">
        <f t="shared" si="6"/>
        <v>20</v>
      </c>
      <c r="B24">
        <f t="shared" si="2"/>
        <v>16888</v>
      </c>
      <c r="C24" t="str">
        <f>IFERROR(INDEX(Starter!B:B,MATCH(B24,Starter!A:A,0)),"")</f>
        <v>Auer, Thomas</v>
      </c>
      <c r="D24" t="str">
        <f>IFERROR(INDEX(Starter!C:C,MATCH(B24,Starter!A:A,0)),"")</f>
        <v>BSC Highroller Rosenheim</v>
      </c>
      <c r="E24" s="102">
        <f t="shared" si="3"/>
        <v>757</v>
      </c>
      <c r="F24">
        <f t="shared" si="4"/>
        <v>4</v>
      </c>
      <c r="G24" s="137">
        <f t="shared" si="5"/>
        <v>189.249999976</v>
      </c>
      <c r="L24" s="227">
        <f>INDEX(Starter!A:A,ROW()-1)</f>
        <v>16888</v>
      </c>
      <c r="M24">
        <f>SUMIF(Erfassung3!BD:BD,L24,Erfassung3!BW:BW)</f>
        <v>757</v>
      </c>
      <c r="N24">
        <f>SUMIF(Erfassung3!BD:BD,L24,Erfassung3!BG:BG)</f>
        <v>4</v>
      </c>
      <c r="O24">
        <f t="shared" si="0"/>
        <v>189.249999976</v>
      </c>
      <c r="P24">
        <f t="shared" si="1"/>
        <v>20</v>
      </c>
    </row>
    <row r="25" spans="1:16" x14ac:dyDescent="0.25">
      <c r="A25">
        <f t="shared" si="6"/>
        <v>21</v>
      </c>
      <c r="B25">
        <f t="shared" si="2"/>
        <v>38043</v>
      </c>
      <c r="C25" t="str">
        <f>IFERROR(INDEX(Starter!B:B,MATCH(B25,Starter!A:A,0)),"")</f>
        <v>Badum, Daniel</v>
      </c>
      <c r="D25" t="str">
        <f>IFERROR(INDEX(Starter!C:C,MATCH(B25,Starter!A:A,0)),"")</f>
        <v>BC Bamberger Bowlinghaus</v>
      </c>
      <c r="E25" s="102">
        <f t="shared" si="3"/>
        <v>1512</v>
      </c>
      <c r="F25">
        <f t="shared" si="4"/>
        <v>8</v>
      </c>
      <c r="G25" s="137">
        <f t="shared" si="5"/>
        <v>188.99999994199999</v>
      </c>
      <c r="L25" s="227">
        <f>INDEX(Starter!A:A,ROW()-1)</f>
        <v>38092</v>
      </c>
      <c r="M25">
        <f>SUMIF(Erfassung3!BD:BD,L25,Erfassung3!BW:BW)</f>
        <v>1591</v>
      </c>
      <c r="N25">
        <f>SUMIF(Erfassung3!BD:BD,L25,Erfassung3!BG:BG)</f>
        <v>9</v>
      </c>
      <c r="O25">
        <f t="shared" si="0"/>
        <v>176.77777775277778</v>
      </c>
      <c r="P25">
        <f t="shared" si="1"/>
        <v>33</v>
      </c>
    </row>
    <row r="26" spans="1:16" x14ac:dyDescent="0.25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1697</v>
      </c>
      <c r="F26">
        <f t="shared" si="4"/>
        <v>9</v>
      </c>
      <c r="G26" s="137">
        <f t="shared" si="5"/>
        <v>188.55555551455555</v>
      </c>
      <c r="L26" s="227">
        <f>INDEX(Starter!A:A,ROW()-1)</f>
        <v>16243</v>
      </c>
      <c r="M26">
        <f>SUMIF(Erfassung3!BD:BD,L26,Erfassung3!BW:BW)</f>
        <v>1986</v>
      </c>
      <c r="N26">
        <f>SUMIF(Erfassung3!BD:BD,L26,Erfassung3!BG:BG)</f>
        <v>9</v>
      </c>
      <c r="O26">
        <f t="shared" si="0"/>
        <v>220.66666664066665</v>
      </c>
      <c r="P26">
        <f t="shared" si="1"/>
        <v>1</v>
      </c>
    </row>
    <row r="27" spans="1:16" x14ac:dyDescent="0.25">
      <c r="A27">
        <f t="shared" si="6"/>
        <v>23</v>
      </c>
      <c r="B27">
        <f t="shared" si="2"/>
        <v>7597</v>
      </c>
      <c r="C27" t="str">
        <f>IFERROR(INDEX(Starter!B:B,MATCH(B27,Starter!A:A,0)),"")</f>
        <v>Laub, Harald</v>
      </c>
      <c r="D27" t="str">
        <f>IFERROR(INDEX(Starter!C:C,MATCH(B27,Starter!A:A,0)),"")</f>
        <v>BK München</v>
      </c>
      <c r="E27" s="102">
        <f t="shared" si="3"/>
        <v>940</v>
      </c>
      <c r="F27">
        <f t="shared" si="4"/>
        <v>5</v>
      </c>
      <c r="G27" s="137">
        <f t="shared" si="5"/>
        <v>187.99999998499999</v>
      </c>
      <c r="L27" s="227">
        <f>INDEX(Starter!A:A,ROW()-1)</f>
        <v>7725</v>
      </c>
      <c r="M27">
        <f>SUMIF(Erfassung3!BD:BD,L27,Erfassung3!BW:BW)</f>
        <v>1852</v>
      </c>
      <c r="N27">
        <f>SUMIF(Erfassung3!BD:BD,L27,Erfassung3!BG:BG)</f>
        <v>9</v>
      </c>
      <c r="O27">
        <f t="shared" si="0"/>
        <v>205.77777775077777</v>
      </c>
      <c r="P27">
        <f t="shared" si="1"/>
        <v>5</v>
      </c>
    </row>
    <row r="28" spans="1:16" x14ac:dyDescent="0.25">
      <c r="A28">
        <f t="shared" si="6"/>
        <v>24</v>
      </c>
      <c r="B28">
        <f t="shared" si="2"/>
        <v>7593</v>
      </c>
      <c r="C28" t="str">
        <f>IFERROR(INDEX(Starter!B:B,MATCH(B28,Starter!A:A,0)),"")</f>
        <v>Börding, Peter</v>
      </c>
      <c r="D28" t="str">
        <f>IFERROR(INDEX(Starter!C:C,MATCH(B28,Starter!A:A,0)),"")</f>
        <v>BK München</v>
      </c>
      <c r="E28" s="102">
        <f t="shared" si="3"/>
        <v>1692</v>
      </c>
      <c r="F28">
        <f t="shared" si="4"/>
        <v>9</v>
      </c>
      <c r="G28" s="137">
        <f t="shared" si="5"/>
        <v>187.999999954</v>
      </c>
      <c r="L28" s="227">
        <f>INDEX(Starter!A:A,ROW()-1)</f>
        <v>7734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52</v>
      </c>
    </row>
    <row r="29" spans="1:16" x14ac:dyDescent="0.25">
      <c r="A29">
        <f t="shared" si="6"/>
        <v>25</v>
      </c>
      <c r="B29">
        <f t="shared" si="2"/>
        <v>25061</v>
      </c>
      <c r="C29" t="str">
        <f>IFERROR(INDEX(Starter!B:B,MATCH(B29,Starter!A:A,0)),"")</f>
        <v>Schwarz, Christian</v>
      </c>
      <c r="D29" t="str">
        <f>IFERROR(INDEX(Starter!C:C,MATCH(B29,Starter!A:A,0)),"")</f>
        <v>BSC Highroller Rosenheim</v>
      </c>
      <c r="E29" s="102">
        <f t="shared" si="3"/>
        <v>1679</v>
      </c>
      <c r="F29">
        <f t="shared" si="4"/>
        <v>9</v>
      </c>
      <c r="G29" s="137">
        <f t="shared" si="5"/>
        <v>186.55555549655554</v>
      </c>
      <c r="L29" s="227">
        <f>INDEX(Starter!A:A,ROW()-1)</f>
        <v>7724</v>
      </c>
      <c r="M29">
        <f>SUMIF(Erfassung3!BD:BD,L29,Erfassung3!BW:BW)</f>
        <v>0</v>
      </c>
      <c r="N29">
        <f>SUMIF(Erfassung3!BD:BD,L29,Erfassung3!BG:BG)</f>
        <v>0</v>
      </c>
      <c r="O29">
        <f t="shared" si="0"/>
        <v>0</v>
      </c>
      <c r="P29">
        <f t="shared" si="1"/>
        <v>52</v>
      </c>
    </row>
    <row r="30" spans="1:16" x14ac:dyDescent="0.25">
      <c r="A30">
        <f t="shared" si="6"/>
        <v>26</v>
      </c>
      <c r="B30">
        <f t="shared" si="2"/>
        <v>38687</v>
      </c>
      <c r="C30" t="str">
        <f>IFERROR(INDEX(Starter!B:B,MATCH(B30,Starter!A:A,0)),"")</f>
        <v>Gräfe, Sebastian</v>
      </c>
      <c r="D30" t="str">
        <f>IFERROR(INDEX(Starter!C:C,MATCH(B30,Starter!A:A,0)),"")</f>
        <v>DJK Rimpar</v>
      </c>
      <c r="E30" s="102">
        <f t="shared" si="3"/>
        <v>1662</v>
      </c>
      <c r="F30">
        <f t="shared" si="4"/>
        <v>9</v>
      </c>
      <c r="G30" s="137">
        <f t="shared" si="5"/>
        <v>184.66666666366666</v>
      </c>
      <c r="L30" s="227">
        <f>INDEX(Starter!A:A,ROW()-1)</f>
        <v>16896</v>
      </c>
      <c r="M30">
        <f>SUMIF(Erfassung3!BD:BD,L30,Erfassung3!BW:BW)</f>
        <v>771</v>
      </c>
      <c r="N30">
        <f>SUMIF(Erfassung3!BD:BD,L30,Erfassung3!BG:BG)</f>
        <v>4</v>
      </c>
      <c r="O30">
        <f t="shared" si="0"/>
        <v>192.74999997</v>
      </c>
      <c r="P30">
        <f t="shared" si="1"/>
        <v>14</v>
      </c>
    </row>
    <row r="31" spans="1:16" x14ac:dyDescent="0.25">
      <c r="A31">
        <f t="shared" si="6"/>
        <v>27</v>
      </c>
      <c r="B31">
        <f t="shared" si="2"/>
        <v>16263</v>
      </c>
      <c r="C31" t="str">
        <f>IFERROR(INDEX(Starter!B:B,MATCH(B31,Starter!A:A,0)),"")</f>
        <v>Jackwerth, Enno</v>
      </c>
      <c r="D31" t="str">
        <f>IFERROR(INDEX(Starter!C:C,MATCH(B31,Starter!A:A,0)),"")</f>
        <v>BF Rot-Weiß Lichtenhof 69</v>
      </c>
      <c r="E31" s="102">
        <f t="shared" si="3"/>
        <v>1655</v>
      </c>
      <c r="F31">
        <f t="shared" si="4"/>
        <v>9</v>
      </c>
      <c r="G31" s="137">
        <f t="shared" si="5"/>
        <v>183.88888884588889</v>
      </c>
      <c r="L31" s="227">
        <f>INDEX(Starter!A:A,ROW()-1)</f>
        <v>7102</v>
      </c>
      <c r="M31">
        <f>SUMIF(Erfassung3!BD:BD,L31,Erfassung3!BW:BW)</f>
        <v>1776</v>
      </c>
      <c r="N31">
        <f>SUMIF(Erfassung3!BD:BD,L31,Erfassung3!BG:BG)</f>
        <v>9</v>
      </c>
      <c r="O31">
        <f t="shared" si="0"/>
        <v>197.33333330233333</v>
      </c>
      <c r="P31">
        <f t="shared" si="1"/>
        <v>11</v>
      </c>
    </row>
    <row r="32" spans="1:16" x14ac:dyDescent="0.25">
      <c r="A32">
        <f t="shared" si="6"/>
        <v>28</v>
      </c>
      <c r="B32">
        <f t="shared" si="2"/>
        <v>22116</v>
      </c>
      <c r="C32" t="str">
        <f>IFERROR(INDEX(Starter!B:B,MATCH(B32,Starter!A:A,0)),"")</f>
        <v>Tavares, S.</v>
      </c>
      <c r="D32" t="str">
        <f>IFERROR(INDEX(Starter!C:C,MATCH(B32,Starter!A:A,0)),"")</f>
        <v>BC Highroller Rosenheim</v>
      </c>
      <c r="E32" s="102">
        <f t="shared" si="3"/>
        <v>548</v>
      </c>
      <c r="F32">
        <f t="shared" si="4"/>
        <v>3</v>
      </c>
      <c r="G32" s="137">
        <f t="shared" si="5"/>
        <v>182.66666659766665</v>
      </c>
      <c r="L32" s="227">
        <f>INDEX(Starter!A:A,ROW()-1)</f>
        <v>16245</v>
      </c>
      <c r="M32">
        <f>SUMIF(Erfassung3!BD:BD,L32,Erfassung3!BW:BW)</f>
        <v>830</v>
      </c>
      <c r="N32">
        <f>SUMIF(Erfassung3!BD:BD,L32,Erfassung3!BG:BG)</f>
        <v>5</v>
      </c>
      <c r="O32">
        <f t="shared" si="0"/>
        <v>165.999999968</v>
      </c>
      <c r="P32">
        <f t="shared" si="1"/>
        <v>47</v>
      </c>
    </row>
    <row r="33" spans="1:16" x14ac:dyDescent="0.25">
      <c r="A33">
        <f t="shared" si="6"/>
        <v>29</v>
      </c>
      <c r="B33">
        <f t="shared" si="2"/>
        <v>16862</v>
      </c>
      <c r="C33" t="str">
        <f>IFERROR(INDEX(Starter!B:B,MATCH(B33,Starter!A:A,0)),"")</f>
        <v>Büttner, Christian</v>
      </c>
      <c r="D33" t="str">
        <f>IFERROR(INDEX(Starter!C:C,MATCH(B33,Starter!A:A,0)),"")</f>
        <v>SG Rottendorf</v>
      </c>
      <c r="E33" s="102">
        <f t="shared" si="3"/>
        <v>1642</v>
      </c>
      <c r="F33">
        <f t="shared" si="4"/>
        <v>9</v>
      </c>
      <c r="G33" s="137">
        <f t="shared" si="5"/>
        <v>182.44444439444445</v>
      </c>
      <c r="L33" s="227">
        <f>INDEX(Starter!A:A,ROW()-1)</f>
        <v>27134</v>
      </c>
      <c r="M33">
        <f>SUMIF(Erfassung3!BD:BD,L33,Erfassung3!BW:BW)</f>
        <v>1289</v>
      </c>
      <c r="N33">
        <f>SUMIF(Erfassung3!BD:BD,L33,Erfassung3!BG:BG)</f>
        <v>8</v>
      </c>
      <c r="O33">
        <f t="shared" si="0"/>
        <v>161.12499996700001</v>
      </c>
      <c r="P33">
        <f t="shared" si="1"/>
        <v>49</v>
      </c>
    </row>
    <row r="34" spans="1:16" x14ac:dyDescent="0.25">
      <c r="A34">
        <f t="shared" si="6"/>
        <v>30</v>
      </c>
      <c r="B34">
        <f t="shared" si="2"/>
        <v>38550</v>
      </c>
      <c r="C34" t="str">
        <f>IFERROR(INDEX(Starter!B:B,MATCH(B34,Starter!A:A,0)),"")</f>
        <v>Schütze, Oliver</v>
      </c>
      <c r="D34" t="str">
        <f>IFERROR(INDEX(Starter!C:C,MATCH(B34,Starter!A:A,0)),"")</f>
        <v>BC Schanzer Strikers</v>
      </c>
      <c r="E34" s="102">
        <f t="shared" si="3"/>
        <v>1634</v>
      </c>
      <c r="F34">
        <f t="shared" si="4"/>
        <v>9</v>
      </c>
      <c r="G34" s="137">
        <f t="shared" si="5"/>
        <v>181.55555554755554</v>
      </c>
      <c r="L34" s="227">
        <f>INDEX(Starter!A:A,ROW()-1)</f>
        <v>7883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52</v>
      </c>
    </row>
    <row r="35" spans="1:16" x14ac:dyDescent="0.25">
      <c r="A35">
        <f t="shared" si="6"/>
        <v>31</v>
      </c>
      <c r="B35">
        <f t="shared" si="2"/>
        <v>38039</v>
      </c>
      <c r="C35" t="str">
        <f>IFERROR(INDEX(Starter!B:B,MATCH(B35,Starter!A:A,0)),"")</f>
        <v>Plaschka, Nico</v>
      </c>
      <c r="D35" t="str">
        <f>IFERROR(INDEX(Starter!C:C,MATCH(B35,Starter!A:A,0)),"")</f>
        <v>DJK Rimpar</v>
      </c>
      <c r="E35" s="102">
        <f t="shared" si="3"/>
        <v>907</v>
      </c>
      <c r="F35">
        <f t="shared" si="4"/>
        <v>5</v>
      </c>
      <c r="G35" s="137">
        <f t="shared" si="5"/>
        <v>181.399999952</v>
      </c>
      <c r="L35" s="227">
        <f>INDEX(Starter!A:A,ROW()-1)</f>
        <v>7653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52</v>
      </c>
    </row>
    <row r="36" spans="1:16" x14ac:dyDescent="0.25">
      <c r="A36">
        <f t="shared" si="6"/>
        <v>32</v>
      </c>
      <c r="B36">
        <f t="shared" si="2"/>
        <v>38686</v>
      </c>
      <c r="C36" t="str">
        <f>IFERROR(INDEX(Starter!B:B,MATCH(B36,Starter!A:A,0)),"")</f>
        <v>Beck, Stefan</v>
      </c>
      <c r="D36" t="str">
        <f>IFERROR(INDEX(Starter!C:C,MATCH(B36,Starter!A:A,0)),"")</f>
        <v>DJK Rimpar</v>
      </c>
      <c r="E36" s="102">
        <f t="shared" si="3"/>
        <v>708</v>
      </c>
      <c r="F36">
        <f t="shared" si="4"/>
        <v>4</v>
      </c>
      <c r="G36" s="137">
        <f t="shared" si="5"/>
        <v>176.99999993200001</v>
      </c>
      <c r="L36" s="227">
        <f>INDEX(Starter!A:A,ROW()-1)</f>
        <v>25554</v>
      </c>
      <c r="M36">
        <f>SUMIF(Erfassung3!BD:BD,L36,Erfassung3!BW:BW)</f>
        <v>851</v>
      </c>
      <c r="N36">
        <f>SUMIF(Erfassung3!BD:BD,L36,Erfassung3!BG:BG)</f>
        <v>5</v>
      </c>
      <c r="O36">
        <f t="shared" si="0"/>
        <v>170.199999964</v>
      </c>
      <c r="P36">
        <f t="shared" si="1"/>
        <v>43</v>
      </c>
    </row>
    <row r="37" spans="1:16" x14ac:dyDescent="0.25">
      <c r="A37">
        <f t="shared" si="6"/>
        <v>33</v>
      </c>
      <c r="B37">
        <f t="shared" ref="B37:B68" si="7">IFERROR(INDEX(L:L,MATCH(A37,P:P,0)),"")</f>
        <v>38092</v>
      </c>
      <c r="C37" t="str">
        <f>IFERROR(INDEX(Starter!B:B,MATCH(B37,Starter!A:A,0)),"")</f>
        <v>Kabel, Nicolas</v>
      </c>
      <c r="D37" t="str">
        <f>IFERROR(INDEX(Starter!C:C,MATCH(B37,Starter!A:A,0)),"")</f>
        <v>BSC Highroller Rosenheim</v>
      </c>
      <c r="E37" s="102">
        <f t="shared" ref="E37:E68" si="8">IFERROR(INDEX(M:M,MATCH(A37,P:P,0)),"")</f>
        <v>1591</v>
      </c>
      <c r="F37">
        <f t="shared" ref="F37:F68" si="9">IFERROR(INDEX(N:N,MATCH(A37,P:P,0)),"")</f>
        <v>9</v>
      </c>
      <c r="G37" s="137">
        <f t="shared" ref="G37:G68" si="10">IFERROR(INDEX(O:O,MATCH(A37,P:P,0)),"")</f>
        <v>176.77777775277778</v>
      </c>
      <c r="L37" s="227">
        <f>INDEX(Starter!A:A,ROW()-1)</f>
        <v>7099</v>
      </c>
      <c r="M37">
        <f>SUMIF(Erfassung3!BD:BD,L37,Erfassung3!BW:BW)</f>
        <v>1905</v>
      </c>
      <c r="N37">
        <f>SUMIF(Erfassung3!BD:BD,L37,Erfassung3!BG:BG)</f>
        <v>9</v>
      </c>
      <c r="O37">
        <f t="shared" si="0"/>
        <v>211.66666662966665</v>
      </c>
      <c r="P37">
        <f t="shared" si="1"/>
        <v>2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10124</v>
      </c>
      <c r="C38" t="str">
        <f>IFERROR(INDEX(Starter!B:B,MATCH(B38,Starter!A:A,0)),"")</f>
        <v>Kristof, Robert</v>
      </c>
      <c r="D38" t="str">
        <f>IFERROR(INDEX(Starter!C:C,MATCH(B38,Starter!A:A,0)),"")</f>
        <v>BF Rot-Weiß Lichtenhof 69</v>
      </c>
      <c r="E38" s="102">
        <f t="shared" si="8"/>
        <v>1237</v>
      </c>
      <c r="F38">
        <f t="shared" si="9"/>
        <v>7</v>
      </c>
      <c r="G38" s="137">
        <f t="shared" si="10"/>
        <v>176.71428567228571</v>
      </c>
      <c r="L38" s="227">
        <f>INDEX(Starter!A:A,ROW()-1)</f>
        <v>38041</v>
      </c>
      <c r="M38">
        <f>SUMIF(Erfassung3!BD:BD,L38,Erfassung3!BW:BW)</f>
        <v>1539</v>
      </c>
      <c r="N38">
        <f>SUMIF(Erfassung3!BD:BD,L38,Erfassung3!BG:BG)</f>
        <v>8</v>
      </c>
      <c r="O38">
        <f t="shared" si="0"/>
        <v>192.374999962</v>
      </c>
      <c r="P38">
        <f t="shared" si="1"/>
        <v>15</v>
      </c>
    </row>
    <row r="39" spans="1:16" x14ac:dyDescent="0.25">
      <c r="A39">
        <f t="shared" si="11"/>
        <v>35</v>
      </c>
      <c r="B39">
        <f t="shared" si="7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8"/>
        <v>1589</v>
      </c>
      <c r="F39">
        <f t="shared" si="9"/>
        <v>9</v>
      </c>
      <c r="G39" s="137">
        <f t="shared" si="10"/>
        <v>176.55555551555554</v>
      </c>
      <c r="L39" s="227">
        <f>INDEX(Starter!A:A,ROW()-1)</f>
        <v>25516</v>
      </c>
      <c r="M39">
        <f>SUMIF(Erfassung3!BD:BD,L39,Erfassung3!BW:BW)</f>
        <v>297</v>
      </c>
      <c r="N39">
        <f>SUMIF(Erfassung3!BD:BD,L39,Erfassung3!BG:BG)</f>
        <v>2</v>
      </c>
      <c r="O39">
        <f t="shared" si="0"/>
        <v>148.49999996099999</v>
      </c>
      <c r="P39">
        <f t="shared" si="1"/>
        <v>50</v>
      </c>
    </row>
    <row r="40" spans="1:16" x14ac:dyDescent="0.25">
      <c r="A40">
        <f t="shared" si="11"/>
        <v>36</v>
      </c>
      <c r="B40">
        <f t="shared" si="7"/>
        <v>38411</v>
      </c>
      <c r="C40" t="str">
        <f>IFERROR(INDEX(Starter!B:B,MATCH(B40,Starter!A:A,0)),"")</f>
        <v>Hartl, Thomas</v>
      </c>
      <c r="D40" t="str">
        <f>IFERROR(INDEX(Starter!C:C,MATCH(B40,Starter!A:A,0)),"")</f>
        <v>BC Schanzer Strikers</v>
      </c>
      <c r="E40" s="102">
        <f t="shared" si="8"/>
        <v>1585</v>
      </c>
      <c r="F40">
        <f t="shared" si="9"/>
        <v>9</v>
      </c>
      <c r="G40" s="137">
        <f t="shared" si="10"/>
        <v>176.11111110511112</v>
      </c>
      <c r="L40" s="227">
        <f>INDEX(Starter!A:A,ROW()-1)</f>
        <v>16873</v>
      </c>
      <c r="M40">
        <f>SUMIF(Erfassung3!BD:BD,L40,Erfassung3!BW:BW)</f>
        <v>1589</v>
      </c>
      <c r="N40">
        <f>SUMIF(Erfassung3!BD:BD,L40,Erfassung3!BG:BG)</f>
        <v>9</v>
      </c>
      <c r="O40">
        <f t="shared" si="0"/>
        <v>176.55555551555554</v>
      </c>
      <c r="P40">
        <f t="shared" si="1"/>
        <v>35</v>
      </c>
    </row>
    <row r="41" spans="1:16" x14ac:dyDescent="0.25">
      <c r="A41">
        <f t="shared" si="11"/>
        <v>37</v>
      </c>
      <c r="B41">
        <f t="shared" si="7"/>
        <v>16301</v>
      </c>
      <c r="C41" t="str">
        <f>IFERROR(INDEX(Starter!B:B,MATCH(B41,Starter!A:A,0)),"")</f>
        <v>Werder, Jan-Uwe</v>
      </c>
      <c r="D41" t="str">
        <f>IFERROR(INDEX(Starter!C:C,MATCH(B41,Starter!A:A,0)),"")</f>
        <v>DJK Rimpar</v>
      </c>
      <c r="E41" s="102">
        <f t="shared" si="8"/>
        <v>1584</v>
      </c>
      <c r="F41">
        <f t="shared" si="9"/>
        <v>9</v>
      </c>
      <c r="G41" s="137">
        <f t="shared" si="10"/>
        <v>175.999999995</v>
      </c>
      <c r="L41" s="227">
        <f>INDEX(Starter!A:A,ROW()-1)</f>
        <v>7937</v>
      </c>
      <c r="M41">
        <f>SUMIF(Erfassung3!BD:BD,L41,Erfassung3!BW:BW)</f>
        <v>1697</v>
      </c>
      <c r="N41">
        <f>SUMIF(Erfassung3!BD:BD,L41,Erfassung3!BG:BG)</f>
        <v>9</v>
      </c>
      <c r="O41">
        <f t="shared" si="0"/>
        <v>188.55555551455555</v>
      </c>
      <c r="P41">
        <f t="shared" si="1"/>
        <v>22</v>
      </c>
    </row>
    <row r="42" spans="1:16" x14ac:dyDescent="0.25">
      <c r="A42">
        <f t="shared" si="11"/>
        <v>38</v>
      </c>
      <c r="B42">
        <f t="shared" si="7"/>
        <v>16852</v>
      </c>
      <c r="C42" t="str">
        <f>IFERROR(INDEX(Starter!B:B,MATCH(B42,Starter!A:A,0)),"")</f>
        <v>Wendel, Dominik</v>
      </c>
      <c r="D42" t="str">
        <f>IFERROR(INDEX(Starter!C:C,MATCH(B42,Starter!A:A,0)),"")</f>
        <v>SG Rottendorf</v>
      </c>
      <c r="E42" s="102">
        <f t="shared" si="8"/>
        <v>524</v>
      </c>
      <c r="F42">
        <f t="shared" si="9"/>
        <v>3</v>
      </c>
      <c r="G42" s="137">
        <f t="shared" si="10"/>
        <v>174.66666665666665</v>
      </c>
      <c r="L42" s="227">
        <f>INDEX(Starter!A:A,ROW()-1)</f>
        <v>10124</v>
      </c>
      <c r="M42">
        <f>SUMIF(Erfassung3!BD:BD,L42,Erfassung3!BW:BW)</f>
        <v>1237</v>
      </c>
      <c r="N42">
        <f>SUMIF(Erfassung3!BD:BD,L42,Erfassung3!BG:BG)</f>
        <v>7</v>
      </c>
      <c r="O42">
        <f t="shared" si="0"/>
        <v>176.71428567228571</v>
      </c>
      <c r="P42">
        <f t="shared" si="1"/>
        <v>34</v>
      </c>
    </row>
    <row r="43" spans="1:16" x14ac:dyDescent="0.25">
      <c r="A43">
        <f t="shared" si="11"/>
        <v>39</v>
      </c>
      <c r="B43">
        <f t="shared" si="7"/>
        <v>7740</v>
      </c>
      <c r="C43" t="str">
        <f>IFERROR(INDEX(Starter!B:B,MATCH(B43,Starter!A:A,0)),"")</f>
        <v>Mesch, John</v>
      </c>
      <c r="D43" t="str">
        <f>IFERROR(INDEX(Starter!C:C,MATCH(B43,Starter!A:A,0)),"")</f>
        <v>BF Rot-Weiß Lichtenhof 69</v>
      </c>
      <c r="E43" s="102">
        <f t="shared" si="8"/>
        <v>1397</v>
      </c>
      <c r="F43">
        <f t="shared" si="9"/>
        <v>8</v>
      </c>
      <c r="G43" s="137">
        <f t="shared" si="10"/>
        <v>174.624999938</v>
      </c>
      <c r="L43" s="227">
        <f>INDEX(Starter!A:A,ROW()-1)</f>
        <v>16263</v>
      </c>
      <c r="M43">
        <f>SUMIF(Erfassung3!BD:BD,L43,Erfassung3!BW:BW)</f>
        <v>1655</v>
      </c>
      <c r="N43">
        <f>SUMIF(Erfassung3!BD:BD,L43,Erfassung3!BG:BG)</f>
        <v>9</v>
      </c>
      <c r="O43">
        <f t="shared" si="0"/>
        <v>183.88888884588889</v>
      </c>
      <c r="P43">
        <f t="shared" si="1"/>
        <v>27</v>
      </c>
    </row>
    <row r="44" spans="1:16" x14ac:dyDescent="0.25">
      <c r="A44">
        <f t="shared" si="11"/>
        <v>40</v>
      </c>
      <c r="B44">
        <f t="shared" si="7"/>
        <v>38361</v>
      </c>
      <c r="C44" t="str">
        <f>IFERROR(INDEX(Starter!B:B,MATCH(B44,Starter!A:A,0)),"")</f>
        <v>Schmied, Markus</v>
      </c>
      <c r="D44" t="str">
        <f>IFERROR(INDEX(Starter!C:C,MATCH(B44,Starter!A:A,0)),"")</f>
        <v>BC Schanzer Strikers</v>
      </c>
      <c r="E44" s="102">
        <f t="shared" si="8"/>
        <v>1567</v>
      </c>
      <c r="F44">
        <f t="shared" si="9"/>
        <v>9</v>
      </c>
      <c r="G44" s="137">
        <f t="shared" si="10"/>
        <v>174.1111111041111</v>
      </c>
      <c r="L44" s="227">
        <f>INDEX(Starter!A:A,ROW()-1)</f>
        <v>7959</v>
      </c>
      <c r="M44">
        <f>SUMIF(Erfassung3!BD:BD,L44,Erfassung3!BW:BW)</f>
        <v>500</v>
      </c>
      <c r="N44">
        <f>SUMIF(Erfassung3!BD:BD,L44,Erfassung3!BG:BG)</f>
        <v>3</v>
      </c>
      <c r="O44">
        <f t="shared" si="0"/>
        <v>166.66666662266667</v>
      </c>
      <c r="P44">
        <f t="shared" si="1"/>
        <v>46</v>
      </c>
    </row>
    <row r="45" spans="1:16" x14ac:dyDescent="0.25">
      <c r="A45">
        <f t="shared" si="11"/>
        <v>41</v>
      </c>
      <c r="B45">
        <f t="shared" si="7"/>
        <v>16495</v>
      </c>
      <c r="C45" t="str">
        <f>IFERROR(INDEX(Starter!B:B,MATCH(B45,Starter!A:A,0)),"")</f>
        <v>Stemmler, Patrick</v>
      </c>
      <c r="D45" t="str">
        <f>IFERROR(INDEX(Starter!C:C,MATCH(B45,Starter!A:A,0)),"")</f>
        <v>SG Rottendorf</v>
      </c>
      <c r="E45" s="102">
        <f t="shared" si="8"/>
        <v>1388</v>
      </c>
      <c r="F45">
        <f t="shared" si="9"/>
        <v>8</v>
      </c>
      <c r="G45" s="137">
        <f t="shared" si="10"/>
        <v>173.49999998800001</v>
      </c>
      <c r="L45" s="227">
        <f>INDEX(Starter!A:A,ROW()-1)</f>
        <v>7601</v>
      </c>
      <c r="M45">
        <f>SUMIF(Erfassung3!BD:BD,L45,Erfassung3!BW:BW)</f>
        <v>662</v>
      </c>
      <c r="N45">
        <f>SUMIF(Erfassung3!BD:BD,L45,Erfassung3!BG:BG)</f>
        <v>4</v>
      </c>
      <c r="O45">
        <f t="shared" si="0"/>
        <v>165.49999995499999</v>
      </c>
      <c r="P45">
        <f t="shared" si="1"/>
        <v>48</v>
      </c>
    </row>
    <row r="46" spans="1:16" x14ac:dyDescent="0.25">
      <c r="A46">
        <f t="shared" si="11"/>
        <v>42</v>
      </c>
      <c r="B46">
        <f t="shared" si="7"/>
        <v>16352</v>
      </c>
      <c r="C46" t="str">
        <f>IFERROR(INDEX(Starter!B:B,MATCH(B46,Starter!A:A,0)),"")</f>
        <v>Scholz, Alexander</v>
      </c>
      <c r="D46" t="str">
        <f>IFERROR(INDEX(Starter!C:C,MATCH(B46,Starter!A:A,0)),"")</f>
        <v>SG Rottendorf</v>
      </c>
      <c r="E46" s="102">
        <f t="shared" si="8"/>
        <v>1197</v>
      </c>
      <c r="F46">
        <f t="shared" si="9"/>
        <v>7</v>
      </c>
      <c r="G46" s="137">
        <f t="shared" si="10"/>
        <v>170.999999989</v>
      </c>
      <c r="L46" s="227">
        <f>INDEX(Starter!A:A,ROW()-1)</f>
        <v>7593</v>
      </c>
      <c r="M46">
        <f>SUMIF(Erfassung3!BD:BD,L46,Erfassung3!BW:BW)</f>
        <v>1692</v>
      </c>
      <c r="N46">
        <f>SUMIF(Erfassung3!BD:BD,L46,Erfassung3!BG:BG)</f>
        <v>9</v>
      </c>
      <c r="O46">
        <f t="shared" si="0"/>
        <v>187.999999954</v>
      </c>
      <c r="P46">
        <f t="shared" si="1"/>
        <v>24</v>
      </c>
    </row>
    <row r="47" spans="1:16" x14ac:dyDescent="0.25">
      <c r="A47">
        <f t="shared" si="11"/>
        <v>43</v>
      </c>
      <c r="B47">
        <f t="shared" si="7"/>
        <v>25554</v>
      </c>
      <c r="C47" t="str">
        <f>IFERROR(INDEX(Starter!B:B,MATCH(B47,Starter!A:A,0)),"")</f>
        <v>Blasits, Ernst</v>
      </c>
      <c r="D47" t="str">
        <f>IFERROR(INDEX(Starter!C:C,MATCH(B47,Starter!A:A,0)),"")</f>
        <v>BC EMAX</v>
      </c>
      <c r="E47" s="102">
        <f t="shared" si="8"/>
        <v>851</v>
      </c>
      <c r="F47">
        <f t="shared" si="9"/>
        <v>5</v>
      </c>
      <c r="G47" s="137">
        <f t="shared" si="10"/>
        <v>170.199999964</v>
      </c>
      <c r="L47" s="227">
        <f>INDEX(Starter!A:A,ROW()-1)</f>
        <v>7591</v>
      </c>
      <c r="M47">
        <f>SUMIF(Erfassung3!BD:BD,L47,Erfassung3!BW:BW)</f>
        <v>996</v>
      </c>
      <c r="N47">
        <f>SUMIF(Erfassung3!BD:BD,L47,Erfassung3!BG:BG)</f>
        <v>5</v>
      </c>
      <c r="O47">
        <f t="shared" si="0"/>
        <v>199.199999953</v>
      </c>
      <c r="P47">
        <f t="shared" si="1"/>
        <v>10</v>
      </c>
    </row>
    <row r="48" spans="1:16" x14ac:dyDescent="0.25">
      <c r="A48">
        <f t="shared" si="11"/>
        <v>44</v>
      </c>
      <c r="B48">
        <f t="shared" si="7"/>
        <v>16762</v>
      </c>
      <c r="C48" t="str">
        <f>IFERROR(INDEX(Starter!B:B,MATCH(B48,Starter!A:A,0)),"")</f>
        <v>Glasl sen., Hans</v>
      </c>
      <c r="D48" t="str">
        <f>IFERROR(INDEX(Starter!C:C,MATCH(B48,Starter!A:A,0)),"")</f>
        <v>BC Bajuwaren 1976 München</v>
      </c>
      <c r="E48" s="102">
        <f t="shared" si="8"/>
        <v>838</v>
      </c>
      <c r="F48">
        <f t="shared" si="9"/>
        <v>5</v>
      </c>
      <c r="G48" s="137">
        <f t="shared" si="10"/>
        <v>167.599999981</v>
      </c>
      <c r="L48" s="227">
        <f>INDEX(Starter!A:A,ROW()-1)</f>
        <v>38039</v>
      </c>
      <c r="M48">
        <f>SUMIF(Erfassung3!BD:BD,L48,Erfassung3!BW:BW)</f>
        <v>907</v>
      </c>
      <c r="N48">
        <f>SUMIF(Erfassung3!BD:BD,L48,Erfassung3!BG:BG)</f>
        <v>5</v>
      </c>
      <c r="O48">
        <f t="shared" si="0"/>
        <v>181.399999952</v>
      </c>
      <c r="P48">
        <f t="shared" si="1"/>
        <v>31</v>
      </c>
    </row>
    <row r="49" spans="1:16" x14ac:dyDescent="0.25">
      <c r="A49">
        <f t="shared" si="11"/>
        <v>45</v>
      </c>
      <c r="B49">
        <f t="shared" si="7"/>
        <v>7867</v>
      </c>
      <c r="C49" t="str">
        <f>IFERROR(INDEX(Starter!B:B,MATCH(B49,Starter!A:A,0)),"")</f>
        <v>Hinterwimmer, Georg</v>
      </c>
      <c r="D49" t="str">
        <f>IFERROR(INDEX(Starter!C:C,MATCH(B49,Starter!A:A,0)),"")</f>
        <v>BK München</v>
      </c>
      <c r="E49" s="102">
        <f t="shared" si="8"/>
        <v>670</v>
      </c>
      <c r="F49">
        <f t="shared" si="9"/>
        <v>4</v>
      </c>
      <c r="G49" s="137">
        <f t="shared" si="10"/>
        <v>167.49999998600001</v>
      </c>
      <c r="L49" s="227">
        <f>INDEX(Starter!A:A,ROW()-1)</f>
        <v>7738</v>
      </c>
      <c r="M49">
        <f>SUMIF(Erfassung3!BD:BD,L49,Erfassung3!BW:BW)</f>
        <v>0</v>
      </c>
      <c r="N49">
        <f>SUMIF(Erfassung3!BD:BD,L49,Erfassung3!BG:BG)</f>
        <v>0</v>
      </c>
      <c r="O49">
        <f t="shared" si="0"/>
        <v>0</v>
      </c>
      <c r="P49">
        <f t="shared" si="1"/>
        <v>52</v>
      </c>
    </row>
    <row r="50" spans="1:16" x14ac:dyDescent="0.25">
      <c r="A50">
        <f t="shared" si="11"/>
        <v>46</v>
      </c>
      <c r="B50">
        <f t="shared" si="7"/>
        <v>7959</v>
      </c>
      <c r="C50" t="str">
        <f>IFERROR(INDEX(Starter!B:B,MATCH(B50,Starter!A:A,0)),"")</f>
        <v>Netscheporenko, Marco</v>
      </c>
      <c r="D50" t="str">
        <f>IFERROR(INDEX(Starter!C:C,MATCH(B50,Starter!A:A,0)),"")</f>
        <v>BF Rot-Weiß Lichtenhof 69</v>
      </c>
      <c r="E50" s="102">
        <f t="shared" si="8"/>
        <v>500</v>
      </c>
      <c r="F50">
        <f t="shared" si="9"/>
        <v>3</v>
      </c>
      <c r="G50" s="137">
        <f t="shared" si="10"/>
        <v>166.66666662266667</v>
      </c>
      <c r="L50" s="227">
        <f>INDEX(Starter!A:A,ROW()-1)</f>
        <v>16862</v>
      </c>
      <c r="M50">
        <f>SUMIF(Erfassung3!BD:BD,L50,Erfassung3!BW:BW)</f>
        <v>1642</v>
      </c>
      <c r="N50">
        <f>SUMIF(Erfassung3!BD:BD,L50,Erfassung3!BG:BG)</f>
        <v>9</v>
      </c>
      <c r="O50">
        <f t="shared" si="0"/>
        <v>182.44444439444445</v>
      </c>
      <c r="P50">
        <f t="shared" si="1"/>
        <v>29</v>
      </c>
    </row>
    <row r="51" spans="1:16" x14ac:dyDescent="0.25">
      <c r="A51">
        <f t="shared" si="11"/>
        <v>47</v>
      </c>
      <c r="B51">
        <f t="shared" si="7"/>
        <v>16245</v>
      </c>
      <c r="C51" t="str">
        <f>IFERROR(INDEX(Starter!B:B,MATCH(B51,Starter!A:A,0)),"")</f>
        <v>Fischbach, Max</v>
      </c>
      <c r="D51" t="str">
        <f>IFERROR(INDEX(Starter!C:C,MATCH(B51,Starter!A:A,0)),"")</f>
        <v>Comet</v>
      </c>
      <c r="E51" s="102">
        <f t="shared" si="8"/>
        <v>830</v>
      </c>
      <c r="F51">
        <f t="shared" si="9"/>
        <v>5</v>
      </c>
      <c r="G51" s="137">
        <f t="shared" si="10"/>
        <v>165.999999968</v>
      </c>
      <c r="L51" s="227">
        <f>INDEX(Starter!A:A,ROW()-1)</f>
        <v>16346</v>
      </c>
      <c r="M51">
        <f>SUMIF(Erfassung3!BD:BD,L51,Erfassung3!BW:BW)</f>
        <v>0</v>
      </c>
      <c r="N51">
        <f>SUMIF(Erfassung3!BD:BD,L51,Erfassung3!BG:BG)</f>
        <v>0</v>
      </c>
      <c r="O51">
        <f t="shared" si="0"/>
        <v>0</v>
      </c>
      <c r="P51">
        <f t="shared" si="1"/>
        <v>52</v>
      </c>
    </row>
    <row r="52" spans="1:16" x14ac:dyDescent="0.25">
      <c r="A52">
        <f t="shared" si="11"/>
        <v>48</v>
      </c>
      <c r="B52">
        <f t="shared" si="7"/>
        <v>7601</v>
      </c>
      <c r="C52" t="str">
        <f>IFERROR(INDEX(Starter!B:B,MATCH(B52,Starter!A:A,0)),"")</f>
        <v>Lüthje, Volker</v>
      </c>
      <c r="D52" t="str">
        <f>IFERROR(INDEX(Starter!C:C,MATCH(B52,Starter!A:A,0)),"")</f>
        <v>BC Bajuwaren 1976 München</v>
      </c>
      <c r="E52" s="102">
        <f t="shared" si="8"/>
        <v>662</v>
      </c>
      <c r="F52">
        <f t="shared" si="9"/>
        <v>4</v>
      </c>
      <c r="G52" s="137">
        <f t="shared" si="10"/>
        <v>165.49999995499999</v>
      </c>
      <c r="L52" s="227">
        <f>INDEX(Starter!A:A,ROW()-1)</f>
        <v>25024</v>
      </c>
      <c r="M52">
        <f>SUMIF(Erfassung3!BD:BD,L52,Erfassung3!BW:BW)</f>
        <v>0</v>
      </c>
      <c r="N52">
        <f>SUMIF(Erfassung3!BD:BD,L52,Erfassung3!BG:BG)</f>
        <v>0</v>
      </c>
      <c r="O52">
        <f t="shared" si="0"/>
        <v>0</v>
      </c>
      <c r="P52">
        <f t="shared" si="1"/>
        <v>52</v>
      </c>
    </row>
    <row r="53" spans="1:16" x14ac:dyDescent="0.25">
      <c r="A53">
        <f t="shared" si="11"/>
        <v>49</v>
      </c>
      <c r="B53">
        <f t="shared" si="7"/>
        <v>27134</v>
      </c>
      <c r="C53" t="str">
        <f>IFERROR(INDEX(Starter!B:B,MATCH(B53,Starter!A:A,0)),"")</f>
        <v>Lohse, Sebastian</v>
      </c>
      <c r="D53" t="str">
        <f>IFERROR(INDEX(Starter!C:C,MATCH(B53,Starter!A:A,0)),"")</f>
        <v>BC EMAX</v>
      </c>
      <c r="E53" s="102">
        <f t="shared" si="8"/>
        <v>1289</v>
      </c>
      <c r="F53">
        <f t="shared" si="9"/>
        <v>8</v>
      </c>
      <c r="G53" s="137">
        <f t="shared" si="10"/>
        <v>161.12499996700001</v>
      </c>
      <c r="L53" s="227">
        <f>INDEX(Starter!A:A,ROW()-1)</f>
        <v>7344</v>
      </c>
      <c r="M53">
        <f>SUMIF(Erfassung3!BD:BD,L53,Erfassung3!BW:BW)</f>
        <v>0</v>
      </c>
      <c r="N53">
        <f>SUMIF(Erfassung3!BD:BD,L53,Erfassung3!BG:BG)</f>
        <v>0</v>
      </c>
      <c r="O53">
        <f t="shared" si="0"/>
        <v>0</v>
      </c>
      <c r="P53">
        <f t="shared" si="1"/>
        <v>52</v>
      </c>
    </row>
    <row r="54" spans="1:16" x14ac:dyDescent="0.25">
      <c r="A54">
        <f t="shared" si="11"/>
        <v>50</v>
      </c>
      <c r="B54">
        <f t="shared" si="7"/>
        <v>25516</v>
      </c>
      <c r="C54" t="str">
        <f>IFERROR(INDEX(Starter!B:B,MATCH(B54,Starter!A:A,0)),"")</f>
        <v>Nikoleit, Thomas</v>
      </c>
      <c r="D54" t="str">
        <f>IFERROR(INDEX(Starter!C:C,MATCH(B54,Starter!A:A,0)),"")</f>
        <v>BC Bamberger Bowlinghaus</v>
      </c>
      <c r="E54" s="102">
        <f t="shared" si="8"/>
        <v>297</v>
      </c>
      <c r="F54">
        <f t="shared" si="9"/>
        <v>2</v>
      </c>
      <c r="G54" s="137">
        <f t="shared" si="10"/>
        <v>148.49999996099999</v>
      </c>
      <c r="L54" s="227">
        <f>INDEX(Starter!A:A,ROW()-1)</f>
        <v>7602</v>
      </c>
      <c r="M54">
        <f>SUMIF(Erfassung3!BD:BD,L54,Erfassung3!BW:BW)</f>
        <v>1019</v>
      </c>
      <c r="N54">
        <f>SUMIF(Erfassung3!BD:BD,L54,Erfassung3!BG:BG)</f>
        <v>5</v>
      </c>
      <c r="O54">
        <f t="shared" si="0"/>
        <v>203.79999994600001</v>
      </c>
      <c r="P54">
        <f t="shared" si="1"/>
        <v>7</v>
      </c>
    </row>
    <row r="55" spans="1:16" x14ac:dyDescent="0.25">
      <c r="A55">
        <f t="shared" si="11"/>
        <v>51</v>
      </c>
      <c r="B55">
        <f t="shared" si="7"/>
        <v>25297</v>
      </c>
      <c r="C55" t="str">
        <f>IFERROR(INDEX(Starter!B:B,MATCH(B55,Starter!A:A,0)),"")</f>
        <v>Lengen, Peter</v>
      </c>
      <c r="D55" t="str">
        <f>IFERROR(INDEX(Starter!C:C,MATCH(B55,Starter!A:A,0)),"")</f>
        <v>BSC Highroller Rosenheim</v>
      </c>
      <c r="E55" s="102">
        <f t="shared" si="8"/>
        <v>580</v>
      </c>
      <c r="F55">
        <f t="shared" si="9"/>
        <v>4</v>
      </c>
      <c r="G55" s="137">
        <f t="shared" si="10"/>
        <v>144.99999997699999</v>
      </c>
      <c r="L55" s="227">
        <f>INDEX(Starter!A:A,ROW()-1)</f>
        <v>25325</v>
      </c>
      <c r="M55">
        <f>SUMIF(Erfassung3!BD:BD,L55,Erfassung3!BW:BW)</f>
        <v>1710</v>
      </c>
      <c r="N55">
        <f>SUMIF(Erfassung3!BD:BD,L55,Erfassung3!BG:BG)</f>
        <v>9</v>
      </c>
      <c r="O55">
        <f t="shared" si="0"/>
        <v>189.99999994500001</v>
      </c>
      <c r="P55">
        <f t="shared" si="1"/>
        <v>17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SUMIF(Erfassung3!BD:BD,L56,Erfassung3!BW:BW)</f>
        <v>1820</v>
      </c>
      <c r="N56">
        <f>SUMIF(Erfassung3!BD:BD,L56,Erfassung3!BG:BG)</f>
        <v>9</v>
      </c>
      <c r="O56">
        <f t="shared" si="0"/>
        <v>202.22222216622222</v>
      </c>
      <c r="P56">
        <f t="shared" si="1"/>
        <v>9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SUMIF(Erfassung3!BD:BD,L57,Erfassung3!BW:BW)</f>
        <v>0</v>
      </c>
      <c r="N57">
        <f>SUMIF(Erfassung3!BD:BD,L57,Erfassung3!BG:BG)</f>
        <v>0</v>
      </c>
      <c r="O57">
        <f t="shared" si="0"/>
        <v>0</v>
      </c>
      <c r="P57">
        <f t="shared" si="1"/>
        <v>52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SUMIF(Erfassung3!BD:BD,L58,Erfassung3!BW:BW)</f>
        <v>1512</v>
      </c>
      <c r="N58">
        <f>SUMIF(Erfassung3!BD:BD,L58,Erfassung3!BG:BG)</f>
        <v>8</v>
      </c>
      <c r="O58">
        <f t="shared" si="0"/>
        <v>188.99999994199999</v>
      </c>
      <c r="P58">
        <f t="shared" si="1"/>
        <v>21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SUMIF(Erfassung3!BD:BD,L59,Erfassung3!BW:BW)</f>
        <v>1679</v>
      </c>
      <c r="N59">
        <f>SUMIF(Erfassung3!BD:BD,L59,Erfassung3!BG:BG)</f>
        <v>9</v>
      </c>
      <c r="O59">
        <f t="shared" si="0"/>
        <v>186.55555549655554</v>
      </c>
      <c r="P59">
        <f t="shared" si="1"/>
        <v>25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SUMIF(Erfassung3!BD:BD,L60,Erfassung3!BW:BW)</f>
        <v>1352</v>
      </c>
      <c r="N60">
        <f>SUMIF(Erfassung3!BD:BD,L60,Erfassung3!BG:BG)</f>
        <v>7</v>
      </c>
      <c r="O60">
        <f t="shared" si="0"/>
        <v>193.14285708285715</v>
      </c>
      <c r="P60">
        <f t="shared" si="1"/>
        <v>13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SUMIF(Erfassung3!BD:BD,L61,Erfassung3!BW:BW)</f>
        <v>0</v>
      </c>
      <c r="N61">
        <f>SUMIF(Erfassung3!BD:BD,L61,Erfassung3!BG:BG)</f>
        <v>0</v>
      </c>
      <c r="O61">
        <f t="shared" si="0"/>
        <v>0</v>
      </c>
      <c r="P61">
        <f t="shared" si="1"/>
        <v>52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SUMIF(Erfassung3!BD:BD,L62,Erfassung3!BW:BW)</f>
        <v>1397</v>
      </c>
      <c r="N62">
        <f>SUMIF(Erfassung3!BD:BD,L62,Erfassung3!BG:BG)</f>
        <v>8</v>
      </c>
      <c r="O62">
        <f t="shared" si="0"/>
        <v>174.624999938</v>
      </c>
      <c r="P62">
        <f t="shared" si="1"/>
        <v>39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52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52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SUMIF(Erfassung3!BD:BD,L65,Erfassung3!BW:BW)</f>
        <v>0</v>
      </c>
      <c r="N65">
        <f>SUMIF(Erfassung3!BD:BD,L65,Erfassung3!BG:BG)</f>
        <v>0</v>
      </c>
      <c r="O65">
        <f t="shared" si="0"/>
        <v>0</v>
      </c>
      <c r="P65">
        <f t="shared" si="1"/>
        <v>52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52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SUMIF(Erfassung3!BD:BD,L67,Erfassung3!BW:BW)</f>
        <v>0</v>
      </c>
      <c r="N67">
        <f>SUMIF(Erfassung3!BD:BD,L67,Erfassung3!BG:BG)</f>
        <v>0</v>
      </c>
      <c r="O67">
        <f t="shared" si="12"/>
        <v>0</v>
      </c>
      <c r="P67">
        <f t="shared" si="13"/>
        <v>52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SUMIF(Erfassung3!BD:BD,L68,Erfassung3!BW:BW)</f>
        <v>708</v>
      </c>
      <c r="N68">
        <f>SUMIF(Erfassung3!BD:BD,L68,Erfassung3!BG:BG)</f>
        <v>4</v>
      </c>
      <c r="O68">
        <f t="shared" si="12"/>
        <v>176.99999993200001</v>
      </c>
      <c r="P68">
        <f t="shared" si="13"/>
        <v>32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SUMIF(Erfassung3!BD:BD,L69,Erfassung3!BW:BW)</f>
        <v>548</v>
      </c>
      <c r="N69">
        <f>SUMIF(Erfassung3!BD:BD,L69,Erfassung3!BG:BG)</f>
        <v>3</v>
      </c>
      <c r="O69">
        <f t="shared" si="12"/>
        <v>182.66666659766665</v>
      </c>
      <c r="P69">
        <f t="shared" si="13"/>
        <v>28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SUMIF(Erfassung3!BD:BD,L70,Erfassung3!BW:BW)</f>
        <v>0</v>
      </c>
      <c r="N70">
        <f>SUMIF(Erfassung3!BD:BD,L70,Erfassung3!BG:BG)</f>
        <v>0</v>
      </c>
      <c r="O70">
        <f t="shared" si="12"/>
        <v>0</v>
      </c>
      <c r="P70">
        <f t="shared" si="13"/>
        <v>52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SUMIF(Erfassung3!BD:BD,L71,Erfassung3!BW:BW)</f>
        <v>0</v>
      </c>
      <c r="N71">
        <f>SUMIF(Erfassung3!BD:BD,L71,Erfassung3!BG:BG)</f>
        <v>0</v>
      </c>
      <c r="O71">
        <f t="shared" si="12"/>
        <v>0</v>
      </c>
      <c r="P71">
        <f t="shared" si="13"/>
        <v>52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SUMIF(Erfassung3!BD:BD,L72,Erfassung3!BW:BW)</f>
        <v>0</v>
      </c>
      <c r="N72">
        <f>SUMIF(Erfassung3!BD:BD,L72,Erfassung3!BG:BG)</f>
        <v>0</v>
      </c>
      <c r="O72">
        <f t="shared" si="12"/>
        <v>0</v>
      </c>
      <c r="P72">
        <f t="shared" si="13"/>
        <v>52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52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38018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52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25465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52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52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52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52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52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52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52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52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52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52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52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52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52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52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52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52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52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52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52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52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52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52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52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52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52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52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52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52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52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52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16253</v>
      </c>
      <c r="M2">
        <f>INDEX(SchnittGes2!M:M,MATCH(L2,SchnittGes2!L:L,0))+INDEX(Schnitt3!M:M,MATCH(L2,Schnitt3!L:L,0))</f>
        <v>3921</v>
      </c>
      <c r="N2">
        <f>INDEX(SchnittGes2!N:N,MATCH(L2,SchnittGes2!L:L,0))+INDEX(Schnitt3!N:N,MATCH(L2,Schnitt3!L:L,0))</f>
        <v>18</v>
      </c>
      <c r="O2">
        <f t="shared" ref="O2:O11" si="0">IF(N2=0,0,M2/N2-ROW()/1000000000)</f>
        <v>217.83333333133334</v>
      </c>
      <c r="P2">
        <f t="shared" ref="P2:P33" si="1">RANK(O2,O:O)</f>
        <v>1</v>
      </c>
    </row>
    <row r="3" spans="1:16" x14ac:dyDescent="0.25">
      <c r="L3" s="227">
        <f>INDEX(Starter!A:A,ROW()-1)</f>
        <v>38687</v>
      </c>
      <c r="M3">
        <f>INDEX(SchnittGes2!M:M,MATCH(L3,SchnittGes2!L:L,0))+INDEX(Schnitt3!M:M,MATCH(L3,Schnitt3!L:L,0))</f>
        <v>4407</v>
      </c>
      <c r="N3">
        <f>INDEX(SchnittGes2!N:N,MATCH(L3,SchnittGes2!L:L,0))+INDEX(Schnitt3!N:N,MATCH(L3,Schnitt3!L:L,0))</f>
        <v>23</v>
      </c>
      <c r="O3">
        <f t="shared" si="0"/>
        <v>191.60869564917391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INDEX(SchnittGes2!M:M,MATCH(L4,SchnittGes2!L:L,0))+INDEX(Schnitt3!M:M,MATCH(L4,Schnitt3!L:L,0))</f>
        <v>5500</v>
      </c>
      <c r="N4">
        <f>INDEX(SchnittGes2!N:N,MATCH(L4,SchnittGes2!L:L,0))+INDEX(Schnitt3!N:N,MATCH(L4,Schnitt3!L:L,0))</f>
        <v>27</v>
      </c>
      <c r="O4">
        <f t="shared" si="0"/>
        <v>203.70370369970371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3921</v>
      </c>
      <c r="F5">
        <f t="shared" ref="F5:F36" si="4">IFERROR(INDEX(N:N,MATCH(A5,P:P,0)),"")</f>
        <v>18</v>
      </c>
      <c r="G5" s="137">
        <f t="shared" ref="G5:G36" si="5">IFERROR(INDEX(O:O,MATCH(A5,P:P,0)),"")</f>
        <v>217.83333333133334</v>
      </c>
      <c r="L5" s="227">
        <f>INDEX(Starter!A:A,ROW()-1)</f>
        <v>16301</v>
      </c>
      <c r="M5">
        <f>INDEX(SchnittGes2!M:M,MATCH(L5,SchnittGes2!L:L,0))+INDEX(Schnitt3!M:M,MATCH(L5,Schnitt3!L:L,0))</f>
        <v>4796</v>
      </c>
      <c r="N5">
        <f>INDEX(SchnittGes2!N:N,MATCH(L5,SchnittGes2!L:L,0))+INDEX(Schnitt3!N:N,MATCH(L5,Schnitt3!L:L,0))</f>
        <v>25</v>
      </c>
      <c r="O5">
        <f t="shared" si="0"/>
        <v>191.839999995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7885</v>
      </c>
      <c r="C6" t="str">
        <f>IFERROR(INDEX(Starter!B:B,MATCH(B6,Starter!A:A,0)),"")</f>
        <v>Hinterwimmer, Sebastian</v>
      </c>
      <c r="D6" t="str">
        <f>IFERROR(INDEX(Starter!C:C,MATCH(B6,Starter!A:A,0)),"")</f>
        <v>BK München</v>
      </c>
      <c r="E6" s="102">
        <f t="shared" si="3"/>
        <v>2814</v>
      </c>
      <c r="F6">
        <f t="shared" si="4"/>
        <v>13</v>
      </c>
      <c r="G6" s="137">
        <f t="shared" si="5"/>
        <v>216.46153844453846</v>
      </c>
      <c r="L6" s="227">
        <f>INDEX(Starter!A:A,ROW()-1)</f>
        <v>38411</v>
      </c>
      <c r="M6">
        <f>INDEX(SchnittGes2!M:M,MATCH(L6,SchnittGes2!L:L,0))+INDEX(Schnitt3!M:M,MATCH(L6,Schnitt3!L:L,0))</f>
        <v>3135</v>
      </c>
      <c r="N6">
        <f>INDEX(SchnittGes2!N:N,MATCH(L6,SchnittGes2!L:L,0))+INDEX(Schnitt3!N:N,MATCH(L6,Schnitt3!L:L,0))</f>
        <v>18</v>
      </c>
      <c r="O6">
        <f t="shared" si="0"/>
        <v>174.16666666066666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INDEX(SchnittGes2!M:M,MATCH(L7,SchnittGes2!L:L,0))+INDEX(Schnitt3!M:M,MATCH(L7,Schnitt3!L:L,0))</f>
        <v>4625</v>
      </c>
      <c r="N7">
        <f>INDEX(SchnittGes2!N:N,MATCH(L7,SchnittGes2!L:L,0))+INDEX(Schnitt3!N:N,MATCH(L7,Schnitt3!L:L,0))</f>
        <v>27</v>
      </c>
      <c r="O7">
        <f t="shared" si="0"/>
        <v>171.29629628929629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INDEX(SchnittGes2!M:M,MATCH(L8,SchnittGes2!L:L,0))+INDEX(Schnitt3!M:M,MATCH(L8,Schnitt3!L:L,0))</f>
        <v>1634</v>
      </c>
      <c r="N8">
        <f>INDEX(SchnittGes2!N:N,MATCH(L8,SchnittGes2!L:L,0))+INDEX(Schnitt3!N:N,MATCH(L8,Schnitt3!L:L,0))</f>
        <v>9</v>
      </c>
      <c r="O8">
        <f t="shared" si="0"/>
        <v>181.55555554755554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INDEX(SchnittGes2!M:M,MATCH(L9,SchnittGes2!L:L,0))+INDEX(Schnitt3!M:M,MATCH(L9,Schnitt3!L:L,0))</f>
        <v>5319</v>
      </c>
      <c r="N9">
        <f>INDEX(SchnittGes2!N:N,MATCH(L9,SchnittGes2!L:L,0))+INDEX(Schnitt3!N:N,MATCH(L9,Schnitt3!L:L,0))</f>
        <v>27</v>
      </c>
      <c r="O9">
        <f t="shared" si="0"/>
        <v>196.99999999100001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INDEX(SchnittGes2!M:M,MATCH(L10,SchnittGes2!L:L,0))+INDEX(Schnitt3!M:M,MATCH(L10,Schnitt3!L:L,0))</f>
        <v>3744</v>
      </c>
      <c r="N10">
        <f>INDEX(SchnittGes2!N:N,MATCH(L10,SchnittGes2!L:L,0))+INDEX(Schnitt3!N:N,MATCH(L10,Schnitt3!L:L,0))</f>
        <v>20</v>
      </c>
      <c r="O10">
        <f t="shared" si="0"/>
        <v>187.19999998999998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5658</v>
      </c>
      <c r="F11">
        <f t="shared" si="4"/>
        <v>27</v>
      </c>
      <c r="G11" s="137">
        <f t="shared" si="5"/>
        <v>209.55555553755553</v>
      </c>
      <c r="L11" s="227">
        <f>INDEX(Starter!A:A,ROW()-1)</f>
        <v>16352</v>
      </c>
      <c r="M11">
        <f>INDEX(SchnittGes2!M:M,MATCH(L11,SchnittGes2!L:L,0))+INDEX(Schnitt3!M:M,MATCH(L11,Schnitt3!L:L,0))</f>
        <v>1197</v>
      </c>
      <c r="N11">
        <f>INDEX(SchnittGes2!N:N,MATCH(L11,SchnittGes2!L:L,0))+INDEX(Schnitt3!N:N,MATCH(L11,Schnitt3!L:L,0))</f>
        <v>7</v>
      </c>
      <c r="O11">
        <f t="shared" si="0"/>
        <v>170.999999989</v>
      </c>
      <c r="P11">
        <f t="shared" si="1"/>
        <v>54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5541</v>
      </c>
      <c r="F12">
        <f t="shared" si="4"/>
        <v>27</v>
      </c>
      <c r="G12" s="137">
        <f t="shared" si="5"/>
        <v>205.22222216622222</v>
      </c>
      <c r="L12" s="227">
        <f>INDEX(Starter!A:A,ROW()-1)</f>
        <v>16495</v>
      </c>
      <c r="M12">
        <f>INDEX(SchnittGes2!M:M,MATCH(L12,SchnittGes2!L:L,0))+INDEX(Schnitt3!M:M,MATCH(L12,Schnitt3!L:L,0))</f>
        <v>4750</v>
      </c>
      <c r="N12">
        <f>INDEX(SchnittGes2!N:N,MATCH(L12,SchnittGes2!L:L,0))+INDEX(Schnitt3!N:N,MATCH(L12,Schnitt3!L:L,0))</f>
        <v>26</v>
      </c>
      <c r="O12">
        <f t="shared" ref="O12:O75" si="7">IF(N12=0,0,M12/N12-ROW()/1000000000)</f>
        <v>182.69230768030769</v>
      </c>
      <c r="P12">
        <f t="shared" si="1"/>
        <v>38</v>
      </c>
    </row>
    <row r="13" spans="1:16" x14ac:dyDescent="0.25">
      <c r="A13">
        <f t="shared" si="6"/>
        <v>9</v>
      </c>
      <c r="B13">
        <f t="shared" si="2"/>
        <v>7416</v>
      </c>
      <c r="C13" t="str">
        <f>IFERROR(INDEX(Starter!B:B,MATCH(B13,Starter!A:A,0)),"")</f>
        <v>Reichert, Ralph</v>
      </c>
      <c r="D13" t="str">
        <f>IFERROR(INDEX(Starter!C:C,MATCH(B13,Starter!A:A,0)),"")</f>
        <v>BC Bajuwaren 1976 München</v>
      </c>
      <c r="E13" s="102">
        <f t="shared" si="3"/>
        <v>5509</v>
      </c>
      <c r="F13">
        <f t="shared" si="4"/>
        <v>27</v>
      </c>
      <c r="G13" s="137">
        <f t="shared" si="5"/>
        <v>204.03703701603703</v>
      </c>
      <c r="L13" s="227">
        <f>INDEX(Starter!A:A,ROW()-1)</f>
        <v>16945</v>
      </c>
      <c r="M13">
        <f>INDEX(SchnittGes2!M:M,MATCH(L13,SchnittGes2!L:L,0))+INDEX(Schnitt3!M:M,MATCH(L13,Schnitt3!L:L,0))</f>
        <v>5362</v>
      </c>
      <c r="N13">
        <f>INDEX(SchnittGes2!N:N,MATCH(L13,SchnittGes2!L:L,0))+INDEX(Schnitt3!N:N,MATCH(L13,Schnitt3!L:L,0))</f>
        <v>27</v>
      </c>
      <c r="O13">
        <f t="shared" si="7"/>
        <v>198.59259257959258</v>
      </c>
      <c r="P13">
        <f t="shared" si="1"/>
        <v>18</v>
      </c>
    </row>
    <row r="14" spans="1:16" x14ac:dyDescent="0.25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5500</v>
      </c>
      <c r="F14">
        <f t="shared" si="4"/>
        <v>27</v>
      </c>
      <c r="G14" s="137">
        <f t="shared" si="5"/>
        <v>203.70370369970371</v>
      </c>
      <c r="L14" s="227">
        <f>INDEX(Starter!A:A,ROW()-1)</f>
        <v>7867</v>
      </c>
      <c r="M14">
        <f>INDEX(SchnittGes2!M:M,MATCH(L14,SchnittGes2!L:L,0))+INDEX(Schnitt3!M:M,MATCH(L14,Schnitt3!L:L,0))</f>
        <v>670</v>
      </c>
      <c r="N14">
        <f>INDEX(SchnittGes2!N:N,MATCH(L14,SchnittGes2!L:L,0))+INDEX(Schnitt3!N:N,MATCH(L14,Schnitt3!L:L,0))</f>
        <v>4</v>
      </c>
      <c r="O14">
        <f t="shared" si="7"/>
        <v>167.49999998600001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4680</v>
      </c>
      <c r="F15">
        <f t="shared" si="4"/>
        <v>23</v>
      </c>
      <c r="G15" s="137">
        <f t="shared" si="5"/>
        <v>203.47826085356522</v>
      </c>
      <c r="L15" s="227">
        <f>INDEX(Starter!A:A,ROW()-1)</f>
        <v>7597</v>
      </c>
      <c r="M15">
        <f>INDEX(SchnittGes2!M:M,MATCH(L15,SchnittGes2!L:L,0))+INDEX(Schnitt3!M:M,MATCH(L15,Schnitt3!L:L,0))</f>
        <v>2992</v>
      </c>
      <c r="N15">
        <f>INDEX(SchnittGes2!N:N,MATCH(L15,SchnittGes2!L:L,0))+INDEX(Schnitt3!N:N,MATCH(L15,Schnitt3!L:L,0))</f>
        <v>17</v>
      </c>
      <c r="O15">
        <f t="shared" si="7"/>
        <v>175.99999998499999</v>
      </c>
      <c r="P15">
        <f t="shared" si="1"/>
        <v>47</v>
      </c>
    </row>
    <row r="16" spans="1:16" x14ac:dyDescent="0.25">
      <c r="A16">
        <f t="shared" si="6"/>
        <v>12</v>
      </c>
      <c r="B16">
        <f t="shared" si="2"/>
        <v>7724</v>
      </c>
      <c r="C16" t="str">
        <f>IFERROR(INDEX(Starter!B:B,MATCH(B16,Starter!A:A,0)),"")</f>
        <v>Schlick, Christian</v>
      </c>
      <c r="D16" t="str">
        <f>IFERROR(INDEX(Starter!C:C,MATCH(B16,Starter!A:A,0)),"")</f>
        <v>Comet</v>
      </c>
      <c r="E16" s="102">
        <f t="shared" si="3"/>
        <v>3657</v>
      </c>
      <c r="F16">
        <f t="shared" si="4"/>
        <v>18</v>
      </c>
      <c r="G16" s="137">
        <f t="shared" si="5"/>
        <v>203.16666663766665</v>
      </c>
      <c r="L16" s="227">
        <f>INDEX(Starter!A:A,ROW()-1)</f>
        <v>16912</v>
      </c>
      <c r="M16">
        <f>INDEX(SchnittGes2!M:M,MATCH(L16,SchnittGes2!L:L,0))+INDEX(Schnitt3!M:M,MATCH(L16,Schnitt3!L:L,0))</f>
        <v>4680</v>
      </c>
      <c r="N16">
        <f>INDEX(SchnittGes2!N:N,MATCH(L16,SchnittGes2!L:L,0))+INDEX(Schnitt3!N:N,MATCH(L16,Schnitt3!L:L,0))</f>
        <v>23</v>
      </c>
      <c r="O16">
        <f t="shared" si="7"/>
        <v>203.47826085356522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38041</v>
      </c>
      <c r="C17" t="str">
        <f>IFERROR(INDEX(Starter!B:B,MATCH(B17,Starter!A:A,0)),"")</f>
        <v>Röhlig, Jörg</v>
      </c>
      <c r="D17" t="str">
        <f>IFERROR(INDEX(Starter!C:C,MATCH(B17,Starter!A:A,0)),"")</f>
        <v>BC Bamberger Bowlinghaus</v>
      </c>
      <c r="E17" s="102">
        <f t="shared" si="3"/>
        <v>2824</v>
      </c>
      <c r="F17">
        <f t="shared" si="4"/>
        <v>14</v>
      </c>
      <c r="G17" s="137">
        <f t="shared" si="5"/>
        <v>201.71428567628573</v>
      </c>
      <c r="L17" s="227">
        <f>INDEX(Starter!A:A,ROW()-1)</f>
        <v>7885</v>
      </c>
      <c r="M17">
        <f>INDEX(SchnittGes2!M:M,MATCH(L17,SchnittGes2!L:L,0))+INDEX(Schnitt3!M:M,MATCH(L17,Schnitt3!L:L,0))</f>
        <v>2814</v>
      </c>
      <c r="N17">
        <f>INDEX(SchnittGes2!N:N,MATCH(L17,SchnittGes2!L:L,0))+INDEX(Schnitt3!N:N,MATCH(L17,Schnitt3!L:L,0))</f>
        <v>13</v>
      </c>
      <c r="O17">
        <f t="shared" si="7"/>
        <v>216.46153844453846</v>
      </c>
      <c r="P17">
        <f t="shared" si="1"/>
        <v>2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INDEX(SchnittGes2!M:M,MATCH(L18,SchnittGes2!L:L,0))+INDEX(Schnitt3!M:M,MATCH(L18,Schnitt3!L:L,0))</f>
        <v>5658</v>
      </c>
      <c r="N18">
        <f>INDEX(SchnittGes2!N:N,MATCH(L18,SchnittGes2!L:L,0))+INDEX(Schnitt3!N:N,MATCH(L18,Schnitt3!L:L,0))</f>
        <v>27</v>
      </c>
      <c r="O18">
        <f t="shared" si="7"/>
        <v>209.55555553755553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5395</v>
      </c>
      <c r="F19">
        <f t="shared" si="4"/>
        <v>27</v>
      </c>
      <c r="G19" s="137">
        <f t="shared" si="5"/>
        <v>199.81481478781481</v>
      </c>
      <c r="L19" s="227">
        <f>INDEX(Starter!A:A,ROW()-1)</f>
        <v>16762</v>
      </c>
      <c r="M19">
        <f>INDEX(SchnittGes2!M:M,MATCH(L19,SchnittGes2!L:L,0))+INDEX(Schnitt3!M:M,MATCH(L19,Schnitt3!L:L,0))</f>
        <v>3227</v>
      </c>
      <c r="N19">
        <f>INDEX(SchnittGes2!N:N,MATCH(L19,SchnittGes2!L:L,0))+INDEX(Schnitt3!N:N,MATCH(L19,Schnitt3!L:L,0))</f>
        <v>18</v>
      </c>
      <c r="O19">
        <f t="shared" si="7"/>
        <v>179.27777775877777</v>
      </c>
      <c r="P19">
        <f t="shared" si="1"/>
        <v>43</v>
      </c>
    </row>
    <row r="20" spans="1:16" x14ac:dyDescent="0.25">
      <c r="A20">
        <f t="shared" si="6"/>
        <v>16</v>
      </c>
      <c r="B20">
        <f t="shared" si="2"/>
        <v>7593</v>
      </c>
      <c r="C20" t="str">
        <f>IFERROR(INDEX(Starter!B:B,MATCH(B20,Starter!A:A,0)),"")</f>
        <v>Börding, Peter</v>
      </c>
      <c r="D20" t="str">
        <f>IFERROR(INDEX(Starter!C:C,MATCH(B20,Starter!A:A,0)),"")</f>
        <v>BK München</v>
      </c>
      <c r="E20" s="102">
        <f t="shared" si="3"/>
        <v>5389</v>
      </c>
      <c r="F20">
        <f t="shared" si="4"/>
        <v>27</v>
      </c>
      <c r="G20" s="137">
        <f t="shared" si="5"/>
        <v>199.59259254659258</v>
      </c>
      <c r="L20" s="227">
        <f>INDEX(Starter!A:A,ROW()-1)</f>
        <v>7600</v>
      </c>
      <c r="M20">
        <f>INDEX(SchnittGes2!M:M,MATCH(L20,SchnittGes2!L:L,0))+INDEX(Schnitt3!M:M,MATCH(L20,Schnitt3!L:L,0))</f>
        <v>3895</v>
      </c>
      <c r="N20">
        <f>INDEX(SchnittGes2!N:N,MATCH(L20,SchnittGes2!L:L,0))+INDEX(Schnitt3!N:N,MATCH(L20,Schnitt3!L:L,0))</f>
        <v>21</v>
      </c>
      <c r="O20">
        <f t="shared" si="7"/>
        <v>185.47619045619049</v>
      </c>
      <c r="P20">
        <f t="shared" si="1"/>
        <v>35</v>
      </c>
    </row>
    <row r="21" spans="1:16" x14ac:dyDescent="0.25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2793</v>
      </c>
      <c r="F21">
        <f t="shared" si="4"/>
        <v>14</v>
      </c>
      <c r="G21" s="137">
        <f t="shared" si="5"/>
        <v>199.499999946</v>
      </c>
      <c r="L21" s="227">
        <f>INDEX(Starter!A:A,ROW()-1)</f>
        <v>7416</v>
      </c>
      <c r="M21">
        <f>INDEX(SchnittGes2!M:M,MATCH(L21,SchnittGes2!L:L,0))+INDEX(Schnitt3!M:M,MATCH(L21,Schnitt3!L:L,0))</f>
        <v>5509</v>
      </c>
      <c r="N21">
        <f>INDEX(SchnittGes2!N:N,MATCH(L21,SchnittGes2!L:L,0))+INDEX(Schnitt3!N:N,MATCH(L21,Schnitt3!L:L,0))</f>
        <v>27</v>
      </c>
      <c r="O21">
        <f t="shared" si="7"/>
        <v>204.03703701603703</v>
      </c>
      <c r="P21">
        <f t="shared" si="1"/>
        <v>9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5362</v>
      </c>
      <c r="F22">
        <f t="shared" si="4"/>
        <v>27</v>
      </c>
      <c r="G22" s="137">
        <f t="shared" si="5"/>
        <v>198.59259257959258</v>
      </c>
      <c r="L22" s="227">
        <f>INDEX(Starter!A:A,ROW()-1)</f>
        <v>7425</v>
      </c>
      <c r="M22">
        <f>INDEX(SchnittGes2!M:M,MATCH(L22,SchnittGes2!L:L,0))+INDEX(Schnitt3!M:M,MATCH(L22,Schnitt3!L:L,0))</f>
        <v>300</v>
      </c>
      <c r="N22">
        <f>INDEX(SchnittGes2!N:N,MATCH(L22,SchnittGes2!L:L,0))+INDEX(Schnitt3!N:N,MATCH(L22,Schnitt3!L:L,0))</f>
        <v>2</v>
      </c>
      <c r="O22">
        <f t="shared" si="7"/>
        <v>149.99999997800001</v>
      </c>
      <c r="P22">
        <f t="shared" si="1"/>
        <v>65</v>
      </c>
    </row>
    <row r="23" spans="1:16" x14ac:dyDescent="0.25">
      <c r="A23">
        <f t="shared" si="6"/>
        <v>19</v>
      </c>
      <c r="B23">
        <f t="shared" si="2"/>
        <v>16896</v>
      </c>
      <c r="C23" t="str">
        <f>IFERROR(INDEX(Starter!B:B,MATCH(B23,Starter!A:A,0)),"")</f>
        <v>Mittelmaier, Andreas</v>
      </c>
      <c r="D23" t="str">
        <f>IFERROR(INDEX(Starter!C:C,MATCH(B23,Starter!A:A,0)),"")</f>
        <v>Comet</v>
      </c>
      <c r="E23" s="102">
        <f t="shared" si="3"/>
        <v>4367</v>
      </c>
      <c r="F23">
        <f t="shared" si="4"/>
        <v>22</v>
      </c>
      <c r="G23" s="137">
        <f t="shared" si="5"/>
        <v>198.49999997</v>
      </c>
      <c r="L23" s="227">
        <f>INDEX(Starter!A:A,ROW()-1)</f>
        <v>25297</v>
      </c>
      <c r="M23">
        <f>INDEX(SchnittGes2!M:M,MATCH(L23,SchnittGes2!L:L,0))+INDEX(Schnitt3!M:M,MATCH(L23,Schnitt3!L:L,0))</f>
        <v>2675</v>
      </c>
      <c r="N23">
        <f>INDEX(SchnittGes2!N:N,MATCH(L23,SchnittGes2!L:L,0))+INDEX(Schnitt3!N:N,MATCH(L23,Schnitt3!L:L,0))</f>
        <v>16</v>
      </c>
      <c r="O23">
        <f t="shared" si="7"/>
        <v>167.18749997699999</v>
      </c>
      <c r="P23">
        <f t="shared" si="1"/>
        <v>61</v>
      </c>
    </row>
    <row r="24" spans="1:16" x14ac:dyDescent="0.25">
      <c r="A24">
        <f t="shared" si="6"/>
        <v>20</v>
      </c>
      <c r="B24">
        <f t="shared" si="2"/>
        <v>7937</v>
      </c>
      <c r="C24" t="str">
        <f>IFERROR(INDEX(Starter!B:B,MATCH(B24,Starter!A:A,0)),"")</f>
        <v>Birkner, Jochen</v>
      </c>
      <c r="D24" t="str">
        <f>IFERROR(INDEX(Starter!C:C,MATCH(B24,Starter!A:A,0)),"")</f>
        <v>BF Rot-Weiß Lichtenhof 69</v>
      </c>
      <c r="E24" s="102">
        <f t="shared" si="3"/>
        <v>5359</v>
      </c>
      <c r="F24">
        <f t="shared" si="4"/>
        <v>27</v>
      </c>
      <c r="G24" s="137">
        <f t="shared" si="5"/>
        <v>198.4814814404815</v>
      </c>
      <c r="L24" s="227">
        <f>INDEX(Starter!A:A,ROW()-1)</f>
        <v>16888</v>
      </c>
      <c r="M24">
        <f>INDEX(SchnittGes2!M:M,MATCH(L24,SchnittGes2!L:L,0))+INDEX(Schnitt3!M:M,MATCH(L24,Schnitt3!L:L,0))</f>
        <v>4166</v>
      </c>
      <c r="N24">
        <f>INDEX(SchnittGes2!N:N,MATCH(L24,SchnittGes2!L:L,0))+INDEX(Schnitt3!N:N,MATCH(L24,Schnitt3!L:L,0))</f>
        <v>21</v>
      </c>
      <c r="O24">
        <f t="shared" si="7"/>
        <v>198.38095235695238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4166</v>
      </c>
      <c r="F25">
        <f t="shared" si="4"/>
        <v>21</v>
      </c>
      <c r="G25" s="137">
        <f t="shared" si="5"/>
        <v>198.38095235695238</v>
      </c>
      <c r="L25" s="227">
        <f>INDEX(Starter!A:A,ROW()-1)</f>
        <v>38092</v>
      </c>
      <c r="M25">
        <f>INDEX(SchnittGes2!M:M,MATCH(L25,SchnittGes2!L:L,0))+INDEX(Schnitt3!M:M,MATCH(L25,Schnitt3!L:L,0))</f>
        <v>4635</v>
      </c>
      <c r="N25">
        <f>INDEX(SchnittGes2!N:N,MATCH(L25,SchnittGes2!L:L,0))+INDEX(Schnitt3!N:N,MATCH(L25,Schnitt3!L:L,0))</f>
        <v>25</v>
      </c>
      <c r="O25">
        <f t="shared" si="7"/>
        <v>185.39999997500001</v>
      </c>
      <c r="P25">
        <f t="shared" si="1"/>
        <v>36</v>
      </c>
    </row>
    <row r="26" spans="1:16" x14ac:dyDescent="0.25">
      <c r="A26">
        <f t="shared" si="6"/>
        <v>22</v>
      </c>
      <c r="B26">
        <f t="shared" si="2"/>
        <v>25325</v>
      </c>
      <c r="C26" t="str">
        <f>IFERROR(INDEX(Starter!B:B,MATCH(B26,Starter!A:A,0)),"")</f>
        <v>Wegenast, Robert</v>
      </c>
      <c r="D26" t="str">
        <f>IFERROR(INDEX(Starter!C:C,MATCH(B26,Starter!A:A,0)),"")</f>
        <v>BC EMAX</v>
      </c>
      <c r="E26" s="102">
        <f t="shared" si="3"/>
        <v>3558</v>
      </c>
      <c r="F26">
        <f t="shared" si="4"/>
        <v>18</v>
      </c>
      <c r="G26" s="137">
        <f t="shared" si="5"/>
        <v>197.66666661166667</v>
      </c>
      <c r="L26" s="227">
        <f>INDEX(Starter!A:A,ROW()-1)</f>
        <v>16243</v>
      </c>
      <c r="M26">
        <f>INDEX(SchnittGes2!M:M,MATCH(L26,SchnittGes2!L:L,0))+INDEX(Schnitt3!M:M,MATCH(L26,Schnitt3!L:L,0))</f>
        <v>3791</v>
      </c>
      <c r="N26">
        <f>INDEX(SchnittGes2!N:N,MATCH(L26,SchnittGes2!L:L,0))+INDEX(Schnitt3!N:N,MATCH(L26,Schnitt3!L:L,0))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5319</v>
      </c>
      <c r="F27">
        <f t="shared" si="4"/>
        <v>27</v>
      </c>
      <c r="G27" s="137">
        <f t="shared" si="5"/>
        <v>196.99999999100001</v>
      </c>
      <c r="L27" s="227">
        <f>INDEX(Starter!A:A,ROW()-1)</f>
        <v>7725</v>
      </c>
      <c r="M27">
        <f>INDEX(SchnittGes2!M:M,MATCH(L27,SchnittGes2!L:L,0))+INDEX(Schnitt3!M:M,MATCH(L27,Schnitt3!L:L,0))</f>
        <v>5395</v>
      </c>
      <c r="N27">
        <f>INDEX(SchnittGes2!N:N,MATCH(L27,SchnittGes2!L:L,0))+INDEX(Schnitt3!N:N,MATCH(L27,Schnitt3!L:L,0))</f>
        <v>27</v>
      </c>
      <c r="O27">
        <f t="shared" si="7"/>
        <v>199.81481478781481</v>
      </c>
      <c r="P27">
        <f t="shared" si="1"/>
        <v>15</v>
      </c>
    </row>
    <row r="28" spans="1:16" x14ac:dyDescent="0.25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2155</v>
      </c>
      <c r="F28">
        <f t="shared" si="4"/>
        <v>11</v>
      </c>
      <c r="G28" s="137">
        <f t="shared" si="5"/>
        <v>195.90909085209091</v>
      </c>
      <c r="L28" s="227">
        <f>INDEX(Starter!A:A,ROW()-1)</f>
        <v>7734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66</v>
      </c>
    </row>
    <row r="29" spans="1:16" x14ac:dyDescent="0.25">
      <c r="A29">
        <f t="shared" si="6"/>
        <v>25</v>
      </c>
      <c r="B29">
        <f t="shared" si="2"/>
        <v>16251</v>
      </c>
      <c r="C29" t="str">
        <f>IFERROR(INDEX(Starter!B:B,MATCH(B29,Starter!A:A,0)),"")</f>
        <v>Renner, Alexander</v>
      </c>
      <c r="D29" t="str">
        <f>IFERROR(INDEX(Starter!C:C,MATCH(B29,Starter!A:A,0)),"")</f>
        <v>BC Bamberger Bowlinghaus</v>
      </c>
      <c r="E29" s="102">
        <f t="shared" si="3"/>
        <v>586</v>
      </c>
      <c r="F29">
        <f t="shared" si="4"/>
        <v>3</v>
      </c>
      <c r="G29" s="137">
        <f t="shared" si="5"/>
        <v>195.33333326633334</v>
      </c>
      <c r="L29" s="227">
        <f>INDEX(Starter!A:A,ROW()-1)</f>
        <v>7724</v>
      </c>
      <c r="M29">
        <f>INDEX(SchnittGes2!M:M,MATCH(L29,SchnittGes2!L:L,0))+INDEX(Schnitt3!M:M,MATCH(L29,Schnitt3!L:L,0))</f>
        <v>3657</v>
      </c>
      <c r="N29">
        <f>INDEX(SchnittGes2!N:N,MATCH(L29,SchnittGes2!L:L,0))+INDEX(Schnitt3!N:N,MATCH(L29,Schnitt3!L:L,0))</f>
        <v>18</v>
      </c>
      <c r="O29">
        <f t="shared" si="7"/>
        <v>203.16666663766665</v>
      </c>
      <c r="P29">
        <f t="shared" si="1"/>
        <v>12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INDEX(SchnittGes2!M:M,MATCH(L30,SchnittGes2!L:L,0))+INDEX(Schnitt3!M:M,MATCH(L30,Schnitt3!L:L,0))</f>
        <v>4367</v>
      </c>
      <c r="N30">
        <f>INDEX(SchnittGes2!N:N,MATCH(L30,SchnittGes2!L:L,0))+INDEX(Schnitt3!N:N,MATCH(L30,Schnitt3!L:L,0))</f>
        <v>22</v>
      </c>
      <c r="O30">
        <f t="shared" si="7"/>
        <v>198.49999997</v>
      </c>
      <c r="P30">
        <f t="shared" si="1"/>
        <v>19</v>
      </c>
    </row>
    <row r="31" spans="1:16" x14ac:dyDescent="0.25">
      <c r="A31">
        <f t="shared" si="6"/>
        <v>27</v>
      </c>
      <c r="B31">
        <f t="shared" si="2"/>
        <v>16301</v>
      </c>
      <c r="C31" t="str">
        <f>IFERROR(INDEX(Starter!B:B,MATCH(B31,Starter!A:A,0)),"")</f>
        <v>Werder, Jan-Uwe</v>
      </c>
      <c r="D31" t="str">
        <f>IFERROR(INDEX(Starter!C:C,MATCH(B31,Starter!A:A,0)),"")</f>
        <v>DJK Rimpar</v>
      </c>
      <c r="E31" s="102">
        <f t="shared" si="3"/>
        <v>4796</v>
      </c>
      <c r="F31">
        <f t="shared" si="4"/>
        <v>25</v>
      </c>
      <c r="G31" s="137">
        <f t="shared" si="5"/>
        <v>191.839999995</v>
      </c>
      <c r="L31" s="227">
        <f>INDEX(Starter!A:A,ROW()-1)</f>
        <v>7102</v>
      </c>
      <c r="M31">
        <f>INDEX(SchnittGes2!M:M,MATCH(L31,SchnittGes2!L:L,0))+INDEX(Schnitt3!M:M,MATCH(L31,Schnitt3!L:L,0))</f>
        <v>3599</v>
      </c>
      <c r="N31">
        <f>INDEX(SchnittGes2!N:N,MATCH(L31,SchnittGes2!L:L,0))+INDEX(Schnitt3!N:N,MATCH(L31,Schnitt3!L:L,0))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38687</v>
      </c>
      <c r="C32" t="str">
        <f>IFERROR(INDEX(Starter!B:B,MATCH(B32,Starter!A:A,0)),"")</f>
        <v>Gräfe, Sebastian</v>
      </c>
      <c r="D32" t="str">
        <f>IFERROR(INDEX(Starter!C:C,MATCH(B32,Starter!A:A,0)),"")</f>
        <v>DJK Rimpar</v>
      </c>
      <c r="E32" s="102">
        <f t="shared" si="3"/>
        <v>4407</v>
      </c>
      <c r="F32">
        <f t="shared" si="4"/>
        <v>23</v>
      </c>
      <c r="G32" s="137">
        <f t="shared" si="5"/>
        <v>191.60869564917391</v>
      </c>
      <c r="L32" s="227">
        <f>INDEX(Starter!A:A,ROW()-1)</f>
        <v>16245</v>
      </c>
      <c r="M32">
        <f>INDEX(SchnittGes2!M:M,MATCH(L32,SchnittGes2!L:L,0))+INDEX(Schnitt3!M:M,MATCH(L32,Schnitt3!L:L,0))</f>
        <v>830</v>
      </c>
      <c r="N32">
        <f>INDEX(SchnittGes2!N:N,MATCH(L32,SchnittGes2!L:L,0))+INDEX(Schnitt3!N:N,MATCH(L32,Schnitt3!L:L,0))</f>
        <v>5</v>
      </c>
      <c r="O32">
        <f t="shared" si="7"/>
        <v>165.999999968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INDEX(SchnittGes2!M:M,MATCH(L33,SchnittGes2!L:L,0))+INDEX(Schnitt3!M:M,MATCH(L33,Schnitt3!L:L,0))</f>
        <v>2733</v>
      </c>
      <c r="N33">
        <f>INDEX(SchnittGes2!N:N,MATCH(L33,SchnittGes2!L:L,0))+INDEX(Schnitt3!N:N,MATCH(L33,Schnitt3!L:L,0))</f>
        <v>16</v>
      </c>
      <c r="O33">
        <f t="shared" si="7"/>
        <v>170.81249996700001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38039</v>
      </c>
      <c r="C34" t="str">
        <f>IFERROR(INDEX(Starter!B:B,MATCH(B34,Starter!A:A,0)),"")</f>
        <v>Plaschka, Nico</v>
      </c>
      <c r="D34" t="str">
        <f>IFERROR(INDEX(Starter!C:C,MATCH(B34,Starter!A:A,0)),"")</f>
        <v>DJK Rimpar</v>
      </c>
      <c r="E34" s="102">
        <f t="shared" si="3"/>
        <v>2064</v>
      </c>
      <c r="F34">
        <f t="shared" si="4"/>
        <v>11</v>
      </c>
      <c r="G34" s="137">
        <f t="shared" si="5"/>
        <v>187.63636358836362</v>
      </c>
      <c r="L34" s="227">
        <f>INDEX(Starter!A:A,ROW()-1)</f>
        <v>7883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66</v>
      </c>
    </row>
    <row r="35" spans="1:16" x14ac:dyDescent="0.25">
      <c r="A35">
        <f t="shared" si="6"/>
        <v>31</v>
      </c>
      <c r="B35">
        <f t="shared" si="2"/>
        <v>16873</v>
      </c>
      <c r="C35" t="str">
        <f>IFERROR(INDEX(Starter!B:B,MATCH(B35,Starter!A:A,0)),"")</f>
        <v>Nolan, Jonathan</v>
      </c>
      <c r="D35" t="str">
        <f>IFERROR(INDEX(Starter!C:C,MATCH(B35,Starter!A:A,0)),"")</f>
        <v>BC Bamberger Bowlinghaus</v>
      </c>
      <c r="E35" s="102">
        <f t="shared" si="3"/>
        <v>5060</v>
      </c>
      <c r="F35">
        <f t="shared" si="4"/>
        <v>27</v>
      </c>
      <c r="G35" s="137">
        <f t="shared" si="5"/>
        <v>187.40740736740742</v>
      </c>
      <c r="L35" s="227">
        <f>INDEX(Starter!A:A,ROW()-1)</f>
        <v>7653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66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3744</v>
      </c>
      <c r="F36">
        <f t="shared" si="4"/>
        <v>20</v>
      </c>
      <c r="G36" s="137">
        <f t="shared" si="5"/>
        <v>187.19999998999998</v>
      </c>
      <c r="L36" s="227">
        <f>INDEX(Starter!A:A,ROW()-1)</f>
        <v>25554</v>
      </c>
      <c r="M36">
        <f>INDEX(SchnittGes2!M:M,MATCH(L36,SchnittGes2!L:L,0))+INDEX(Schnitt3!M:M,MATCH(L36,Schnitt3!L:L,0))</f>
        <v>3460</v>
      </c>
      <c r="N36">
        <f>INDEX(SchnittGes2!N:N,MATCH(L36,SchnittGes2!L:L,0))+INDEX(Schnitt3!N:N,MATCH(L36,Schnitt3!L:L,0))</f>
        <v>19</v>
      </c>
      <c r="O36">
        <f t="shared" si="7"/>
        <v>182.10526312189475</v>
      </c>
      <c r="P36">
        <f t="shared" si="8"/>
        <v>41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1308</v>
      </c>
      <c r="F37">
        <f t="shared" ref="F37:F68" si="11">IFERROR(INDEX(N:N,MATCH(A37,P:P,0)),"")</f>
        <v>7</v>
      </c>
      <c r="G37" s="137">
        <f t="shared" ref="G37:G68" si="12">IFERROR(INDEX(O:O,MATCH(A37,P:P,0)),"")</f>
        <v>186.85714279214287</v>
      </c>
      <c r="L37" s="227">
        <f>INDEX(Starter!A:A,ROW()-1)</f>
        <v>7099</v>
      </c>
      <c r="M37">
        <f>INDEX(SchnittGes2!M:M,MATCH(L37,SchnittGes2!L:L,0))+INDEX(Schnitt3!M:M,MATCH(L37,Schnitt3!L:L,0))</f>
        <v>4824</v>
      </c>
      <c r="N37">
        <f>INDEX(SchnittGes2!N:N,MATCH(L37,SchnittGes2!L:L,0))+INDEX(Schnitt3!N:N,MATCH(L37,Schnitt3!L:L,0))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16862</v>
      </c>
      <c r="C38" t="str">
        <f>IFERROR(INDEX(Starter!B:B,MATCH(B38,Starter!A:A,0)),"")</f>
        <v>Büttner, Christian</v>
      </c>
      <c r="D38" t="str">
        <f>IFERROR(INDEX(Starter!C:C,MATCH(B38,Starter!A:A,0)),"")</f>
        <v>SG Rottendorf</v>
      </c>
      <c r="E38" s="102">
        <f t="shared" si="10"/>
        <v>4650</v>
      </c>
      <c r="F38">
        <f t="shared" si="11"/>
        <v>25</v>
      </c>
      <c r="G38" s="137">
        <f t="shared" si="12"/>
        <v>185.99999994999999</v>
      </c>
      <c r="L38" s="227">
        <f>INDEX(Starter!A:A,ROW()-1)</f>
        <v>38041</v>
      </c>
      <c r="M38">
        <f>INDEX(SchnittGes2!M:M,MATCH(L38,SchnittGes2!L:L,0))+INDEX(Schnitt3!M:M,MATCH(L38,Schnitt3!L:L,0))</f>
        <v>2824</v>
      </c>
      <c r="N38">
        <f>INDEX(SchnittGes2!N:N,MATCH(L38,SchnittGes2!L:L,0))+INDEX(Schnitt3!N:N,MATCH(L38,Schnitt3!L:L,0))</f>
        <v>14</v>
      </c>
      <c r="O38">
        <f t="shared" si="7"/>
        <v>201.71428567628573</v>
      </c>
      <c r="P38">
        <f t="shared" si="8"/>
        <v>13</v>
      </c>
    </row>
    <row r="39" spans="1:16" x14ac:dyDescent="0.25">
      <c r="A39">
        <f t="shared" si="13"/>
        <v>35</v>
      </c>
      <c r="B39">
        <f t="shared" si="9"/>
        <v>7600</v>
      </c>
      <c r="C39" t="str">
        <f>IFERROR(INDEX(Starter!B:B,MATCH(B39,Starter!A:A,0)),"")</f>
        <v>Lüthje, Dennis</v>
      </c>
      <c r="D39" t="str">
        <f>IFERROR(INDEX(Starter!C:C,MATCH(B39,Starter!A:A,0)),"")</f>
        <v>BC Bajuwaren 1976 München</v>
      </c>
      <c r="E39" s="102">
        <f t="shared" si="10"/>
        <v>3895</v>
      </c>
      <c r="F39">
        <f t="shared" si="11"/>
        <v>21</v>
      </c>
      <c r="G39" s="137">
        <f t="shared" si="12"/>
        <v>185.47619045619049</v>
      </c>
      <c r="L39" s="227">
        <f>INDEX(Starter!A:A,ROW()-1)</f>
        <v>25516</v>
      </c>
      <c r="M39">
        <f>INDEX(SchnittGes2!M:M,MATCH(L39,SchnittGes2!L:L,0))+INDEX(Schnitt3!M:M,MATCH(L39,Schnitt3!L:L,0))</f>
        <v>1724</v>
      </c>
      <c r="N39">
        <f>INDEX(SchnittGes2!N:N,MATCH(L39,SchnittGes2!L:L,0))+INDEX(Schnitt3!N:N,MATCH(L39,Schnitt3!L:L,0))</f>
        <v>10</v>
      </c>
      <c r="O39">
        <f t="shared" si="7"/>
        <v>172.39999996099999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38092</v>
      </c>
      <c r="C40" t="str">
        <f>IFERROR(INDEX(Starter!B:B,MATCH(B40,Starter!A:A,0)),"")</f>
        <v>Kabel, Nicolas</v>
      </c>
      <c r="D40" t="str">
        <f>IFERROR(INDEX(Starter!C:C,MATCH(B40,Starter!A:A,0)),"")</f>
        <v>BSC Highroller Rosenheim</v>
      </c>
      <c r="E40" s="102">
        <f t="shared" si="10"/>
        <v>4635</v>
      </c>
      <c r="F40">
        <f t="shared" si="11"/>
        <v>25</v>
      </c>
      <c r="G40" s="137">
        <f t="shared" si="12"/>
        <v>185.39999997500001</v>
      </c>
      <c r="L40" s="227">
        <f>INDEX(Starter!A:A,ROW()-1)</f>
        <v>16873</v>
      </c>
      <c r="M40">
        <f>INDEX(SchnittGes2!M:M,MATCH(L40,SchnittGes2!L:L,0))+INDEX(Schnitt3!M:M,MATCH(L40,Schnitt3!L:L,0))</f>
        <v>5060</v>
      </c>
      <c r="N40">
        <f>INDEX(SchnittGes2!N:N,MATCH(L40,SchnittGes2!L:L,0))+INDEX(Schnitt3!N:N,MATCH(L40,Schnitt3!L:L,0))</f>
        <v>27</v>
      </c>
      <c r="O40">
        <f t="shared" si="7"/>
        <v>187.40740736740742</v>
      </c>
      <c r="P40">
        <f t="shared" si="8"/>
        <v>31</v>
      </c>
    </row>
    <row r="41" spans="1:16" x14ac:dyDescent="0.25">
      <c r="A41">
        <f t="shared" si="13"/>
        <v>37</v>
      </c>
      <c r="B41">
        <f t="shared" si="9"/>
        <v>16263</v>
      </c>
      <c r="C41" t="str">
        <f>IFERROR(INDEX(Starter!B:B,MATCH(B41,Starter!A:A,0)),"")</f>
        <v>Jackwerth, Enno</v>
      </c>
      <c r="D41" t="str">
        <f>IFERROR(INDEX(Starter!C:C,MATCH(B41,Starter!A:A,0)),"")</f>
        <v>BF Rot-Weiß Lichtenhof 69</v>
      </c>
      <c r="E41" s="102">
        <f t="shared" si="10"/>
        <v>4988</v>
      </c>
      <c r="F41">
        <f t="shared" si="11"/>
        <v>27</v>
      </c>
      <c r="G41" s="137">
        <f t="shared" si="12"/>
        <v>184.74074069774073</v>
      </c>
      <c r="L41" s="227">
        <f>INDEX(Starter!A:A,ROW()-1)</f>
        <v>7937</v>
      </c>
      <c r="M41">
        <f>INDEX(SchnittGes2!M:M,MATCH(L41,SchnittGes2!L:L,0))+INDEX(Schnitt3!M:M,MATCH(L41,Schnitt3!L:L,0))</f>
        <v>5359</v>
      </c>
      <c r="N41">
        <f>INDEX(SchnittGes2!N:N,MATCH(L41,SchnittGes2!L:L,0))+INDEX(Schnitt3!N:N,MATCH(L41,Schnitt3!L:L,0))</f>
        <v>27</v>
      </c>
      <c r="O41">
        <f t="shared" si="7"/>
        <v>198.4814814404815</v>
      </c>
      <c r="P41">
        <f t="shared" si="8"/>
        <v>20</v>
      </c>
    </row>
    <row r="42" spans="1:16" x14ac:dyDescent="0.25">
      <c r="A42">
        <f t="shared" si="13"/>
        <v>38</v>
      </c>
      <c r="B42">
        <f t="shared" si="9"/>
        <v>16495</v>
      </c>
      <c r="C42" t="str">
        <f>IFERROR(INDEX(Starter!B:B,MATCH(B42,Starter!A:A,0)),"")</f>
        <v>Stemmler, Patrick</v>
      </c>
      <c r="D42" t="str">
        <f>IFERROR(INDEX(Starter!C:C,MATCH(B42,Starter!A:A,0)),"")</f>
        <v>SG Rottendorf</v>
      </c>
      <c r="E42" s="102">
        <f t="shared" si="10"/>
        <v>4750</v>
      </c>
      <c r="F42">
        <f t="shared" si="11"/>
        <v>26</v>
      </c>
      <c r="G42" s="137">
        <f t="shared" si="12"/>
        <v>182.69230768030769</v>
      </c>
      <c r="L42" s="227">
        <f>INDEX(Starter!A:A,ROW()-1)</f>
        <v>10124</v>
      </c>
      <c r="M42">
        <f>INDEX(SchnittGes2!M:M,MATCH(L42,SchnittGes2!L:L,0))+INDEX(Schnitt3!M:M,MATCH(L42,Schnitt3!L:L,0))</f>
        <v>4411</v>
      </c>
      <c r="N42">
        <f>INDEX(SchnittGes2!N:N,MATCH(L42,SchnittGes2!L:L,0))+INDEX(Schnitt3!N:N,MATCH(L42,Schnitt3!L:L,0))</f>
        <v>25</v>
      </c>
      <c r="O42">
        <f t="shared" si="7"/>
        <v>176.43999995799999</v>
      </c>
      <c r="P42">
        <f t="shared" si="8"/>
        <v>46</v>
      </c>
    </row>
    <row r="43" spans="1:16" x14ac:dyDescent="0.25">
      <c r="A43">
        <f t="shared" si="13"/>
        <v>39</v>
      </c>
      <c r="B43">
        <f t="shared" si="9"/>
        <v>22116</v>
      </c>
      <c r="C43" t="str">
        <f>IFERROR(INDEX(Starter!B:B,MATCH(B43,Starter!A:A,0)),"")</f>
        <v>Tavares, S.</v>
      </c>
      <c r="D43" t="str">
        <f>IFERROR(INDEX(Starter!C:C,MATCH(B43,Starter!A:A,0)),"")</f>
        <v>BC Highroller Rosenheim</v>
      </c>
      <c r="E43" s="102">
        <f t="shared" si="10"/>
        <v>548</v>
      </c>
      <c r="F43">
        <f t="shared" si="11"/>
        <v>3</v>
      </c>
      <c r="G43" s="137">
        <f t="shared" si="12"/>
        <v>182.66666659766665</v>
      </c>
      <c r="L43" s="227">
        <f>INDEX(Starter!A:A,ROW()-1)</f>
        <v>16263</v>
      </c>
      <c r="M43">
        <f>INDEX(SchnittGes2!M:M,MATCH(L43,SchnittGes2!L:L,0))+INDEX(Schnitt3!M:M,MATCH(L43,Schnitt3!L:L,0))</f>
        <v>4988</v>
      </c>
      <c r="N43">
        <f>INDEX(SchnittGes2!N:N,MATCH(L43,SchnittGes2!L:L,0))+INDEX(Schnitt3!N:N,MATCH(L43,Schnitt3!L:L,0))</f>
        <v>27</v>
      </c>
      <c r="O43">
        <f t="shared" si="7"/>
        <v>184.74074069774073</v>
      </c>
      <c r="P43">
        <f t="shared" si="8"/>
        <v>37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3463</v>
      </c>
      <c r="F44">
        <f t="shared" si="11"/>
        <v>19</v>
      </c>
      <c r="G44" s="137">
        <f t="shared" si="12"/>
        <v>182.26315783673684</v>
      </c>
      <c r="L44" s="227">
        <f>INDEX(Starter!A:A,ROW()-1)</f>
        <v>7959</v>
      </c>
      <c r="M44">
        <f>INDEX(SchnittGes2!M:M,MATCH(L44,SchnittGes2!L:L,0))+INDEX(Schnitt3!M:M,MATCH(L44,Schnitt3!L:L,0))</f>
        <v>2390</v>
      </c>
      <c r="N44">
        <f>INDEX(SchnittGes2!N:N,MATCH(L44,SchnittGes2!L:L,0))+INDEX(Schnitt3!N:N,MATCH(L44,Schnitt3!L:L,0))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25554</v>
      </c>
      <c r="C45" t="str">
        <f>IFERROR(INDEX(Starter!B:B,MATCH(B45,Starter!A:A,0)),"")</f>
        <v>Blasits, Ernst</v>
      </c>
      <c r="D45" t="str">
        <f>IFERROR(INDEX(Starter!C:C,MATCH(B45,Starter!A:A,0)),"")</f>
        <v>BC EMAX</v>
      </c>
      <c r="E45" s="102">
        <f t="shared" si="10"/>
        <v>3460</v>
      </c>
      <c r="F45">
        <f t="shared" si="11"/>
        <v>19</v>
      </c>
      <c r="G45" s="137">
        <f t="shared" si="12"/>
        <v>182.10526312189475</v>
      </c>
      <c r="L45" s="227">
        <f>INDEX(Starter!A:A,ROW()-1)</f>
        <v>7601</v>
      </c>
      <c r="M45">
        <f>INDEX(SchnittGes2!M:M,MATCH(L45,SchnittGes2!L:L,0))+INDEX(Schnitt3!M:M,MATCH(L45,Schnitt3!L:L,0))</f>
        <v>2618</v>
      </c>
      <c r="N45">
        <f>INDEX(SchnittGes2!N:N,MATCH(L45,SchnittGes2!L:L,0))+INDEX(Schnitt3!N:N,MATCH(L45,Schnitt3!L:L,0))</f>
        <v>15</v>
      </c>
      <c r="O45">
        <f t="shared" si="7"/>
        <v>174.53333328833332</v>
      </c>
      <c r="P45">
        <f t="shared" si="8"/>
        <v>49</v>
      </c>
    </row>
    <row r="46" spans="1:16" x14ac:dyDescent="0.25">
      <c r="A46">
        <f t="shared" si="13"/>
        <v>42</v>
      </c>
      <c r="B46">
        <f t="shared" si="9"/>
        <v>38550</v>
      </c>
      <c r="C46" t="str">
        <f>IFERROR(INDEX(Starter!B:B,MATCH(B46,Starter!A:A,0)),"")</f>
        <v>Schütze, Oliver</v>
      </c>
      <c r="D46" t="str">
        <f>IFERROR(INDEX(Starter!C:C,MATCH(B46,Starter!A:A,0)),"")</f>
        <v>BC Schanzer Strikers</v>
      </c>
      <c r="E46" s="102">
        <f t="shared" si="10"/>
        <v>1634</v>
      </c>
      <c r="F46">
        <f t="shared" si="11"/>
        <v>9</v>
      </c>
      <c r="G46" s="137">
        <f t="shared" si="12"/>
        <v>181.55555554755554</v>
      </c>
      <c r="L46" s="227">
        <f>INDEX(Starter!A:A,ROW()-1)</f>
        <v>7593</v>
      </c>
      <c r="M46">
        <f>INDEX(SchnittGes2!M:M,MATCH(L46,SchnittGes2!L:L,0))+INDEX(Schnitt3!M:M,MATCH(L46,Schnitt3!L:L,0))</f>
        <v>5389</v>
      </c>
      <c r="N46">
        <f>INDEX(SchnittGes2!N:N,MATCH(L46,SchnittGes2!L:L,0))+INDEX(Schnitt3!N:N,MATCH(L46,Schnitt3!L:L,0))</f>
        <v>27</v>
      </c>
      <c r="O46">
        <f t="shared" si="7"/>
        <v>199.59259254659258</v>
      </c>
      <c r="P46">
        <f t="shared" si="8"/>
        <v>16</v>
      </c>
    </row>
    <row r="47" spans="1:16" x14ac:dyDescent="0.25">
      <c r="A47">
        <f t="shared" si="13"/>
        <v>43</v>
      </c>
      <c r="B47">
        <f t="shared" si="9"/>
        <v>16762</v>
      </c>
      <c r="C47" t="str">
        <f>IFERROR(INDEX(Starter!B:B,MATCH(B47,Starter!A:A,0)),"")</f>
        <v>Glasl sen., Hans</v>
      </c>
      <c r="D47" t="str">
        <f>IFERROR(INDEX(Starter!C:C,MATCH(B47,Starter!A:A,0)),"")</f>
        <v>BC Bajuwaren 1976 München</v>
      </c>
      <c r="E47" s="102">
        <f t="shared" si="10"/>
        <v>3227</v>
      </c>
      <c r="F47">
        <f t="shared" si="11"/>
        <v>18</v>
      </c>
      <c r="G47" s="137">
        <f t="shared" si="12"/>
        <v>179.27777775877777</v>
      </c>
      <c r="L47" s="227">
        <f>INDEX(Starter!A:A,ROW()-1)</f>
        <v>7591</v>
      </c>
      <c r="M47">
        <f>INDEX(SchnittGes2!M:M,MATCH(L47,SchnittGes2!L:L,0))+INDEX(Schnitt3!M:M,MATCH(L47,Schnitt3!L:L,0))</f>
        <v>4027</v>
      </c>
      <c r="N47">
        <f>INDEX(SchnittGes2!N:N,MATCH(L47,SchnittGes2!L:L,0))+INDEX(Schnitt3!N:N,MATCH(L47,Schnitt3!L:L,0))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25061</v>
      </c>
      <c r="C48" t="str">
        <f>IFERROR(INDEX(Starter!B:B,MATCH(B48,Starter!A:A,0)),"")</f>
        <v>Schwarz, Christian</v>
      </c>
      <c r="D48" t="str">
        <f>IFERROR(INDEX(Starter!C:C,MATCH(B48,Starter!A:A,0)),"")</f>
        <v>BSC Highroller Rosenheim</v>
      </c>
      <c r="E48" s="102">
        <f t="shared" si="10"/>
        <v>4108</v>
      </c>
      <c r="F48">
        <f t="shared" si="11"/>
        <v>23</v>
      </c>
      <c r="G48" s="137">
        <f t="shared" si="12"/>
        <v>178.60869559317391</v>
      </c>
      <c r="L48" s="227">
        <f>INDEX(Starter!A:A,ROW()-1)</f>
        <v>38039</v>
      </c>
      <c r="M48">
        <f>INDEX(SchnittGes2!M:M,MATCH(L48,SchnittGes2!L:L,0))+INDEX(Schnitt3!M:M,MATCH(L48,Schnitt3!L:L,0))</f>
        <v>2064</v>
      </c>
      <c r="N48">
        <f>INDEX(SchnittGes2!N:N,MATCH(L48,SchnittGes2!L:L,0))+INDEX(Schnitt3!N:N,MATCH(L48,Schnitt3!L:L,0))</f>
        <v>11</v>
      </c>
      <c r="O48">
        <f t="shared" si="7"/>
        <v>187.63636358836362</v>
      </c>
      <c r="P48">
        <f t="shared" si="8"/>
        <v>30</v>
      </c>
    </row>
    <row r="49" spans="1:16" x14ac:dyDescent="0.25">
      <c r="A49">
        <f t="shared" si="13"/>
        <v>45</v>
      </c>
      <c r="B49">
        <f t="shared" si="9"/>
        <v>38686</v>
      </c>
      <c r="C49" t="str">
        <f>IFERROR(INDEX(Starter!B:B,MATCH(B49,Starter!A:A,0)),"")</f>
        <v>Beck, Stefan</v>
      </c>
      <c r="D49" t="str">
        <f>IFERROR(INDEX(Starter!C:C,MATCH(B49,Starter!A:A,0)),"")</f>
        <v>DJK Rimpar</v>
      </c>
      <c r="E49" s="102">
        <f t="shared" si="10"/>
        <v>708</v>
      </c>
      <c r="F49">
        <f t="shared" si="11"/>
        <v>4</v>
      </c>
      <c r="G49" s="137">
        <f t="shared" si="12"/>
        <v>176.99999993200001</v>
      </c>
      <c r="L49" s="227">
        <f>INDEX(Starter!A:A,ROW()-1)</f>
        <v>7738</v>
      </c>
      <c r="M49">
        <f>INDEX(SchnittGes2!M:M,MATCH(L49,SchnittGes2!L:L,0))+INDEX(Schnitt3!M:M,MATCH(L49,Schnitt3!L:L,0))</f>
        <v>704</v>
      </c>
      <c r="N49">
        <f>INDEX(SchnittGes2!N:N,MATCH(L49,SchnittGes2!L:L,0))+INDEX(Schnitt3!N:N,MATCH(L49,Schnitt3!L:L,0))</f>
        <v>4</v>
      </c>
      <c r="O49">
        <f t="shared" si="7"/>
        <v>175.99999995100001</v>
      </c>
      <c r="P49">
        <f t="shared" si="8"/>
        <v>48</v>
      </c>
    </row>
    <row r="50" spans="1:16" x14ac:dyDescent="0.25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4411</v>
      </c>
      <c r="F50">
        <f t="shared" si="11"/>
        <v>25</v>
      </c>
      <c r="G50" s="137">
        <f t="shared" si="12"/>
        <v>176.43999995799999</v>
      </c>
      <c r="L50" s="227">
        <f>INDEX(Starter!A:A,ROW()-1)</f>
        <v>16862</v>
      </c>
      <c r="M50">
        <f>INDEX(SchnittGes2!M:M,MATCH(L50,SchnittGes2!L:L,0))+INDEX(Schnitt3!M:M,MATCH(L50,Schnitt3!L:L,0))</f>
        <v>4650</v>
      </c>
      <c r="N50">
        <f>INDEX(SchnittGes2!N:N,MATCH(L50,SchnittGes2!L:L,0))+INDEX(Schnitt3!N:N,MATCH(L50,Schnitt3!L:L,0))</f>
        <v>25</v>
      </c>
      <c r="O50">
        <f t="shared" si="7"/>
        <v>185.99999994999999</v>
      </c>
      <c r="P50">
        <f t="shared" si="8"/>
        <v>34</v>
      </c>
    </row>
    <row r="51" spans="1:16" x14ac:dyDescent="0.25">
      <c r="A51">
        <f t="shared" si="13"/>
        <v>47</v>
      </c>
      <c r="B51">
        <f t="shared" si="9"/>
        <v>7597</v>
      </c>
      <c r="C51" t="str">
        <f>IFERROR(INDEX(Starter!B:B,MATCH(B51,Starter!A:A,0)),"")</f>
        <v>Laub, Harald</v>
      </c>
      <c r="D51" t="str">
        <f>IFERROR(INDEX(Starter!C:C,MATCH(B51,Starter!A:A,0)),"")</f>
        <v>BK München</v>
      </c>
      <c r="E51" s="102">
        <f t="shared" si="10"/>
        <v>2992</v>
      </c>
      <c r="F51">
        <f t="shared" si="11"/>
        <v>17</v>
      </c>
      <c r="G51" s="137">
        <f t="shared" si="12"/>
        <v>175.99999998499999</v>
      </c>
      <c r="L51" s="227">
        <f>INDEX(Starter!A:A,ROW()-1)</f>
        <v>16346</v>
      </c>
      <c r="M51">
        <f>INDEX(SchnittGes2!M:M,MATCH(L51,SchnittGes2!L:L,0))+INDEX(Schnitt3!M:M,MATCH(L51,Schnitt3!L:L,0))</f>
        <v>422</v>
      </c>
      <c r="N51">
        <f>INDEX(SchnittGes2!N:N,MATCH(L51,SchnittGes2!L:L,0))+INDEX(Schnitt3!N:N,MATCH(L51,Schnitt3!L:L,0))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7738</v>
      </c>
      <c r="C52" t="str">
        <f>IFERROR(INDEX(Starter!B:B,MATCH(B52,Starter!A:A,0)),"")</f>
        <v>Stöhr, Jürgen</v>
      </c>
      <c r="D52" t="str">
        <f>IFERROR(INDEX(Starter!C:C,MATCH(B52,Starter!A:A,0)),"")</f>
        <v>BF Rot-Weiß Lichtenhof 69</v>
      </c>
      <c r="E52" s="102">
        <f t="shared" si="10"/>
        <v>704</v>
      </c>
      <c r="F52">
        <f t="shared" si="11"/>
        <v>4</v>
      </c>
      <c r="G52" s="137">
        <f t="shared" si="12"/>
        <v>175.99999995100001</v>
      </c>
      <c r="L52" s="227">
        <f>INDEX(Starter!A:A,ROW()-1)</f>
        <v>25024</v>
      </c>
      <c r="M52">
        <f>INDEX(SchnittGes2!M:M,MATCH(L52,SchnittGes2!L:L,0))+INDEX(Schnitt3!M:M,MATCH(L52,Schnitt3!L:L,0))</f>
        <v>1434</v>
      </c>
      <c r="N52">
        <f>INDEX(SchnittGes2!N:N,MATCH(L52,SchnittGes2!L:L,0))+INDEX(Schnitt3!N:N,MATCH(L52,Schnitt3!L:L,0))</f>
        <v>9</v>
      </c>
      <c r="O52">
        <f t="shared" si="7"/>
        <v>159.33333328133335</v>
      </c>
      <c r="P52">
        <f t="shared" si="8"/>
        <v>64</v>
      </c>
    </row>
    <row r="53" spans="1:16" x14ac:dyDescent="0.25">
      <c r="A53">
        <f t="shared" si="13"/>
        <v>49</v>
      </c>
      <c r="B53">
        <f t="shared" si="9"/>
        <v>7601</v>
      </c>
      <c r="C53" t="str">
        <f>IFERROR(INDEX(Starter!B:B,MATCH(B53,Starter!A:A,0)),"")</f>
        <v>Lüthje, Volker</v>
      </c>
      <c r="D53" t="str">
        <f>IFERROR(INDEX(Starter!C:C,MATCH(B53,Starter!A:A,0)),"")</f>
        <v>BC Bajuwaren 1976 München</v>
      </c>
      <c r="E53" s="102">
        <f t="shared" si="10"/>
        <v>2618</v>
      </c>
      <c r="F53">
        <f t="shared" si="11"/>
        <v>15</v>
      </c>
      <c r="G53" s="137">
        <f t="shared" si="12"/>
        <v>174.53333328833332</v>
      </c>
      <c r="L53" s="227">
        <f>INDEX(Starter!A:A,ROW()-1)</f>
        <v>7344</v>
      </c>
      <c r="M53">
        <f>INDEX(SchnittGes2!M:M,MATCH(L53,SchnittGes2!L:L,0))+INDEX(Schnitt3!M:M,MATCH(L53,Schnitt3!L:L,0))</f>
        <v>1528</v>
      </c>
      <c r="N53">
        <f>INDEX(SchnittGes2!N:N,MATCH(L53,SchnittGes2!L:L,0))+INDEX(Schnitt3!N:N,MATCH(L53,Schnitt3!L:L,0))</f>
        <v>9</v>
      </c>
      <c r="O53">
        <f t="shared" si="7"/>
        <v>169.77777772477776</v>
      </c>
      <c r="P53">
        <f t="shared" si="8"/>
        <v>57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3135</v>
      </c>
      <c r="F54">
        <f t="shared" si="11"/>
        <v>18</v>
      </c>
      <c r="G54" s="137">
        <f t="shared" si="12"/>
        <v>174.16666666066666</v>
      </c>
      <c r="L54" s="227">
        <f>INDEX(Starter!A:A,ROW()-1)</f>
        <v>7602</v>
      </c>
      <c r="M54">
        <f>INDEX(SchnittGes2!M:M,MATCH(L54,SchnittGes2!L:L,0))+INDEX(Schnitt3!M:M,MATCH(L54,Schnitt3!L:L,0))</f>
        <v>2793</v>
      </c>
      <c r="N54">
        <f>INDEX(SchnittGes2!N:N,MATCH(L54,SchnittGes2!L:L,0))+INDEX(Schnitt3!N:N,MATCH(L54,Schnitt3!L:L,0))</f>
        <v>14</v>
      </c>
      <c r="O54">
        <f t="shared" si="7"/>
        <v>199.499999946</v>
      </c>
      <c r="P54">
        <f t="shared" si="8"/>
        <v>17</v>
      </c>
    </row>
    <row r="55" spans="1:16" x14ac:dyDescent="0.25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1724</v>
      </c>
      <c r="F55">
        <f t="shared" si="11"/>
        <v>10</v>
      </c>
      <c r="G55" s="137">
        <f t="shared" si="12"/>
        <v>172.39999996099999</v>
      </c>
      <c r="L55" s="227">
        <f>INDEX(Starter!A:A,ROW()-1)</f>
        <v>25325</v>
      </c>
      <c r="M55">
        <f>INDEX(SchnittGes2!M:M,MATCH(L55,SchnittGes2!L:L,0))+INDEX(Schnitt3!M:M,MATCH(L55,Schnitt3!L:L,0))</f>
        <v>3558</v>
      </c>
      <c r="N55">
        <f>INDEX(SchnittGes2!N:N,MATCH(L55,SchnittGes2!L:L,0))+INDEX(Schnitt3!N:N,MATCH(L55,Schnitt3!L:L,0))</f>
        <v>18</v>
      </c>
      <c r="O55">
        <f t="shared" si="7"/>
        <v>197.66666661166667</v>
      </c>
      <c r="P55">
        <f t="shared" si="8"/>
        <v>22</v>
      </c>
    </row>
    <row r="56" spans="1:16" x14ac:dyDescent="0.25">
      <c r="A56">
        <f t="shared" si="13"/>
        <v>52</v>
      </c>
      <c r="B56">
        <f t="shared" si="9"/>
        <v>7485</v>
      </c>
      <c r="C56" t="str">
        <f>IFERROR(INDEX(Starter!B:B,MATCH(B56,Starter!A:A,0)),"")</f>
        <v>Singer, Michael</v>
      </c>
      <c r="D56" t="str">
        <f>IFERROR(INDEX(Starter!C:C,MATCH(B56,Starter!A:A,0)),"")</f>
        <v>BK München</v>
      </c>
      <c r="E56" s="102">
        <f t="shared" si="10"/>
        <v>862</v>
      </c>
      <c r="F56">
        <f t="shared" si="11"/>
        <v>5</v>
      </c>
      <c r="G56" s="137">
        <f t="shared" si="12"/>
        <v>172.399999939</v>
      </c>
      <c r="L56" s="227">
        <f>INDEX(Starter!A:A,ROW()-1)</f>
        <v>7428</v>
      </c>
      <c r="M56">
        <f>INDEX(SchnittGes2!M:M,MATCH(L56,SchnittGes2!L:L,0))+INDEX(Schnitt3!M:M,MATCH(L56,Schnitt3!L:L,0))</f>
        <v>5541</v>
      </c>
      <c r="N56">
        <f>INDEX(SchnittGes2!N:N,MATCH(L56,SchnittGes2!L:L,0))+INDEX(Schnitt3!N:N,MATCH(L56,Schnitt3!L:L,0))</f>
        <v>27</v>
      </c>
      <c r="O56">
        <f t="shared" si="7"/>
        <v>205.22222216622222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4625</v>
      </c>
      <c r="F57">
        <f t="shared" si="11"/>
        <v>27</v>
      </c>
      <c r="G57" s="137">
        <f t="shared" si="12"/>
        <v>171.29629628929629</v>
      </c>
      <c r="L57" s="227">
        <f>INDEX(Starter!A:A,ROW()-1)</f>
        <v>16532</v>
      </c>
      <c r="M57">
        <f>INDEX(SchnittGes2!M:M,MATCH(L57,SchnittGes2!L:L,0))+INDEX(Schnitt3!M:M,MATCH(L57,Schnitt3!L:L,0))</f>
        <v>2155</v>
      </c>
      <c r="N57">
        <f>INDEX(SchnittGes2!N:N,MATCH(L57,SchnittGes2!L:L,0))+INDEX(Schnitt3!N:N,MATCH(L57,Schnitt3!L:L,0))</f>
        <v>11</v>
      </c>
      <c r="O57">
        <f t="shared" si="7"/>
        <v>195.90909085209091</v>
      </c>
      <c r="P57">
        <f t="shared" si="8"/>
        <v>24</v>
      </c>
    </row>
    <row r="58" spans="1:16" x14ac:dyDescent="0.25">
      <c r="A58">
        <f t="shared" si="13"/>
        <v>54</v>
      </c>
      <c r="B58">
        <f t="shared" si="9"/>
        <v>16352</v>
      </c>
      <c r="C58" t="str">
        <f>IFERROR(INDEX(Starter!B:B,MATCH(B58,Starter!A:A,0)),"")</f>
        <v>Scholz, Alexander</v>
      </c>
      <c r="D58" t="str">
        <f>IFERROR(INDEX(Starter!C:C,MATCH(B58,Starter!A:A,0)),"")</f>
        <v>SG Rottendorf</v>
      </c>
      <c r="E58" s="102">
        <f t="shared" si="10"/>
        <v>1197</v>
      </c>
      <c r="F58">
        <f t="shared" si="11"/>
        <v>7</v>
      </c>
      <c r="G58" s="137">
        <f t="shared" si="12"/>
        <v>170.999999989</v>
      </c>
      <c r="L58" s="227">
        <f>INDEX(Starter!A:A,ROW()-1)</f>
        <v>38043</v>
      </c>
      <c r="M58">
        <f>INDEX(SchnittGes2!M:M,MATCH(L58,SchnittGes2!L:L,0))+INDEX(Schnitt3!M:M,MATCH(L58,Schnitt3!L:L,0))</f>
        <v>3463</v>
      </c>
      <c r="N58">
        <f>INDEX(SchnittGes2!N:N,MATCH(L58,SchnittGes2!L:L,0))+INDEX(Schnitt3!N:N,MATCH(L58,Schnitt3!L:L,0))</f>
        <v>19</v>
      </c>
      <c r="O58">
        <f t="shared" si="7"/>
        <v>182.26315783673684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27134</v>
      </c>
      <c r="C59" t="str">
        <f>IFERROR(INDEX(Starter!B:B,MATCH(B59,Starter!A:A,0)),"")</f>
        <v>Lohse, Sebastian</v>
      </c>
      <c r="D59" t="str">
        <f>IFERROR(INDEX(Starter!C:C,MATCH(B59,Starter!A:A,0)),"")</f>
        <v>BC EMAX</v>
      </c>
      <c r="E59" s="102">
        <f t="shared" si="10"/>
        <v>2733</v>
      </c>
      <c r="F59">
        <f t="shared" si="11"/>
        <v>16</v>
      </c>
      <c r="G59" s="137">
        <f t="shared" si="12"/>
        <v>170.81249996700001</v>
      </c>
      <c r="L59" s="227">
        <f>INDEX(Starter!A:A,ROW()-1)</f>
        <v>25061</v>
      </c>
      <c r="M59">
        <f>INDEX(SchnittGes2!M:M,MATCH(L59,SchnittGes2!L:L,0))+INDEX(Schnitt3!M:M,MATCH(L59,Schnitt3!L:L,0))</f>
        <v>4108</v>
      </c>
      <c r="N59">
        <f>INDEX(SchnittGes2!N:N,MATCH(L59,SchnittGes2!L:L,0))+INDEX(Schnitt3!N:N,MATCH(L59,Schnitt3!L:L,0))</f>
        <v>23</v>
      </c>
      <c r="O59">
        <f t="shared" si="7"/>
        <v>178.60869559317391</v>
      </c>
      <c r="P59">
        <f t="shared" si="8"/>
        <v>44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INDEX(SchnittGes2!M:M,MATCH(L60,SchnittGes2!L:L,0))+INDEX(Schnitt3!M:M,MATCH(L60,Schnitt3!L:L,0))</f>
        <v>3412</v>
      </c>
      <c r="N60">
        <f>INDEX(SchnittGes2!N:N,MATCH(L60,SchnittGes2!L:L,0))+INDEX(Schnitt3!N:N,MATCH(L60,Schnitt3!L:L,0))</f>
        <v>18</v>
      </c>
      <c r="O60">
        <f t="shared" si="7"/>
        <v>189.55555549555555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7344</v>
      </c>
      <c r="C61" t="str">
        <f>IFERROR(INDEX(Starter!B:B,MATCH(B61,Starter!A:A,0)),"")</f>
        <v>Kirschenbauer, Frank</v>
      </c>
      <c r="D61" t="str">
        <f>IFERROR(INDEX(Starter!C:C,MATCH(B61,Starter!A:A,0)),"")</f>
        <v>BC Schanzer Strikers</v>
      </c>
      <c r="E61" s="102">
        <f t="shared" si="10"/>
        <v>1528</v>
      </c>
      <c r="F61">
        <f t="shared" si="11"/>
        <v>9</v>
      </c>
      <c r="G61" s="137">
        <f t="shared" si="12"/>
        <v>169.77777772477776</v>
      </c>
      <c r="L61" s="227">
        <f>INDEX(Starter!A:A,ROW()-1)</f>
        <v>7485</v>
      </c>
      <c r="M61">
        <f>INDEX(SchnittGes2!M:M,MATCH(L61,SchnittGes2!L:L,0))+INDEX(Schnitt3!M:M,MATCH(L61,Schnitt3!L:L,0))</f>
        <v>862</v>
      </c>
      <c r="N61">
        <f>INDEX(SchnittGes2!N:N,MATCH(L61,SchnittGes2!L:L,0))+INDEX(Schnitt3!N:N,MATCH(L61,Schnitt3!L:L,0))</f>
        <v>5</v>
      </c>
      <c r="O61">
        <f t="shared" si="7"/>
        <v>172.399999939</v>
      </c>
      <c r="P61">
        <f t="shared" si="8"/>
        <v>52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1856</v>
      </c>
      <c r="F62">
        <f t="shared" si="11"/>
        <v>11</v>
      </c>
      <c r="G62" s="137">
        <f t="shared" si="12"/>
        <v>168.72727266527272</v>
      </c>
      <c r="L62" s="227">
        <f>INDEX(Starter!A:A,ROW()-1)</f>
        <v>7740</v>
      </c>
      <c r="M62">
        <f>INDEX(SchnittGes2!M:M,MATCH(L62,SchnittGes2!L:L,0))+INDEX(Schnitt3!M:M,MATCH(L62,Schnitt3!L:L,0))</f>
        <v>1856</v>
      </c>
      <c r="N62">
        <f>INDEX(SchnittGes2!N:N,MATCH(L62,SchnittGes2!L:L,0))+INDEX(Schnitt3!N:N,MATCH(L62,Schnitt3!L:L,0))</f>
        <v>11</v>
      </c>
      <c r="O62">
        <f t="shared" si="7"/>
        <v>168.72727266527272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38360</v>
      </c>
      <c r="C63" t="str">
        <f>IFERROR(INDEX(Starter!B:B,MATCH(B63,Starter!A:A,0)),"")</f>
        <v>Hutter, Sebastian</v>
      </c>
      <c r="D63" t="str">
        <f>IFERROR(INDEX(Starter!C:C,MATCH(B63,Starter!A:A,0)),"")</f>
        <v>BC Schanzer Strikers</v>
      </c>
      <c r="E63" s="102">
        <f t="shared" si="10"/>
        <v>842</v>
      </c>
      <c r="F63">
        <f t="shared" si="11"/>
        <v>5</v>
      </c>
      <c r="G63" s="137">
        <f t="shared" si="12"/>
        <v>168.399999936</v>
      </c>
      <c r="L63" s="227">
        <f>INDEX(Starter!A:A,ROW()-1)</f>
        <v>7337</v>
      </c>
      <c r="M63">
        <f>INDEX(SchnittGes2!M:M,MATCH(L63,SchnittGes2!L:L,0))+INDEX(Schnitt3!M:M,MATCH(L63,Schnitt3!L:L,0))</f>
        <v>777</v>
      </c>
      <c r="N63">
        <f>INDEX(SchnittGes2!N:N,MATCH(L63,SchnittGes2!L:L,0))+INDEX(Schnitt3!N:N,MATCH(L63,Schnitt3!L:L,0))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7867</v>
      </c>
      <c r="C64" t="str">
        <f>IFERROR(INDEX(Starter!B:B,MATCH(B64,Starter!A:A,0)),"")</f>
        <v>Hinterwimmer, Georg</v>
      </c>
      <c r="D64" t="str">
        <f>IFERROR(INDEX(Starter!C:C,MATCH(B64,Starter!A:A,0)),"")</f>
        <v>BK München</v>
      </c>
      <c r="E64" s="102">
        <f t="shared" si="10"/>
        <v>670</v>
      </c>
      <c r="F64">
        <f t="shared" si="11"/>
        <v>4</v>
      </c>
      <c r="G64" s="137">
        <f t="shared" si="12"/>
        <v>167.49999998600001</v>
      </c>
      <c r="L64" s="227">
        <f>INDEX(Starter!A:A,ROW()-1)</f>
        <v>38360</v>
      </c>
      <c r="M64">
        <f>INDEX(SchnittGes2!M:M,MATCH(L64,SchnittGes2!L:L,0))+INDEX(Schnitt3!M:M,MATCH(L64,Schnitt3!L:L,0))</f>
        <v>842</v>
      </c>
      <c r="N64">
        <f>INDEX(SchnittGes2!N:N,MATCH(L64,SchnittGes2!L:L,0))+INDEX(Schnitt3!N:N,MATCH(L64,Schnitt3!L:L,0))</f>
        <v>5</v>
      </c>
      <c r="O64">
        <f t="shared" si="7"/>
        <v>168.399999936</v>
      </c>
      <c r="P64">
        <f t="shared" si="8"/>
        <v>59</v>
      </c>
    </row>
    <row r="65" spans="1:16" x14ac:dyDescent="0.25">
      <c r="A65">
        <f t="shared" si="13"/>
        <v>61</v>
      </c>
      <c r="B65">
        <f t="shared" si="9"/>
        <v>25297</v>
      </c>
      <c r="C65" t="str">
        <f>IFERROR(INDEX(Starter!B:B,MATCH(B65,Starter!A:A,0)),"")</f>
        <v>Lengen, Peter</v>
      </c>
      <c r="D65" t="str">
        <f>IFERROR(INDEX(Starter!C:C,MATCH(B65,Starter!A:A,0)),"")</f>
        <v>BSC Highroller Rosenheim</v>
      </c>
      <c r="E65" s="102">
        <f t="shared" si="10"/>
        <v>2675</v>
      </c>
      <c r="F65">
        <f t="shared" si="11"/>
        <v>16</v>
      </c>
      <c r="G65" s="137">
        <f t="shared" si="12"/>
        <v>167.18749997699999</v>
      </c>
      <c r="L65" s="227">
        <f>INDEX(Starter!A:A,ROW()-1)</f>
        <v>41008</v>
      </c>
      <c r="M65">
        <f>INDEX(SchnittGes2!M:M,MATCH(L65,SchnittGes2!L:L,0))+INDEX(Schnitt3!M:M,MATCH(L65,Schnitt3!L:L,0))</f>
        <v>1308</v>
      </c>
      <c r="N65">
        <f>INDEX(SchnittGes2!N:N,MATCH(L65,SchnittGes2!L:L,0))+INDEX(Schnitt3!N:N,MATCH(L65,Schnitt3!L:L,0))</f>
        <v>7</v>
      </c>
      <c r="O65">
        <f t="shared" si="7"/>
        <v>186.85714279214287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830</v>
      </c>
      <c r="F66">
        <f t="shared" si="11"/>
        <v>5</v>
      </c>
      <c r="G66" s="137">
        <f t="shared" si="12"/>
        <v>165.999999968</v>
      </c>
      <c r="L66" s="227">
        <f>INDEX(Starter!A:A,ROW()-1)</f>
        <v>16398</v>
      </c>
      <c r="M66">
        <f>INDEX(SchnittGes2!M:M,MATCH(L66,SchnittGes2!L:L,0))+INDEX(Schnitt3!M:M,MATCH(L66,Schnitt3!L:L,0))</f>
        <v>1157</v>
      </c>
      <c r="N66">
        <f>INDEX(SchnittGes2!N:N,MATCH(L66,SchnittGes2!L:L,0))+INDEX(Schnitt3!N:N,MATCH(L66,Schnitt3!L:L,0))</f>
        <v>7</v>
      </c>
      <c r="O66">
        <f t="shared" si="7"/>
        <v>165.28571421971427</v>
      </c>
      <c r="P66">
        <f t="shared" ref="P66:P97" si="14">RANK(O66,O:O)</f>
        <v>63</v>
      </c>
    </row>
    <row r="67" spans="1:16" x14ac:dyDescent="0.25">
      <c r="A67">
        <f t="shared" si="13"/>
        <v>63</v>
      </c>
      <c r="B67">
        <f t="shared" si="9"/>
        <v>16398</v>
      </c>
      <c r="C67" t="str">
        <f>IFERROR(INDEX(Starter!B:B,MATCH(B67,Starter!A:A,0)),"")</f>
        <v>Denz, Günter</v>
      </c>
      <c r="D67" t="str">
        <f>IFERROR(INDEX(Starter!C:C,MATCH(B67,Starter!A:A,0)),"")</f>
        <v>BC EMAX</v>
      </c>
      <c r="E67" s="102">
        <f t="shared" si="10"/>
        <v>1157</v>
      </c>
      <c r="F67">
        <f t="shared" si="11"/>
        <v>7</v>
      </c>
      <c r="G67" s="137">
        <f t="shared" si="12"/>
        <v>165.28571421971427</v>
      </c>
      <c r="L67" s="227">
        <f>INDEX(Starter!A:A,ROW()-1)</f>
        <v>16251</v>
      </c>
      <c r="M67">
        <f>INDEX(SchnittGes2!M:M,MATCH(L67,SchnittGes2!L:L,0))+INDEX(Schnitt3!M:M,MATCH(L67,Schnitt3!L:L,0))</f>
        <v>586</v>
      </c>
      <c r="N67">
        <f>INDEX(SchnittGes2!N:N,MATCH(L67,SchnittGes2!L:L,0))+INDEX(Schnitt3!N:N,MATCH(L67,Schnitt3!L:L,0))</f>
        <v>3</v>
      </c>
      <c r="O67">
        <f t="shared" si="7"/>
        <v>195.33333326633334</v>
      </c>
      <c r="P67">
        <f t="shared" si="14"/>
        <v>25</v>
      </c>
    </row>
    <row r="68" spans="1:16" x14ac:dyDescent="0.25">
      <c r="A68">
        <f t="shared" si="13"/>
        <v>64</v>
      </c>
      <c r="B68">
        <f t="shared" si="9"/>
        <v>25024</v>
      </c>
      <c r="C68" t="str">
        <f>IFERROR(INDEX(Starter!B:B,MATCH(B68,Starter!A:A,0)),"")</f>
        <v>Klapper, Michael</v>
      </c>
      <c r="D68" t="str">
        <f>IFERROR(INDEX(Starter!C:C,MATCH(B68,Starter!A:A,0)),"")</f>
        <v>BC Schanzer Strikers</v>
      </c>
      <c r="E68" s="102">
        <f t="shared" si="10"/>
        <v>1434</v>
      </c>
      <c r="F68">
        <f t="shared" si="11"/>
        <v>9</v>
      </c>
      <c r="G68" s="137">
        <f t="shared" si="12"/>
        <v>159.33333328133335</v>
      </c>
      <c r="L68" s="227">
        <f>INDEX(Starter!A:A,ROW()-1)</f>
        <v>38686</v>
      </c>
      <c r="M68">
        <f>INDEX(SchnittGes2!M:M,MATCH(L68,SchnittGes2!L:L,0))+INDEX(Schnitt3!M:M,MATCH(L68,Schnitt3!L:L,0))</f>
        <v>708</v>
      </c>
      <c r="N68">
        <f>INDEX(SchnittGes2!N:N,MATCH(L68,SchnittGes2!L:L,0))+INDEX(Schnitt3!N:N,MATCH(L68,Schnitt3!L:L,0))</f>
        <v>4</v>
      </c>
      <c r="O68">
        <f t="shared" si="7"/>
        <v>176.99999993200001</v>
      </c>
      <c r="P68">
        <f t="shared" si="14"/>
        <v>45</v>
      </c>
    </row>
    <row r="69" spans="1:16" x14ac:dyDescent="0.25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300</v>
      </c>
      <c r="F69">
        <f t="shared" ref="F69:F104" si="17">IFERROR(INDEX(N:N,MATCH(A69,P:P,0)),"")</f>
        <v>2</v>
      </c>
      <c r="G69" s="137">
        <f t="shared" ref="G69:G104" si="18">IFERROR(INDEX(O:O,MATCH(A69,P:P,0)),"")</f>
        <v>149.99999997800001</v>
      </c>
      <c r="L69" s="227">
        <f>INDEX(Starter!A:A,ROW()-1)</f>
        <v>22116</v>
      </c>
      <c r="M69">
        <f>INDEX(SchnittGes2!M:M,MATCH(L69,SchnittGes2!L:L,0))+INDEX(Schnitt3!M:M,MATCH(L69,Schnitt3!L:L,0))</f>
        <v>548</v>
      </c>
      <c r="N69">
        <f>INDEX(SchnittGes2!N:N,MATCH(L69,SchnittGes2!L:L,0))+INDEX(Schnitt3!N:N,MATCH(L69,Schnitt3!L:L,0))</f>
        <v>3</v>
      </c>
      <c r="O69">
        <f t="shared" si="7"/>
        <v>182.66666659766665</v>
      </c>
      <c r="P69">
        <f t="shared" si="14"/>
        <v>39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INDEX(SchnittGes2!M:M,MATCH(L70,SchnittGes2!L:L,0))+INDEX(Schnitt3!M:M,MATCH(L70,Schnitt3!L:L,0))</f>
        <v>0</v>
      </c>
      <c r="N70">
        <f>INDEX(SchnittGes2!N:N,MATCH(L70,SchnittGes2!L:L,0))+INDEX(Schnitt3!N:N,MATCH(L70,Schnitt3!L:L,0))</f>
        <v>0</v>
      </c>
      <c r="O70">
        <f t="shared" si="7"/>
        <v>0</v>
      </c>
      <c r="P70">
        <f t="shared" si="14"/>
        <v>66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INDEX(SchnittGes2!M:M,MATCH(L71,SchnittGes2!L:L,0))+INDEX(Schnitt3!M:M,MATCH(L71,Schnitt3!L:L,0))</f>
        <v>0</v>
      </c>
      <c r="N71">
        <f>INDEX(SchnittGes2!N:N,MATCH(L71,SchnittGes2!L:L,0))+INDEX(Schnitt3!N:N,MATCH(L71,Schnitt3!L:L,0))</f>
        <v>0</v>
      </c>
      <c r="O71">
        <f t="shared" si="7"/>
        <v>0</v>
      </c>
      <c r="P71">
        <f t="shared" si="14"/>
        <v>66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38907</v>
      </c>
      <c r="M72">
        <f>INDEX(SchnittGes2!M:M,MATCH(L72,SchnittGes2!L:L,0))+INDEX(Schnitt3!M:M,MATCH(L72,Schnitt3!L:L,0))</f>
        <v>0</v>
      </c>
      <c r="N72">
        <f>INDEX(SchnittGes2!N:N,MATCH(L72,SchnittGes2!L:L,0))+INDEX(Schnitt3!N:N,MATCH(L72,Schnitt3!L:L,0))</f>
        <v>0</v>
      </c>
      <c r="O72">
        <f t="shared" si="7"/>
        <v>0</v>
      </c>
      <c r="P72">
        <f t="shared" si="14"/>
        <v>66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16469</v>
      </c>
      <c r="M73">
        <f>INDEX(SchnittGes2!M:M,MATCH(L73,SchnittGes2!L:L,0))+INDEX(Schnitt3!M:M,MATCH(L73,Schnitt3!L:L,0))</f>
        <v>0</v>
      </c>
      <c r="N73">
        <f>INDEX(SchnittGes2!N:N,MATCH(L73,SchnittGes2!L:L,0))+INDEX(Schnitt3!N:N,MATCH(L73,Schnitt3!L:L,0))</f>
        <v>0</v>
      </c>
      <c r="O73">
        <f t="shared" si="7"/>
        <v>0</v>
      </c>
      <c r="P73">
        <f t="shared" si="14"/>
        <v>66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38018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66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25465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66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66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66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66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66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66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66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66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66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66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66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66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66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66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66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66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66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66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66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66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66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66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66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66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66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66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66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66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66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66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topLeftCell="A61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31" t="s">
        <v>1837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2"/>
      <c r="R4" s="332"/>
      <c r="S4" s="332"/>
      <c r="T4" s="332"/>
      <c r="U4" s="332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3">
        <f>+Spielzettel4!T2</f>
        <v>4</v>
      </c>
      <c r="F6" s="334"/>
      <c r="P6" s="140" t="s">
        <v>1838</v>
      </c>
      <c r="Q6" s="335" t="str">
        <f>+Spielzettel4!U1</f>
        <v>15.02./16.02.</v>
      </c>
      <c r="R6" s="336">
        <v>0</v>
      </c>
      <c r="S6" s="336">
        <v>0</v>
      </c>
      <c r="T6" s="337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8" t="str">
        <f>+Spielzettel4!F2</f>
        <v>Regensburg Super Bowl</v>
      </c>
      <c r="F8" s="339"/>
      <c r="G8" s="339"/>
      <c r="H8" s="339">
        <v>0</v>
      </c>
      <c r="I8" s="339"/>
      <c r="J8" s="340"/>
      <c r="N8" s="140" t="s">
        <v>1840</v>
      </c>
      <c r="P8" s="338" t="str">
        <f>+Spielzettel4!F1</f>
        <v>Bayernliga Herren</v>
      </c>
      <c r="Q8" s="339"/>
      <c r="R8" s="339"/>
      <c r="S8" s="339"/>
      <c r="T8" s="340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6" t="s">
        <v>1841</v>
      </c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163"/>
    </row>
    <row r="12" spans="2:21" ht="21.75" customHeight="1" x14ac:dyDescent="0.25">
      <c r="B12" s="164"/>
      <c r="C12" s="327" t="s">
        <v>1842</v>
      </c>
      <c r="D12" s="327"/>
      <c r="E12" s="327"/>
      <c r="F12" s="327"/>
      <c r="G12" s="327"/>
      <c r="H12" s="327"/>
      <c r="I12" s="327"/>
      <c r="J12" s="327"/>
      <c r="L12" s="150">
        <v>0.3125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9"/>
      <c r="D19" s="320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2547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9" t="s">
        <v>2366</v>
      </c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1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0.50347222222222221</v>
      </c>
      <c r="I26" s="173"/>
      <c r="J26" s="174" t="s">
        <v>1853</v>
      </c>
      <c r="K26" s="174"/>
      <c r="L26" s="152">
        <v>0.51388888888888884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0"/>
      <c r="G30" s="330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9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 t="s">
        <v>2547</v>
      </c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5"/>
      <c r="G36" s="325"/>
      <c r="H36" s="32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9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6" t="s">
        <v>1863</v>
      </c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9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9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9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9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9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9" t="s">
        <v>2571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2"/>
      <c r="D74" s="323"/>
      <c r="E74" s="323"/>
      <c r="F74" s="323"/>
      <c r="G74" s="323"/>
      <c r="H74" s="323"/>
      <c r="I74" s="323"/>
      <c r="J74" s="323"/>
      <c r="K74" s="323"/>
      <c r="L74" s="323"/>
      <c r="M74" s="323"/>
      <c r="N74" s="323"/>
      <c r="O74" s="323"/>
      <c r="P74" s="323"/>
      <c r="Q74" s="323"/>
      <c r="R74" s="323"/>
      <c r="S74" s="323"/>
      <c r="T74" s="324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7" t="s">
        <v>2551</v>
      </c>
      <c r="E77" s="318"/>
      <c r="F77" s="318"/>
      <c r="G77" s="318"/>
      <c r="H77" s="318"/>
      <c r="I77" s="318"/>
      <c r="J77" s="318"/>
      <c r="K77" s="318"/>
      <c r="L77" s="318"/>
      <c r="M77" s="318"/>
      <c r="P77" s="318"/>
      <c r="Q77" s="318"/>
      <c r="R77" s="318"/>
      <c r="S77" s="318"/>
      <c r="T77" s="318"/>
      <c r="U77" s="318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7" t="s">
        <v>2572</v>
      </c>
      <c r="E80" s="318"/>
      <c r="F80" s="318"/>
      <c r="G80" s="318"/>
      <c r="H80" s="318"/>
      <c r="I80" s="318"/>
      <c r="J80" s="318"/>
      <c r="K80" s="318"/>
      <c r="L80" s="318"/>
      <c r="M80" s="318"/>
      <c r="P80" s="318"/>
      <c r="Q80" s="318"/>
      <c r="R80" s="318"/>
      <c r="S80" s="318"/>
      <c r="T80" s="318"/>
      <c r="U80" s="318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117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5" t="str">
        <f>Schlüssel!$C$1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45"/>
      <c r="Q1" s="45"/>
      <c r="R1" s="48"/>
      <c r="S1" s="49" t="s">
        <v>1794</v>
      </c>
      <c r="T1" s="50"/>
      <c r="U1" s="341" t="str">
        <f>Schlüssel!$BU$1</f>
        <v>15.02./16.02.</v>
      </c>
      <c r="V1" s="342"/>
      <c r="W1" s="34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4" t="str">
        <f>Schlüssel!$BK$2</f>
        <v>Regensburg Super Bowl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v>4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VLOOKUP($B2,Schlüssel!$A$5:$DZ$14,73)</f>
        <v>9</v>
      </c>
      <c r="F4" s="65" t="s">
        <v>10</v>
      </c>
      <c r="G4" s="44">
        <f>VLOOKUP($B2,Schlüssel!$A$5:$DZ$14,74)</f>
        <v>1</v>
      </c>
      <c r="H4" s="65" t="s">
        <v>10</v>
      </c>
      <c r="I4" s="44">
        <f>VLOOKUP($B2,Schlüssel!$A$5:$DZ$14,75)</f>
        <v>5</v>
      </c>
      <c r="J4" s="65" t="s">
        <v>10</v>
      </c>
      <c r="K4" s="44">
        <f>VLOOKUP($B2,Schlüssel!$A$5:$DZ$14,76)</f>
        <v>10</v>
      </c>
      <c r="L4" s="65" t="s">
        <v>10</v>
      </c>
      <c r="M4" s="44">
        <f>VLOOKUP($B2,Schlüssel!$A$5:$DZ$14,77)</f>
        <v>7</v>
      </c>
      <c r="N4" s="65" t="s">
        <v>10</v>
      </c>
      <c r="O4" s="44">
        <f>VLOOKUP($B2,Schlüssel!$A$5:$DZ$14,78)</f>
        <v>4</v>
      </c>
      <c r="P4" s="65" t="s">
        <v>10</v>
      </c>
      <c r="Q4" s="44">
        <f>VLOOKUP($B2,Schlüssel!$A$5:$DZ$14,79)</f>
        <v>2</v>
      </c>
      <c r="R4" s="65" t="s">
        <v>10</v>
      </c>
      <c r="S4" s="44">
        <f>VLOOKUP($B2,Schlüssel!$A$5:$DZ$14,80)</f>
        <v>6</v>
      </c>
      <c r="T4" s="65" t="s">
        <v>10</v>
      </c>
      <c r="U4" s="66">
        <f>VLOOKUP($B2,Schlüssel!$A$5:$DZ$14,81)</f>
        <v>3</v>
      </c>
    </row>
    <row r="5" spans="1:29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3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3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3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3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6">
        <f>VLOOKUP(B2,Schlüssel!$A$5:$DZ$14,63)</f>
        <v>10</v>
      </c>
      <c r="E22" s="356"/>
      <c r="F22" s="356">
        <f>VLOOKUP(B2,Schlüssel!$A$5:$DZ$14,64)</f>
        <v>9</v>
      </c>
      <c r="G22" s="356"/>
      <c r="H22" s="356">
        <f>VLOOKUP(B2,Schlüssel!$A$5:$DZ$14,65)</f>
        <v>7</v>
      </c>
      <c r="I22" s="356"/>
      <c r="J22" s="356">
        <f>VLOOKUP(B2,Schlüssel!$A$5:$DZ$14,66)</f>
        <v>4</v>
      </c>
      <c r="K22" s="356"/>
      <c r="L22" s="356">
        <f>VLOOKUP(B2,Schlüssel!$A$5:$DZ$14,67)</f>
        <v>6</v>
      </c>
      <c r="M22" s="356"/>
      <c r="N22" s="356">
        <f>VLOOKUP(B2,Schlüssel!$A$5:$DZ$14,68)</f>
        <v>2</v>
      </c>
      <c r="O22" s="356"/>
      <c r="P22" s="356">
        <f>VLOOKUP(B2,Schlüssel!$A$5:$DZ$14,69)</f>
        <v>8</v>
      </c>
      <c r="Q22" s="356"/>
      <c r="R22" s="356">
        <f>VLOOKUP(B2,Schlüssel!$A$5:$DZ$14,70)</f>
        <v>3</v>
      </c>
      <c r="S22" s="356"/>
      <c r="T22" s="356">
        <f>VLOOKUP(B2,Schlüssel!$A$5:$DZ$14,71)</f>
        <v>5</v>
      </c>
      <c r="U22" s="356"/>
      <c r="V22" s="357"/>
      <c r="W22" s="357"/>
    </row>
    <row r="23" spans="1:29" ht="28.5" customHeight="1" x14ac:dyDescent="0.25">
      <c r="B23" s="90"/>
      <c r="C23" s="86"/>
      <c r="D23" s="358" t="str">
        <f>VLOOKUP(D22,Schlüssel!$A$5:$K$14,2)</f>
        <v>High Roller Rosenheim 1</v>
      </c>
      <c r="E23" s="359"/>
      <c r="F23" s="358" t="str">
        <f>VLOOKUP(F22,Schlüssel!$A$5:$K$14,2)</f>
        <v>Bowlinghaus Bamberg 1</v>
      </c>
      <c r="G23" s="359"/>
      <c r="H23" s="358" t="str">
        <f>VLOOKUP(H22,Schlüssel!$A$5:$K$14,2)</f>
        <v>Schanzer Ingolstadt 1</v>
      </c>
      <c r="I23" s="359"/>
      <c r="J23" s="358" t="str">
        <f>VLOOKUP(J22,Schlüssel!$A$5:$K$14,2)</f>
        <v>SG DJK Rimpar</v>
      </c>
      <c r="K23" s="359"/>
      <c r="L23" s="358" t="str">
        <f>VLOOKUP(L22,Schlüssel!$A$5:$K$14,2)</f>
        <v>SG Rottendorf 1</v>
      </c>
      <c r="M23" s="359"/>
      <c r="N23" s="358" t="str">
        <f>VLOOKUP(N22,Schlüssel!$A$5:$K$14,2)</f>
        <v>Bajuwaren München 1</v>
      </c>
      <c r="O23" s="359"/>
      <c r="P23" s="358" t="str">
        <f>VLOOKUP(P22,Schlüssel!$A$5:$K$14,2)</f>
        <v>BC EMAX Unterföhring 2</v>
      </c>
      <c r="Q23" s="359"/>
      <c r="R23" s="358" t="str">
        <f>VLOOKUP(R22,Schlüssel!$A$5:$K$14,2)</f>
        <v>BK München 3</v>
      </c>
      <c r="S23" s="359"/>
      <c r="T23" s="358" t="str">
        <f>VLOOKUP(T22,Schlüssel!$A$5:$K$14,2)</f>
        <v>RW Lichtenhof Stein 1</v>
      </c>
      <c r="U23" s="359"/>
      <c r="V23" s="363"/>
      <c r="W23" s="363"/>
    </row>
    <row r="24" spans="1:29" ht="12" customHeight="1" x14ac:dyDescent="0.25">
      <c r="B24" s="90"/>
      <c r="C24" s="86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1"/>
      <c r="V24" s="298"/>
      <c r="W24" s="298"/>
    </row>
    <row r="25" spans="1:29" ht="15.9" customHeight="1" x14ac:dyDescent="0.25">
      <c r="B25" s="91" t="s">
        <v>0</v>
      </c>
      <c r="C25" s="9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4"/>
      <c r="W25" s="364"/>
    </row>
    <row r="26" spans="1:29" ht="15.9" customHeight="1" x14ac:dyDescent="0.25">
      <c r="B26" s="91" t="s">
        <v>2</v>
      </c>
      <c r="C26" s="9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4"/>
      <c r="W26" s="364"/>
    </row>
    <row r="27" spans="1:29" ht="15.9" customHeight="1" x14ac:dyDescent="0.25">
      <c r="B27" s="91" t="s">
        <v>3</v>
      </c>
      <c r="C27" s="9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4"/>
      <c r="W27" s="364"/>
    </row>
    <row r="28" spans="1:29" ht="15.9" customHeight="1" x14ac:dyDescent="0.25">
      <c r="B28" s="91" t="s">
        <v>11</v>
      </c>
      <c r="C28" s="9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4"/>
      <c r="W28" s="364"/>
    </row>
    <row r="29" spans="1:29" ht="15.9" customHeight="1" x14ac:dyDescent="0.25">
      <c r="B29" s="93" t="s">
        <v>1799</v>
      </c>
      <c r="C29" s="94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01"/>
      <c r="W29" s="30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5" t="str">
        <f>Schlüssel!$C$1</f>
        <v>Bayernliga Herren</v>
      </c>
      <c r="G30" s="345"/>
      <c r="H30" s="345"/>
      <c r="I30" s="345"/>
      <c r="J30" s="345"/>
      <c r="K30" s="345"/>
      <c r="L30" s="345"/>
      <c r="M30" s="345"/>
      <c r="N30" s="345"/>
      <c r="O30" s="345"/>
      <c r="P30" s="45"/>
      <c r="Q30" s="45"/>
      <c r="R30" s="48"/>
      <c r="S30" s="49" t="s">
        <v>1794</v>
      </c>
      <c r="T30" s="50"/>
      <c r="U30" s="341" t="str">
        <f>Schlüssel!$BU$1</f>
        <v>15.02./16.02.</v>
      </c>
      <c r="V30" s="342"/>
      <c r="W30" s="34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4" t="str">
        <f>Schlüssel!$BK$2</f>
        <v>Regensburg Super Bowl</v>
      </c>
      <c r="G31" s="344"/>
      <c r="H31" s="344"/>
      <c r="I31" s="344"/>
      <c r="J31" s="344"/>
      <c r="K31" s="344"/>
      <c r="L31" s="344"/>
      <c r="M31" s="344"/>
      <c r="N31" s="344"/>
      <c r="O31" s="344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VLOOKUP($B31,Schlüssel!$A$5:$DZ$14,73)</f>
        <v>8</v>
      </c>
      <c r="F33" s="65" t="s">
        <v>10</v>
      </c>
      <c r="G33" s="44">
        <f>VLOOKUP($B31,Schlüssel!$A$5:$DZ$14,74)</f>
        <v>10</v>
      </c>
      <c r="H33" s="65" t="s">
        <v>10</v>
      </c>
      <c r="I33" s="44">
        <f>VLOOKUP($B31,Schlüssel!$A$5:$DZ$14,75)</f>
        <v>4</v>
      </c>
      <c r="J33" s="65" t="s">
        <v>10</v>
      </c>
      <c r="K33" s="44">
        <f>VLOOKUP($B31,Schlüssel!$A$5:$DZ$14,76)</f>
        <v>6</v>
      </c>
      <c r="L33" s="65" t="s">
        <v>10</v>
      </c>
      <c r="M33" s="44">
        <f>VLOOKUP($B31,Schlüssel!$A$5:$DZ$14,77)</f>
        <v>1</v>
      </c>
      <c r="N33" s="65" t="s">
        <v>10</v>
      </c>
      <c r="O33" s="44">
        <f>VLOOKUP($B31,Schlüssel!$A$5:$DZ$14,78)</f>
        <v>3</v>
      </c>
      <c r="P33" s="65" t="s">
        <v>10</v>
      </c>
      <c r="Q33" s="44">
        <f>VLOOKUP($B31,Schlüssel!$A$5:$DZ$14,79)</f>
        <v>7</v>
      </c>
      <c r="R33" s="65" t="s">
        <v>10</v>
      </c>
      <c r="S33" s="44">
        <f>VLOOKUP($B31,Schlüssel!$A$5:$DZ$14,80)</f>
        <v>2</v>
      </c>
      <c r="T33" s="65" t="s">
        <v>10</v>
      </c>
      <c r="U33" s="66">
        <f>VLOOKUP($B31,Schlüssel!$A$5:$DZ$14,81)</f>
        <v>5</v>
      </c>
    </row>
    <row r="34" spans="1:23" ht="20.25" customHeight="1" x14ac:dyDescent="0.25">
      <c r="B34" s="67" t="s">
        <v>1</v>
      </c>
      <c r="C34" s="68"/>
      <c r="D34" s="346" t="s">
        <v>1800</v>
      </c>
      <c r="E34" s="347"/>
      <c r="F34" s="346" t="s">
        <v>1801</v>
      </c>
      <c r="G34" s="347"/>
      <c r="H34" s="346" t="s">
        <v>1802</v>
      </c>
      <c r="I34" s="347"/>
      <c r="J34" s="346" t="s">
        <v>1803</v>
      </c>
      <c r="K34" s="347"/>
      <c r="L34" s="346" t="s">
        <v>1804</v>
      </c>
      <c r="M34" s="347"/>
      <c r="N34" s="346" t="s">
        <v>1805</v>
      </c>
      <c r="O34" s="347"/>
      <c r="P34" s="346" t="s">
        <v>1806</v>
      </c>
      <c r="Q34" s="347"/>
      <c r="R34" s="346" t="s">
        <v>1807</v>
      </c>
      <c r="S34" s="347"/>
      <c r="T34" s="346" t="s">
        <v>1808</v>
      </c>
      <c r="U34" s="347"/>
      <c r="V34" s="354" t="s">
        <v>1799</v>
      </c>
      <c r="W34" s="355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3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3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3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3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6">
        <f>VLOOKUP(B31,Schlüssel!$A$5:$DZ$14,63)</f>
        <v>4</v>
      </c>
      <c r="E51" s="356"/>
      <c r="F51" s="356">
        <f>VLOOKUP(B31,Schlüssel!$A$5:$DZ$14,64)</f>
        <v>5</v>
      </c>
      <c r="G51" s="356"/>
      <c r="H51" s="356">
        <f>VLOOKUP(B31,Schlüssel!$A$5:$DZ$14,65)</f>
        <v>9</v>
      </c>
      <c r="I51" s="356"/>
      <c r="J51" s="356">
        <f>VLOOKUP(B31,Schlüssel!$A$5:$DZ$14,66)</f>
        <v>6</v>
      </c>
      <c r="K51" s="356"/>
      <c r="L51" s="356">
        <f>VLOOKUP(B31,Schlüssel!$A$5:$DZ$14,67)</f>
        <v>7</v>
      </c>
      <c r="M51" s="356"/>
      <c r="N51" s="356">
        <f>VLOOKUP(B31,Schlüssel!$A$5:$DZ$14,68)</f>
        <v>1</v>
      </c>
      <c r="O51" s="356"/>
      <c r="P51" s="356">
        <f>VLOOKUP(B31,Schlüssel!$A$5:$DZ$14,69)</f>
        <v>3</v>
      </c>
      <c r="Q51" s="356"/>
      <c r="R51" s="356">
        <f>VLOOKUP(B31,Schlüssel!$A$5:$DZ$14,70)</f>
        <v>10</v>
      </c>
      <c r="S51" s="356"/>
      <c r="T51" s="356">
        <f>VLOOKUP(B31,Schlüssel!$A$5:$DZ$14,71)</f>
        <v>8</v>
      </c>
      <c r="U51" s="356"/>
      <c r="V51" s="357"/>
      <c r="W51" s="357"/>
    </row>
    <row r="52" spans="1:29" ht="28.5" customHeight="1" x14ac:dyDescent="0.25">
      <c r="B52" s="90"/>
      <c r="C52" s="86"/>
      <c r="D52" s="358" t="str">
        <f>VLOOKUP(D51,Schlüssel!$A$5:$K$14,2)</f>
        <v>SG DJK Rimpar</v>
      </c>
      <c r="E52" s="359"/>
      <c r="F52" s="358" t="str">
        <f>VLOOKUP(F51,Schlüssel!$A$5:$K$14,2)</f>
        <v>RW Lichtenhof Stein 1</v>
      </c>
      <c r="G52" s="359"/>
      <c r="H52" s="358" t="str">
        <f>VLOOKUP(H51,Schlüssel!$A$5:$K$14,2)</f>
        <v>Bowlinghaus Bamberg 1</v>
      </c>
      <c r="I52" s="359"/>
      <c r="J52" s="358" t="str">
        <f>VLOOKUP(J51,Schlüssel!$A$5:$K$14,2)</f>
        <v>SG Rottendorf 1</v>
      </c>
      <c r="K52" s="359"/>
      <c r="L52" s="358" t="str">
        <f>VLOOKUP(L51,Schlüssel!$A$5:$K$14,2)</f>
        <v>Schanzer Ingolstadt 1</v>
      </c>
      <c r="M52" s="359"/>
      <c r="N52" s="358" t="str">
        <f>VLOOKUP(N51,Schlüssel!$A$5:$K$14,2)</f>
        <v>BC Comet Nürnberg</v>
      </c>
      <c r="O52" s="359"/>
      <c r="P52" s="358" t="str">
        <f>VLOOKUP(P51,Schlüssel!$A$5:$K$14,2)</f>
        <v>BK München 3</v>
      </c>
      <c r="Q52" s="359"/>
      <c r="R52" s="358" t="str">
        <f>VLOOKUP(R51,Schlüssel!$A$5:$K$14,2)</f>
        <v>High Roller Rosenheim 1</v>
      </c>
      <c r="S52" s="359"/>
      <c r="T52" s="358" t="str">
        <f>VLOOKUP(T51,Schlüssel!$A$5:$K$14,2)</f>
        <v>BC EMAX Unterföhring 2</v>
      </c>
      <c r="U52" s="359"/>
      <c r="V52" s="363"/>
      <c r="W52" s="363"/>
    </row>
    <row r="53" spans="1:29" ht="12" customHeight="1" x14ac:dyDescent="0.25">
      <c r="B53" s="90"/>
      <c r="C53" s="86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1"/>
      <c r="V53" s="298"/>
      <c r="W53" s="298"/>
    </row>
    <row r="54" spans="1:29" ht="15.9" customHeight="1" x14ac:dyDescent="0.25">
      <c r="B54" s="91" t="s">
        <v>0</v>
      </c>
      <c r="C54" s="9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4"/>
      <c r="W54" s="364"/>
    </row>
    <row r="55" spans="1:29" ht="15.9" customHeight="1" x14ac:dyDescent="0.25">
      <c r="B55" s="91" t="s">
        <v>2</v>
      </c>
      <c r="C55" s="9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4"/>
      <c r="W55" s="364"/>
    </row>
    <row r="56" spans="1:29" ht="15.9" customHeight="1" x14ac:dyDescent="0.25">
      <c r="B56" s="91" t="s">
        <v>3</v>
      </c>
      <c r="C56" s="9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4"/>
      <c r="W56" s="364"/>
    </row>
    <row r="57" spans="1:29" ht="15.9" customHeight="1" x14ac:dyDescent="0.25">
      <c r="B57" s="91" t="s">
        <v>11</v>
      </c>
      <c r="C57" s="9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4"/>
      <c r="W57" s="364"/>
    </row>
    <row r="58" spans="1:29" ht="15.9" customHeight="1" x14ac:dyDescent="0.25">
      <c r="B58" s="93" t="s">
        <v>1799</v>
      </c>
      <c r="C58" s="94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01"/>
      <c r="W58" s="30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5" t="str">
        <f>Schlüssel!$C$1</f>
        <v>Bayernliga Herren</v>
      </c>
      <c r="G59" s="345"/>
      <c r="H59" s="345"/>
      <c r="I59" s="345"/>
      <c r="J59" s="345"/>
      <c r="K59" s="345"/>
      <c r="L59" s="345"/>
      <c r="M59" s="345"/>
      <c r="N59" s="345"/>
      <c r="O59" s="345"/>
      <c r="P59" s="45"/>
      <c r="Q59" s="45"/>
      <c r="R59" s="48"/>
      <c r="S59" s="49" t="s">
        <v>1794</v>
      </c>
      <c r="T59" s="50"/>
      <c r="U59" s="341" t="str">
        <f>Schlüssel!$BU$1</f>
        <v>15.02./16.02.</v>
      </c>
      <c r="V59" s="342"/>
      <c r="W59" s="34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4" t="str">
        <f>Schlüssel!$BK$2</f>
        <v>Regensburg Super Bowl</v>
      </c>
      <c r="G60" s="344"/>
      <c r="H60" s="344"/>
      <c r="I60" s="344"/>
      <c r="J60" s="344"/>
      <c r="K60" s="344"/>
      <c r="L60" s="344"/>
      <c r="M60" s="344"/>
      <c r="N60" s="344"/>
      <c r="O60" s="344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VLOOKUP($B60,Schlüssel!$A$5:$DZ$14,73)</f>
        <v>3</v>
      </c>
      <c r="F62" s="65" t="s">
        <v>10</v>
      </c>
      <c r="G62" s="44">
        <f>VLOOKUP($B60,Schlüssel!$A$5:$DZ$14,74)</f>
        <v>6</v>
      </c>
      <c r="H62" s="65" t="s">
        <v>10</v>
      </c>
      <c r="I62" s="44">
        <f>VLOOKUP($B60,Schlüssel!$A$5:$DZ$14,75)</f>
        <v>7</v>
      </c>
      <c r="J62" s="65" t="s">
        <v>10</v>
      </c>
      <c r="K62" s="44">
        <f>VLOOKUP($B60,Schlüssel!$A$5:$DZ$14,76)</f>
        <v>4</v>
      </c>
      <c r="L62" s="65" t="s">
        <v>10</v>
      </c>
      <c r="M62" s="44">
        <f>VLOOKUP($B60,Schlüssel!$A$5:$DZ$14,77)</f>
        <v>9</v>
      </c>
      <c r="N62" s="65" t="s">
        <v>10</v>
      </c>
      <c r="O62" s="44">
        <f>VLOOKUP($B60,Schlüssel!$A$5:$DZ$14,78)</f>
        <v>1</v>
      </c>
      <c r="P62" s="65" t="s">
        <v>10</v>
      </c>
      <c r="Q62" s="44">
        <f>VLOOKUP($B60,Schlüssel!$A$5:$DZ$14,79)</f>
        <v>8</v>
      </c>
      <c r="R62" s="65" t="s">
        <v>10</v>
      </c>
      <c r="S62" s="44">
        <f>VLOOKUP($B60,Schlüssel!$A$5:$DZ$14,80)</f>
        <v>5</v>
      </c>
      <c r="T62" s="65" t="s">
        <v>10</v>
      </c>
      <c r="U62" s="66">
        <f>VLOOKUP($B60,Schlüssel!$A$5:$DZ$14,81)</f>
        <v>10</v>
      </c>
    </row>
    <row r="63" spans="1:29" ht="20.25" customHeight="1" x14ac:dyDescent="0.25">
      <c r="B63" s="67" t="s">
        <v>1</v>
      </c>
      <c r="C63" s="68"/>
      <c r="D63" s="346" t="s">
        <v>1800</v>
      </c>
      <c r="E63" s="347"/>
      <c r="F63" s="346" t="s">
        <v>1801</v>
      </c>
      <c r="G63" s="347"/>
      <c r="H63" s="346" t="s">
        <v>1802</v>
      </c>
      <c r="I63" s="347"/>
      <c r="J63" s="346" t="s">
        <v>1803</v>
      </c>
      <c r="K63" s="347"/>
      <c r="L63" s="346" t="s">
        <v>1804</v>
      </c>
      <c r="M63" s="347"/>
      <c r="N63" s="346" t="s">
        <v>1805</v>
      </c>
      <c r="O63" s="347"/>
      <c r="P63" s="346" t="s">
        <v>1806</v>
      </c>
      <c r="Q63" s="347"/>
      <c r="R63" s="346" t="s">
        <v>1807</v>
      </c>
      <c r="S63" s="347"/>
      <c r="T63" s="346" t="s">
        <v>1808</v>
      </c>
      <c r="U63" s="347"/>
      <c r="V63" s="354" t="s">
        <v>1799</v>
      </c>
      <c r="W63" s="355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3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3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3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3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6">
        <f>VLOOKUP(B60,Schlüssel!$A$5:$DZ$14,63)</f>
        <v>8</v>
      </c>
      <c r="E80" s="356"/>
      <c r="F80" s="356">
        <f>VLOOKUP(B60,Schlüssel!$A$5:$DZ$14,64)</f>
        <v>4</v>
      </c>
      <c r="G80" s="356"/>
      <c r="H80" s="356">
        <f>VLOOKUP(B60,Schlüssel!$A$5:$DZ$14,65)</f>
        <v>5</v>
      </c>
      <c r="I80" s="356"/>
      <c r="J80" s="356">
        <f>VLOOKUP(B60,Schlüssel!$A$5:$DZ$14,66)</f>
        <v>7</v>
      </c>
      <c r="K80" s="356"/>
      <c r="L80" s="356">
        <f>VLOOKUP(B60,Schlüssel!$A$5:$DZ$14,67)</f>
        <v>9</v>
      </c>
      <c r="M80" s="356"/>
      <c r="N80" s="356">
        <f>VLOOKUP(B60,Schlüssel!$A$5:$DZ$14,68)</f>
        <v>6</v>
      </c>
      <c r="O80" s="356"/>
      <c r="P80" s="356">
        <f>VLOOKUP(B60,Schlüssel!$A$5:$DZ$14,69)</f>
        <v>2</v>
      </c>
      <c r="Q80" s="356"/>
      <c r="R80" s="356">
        <f>VLOOKUP(B60,Schlüssel!$A$5:$DZ$14,70)</f>
        <v>1</v>
      </c>
      <c r="S80" s="356"/>
      <c r="T80" s="356">
        <f>VLOOKUP(B60,Schlüssel!$A$5:$DZ$14,71)</f>
        <v>10</v>
      </c>
      <c r="U80" s="356"/>
      <c r="V80" s="357"/>
      <c r="W80" s="357"/>
    </row>
    <row r="81" spans="1:29" ht="28.5" customHeight="1" x14ac:dyDescent="0.25">
      <c r="B81" s="90"/>
      <c r="C81" s="86"/>
      <c r="D81" s="358" t="str">
        <f>VLOOKUP(D80,Schlüssel!$A$5:$K$14,2)</f>
        <v>BC EMAX Unterföhring 2</v>
      </c>
      <c r="E81" s="359"/>
      <c r="F81" s="358" t="str">
        <f>VLOOKUP(F80,Schlüssel!$A$5:$K$14,2)</f>
        <v>SG DJK Rimpar</v>
      </c>
      <c r="G81" s="359"/>
      <c r="H81" s="358" t="str">
        <f>VLOOKUP(H80,Schlüssel!$A$5:$K$14,2)</f>
        <v>RW Lichtenhof Stein 1</v>
      </c>
      <c r="I81" s="359"/>
      <c r="J81" s="358" t="str">
        <f>VLOOKUP(J80,Schlüssel!$A$5:$K$14,2)</f>
        <v>Schanzer Ingolstadt 1</v>
      </c>
      <c r="K81" s="359"/>
      <c r="L81" s="358" t="str">
        <f>VLOOKUP(L80,Schlüssel!$A$5:$K$14,2)</f>
        <v>Bowlinghaus Bamberg 1</v>
      </c>
      <c r="M81" s="359"/>
      <c r="N81" s="358" t="str">
        <f>VLOOKUP(N80,Schlüssel!$A$5:$K$14,2)</f>
        <v>SG Rottendorf 1</v>
      </c>
      <c r="O81" s="359"/>
      <c r="P81" s="358" t="str">
        <f>VLOOKUP(P80,Schlüssel!$A$5:$K$14,2)</f>
        <v>Bajuwaren München 1</v>
      </c>
      <c r="Q81" s="359"/>
      <c r="R81" s="358" t="str">
        <f>VLOOKUP(R80,Schlüssel!$A$5:$K$14,2)</f>
        <v>BC Comet Nürnberg</v>
      </c>
      <c r="S81" s="359"/>
      <c r="T81" s="358" t="str">
        <f>VLOOKUP(T80,Schlüssel!$A$5:$K$14,2)</f>
        <v>High Roller Rosenheim 1</v>
      </c>
      <c r="U81" s="359"/>
      <c r="V81" s="363"/>
      <c r="W81" s="363"/>
    </row>
    <row r="82" spans="1:29" ht="12" customHeight="1" x14ac:dyDescent="0.25">
      <c r="B82" s="90"/>
      <c r="C82" s="86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1"/>
      <c r="V82" s="298"/>
      <c r="W82" s="298"/>
    </row>
    <row r="83" spans="1:29" ht="15.9" customHeight="1" x14ac:dyDescent="0.25">
      <c r="B83" s="91" t="s">
        <v>0</v>
      </c>
      <c r="C83" s="9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4"/>
      <c r="W83" s="364"/>
    </row>
    <row r="84" spans="1:29" ht="15.9" customHeight="1" x14ac:dyDescent="0.25">
      <c r="B84" s="91" t="s">
        <v>2</v>
      </c>
      <c r="C84" s="9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4"/>
      <c r="W84" s="364"/>
    </row>
    <row r="85" spans="1:29" ht="15.9" customHeight="1" x14ac:dyDescent="0.25">
      <c r="B85" s="91" t="s">
        <v>3</v>
      </c>
      <c r="C85" s="9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4"/>
      <c r="W85" s="364"/>
    </row>
    <row r="86" spans="1:29" ht="15.9" customHeight="1" x14ac:dyDescent="0.25">
      <c r="B86" s="91" t="s">
        <v>11</v>
      </c>
      <c r="C86" s="9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4"/>
      <c r="W86" s="364"/>
    </row>
    <row r="87" spans="1:29" ht="15.9" customHeight="1" x14ac:dyDescent="0.25">
      <c r="B87" s="93" t="s">
        <v>1799</v>
      </c>
      <c r="C87" s="94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01"/>
      <c r="W87" s="30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5" t="str">
        <f>Schlüssel!$C$1</f>
        <v>Bayernliga Herren</v>
      </c>
      <c r="G88" s="345"/>
      <c r="H88" s="345"/>
      <c r="I88" s="345"/>
      <c r="J88" s="345"/>
      <c r="K88" s="345"/>
      <c r="L88" s="345"/>
      <c r="M88" s="345"/>
      <c r="N88" s="345"/>
      <c r="O88" s="345"/>
      <c r="P88" s="45"/>
      <c r="Q88" s="45"/>
      <c r="R88" s="48"/>
      <c r="S88" s="49" t="s">
        <v>1794</v>
      </c>
      <c r="T88" s="50"/>
      <c r="U88" s="341" t="str">
        <f>Schlüssel!$BU$1</f>
        <v>15.02./16.02.</v>
      </c>
      <c r="V88" s="342"/>
      <c r="W88" s="34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4" t="str">
        <f>Schlüssel!$BK$2</f>
        <v>Regensburg Super Bowl</v>
      </c>
      <c r="G89" s="344"/>
      <c r="H89" s="344"/>
      <c r="I89" s="344"/>
      <c r="J89" s="344"/>
      <c r="K89" s="344"/>
      <c r="L89" s="344"/>
      <c r="M89" s="344"/>
      <c r="N89" s="344"/>
      <c r="O89" s="344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VLOOKUP($B89,Schlüssel!$A$5:$DZ$14,73)</f>
        <v>7</v>
      </c>
      <c r="F91" s="65" t="s">
        <v>10</v>
      </c>
      <c r="G91" s="44">
        <f>VLOOKUP($B89,Schlüssel!$A$5:$DZ$14,74)</f>
        <v>5</v>
      </c>
      <c r="H91" s="65" t="s">
        <v>10</v>
      </c>
      <c r="I91" s="44">
        <f>VLOOKUP($B89,Schlüssel!$A$5:$DZ$14,75)</f>
        <v>1</v>
      </c>
      <c r="J91" s="65" t="s">
        <v>10</v>
      </c>
      <c r="K91" s="44">
        <f>VLOOKUP($B89,Schlüssel!$A$5:$DZ$14,76)</f>
        <v>9</v>
      </c>
      <c r="L91" s="65" t="s">
        <v>10</v>
      </c>
      <c r="M91" s="44">
        <f>VLOOKUP($B89,Schlüssel!$A$5:$DZ$14,77)</f>
        <v>6</v>
      </c>
      <c r="N91" s="65" t="s">
        <v>10</v>
      </c>
      <c r="O91" s="44">
        <f>VLOOKUP($B89,Schlüssel!$A$5:$DZ$14,78)</f>
        <v>10</v>
      </c>
      <c r="P91" s="65" t="s">
        <v>10</v>
      </c>
      <c r="Q91" s="44">
        <f>VLOOKUP($B89,Schlüssel!$A$5:$DZ$14,79)</f>
        <v>3</v>
      </c>
      <c r="R91" s="65" t="s">
        <v>10</v>
      </c>
      <c r="S91" s="44">
        <f>VLOOKUP($B89,Schlüssel!$A$5:$DZ$14,80)</f>
        <v>8</v>
      </c>
      <c r="T91" s="65" t="s">
        <v>10</v>
      </c>
      <c r="U91" s="66">
        <f>VLOOKUP($B89,Schlüssel!$A$5:$DZ$14,81)</f>
        <v>2</v>
      </c>
    </row>
    <row r="92" spans="1:29" ht="20.25" customHeight="1" x14ac:dyDescent="0.25">
      <c r="B92" s="67" t="s">
        <v>1</v>
      </c>
      <c r="C92" s="68"/>
      <c r="D92" s="346" t="s">
        <v>1800</v>
      </c>
      <c r="E92" s="347"/>
      <c r="F92" s="346" t="s">
        <v>1801</v>
      </c>
      <c r="G92" s="347"/>
      <c r="H92" s="346" t="s">
        <v>1802</v>
      </c>
      <c r="I92" s="347"/>
      <c r="J92" s="346" t="s">
        <v>1803</v>
      </c>
      <c r="K92" s="347"/>
      <c r="L92" s="346" t="s">
        <v>1804</v>
      </c>
      <c r="M92" s="347"/>
      <c r="N92" s="346" t="s">
        <v>1805</v>
      </c>
      <c r="O92" s="347"/>
      <c r="P92" s="346" t="s">
        <v>1806</v>
      </c>
      <c r="Q92" s="347"/>
      <c r="R92" s="346" t="s">
        <v>1807</v>
      </c>
      <c r="S92" s="347"/>
      <c r="T92" s="346" t="s">
        <v>1808</v>
      </c>
      <c r="U92" s="347"/>
      <c r="V92" s="354" t="s">
        <v>1799</v>
      </c>
      <c r="W92" s="355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3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3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3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3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6">
        <f>VLOOKUP(B89,Schlüssel!$A$5:$DZ$14,63)</f>
        <v>2</v>
      </c>
      <c r="E109" s="356"/>
      <c r="F109" s="356">
        <f>VLOOKUP(B89,Schlüssel!$A$5:$DZ$14,64)</f>
        <v>3</v>
      </c>
      <c r="G109" s="356"/>
      <c r="H109" s="356">
        <f>VLOOKUP(B89,Schlüssel!$A$5:$DZ$14,65)</f>
        <v>10</v>
      </c>
      <c r="I109" s="356"/>
      <c r="J109" s="356">
        <f>VLOOKUP(B89,Schlüssel!$A$5:$DZ$14,66)</f>
        <v>1</v>
      </c>
      <c r="K109" s="356"/>
      <c r="L109" s="356">
        <f>VLOOKUP(B89,Schlüssel!$A$5:$DZ$14,67)</f>
        <v>8</v>
      </c>
      <c r="M109" s="356"/>
      <c r="N109" s="356">
        <f>VLOOKUP(B89,Schlüssel!$A$5:$DZ$14,68)</f>
        <v>7</v>
      </c>
      <c r="O109" s="356"/>
      <c r="P109" s="356">
        <f>VLOOKUP(B89,Schlüssel!$A$5:$DZ$14,69)</f>
        <v>9</v>
      </c>
      <c r="Q109" s="356"/>
      <c r="R109" s="356">
        <f>VLOOKUP(B89,Schlüssel!$A$5:$DZ$14,70)</f>
        <v>5</v>
      </c>
      <c r="S109" s="356"/>
      <c r="T109" s="356">
        <f>VLOOKUP(B89,Schlüssel!$A$5:$DZ$14,71)</f>
        <v>6</v>
      </c>
      <c r="U109" s="356"/>
      <c r="V109" s="357"/>
      <c r="W109" s="357"/>
    </row>
    <row r="110" spans="1:23" ht="28.5" customHeight="1" x14ac:dyDescent="0.25">
      <c r="B110" s="90"/>
      <c r="C110" s="86"/>
      <c r="D110" s="358" t="str">
        <f>VLOOKUP(D109,Schlüssel!$A$5:$K$14,2)</f>
        <v>Bajuwaren München 1</v>
      </c>
      <c r="E110" s="359"/>
      <c r="F110" s="358" t="str">
        <f>VLOOKUP(F109,Schlüssel!$A$5:$K$14,2)</f>
        <v>BK München 3</v>
      </c>
      <c r="G110" s="359"/>
      <c r="H110" s="358" t="str">
        <f>VLOOKUP(H109,Schlüssel!$A$5:$K$14,2)</f>
        <v>High Roller Rosenheim 1</v>
      </c>
      <c r="I110" s="359"/>
      <c r="J110" s="358" t="str">
        <f>VLOOKUP(J109,Schlüssel!$A$5:$K$14,2)</f>
        <v>BC Comet Nürnberg</v>
      </c>
      <c r="K110" s="359"/>
      <c r="L110" s="358" t="str">
        <f>VLOOKUP(L109,Schlüssel!$A$5:$K$14,2)</f>
        <v>BC EMAX Unterföhring 2</v>
      </c>
      <c r="M110" s="359"/>
      <c r="N110" s="358" t="str">
        <f>VLOOKUP(N109,Schlüssel!$A$5:$K$14,2)</f>
        <v>Schanzer Ingolstadt 1</v>
      </c>
      <c r="O110" s="359"/>
      <c r="P110" s="358" t="str">
        <f>VLOOKUP(P109,Schlüssel!$A$5:$K$14,2)</f>
        <v>Bowlinghaus Bamberg 1</v>
      </c>
      <c r="Q110" s="359"/>
      <c r="R110" s="358" t="str">
        <f>VLOOKUP(R109,Schlüssel!$A$5:$K$14,2)</f>
        <v>RW Lichtenhof Stein 1</v>
      </c>
      <c r="S110" s="359"/>
      <c r="T110" s="358" t="str">
        <f>VLOOKUP(T109,Schlüssel!$A$5:$K$14,2)</f>
        <v>SG Rottendorf 1</v>
      </c>
      <c r="U110" s="359"/>
      <c r="V110" s="363"/>
      <c r="W110" s="363"/>
    </row>
    <row r="111" spans="1:23" ht="12" customHeight="1" x14ac:dyDescent="0.25">
      <c r="B111" s="90"/>
      <c r="C111" s="86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1"/>
      <c r="V111" s="298"/>
      <c r="W111" s="298"/>
    </row>
    <row r="112" spans="1:23" ht="15.9" customHeight="1" x14ac:dyDescent="0.25">
      <c r="B112" s="91" t="s">
        <v>0</v>
      </c>
      <c r="C112" s="92"/>
      <c r="D112" s="362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2"/>
      <c r="S112" s="362"/>
      <c r="T112" s="362"/>
      <c r="U112" s="362"/>
      <c r="V112" s="364"/>
      <c r="W112" s="364"/>
    </row>
    <row r="113" spans="1:29" ht="15.9" customHeight="1" x14ac:dyDescent="0.25">
      <c r="B113" s="91" t="s">
        <v>2</v>
      </c>
      <c r="C113" s="92"/>
      <c r="D113" s="362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4"/>
      <c r="W113" s="364"/>
    </row>
    <row r="114" spans="1:29" ht="15.9" customHeight="1" x14ac:dyDescent="0.25">
      <c r="B114" s="91" t="s">
        <v>3</v>
      </c>
      <c r="C114" s="92"/>
      <c r="D114" s="362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4"/>
      <c r="W114" s="364"/>
    </row>
    <row r="115" spans="1:29" ht="15.9" customHeight="1" x14ac:dyDescent="0.25">
      <c r="B115" s="91" t="s">
        <v>11</v>
      </c>
      <c r="C115" s="92"/>
      <c r="D115" s="362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4"/>
      <c r="W115" s="364"/>
    </row>
    <row r="116" spans="1:29" ht="15.9" customHeight="1" x14ac:dyDescent="0.25">
      <c r="B116" s="93" t="s">
        <v>1799</v>
      </c>
      <c r="C116" s="94"/>
      <c r="D116" s="365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01"/>
      <c r="W116" s="30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5" t="str">
        <f>Schlüssel!$C$1</f>
        <v>Bayernliga Herren</v>
      </c>
      <c r="G117" s="345"/>
      <c r="H117" s="345"/>
      <c r="I117" s="345"/>
      <c r="J117" s="345"/>
      <c r="K117" s="345"/>
      <c r="L117" s="345"/>
      <c r="M117" s="345"/>
      <c r="N117" s="345"/>
      <c r="O117" s="345"/>
      <c r="P117" s="45"/>
      <c r="Q117" s="45"/>
      <c r="R117" s="48"/>
      <c r="S117" s="49" t="s">
        <v>1794</v>
      </c>
      <c r="T117" s="50"/>
      <c r="U117" s="341" t="str">
        <f>Schlüssel!$BU$1</f>
        <v>15.02./16.02.</v>
      </c>
      <c r="V117" s="342"/>
      <c r="W117" s="34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4" t="str">
        <f>Schlüssel!$BK$2</f>
        <v>Regensburg Super Bowl</v>
      </c>
      <c r="G118" s="344"/>
      <c r="H118" s="344"/>
      <c r="I118" s="344"/>
      <c r="J118" s="344"/>
      <c r="K118" s="344"/>
      <c r="L118" s="344"/>
      <c r="M118" s="344"/>
      <c r="N118" s="344"/>
      <c r="O118" s="344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VLOOKUP($B118,Schlüssel!$A$5:$DZ$14,73)</f>
        <v>2</v>
      </c>
      <c r="F120" s="65" t="s">
        <v>10</v>
      </c>
      <c r="G120" s="44">
        <f>VLOOKUP($B118,Schlüssel!$A$5:$DZ$14,74)</f>
        <v>9</v>
      </c>
      <c r="H120" s="65" t="s">
        <v>10</v>
      </c>
      <c r="I120" s="44">
        <f>VLOOKUP($B118,Schlüssel!$A$5:$DZ$14,75)</f>
        <v>8</v>
      </c>
      <c r="J120" s="65" t="s">
        <v>10</v>
      </c>
      <c r="K120" s="44">
        <f>VLOOKUP($B118,Schlüssel!$A$5:$DZ$14,76)</f>
        <v>1</v>
      </c>
      <c r="L120" s="65" t="s">
        <v>10</v>
      </c>
      <c r="M120" s="44">
        <f>VLOOKUP($B118,Schlüssel!$A$5:$DZ$14,77)</f>
        <v>3</v>
      </c>
      <c r="N120" s="65" t="s">
        <v>10</v>
      </c>
      <c r="O120" s="44">
        <f>VLOOKUP($B118,Schlüssel!$A$5:$DZ$14,78)</f>
        <v>5</v>
      </c>
      <c r="P120" s="65" t="s">
        <v>10</v>
      </c>
      <c r="Q120" s="44">
        <f>VLOOKUP($B118,Schlüssel!$A$5:$DZ$14,79)</f>
        <v>10</v>
      </c>
      <c r="R120" s="65" t="s">
        <v>10</v>
      </c>
      <c r="S120" s="44">
        <f>VLOOKUP($B118,Schlüssel!$A$5:$DZ$14,80)</f>
        <v>7</v>
      </c>
      <c r="T120" s="65" t="s">
        <v>10</v>
      </c>
      <c r="U120" s="66">
        <f>VLOOKUP($B118,Schlüssel!$A$5:$DZ$14,81)</f>
        <v>4</v>
      </c>
    </row>
    <row r="121" spans="1:29" ht="20.25" customHeight="1" x14ac:dyDescent="0.25">
      <c r="B121" s="67" t="s">
        <v>1</v>
      </c>
      <c r="C121" s="68"/>
      <c r="D121" s="346" t="s">
        <v>1800</v>
      </c>
      <c r="E121" s="347"/>
      <c r="F121" s="346" t="s">
        <v>1801</v>
      </c>
      <c r="G121" s="347"/>
      <c r="H121" s="346" t="s">
        <v>1802</v>
      </c>
      <c r="I121" s="347"/>
      <c r="J121" s="346" t="s">
        <v>1803</v>
      </c>
      <c r="K121" s="347"/>
      <c r="L121" s="346" t="s">
        <v>1804</v>
      </c>
      <c r="M121" s="347"/>
      <c r="N121" s="346" t="s">
        <v>1805</v>
      </c>
      <c r="O121" s="347"/>
      <c r="P121" s="346" t="s">
        <v>1806</v>
      </c>
      <c r="Q121" s="347"/>
      <c r="R121" s="346" t="s">
        <v>1807</v>
      </c>
      <c r="S121" s="347"/>
      <c r="T121" s="346" t="s">
        <v>1808</v>
      </c>
      <c r="U121" s="347"/>
      <c r="V121" s="354" t="s">
        <v>1799</v>
      </c>
      <c r="W121" s="355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3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3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3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3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6">
        <f>VLOOKUP(B118,Schlüssel!$A$5:$DZ$14,63)</f>
        <v>7</v>
      </c>
      <c r="E138" s="356"/>
      <c r="F138" s="356">
        <f>VLOOKUP(B118,Schlüssel!$A$5:$DZ$14,64)</f>
        <v>2</v>
      </c>
      <c r="G138" s="356"/>
      <c r="H138" s="356">
        <f>VLOOKUP(B118,Schlüssel!$A$5:$DZ$14,65)</f>
        <v>3</v>
      </c>
      <c r="I138" s="356"/>
      <c r="J138" s="356">
        <f>VLOOKUP(B118,Schlüssel!$A$5:$DZ$14,66)</f>
        <v>8</v>
      </c>
      <c r="K138" s="356"/>
      <c r="L138" s="356">
        <f>VLOOKUP(B118,Schlüssel!$A$5:$DZ$14,67)</f>
        <v>10</v>
      </c>
      <c r="M138" s="356"/>
      <c r="N138" s="356">
        <f>VLOOKUP(B118,Schlüssel!$A$5:$DZ$14,68)</f>
        <v>9</v>
      </c>
      <c r="O138" s="356"/>
      <c r="P138" s="356">
        <f>VLOOKUP(B118,Schlüssel!$A$5:$DZ$14,69)</f>
        <v>6</v>
      </c>
      <c r="Q138" s="356"/>
      <c r="R138" s="356">
        <f>VLOOKUP(B118,Schlüssel!$A$5:$DZ$14,70)</f>
        <v>4</v>
      </c>
      <c r="S138" s="356"/>
      <c r="T138" s="356">
        <f>VLOOKUP(B118,Schlüssel!$A$5:$DZ$14,71)</f>
        <v>1</v>
      </c>
      <c r="U138" s="356"/>
      <c r="V138" s="357"/>
      <c r="W138" s="357"/>
    </row>
    <row r="139" spans="1:23" ht="28.5" customHeight="1" x14ac:dyDescent="0.25">
      <c r="B139" s="90"/>
      <c r="C139" s="86"/>
      <c r="D139" s="358" t="str">
        <f>VLOOKUP(D138,Schlüssel!$A$5:$K$14,2)</f>
        <v>Schanzer Ingolstadt 1</v>
      </c>
      <c r="E139" s="359"/>
      <c r="F139" s="358" t="str">
        <f>VLOOKUP(F138,Schlüssel!$A$5:$K$14,2)</f>
        <v>Bajuwaren München 1</v>
      </c>
      <c r="G139" s="359"/>
      <c r="H139" s="358" t="str">
        <f>VLOOKUP(H138,Schlüssel!$A$5:$K$14,2)</f>
        <v>BK München 3</v>
      </c>
      <c r="I139" s="359"/>
      <c r="J139" s="358" t="str">
        <f>VLOOKUP(J138,Schlüssel!$A$5:$K$14,2)</f>
        <v>BC EMAX Unterföhring 2</v>
      </c>
      <c r="K139" s="359"/>
      <c r="L139" s="358" t="str">
        <f>VLOOKUP(L138,Schlüssel!$A$5:$K$14,2)</f>
        <v>High Roller Rosenheim 1</v>
      </c>
      <c r="M139" s="359"/>
      <c r="N139" s="358" t="str">
        <f>VLOOKUP(N138,Schlüssel!$A$5:$K$14,2)</f>
        <v>Bowlinghaus Bamberg 1</v>
      </c>
      <c r="O139" s="359"/>
      <c r="P139" s="358" t="str">
        <f>VLOOKUP(P138,Schlüssel!$A$5:$K$14,2)</f>
        <v>SG Rottendorf 1</v>
      </c>
      <c r="Q139" s="359"/>
      <c r="R139" s="358" t="str">
        <f>VLOOKUP(R138,Schlüssel!$A$5:$K$14,2)</f>
        <v>SG DJK Rimpar</v>
      </c>
      <c r="S139" s="359"/>
      <c r="T139" s="358" t="str">
        <f>VLOOKUP(T138,Schlüssel!$A$5:$K$14,2)</f>
        <v>BC Comet Nürnberg</v>
      </c>
      <c r="U139" s="359"/>
      <c r="V139" s="363"/>
      <c r="W139" s="363"/>
    </row>
    <row r="140" spans="1:23" ht="12" customHeight="1" x14ac:dyDescent="0.25">
      <c r="B140" s="90"/>
      <c r="C140" s="86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  <c r="O140" s="360"/>
      <c r="P140" s="360"/>
      <c r="Q140" s="360"/>
      <c r="R140" s="360"/>
      <c r="S140" s="360"/>
      <c r="T140" s="360"/>
      <c r="U140" s="361"/>
      <c r="V140" s="298"/>
      <c r="W140" s="298"/>
    </row>
    <row r="141" spans="1:23" ht="15.9" customHeight="1" x14ac:dyDescent="0.25">
      <c r="B141" s="91" t="s">
        <v>0</v>
      </c>
      <c r="C141" s="92"/>
      <c r="D141" s="362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4"/>
      <c r="W141" s="364"/>
    </row>
    <row r="142" spans="1:23" ht="15.9" customHeight="1" x14ac:dyDescent="0.25">
      <c r="B142" s="91" t="s">
        <v>2</v>
      </c>
      <c r="C142" s="92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4"/>
      <c r="W142" s="364"/>
    </row>
    <row r="143" spans="1:23" ht="15.9" customHeight="1" x14ac:dyDescent="0.25">
      <c r="B143" s="91" t="s">
        <v>3</v>
      </c>
      <c r="C143" s="92"/>
      <c r="D143" s="362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4"/>
      <c r="W143" s="364"/>
    </row>
    <row r="144" spans="1:23" ht="15.9" customHeight="1" x14ac:dyDescent="0.25">
      <c r="B144" s="91" t="s">
        <v>11</v>
      </c>
      <c r="C144" s="9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4"/>
      <c r="W144" s="364"/>
    </row>
    <row r="145" spans="1:29" ht="15.9" customHeight="1" x14ac:dyDescent="0.25">
      <c r="B145" s="93" t="s">
        <v>1799</v>
      </c>
      <c r="C145" s="94"/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01"/>
      <c r="W145" s="30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5" t="str">
        <f>Schlüssel!$C$1</f>
        <v>Bayernliga Herren</v>
      </c>
      <c r="G146" s="345"/>
      <c r="H146" s="345"/>
      <c r="I146" s="345"/>
      <c r="J146" s="345"/>
      <c r="K146" s="345"/>
      <c r="L146" s="345"/>
      <c r="M146" s="345"/>
      <c r="N146" s="345"/>
      <c r="O146" s="345"/>
      <c r="P146" s="45"/>
      <c r="Q146" s="45"/>
      <c r="R146" s="48"/>
      <c r="S146" s="49" t="s">
        <v>1794</v>
      </c>
      <c r="T146" s="50"/>
      <c r="U146" s="341" t="str">
        <f>Schlüssel!$BU$1</f>
        <v>15.02./16.02.</v>
      </c>
      <c r="V146" s="342"/>
      <c r="W146" s="34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4" t="str">
        <f>Schlüssel!$BK$2</f>
        <v>Regensburg Super Bowl</v>
      </c>
      <c r="G147" s="344"/>
      <c r="H147" s="344"/>
      <c r="I147" s="344"/>
      <c r="J147" s="344"/>
      <c r="K147" s="344"/>
      <c r="L147" s="344"/>
      <c r="M147" s="344"/>
      <c r="N147" s="344"/>
      <c r="O147" s="344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VLOOKUP($B147,Schlüssel!$A$5:$DZ$14,73)</f>
        <v>6</v>
      </c>
      <c r="F149" s="65" t="s">
        <v>10</v>
      </c>
      <c r="G149" s="44">
        <f>VLOOKUP($B147,Schlüssel!$A$5:$DZ$14,74)</f>
        <v>4</v>
      </c>
      <c r="H149" s="65" t="s">
        <v>10</v>
      </c>
      <c r="I149" s="44">
        <f>VLOOKUP($B147,Schlüssel!$A$5:$DZ$14,75)</f>
        <v>10</v>
      </c>
      <c r="J149" s="65" t="s">
        <v>10</v>
      </c>
      <c r="K149" s="44">
        <f>VLOOKUP($B147,Schlüssel!$A$5:$DZ$14,76)</f>
        <v>5</v>
      </c>
      <c r="L149" s="65" t="s">
        <v>10</v>
      </c>
      <c r="M149" s="44">
        <f>VLOOKUP($B147,Schlüssel!$A$5:$DZ$14,77)</f>
        <v>8</v>
      </c>
      <c r="N149" s="65" t="s">
        <v>10</v>
      </c>
      <c r="O149" s="44">
        <f>VLOOKUP($B147,Schlüssel!$A$5:$DZ$14,78)</f>
        <v>2</v>
      </c>
      <c r="P149" s="65" t="s">
        <v>10</v>
      </c>
      <c r="Q149" s="44">
        <f>VLOOKUP($B147,Schlüssel!$A$5:$DZ$14,79)</f>
        <v>9</v>
      </c>
      <c r="R149" s="65" t="s">
        <v>10</v>
      </c>
      <c r="S149" s="44">
        <f>VLOOKUP($B147,Schlüssel!$A$5:$DZ$14,80)</f>
        <v>3</v>
      </c>
      <c r="T149" s="65" t="s">
        <v>10</v>
      </c>
      <c r="U149" s="66">
        <f>VLOOKUP($B147,Schlüssel!$A$5:$DZ$14,81)</f>
        <v>1</v>
      </c>
    </row>
    <row r="150" spans="1:29" ht="20.25" customHeight="1" x14ac:dyDescent="0.25">
      <c r="B150" s="67" t="s">
        <v>1</v>
      </c>
      <c r="C150" s="68"/>
      <c r="D150" s="346" t="s">
        <v>1800</v>
      </c>
      <c r="E150" s="347"/>
      <c r="F150" s="346" t="s">
        <v>1801</v>
      </c>
      <c r="G150" s="347"/>
      <c r="H150" s="346" t="s">
        <v>1802</v>
      </c>
      <c r="I150" s="347"/>
      <c r="J150" s="346" t="s">
        <v>1803</v>
      </c>
      <c r="K150" s="347"/>
      <c r="L150" s="346" t="s">
        <v>1804</v>
      </c>
      <c r="M150" s="347"/>
      <c r="N150" s="346" t="s">
        <v>1805</v>
      </c>
      <c r="O150" s="347"/>
      <c r="P150" s="346" t="s">
        <v>1806</v>
      </c>
      <c r="Q150" s="347"/>
      <c r="R150" s="346" t="s">
        <v>1807</v>
      </c>
      <c r="S150" s="347"/>
      <c r="T150" s="346" t="s">
        <v>1808</v>
      </c>
      <c r="U150" s="347"/>
      <c r="V150" s="354" t="s">
        <v>1799</v>
      </c>
      <c r="W150" s="355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3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3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3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3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6">
        <f>VLOOKUP(B147,Schlüssel!$A$5:$DZ$14,63)</f>
        <v>9</v>
      </c>
      <c r="E167" s="356"/>
      <c r="F167" s="356">
        <f>VLOOKUP(B147,Schlüssel!$A$5:$DZ$14,64)</f>
        <v>10</v>
      </c>
      <c r="G167" s="356"/>
      <c r="H167" s="356">
        <f>VLOOKUP(B147,Schlüssel!$A$5:$DZ$14,65)</f>
        <v>8</v>
      </c>
      <c r="I167" s="356"/>
      <c r="J167" s="356">
        <f>VLOOKUP(B147,Schlüssel!$A$5:$DZ$14,66)</f>
        <v>2</v>
      </c>
      <c r="K167" s="356"/>
      <c r="L167" s="356">
        <f>VLOOKUP(B147,Schlüssel!$A$5:$DZ$14,67)</f>
        <v>1</v>
      </c>
      <c r="M167" s="356"/>
      <c r="N167" s="356">
        <f>VLOOKUP(B147,Schlüssel!$A$5:$DZ$14,68)</f>
        <v>3</v>
      </c>
      <c r="O167" s="356"/>
      <c r="P167" s="356">
        <f>VLOOKUP(B147,Schlüssel!$A$5:$DZ$14,69)</f>
        <v>5</v>
      </c>
      <c r="Q167" s="356"/>
      <c r="R167" s="356">
        <f>VLOOKUP(B147,Schlüssel!$A$5:$DZ$14,70)</f>
        <v>7</v>
      </c>
      <c r="S167" s="356"/>
      <c r="T167" s="356">
        <f>VLOOKUP(B147,Schlüssel!$A$5:$DZ$14,71)</f>
        <v>4</v>
      </c>
      <c r="U167" s="356"/>
      <c r="V167" s="357"/>
      <c r="W167" s="357"/>
    </row>
    <row r="168" spans="1:29" ht="28.5" customHeight="1" x14ac:dyDescent="0.25">
      <c r="B168" s="90"/>
      <c r="C168" s="86"/>
      <c r="D168" s="358" t="str">
        <f>VLOOKUP(D167,Schlüssel!$A$5:$K$14,2)</f>
        <v>Bowlinghaus Bamberg 1</v>
      </c>
      <c r="E168" s="359"/>
      <c r="F168" s="358" t="str">
        <f>VLOOKUP(F167,Schlüssel!$A$5:$K$14,2)</f>
        <v>High Roller Rosenheim 1</v>
      </c>
      <c r="G168" s="359"/>
      <c r="H168" s="358" t="str">
        <f>VLOOKUP(H167,Schlüssel!$A$5:$K$14,2)</f>
        <v>BC EMAX Unterföhring 2</v>
      </c>
      <c r="I168" s="359"/>
      <c r="J168" s="358" t="str">
        <f>VLOOKUP(J167,Schlüssel!$A$5:$K$14,2)</f>
        <v>Bajuwaren München 1</v>
      </c>
      <c r="K168" s="359"/>
      <c r="L168" s="358" t="str">
        <f>VLOOKUP(L167,Schlüssel!$A$5:$K$14,2)</f>
        <v>BC Comet Nürnberg</v>
      </c>
      <c r="M168" s="359"/>
      <c r="N168" s="358" t="str">
        <f>VLOOKUP(N167,Schlüssel!$A$5:$K$14,2)</f>
        <v>BK München 3</v>
      </c>
      <c r="O168" s="359"/>
      <c r="P168" s="358" t="str">
        <f>VLOOKUP(P167,Schlüssel!$A$5:$K$14,2)</f>
        <v>RW Lichtenhof Stein 1</v>
      </c>
      <c r="Q168" s="359"/>
      <c r="R168" s="358" t="str">
        <f>VLOOKUP(R167,Schlüssel!$A$5:$K$14,2)</f>
        <v>Schanzer Ingolstadt 1</v>
      </c>
      <c r="S168" s="359"/>
      <c r="T168" s="358" t="str">
        <f>VLOOKUP(T167,Schlüssel!$A$5:$K$14,2)</f>
        <v>SG DJK Rimpar</v>
      </c>
      <c r="U168" s="359"/>
      <c r="V168" s="363"/>
      <c r="W168" s="363"/>
    </row>
    <row r="169" spans="1:29" ht="12" customHeight="1" x14ac:dyDescent="0.25">
      <c r="B169" s="90"/>
      <c r="C169" s="86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  <c r="O169" s="360"/>
      <c r="P169" s="360"/>
      <c r="Q169" s="360"/>
      <c r="R169" s="360"/>
      <c r="S169" s="360"/>
      <c r="T169" s="360"/>
      <c r="U169" s="361"/>
      <c r="V169" s="298"/>
      <c r="W169" s="298"/>
    </row>
    <row r="170" spans="1:29" ht="15.9" customHeight="1" x14ac:dyDescent="0.25">
      <c r="B170" s="91" t="s">
        <v>0</v>
      </c>
      <c r="C170" s="92"/>
      <c r="D170" s="362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4"/>
      <c r="W170" s="364"/>
    </row>
    <row r="171" spans="1:29" ht="15.9" customHeight="1" x14ac:dyDescent="0.25">
      <c r="B171" s="91" t="s">
        <v>2</v>
      </c>
      <c r="C171" s="92"/>
      <c r="D171" s="362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4"/>
      <c r="W171" s="364"/>
    </row>
    <row r="172" spans="1:29" ht="15.9" customHeight="1" x14ac:dyDescent="0.25">
      <c r="B172" s="91" t="s">
        <v>3</v>
      </c>
      <c r="C172" s="92"/>
      <c r="D172" s="362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4"/>
      <c r="W172" s="364"/>
    </row>
    <row r="173" spans="1:29" ht="15.9" customHeight="1" x14ac:dyDescent="0.25">
      <c r="B173" s="91" t="s">
        <v>11</v>
      </c>
      <c r="C173" s="92"/>
      <c r="D173" s="362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4"/>
      <c r="W173" s="364"/>
    </row>
    <row r="174" spans="1:29" ht="15.9" customHeight="1" x14ac:dyDescent="0.25">
      <c r="B174" s="93" t="s">
        <v>1799</v>
      </c>
      <c r="C174" s="94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01"/>
      <c r="W174" s="30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5" t="str">
        <f>Schlüssel!$C$1</f>
        <v>Bayernliga Herren</v>
      </c>
      <c r="G175" s="345"/>
      <c r="H175" s="345"/>
      <c r="I175" s="345"/>
      <c r="J175" s="345"/>
      <c r="K175" s="345"/>
      <c r="L175" s="345"/>
      <c r="M175" s="345"/>
      <c r="N175" s="345"/>
      <c r="O175" s="345"/>
      <c r="P175" s="45"/>
      <c r="Q175" s="45"/>
      <c r="R175" s="48"/>
      <c r="S175" s="49" t="s">
        <v>1794</v>
      </c>
      <c r="T175" s="50"/>
      <c r="U175" s="341" t="str">
        <f>Schlüssel!$BU$1</f>
        <v>15.02./16.02.</v>
      </c>
      <c r="V175" s="342"/>
      <c r="W175" s="34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4" t="str">
        <f>Schlüssel!$BK$2</f>
        <v>Regensburg Super Bowl</v>
      </c>
      <c r="G176" s="344"/>
      <c r="H176" s="344"/>
      <c r="I176" s="344"/>
      <c r="J176" s="344"/>
      <c r="K176" s="344"/>
      <c r="L176" s="344"/>
      <c r="M176" s="344"/>
      <c r="N176" s="344"/>
      <c r="O176" s="344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VLOOKUP($B176,Schlüssel!$A$5:$DZ$14,73)</f>
        <v>1</v>
      </c>
      <c r="F178" s="65" t="s">
        <v>10</v>
      </c>
      <c r="G178" s="44">
        <f>VLOOKUP($B176,Schlüssel!$A$5:$DZ$14,74)</f>
        <v>7</v>
      </c>
      <c r="H178" s="65" t="s">
        <v>10</v>
      </c>
      <c r="I178" s="44">
        <f>VLOOKUP($B176,Schlüssel!$A$5:$DZ$14,75)</f>
        <v>6</v>
      </c>
      <c r="J178" s="65" t="s">
        <v>10</v>
      </c>
      <c r="K178" s="44">
        <f>VLOOKUP($B176,Schlüssel!$A$5:$DZ$14,76)</f>
        <v>3</v>
      </c>
      <c r="L178" s="65" t="s">
        <v>10</v>
      </c>
      <c r="M178" s="44">
        <f>VLOOKUP($B176,Schlüssel!$A$5:$DZ$14,77)</f>
        <v>2</v>
      </c>
      <c r="N178" s="65" t="s">
        <v>10</v>
      </c>
      <c r="O178" s="44">
        <f>VLOOKUP($B176,Schlüssel!$A$5:$DZ$14,78)</f>
        <v>9</v>
      </c>
      <c r="P178" s="65" t="s">
        <v>10</v>
      </c>
      <c r="Q178" s="44">
        <f>VLOOKUP($B176,Schlüssel!$A$5:$DZ$14,79)</f>
        <v>5</v>
      </c>
      <c r="R178" s="65" t="s">
        <v>10</v>
      </c>
      <c r="S178" s="44">
        <f>VLOOKUP($B176,Schlüssel!$A$5:$DZ$14,80)</f>
        <v>4</v>
      </c>
      <c r="T178" s="65" t="s">
        <v>10</v>
      </c>
      <c r="U178" s="66">
        <f>VLOOKUP($B176,Schlüssel!$A$5:$DZ$14,81)</f>
        <v>8</v>
      </c>
    </row>
    <row r="179" spans="1:23" ht="20.25" customHeight="1" x14ac:dyDescent="0.25">
      <c r="B179" s="67" t="s">
        <v>1</v>
      </c>
      <c r="C179" s="68"/>
      <c r="D179" s="346" t="s">
        <v>1800</v>
      </c>
      <c r="E179" s="347"/>
      <c r="F179" s="346" t="s">
        <v>1801</v>
      </c>
      <c r="G179" s="347"/>
      <c r="H179" s="346" t="s">
        <v>1802</v>
      </c>
      <c r="I179" s="347"/>
      <c r="J179" s="346" t="s">
        <v>1803</v>
      </c>
      <c r="K179" s="347"/>
      <c r="L179" s="346" t="s">
        <v>1804</v>
      </c>
      <c r="M179" s="347"/>
      <c r="N179" s="346" t="s">
        <v>1805</v>
      </c>
      <c r="O179" s="347"/>
      <c r="P179" s="346" t="s">
        <v>1806</v>
      </c>
      <c r="Q179" s="347"/>
      <c r="R179" s="346" t="s">
        <v>1807</v>
      </c>
      <c r="S179" s="347"/>
      <c r="T179" s="346" t="s">
        <v>1808</v>
      </c>
      <c r="U179" s="347"/>
      <c r="V179" s="354" t="s">
        <v>1799</v>
      </c>
      <c r="W179" s="355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3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3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3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3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6">
        <f>VLOOKUP(B176,Schlüssel!$A$5:$DZ$14,63)</f>
        <v>5</v>
      </c>
      <c r="E196" s="356"/>
      <c r="F196" s="356">
        <f>VLOOKUP(B176,Schlüssel!$A$5:$DZ$14,64)</f>
        <v>8</v>
      </c>
      <c r="G196" s="356"/>
      <c r="H196" s="356">
        <f>VLOOKUP(B176,Schlüssel!$A$5:$DZ$14,65)</f>
        <v>1</v>
      </c>
      <c r="I196" s="356"/>
      <c r="J196" s="356">
        <f>VLOOKUP(B176,Schlüssel!$A$5:$DZ$14,66)</f>
        <v>3</v>
      </c>
      <c r="K196" s="356"/>
      <c r="L196" s="356">
        <f>VLOOKUP(B176,Schlüssel!$A$5:$DZ$14,67)</f>
        <v>2</v>
      </c>
      <c r="M196" s="356"/>
      <c r="N196" s="356">
        <f>VLOOKUP(B176,Schlüssel!$A$5:$DZ$14,68)</f>
        <v>4</v>
      </c>
      <c r="O196" s="356"/>
      <c r="P196" s="356">
        <f>VLOOKUP(B176,Schlüssel!$A$5:$DZ$14,69)</f>
        <v>10</v>
      </c>
      <c r="Q196" s="356"/>
      <c r="R196" s="356">
        <f>VLOOKUP(B176,Schlüssel!$A$5:$DZ$14,70)</f>
        <v>6</v>
      </c>
      <c r="S196" s="356"/>
      <c r="T196" s="356">
        <f>VLOOKUP(B176,Schlüssel!$A$5:$DZ$14,71)</f>
        <v>9</v>
      </c>
      <c r="U196" s="356"/>
      <c r="V196" s="357"/>
      <c r="W196" s="357"/>
    </row>
    <row r="197" spans="1:29" ht="28.5" customHeight="1" x14ac:dyDescent="0.25">
      <c r="B197" s="90"/>
      <c r="C197" s="86"/>
      <c r="D197" s="358" t="str">
        <f>VLOOKUP(D196,Schlüssel!$A$5:$K$14,2)</f>
        <v>RW Lichtenhof Stein 1</v>
      </c>
      <c r="E197" s="359"/>
      <c r="F197" s="358" t="str">
        <f>VLOOKUP(F196,Schlüssel!$A$5:$K$14,2)</f>
        <v>BC EMAX Unterföhring 2</v>
      </c>
      <c r="G197" s="359"/>
      <c r="H197" s="358" t="str">
        <f>VLOOKUP(H196,Schlüssel!$A$5:$K$14,2)</f>
        <v>BC Comet Nürnberg</v>
      </c>
      <c r="I197" s="359"/>
      <c r="J197" s="358" t="str">
        <f>VLOOKUP(J196,Schlüssel!$A$5:$K$14,2)</f>
        <v>BK München 3</v>
      </c>
      <c r="K197" s="359"/>
      <c r="L197" s="358" t="str">
        <f>VLOOKUP(L196,Schlüssel!$A$5:$K$14,2)</f>
        <v>Bajuwaren München 1</v>
      </c>
      <c r="M197" s="359"/>
      <c r="N197" s="358" t="str">
        <f>VLOOKUP(N196,Schlüssel!$A$5:$K$14,2)</f>
        <v>SG DJK Rimpar</v>
      </c>
      <c r="O197" s="359"/>
      <c r="P197" s="358" t="str">
        <f>VLOOKUP(P196,Schlüssel!$A$5:$K$14,2)</f>
        <v>High Roller Rosenheim 1</v>
      </c>
      <c r="Q197" s="359"/>
      <c r="R197" s="358" t="str">
        <f>VLOOKUP(R196,Schlüssel!$A$5:$K$14,2)</f>
        <v>SG Rottendorf 1</v>
      </c>
      <c r="S197" s="359"/>
      <c r="T197" s="358" t="str">
        <f>VLOOKUP(T196,Schlüssel!$A$5:$K$14,2)</f>
        <v>Bowlinghaus Bamberg 1</v>
      </c>
      <c r="U197" s="359"/>
      <c r="V197" s="363"/>
      <c r="W197" s="363"/>
    </row>
    <row r="198" spans="1:29" ht="12" customHeight="1" x14ac:dyDescent="0.25">
      <c r="B198" s="90"/>
      <c r="C198" s="86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1"/>
      <c r="V198" s="298"/>
      <c r="W198" s="298"/>
    </row>
    <row r="199" spans="1:29" ht="15.9" customHeight="1" x14ac:dyDescent="0.25">
      <c r="B199" s="91" t="s">
        <v>0</v>
      </c>
      <c r="C199" s="92"/>
      <c r="D199" s="362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4"/>
      <c r="W199" s="364"/>
    </row>
    <row r="200" spans="1:29" ht="15.9" customHeight="1" x14ac:dyDescent="0.25">
      <c r="B200" s="91" t="s">
        <v>2</v>
      </c>
      <c r="C200" s="92"/>
      <c r="D200" s="362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4"/>
      <c r="W200" s="364"/>
    </row>
    <row r="201" spans="1:29" ht="15.9" customHeight="1" x14ac:dyDescent="0.25">
      <c r="B201" s="91" t="s">
        <v>3</v>
      </c>
      <c r="C201" s="92"/>
      <c r="D201" s="362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4"/>
      <c r="W201" s="364"/>
    </row>
    <row r="202" spans="1:29" ht="15.9" customHeight="1" x14ac:dyDescent="0.25">
      <c r="B202" s="91" t="s">
        <v>11</v>
      </c>
      <c r="C202" s="92"/>
      <c r="D202" s="362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4"/>
      <c r="W202" s="364"/>
    </row>
    <row r="203" spans="1:29" ht="15.9" customHeight="1" x14ac:dyDescent="0.25">
      <c r="B203" s="93" t="s">
        <v>1799</v>
      </c>
      <c r="C203" s="94"/>
      <c r="D203" s="365"/>
      <c r="E203" s="365"/>
      <c r="F203" s="365"/>
      <c r="G203" s="365"/>
      <c r="H203" s="365"/>
      <c r="I203" s="365"/>
      <c r="J203" s="365"/>
      <c r="K203" s="365"/>
      <c r="L203" s="365"/>
      <c r="M203" s="365"/>
      <c r="N203" s="365"/>
      <c r="O203" s="365"/>
      <c r="P203" s="365"/>
      <c r="Q203" s="365"/>
      <c r="R203" s="365"/>
      <c r="S203" s="365"/>
      <c r="T203" s="365"/>
      <c r="U203" s="365"/>
      <c r="V203" s="301"/>
      <c r="W203" s="30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5" t="str">
        <f>Schlüssel!$C$1</f>
        <v>Bayernliga Herren</v>
      </c>
      <c r="G204" s="345"/>
      <c r="H204" s="345"/>
      <c r="I204" s="345"/>
      <c r="J204" s="345"/>
      <c r="K204" s="345"/>
      <c r="L204" s="345"/>
      <c r="M204" s="345"/>
      <c r="N204" s="345"/>
      <c r="O204" s="345"/>
      <c r="P204" s="45"/>
      <c r="Q204" s="45"/>
      <c r="R204" s="48"/>
      <c r="S204" s="49" t="s">
        <v>1794</v>
      </c>
      <c r="T204" s="50"/>
      <c r="U204" s="341" t="str">
        <f>Schlüssel!$BU$1</f>
        <v>15.02./16.02.</v>
      </c>
      <c r="V204" s="342"/>
      <c r="W204" s="34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4" t="str">
        <f>Schlüssel!$BK$2</f>
        <v>Regensburg Super Bowl</v>
      </c>
      <c r="G205" s="344"/>
      <c r="H205" s="344"/>
      <c r="I205" s="344"/>
      <c r="J205" s="344"/>
      <c r="K205" s="344"/>
      <c r="L205" s="344"/>
      <c r="M205" s="344"/>
      <c r="N205" s="344"/>
      <c r="O205" s="344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VLOOKUP($B205,Schlüssel!$A$5:$DZ$14,73)</f>
        <v>4</v>
      </c>
      <c r="F207" s="65" t="s">
        <v>10</v>
      </c>
      <c r="G207" s="44">
        <f>VLOOKUP($B205,Schlüssel!$A$5:$DZ$14,74)</f>
        <v>8</v>
      </c>
      <c r="H207" s="65" t="s">
        <v>10</v>
      </c>
      <c r="I207" s="44">
        <f>VLOOKUP($B205,Schlüssel!$A$5:$DZ$14,75)</f>
        <v>9</v>
      </c>
      <c r="J207" s="65" t="s">
        <v>10</v>
      </c>
      <c r="K207" s="44">
        <f>VLOOKUP($B205,Schlüssel!$A$5:$DZ$14,76)</f>
        <v>2</v>
      </c>
      <c r="L207" s="65" t="s">
        <v>10</v>
      </c>
      <c r="M207" s="44">
        <f>VLOOKUP($B205,Schlüssel!$A$5:$DZ$14,77)</f>
        <v>5</v>
      </c>
      <c r="N207" s="65" t="s">
        <v>10</v>
      </c>
      <c r="O207" s="44">
        <f>VLOOKUP($B205,Schlüssel!$A$5:$DZ$14,78)</f>
        <v>7</v>
      </c>
      <c r="P207" s="65" t="s">
        <v>10</v>
      </c>
      <c r="Q207" s="44">
        <f>VLOOKUP($B205,Schlüssel!$A$5:$DZ$14,79)</f>
        <v>1</v>
      </c>
      <c r="R207" s="65" t="s">
        <v>10</v>
      </c>
      <c r="S207" s="44">
        <f>VLOOKUP($B205,Schlüssel!$A$5:$DZ$14,80)</f>
        <v>10</v>
      </c>
      <c r="T207" s="65" t="s">
        <v>10</v>
      </c>
      <c r="U207" s="66">
        <f>VLOOKUP($B205,Schlüssel!$A$5:$DZ$14,81)</f>
        <v>6</v>
      </c>
    </row>
    <row r="208" spans="1:29" ht="20.25" customHeight="1" x14ac:dyDescent="0.25">
      <c r="B208" s="67" t="s">
        <v>1</v>
      </c>
      <c r="C208" s="68"/>
      <c r="D208" s="346" t="s">
        <v>1800</v>
      </c>
      <c r="E208" s="347"/>
      <c r="F208" s="346" t="s">
        <v>1801</v>
      </c>
      <c r="G208" s="347"/>
      <c r="H208" s="346" t="s">
        <v>1802</v>
      </c>
      <c r="I208" s="347"/>
      <c r="J208" s="346" t="s">
        <v>1803</v>
      </c>
      <c r="K208" s="347"/>
      <c r="L208" s="346" t="s">
        <v>1804</v>
      </c>
      <c r="M208" s="347"/>
      <c r="N208" s="346" t="s">
        <v>1805</v>
      </c>
      <c r="O208" s="347"/>
      <c r="P208" s="346" t="s">
        <v>1806</v>
      </c>
      <c r="Q208" s="347"/>
      <c r="R208" s="346" t="s">
        <v>1807</v>
      </c>
      <c r="S208" s="347"/>
      <c r="T208" s="346" t="s">
        <v>1808</v>
      </c>
      <c r="U208" s="347"/>
      <c r="V208" s="354" t="s">
        <v>1799</v>
      </c>
      <c r="W208" s="355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3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3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3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3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6">
        <f>VLOOKUP(B205,Schlüssel!$A$5:$DZ$14,63)</f>
        <v>3</v>
      </c>
      <c r="E225" s="356"/>
      <c r="F225" s="356">
        <f>VLOOKUP(B205,Schlüssel!$A$5:$DZ$14,64)</f>
        <v>7</v>
      </c>
      <c r="G225" s="356"/>
      <c r="H225" s="356">
        <f>VLOOKUP(B205,Schlüssel!$A$5:$DZ$14,65)</f>
        <v>6</v>
      </c>
      <c r="I225" s="356"/>
      <c r="J225" s="356">
        <f>VLOOKUP(B205,Schlüssel!$A$5:$DZ$14,66)</f>
        <v>5</v>
      </c>
      <c r="K225" s="356"/>
      <c r="L225" s="356">
        <f>VLOOKUP(B205,Schlüssel!$A$5:$DZ$14,67)</f>
        <v>4</v>
      </c>
      <c r="M225" s="356"/>
      <c r="N225" s="356">
        <f>VLOOKUP(B205,Schlüssel!$A$5:$DZ$14,68)</f>
        <v>10</v>
      </c>
      <c r="O225" s="356"/>
      <c r="P225" s="356">
        <f>VLOOKUP(B205,Schlüssel!$A$5:$DZ$14,69)</f>
        <v>1</v>
      </c>
      <c r="Q225" s="356"/>
      <c r="R225" s="356">
        <f>VLOOKUP(B205,Schlüssel!$A$5:$DZ$14,70)</f>
        <v>9</v>
      </c>
      <c r="S225" s="356"/>
      <c r="T225" s="356">
        <f>VLOOKUP(B205,Schlüssel!$A$5:$DZ$14,71)</f>
        <v>2</v>
      </c>
      <c r="U225" s="356"/>
      <c r="V225" s="357"/>
      <c r="W225" s="357"/>
    </row>
    <row r="226" spans="1:29" ht="28.5" customHeight="1" x14ac:dyDescent="0.25">
      <c r="B226" s="90"/>
      <c r="C226" s="86"/>
      <c r="D226" s="358" t="str">
        <f>VLOOKUP(D225,Schlüssel!$A$5:$K$14,2)</f>
        <v>BK München 3</v>
      </c>
      <c r="E226" s="359"/>
      <c r="F226" s="358" t="str">
        <f>VLOOKUP(F225,Schlüssel!$A$5:$K$14,2)</f>
        <v>Schanzer Ingolstadt 1</v>
      </c>
      <c r="G226" s="359"/>
      <c r="H226" s="358" t="str">
        <f>VLOOKUP(H225,Schlüssel!$A$5:$K$14,2)</f>
        <v>SG Rottendorf 1</v>
      </c>
      <c r="I226" s="359"/>
      <c r="J226" s="358" t="str">
        <f>VLOOKUP(J225,Schlüssel!$A$5:$K$14,2)</f>
        <v>RW Lichtenhof Stein 1</v>
      </c>
      <c r="K226" s="359"/>
      <c r="L226" s="358" t="str">
        <f>VLOOKUP(L225,Schlüssel!$A$5:$K$14,2)</f>
        <v>SG DJK Rimpar</v>
      </c>
      <c r="M226" s="359"/>
      <c r="N226" s="358" t="str">
        <f>VLOOKUP(N225,Schlüssel!$A$5:$K$14,2)</f>
        <v>High Roller Rosenheim 1</v>
      </c>
      <c r="O226" s="359"/>
      <c r="P226" s="358" t="str">
        <f>VLOOKUP(P225,Schlüssel!$A$5:$K$14,2)</f>
        <v>BC Comet Nürnberg</v>
      </c>
      <c r="Q226" s="359"/>
      <c r="R226" s="358" t="str">
        <f>VLOOKUP(R225,Schlüssel!$A$5:$K$14,2)</f>
        <v>Bowlinghaus Bamberg 1</v>
      </c>
      <c r="S226" s="359"/>
      <c r="T226" s="358" t="str">
        <f>VLOOKUP(T225,Schlüssel!$A$5:$K$14,2)</f>
        <v>Bajuwaren München 1</v>
      </c>
      <c r="U226" s="359"/>
      <c r="V226" s="363"/>
      <c r="W226" s="363"/>
    </row>
    <row r="227" spans="1:29" ht="12" customHeight="1" x14ac:dyDescent="0.25">
      <c r="B227" s="90"/>
      <c r="C227" s="86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1"/>
      <c r="V227" s="298"/>
      <c r="W227" s="298"/>
    </row>
    <row r="228" spans="1:29" ht="15.9" customHeight="1" x14ac:dyDescent="0.25">
      <c r="B228" s="91" t="s">
        <v>0</v>
      </c>
      <c r="C228" s="92"/>
      <c r="D228" s="362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4"/>
      <c r="W228" s="364"/>
    </row>
    <row r="229" spans="1:29" ht="15.9" customHeight="1" x14ac:dyDescent="0.25">
      <c r="B229" s="91" t="s">
        <v>2</v>
      </c>
      <c r="C229" s="92"/>
      <c r="D229" s="362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4"/>
      <c r="W229" s="364"/>
    </row>
    <row r="230" spans="1:29" ht="15.9" customHeight="1" x14ac:dyDescent="0.25">
      <c r="B230" s="91" t="s">
        <v>3</v>
      </c>
      <c r="C230" s="92"/>
      <c r="D230" s="362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4"/>
      <c r="W230" s="364"/>
    </row>
    <row r="231" spans="1:29" ht="15.9" customHeight="1" x14ac:dyDescent="0.25">
      <c r="B231" s="91" t="s">
        <v>11</v>
      </c>
      <c r="C231" s="92"/>
      <c r="D231" s="362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4"/>
      <c r="W231" s="364"/>
    </row>
    <row r="232" spans="1:29" ht="15.9" customHeight="1" x14ac:dyDescent="0.25">
      <c r="B232" s="93" t="s">
        <v>1799</v>
      </c>
      <c r="C232" s="94"/>
      <c r="D232" s="365"/>
      <c r="E232" s="36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01"/>
      <c r="W232" s="30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5" t="str">
        <f>Schlüssel!$C$1</f>
        <v>Bayernliga Herren</v>
      </c>
      <c r="G233" s="345"/>
      <c r="H233" s="345"/>
      <c r="I233" s="345"/>
      <c r="J233" s="345"/>
      <c r="K233" s="345"/>
      <c r="L233" s="345"/>
      <c r="M233" s="345"/>
      <c r="N233" s="345"/>
      <c r="O233" s="345"/>
      <c r="P233" s="45"/>
      <c r="Q233" s="45"/>
      <c r="R233" s="48"/>
      <c r="S233" s="49" t="s">
        <v>1794</v>
      </c>
      <c r="T233" s="50"/>
      <c r="U233" s="341" t="str">
        <f>Schlüssel!$BU$1</f>
        <v>15.02./16.02.</v>
      </c>
      <c r="V233" s="342"/>
      <c r="W233" s="34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4" t="str">
        <f>Schlüssel!$BK$2</f>
        <v>Regensburg Super Bowl</v>
      </c>
      <c r="G234" s="344"/>
      <c r="H234" s="344"/>
      <c r="I234" s="344"/>
      <c r="J234" s="344"/>
      <c r="K234" s="344"/>
      <c r="L234" s="344"/>
      <c r="M234" s="344"/>
      <c r="N234" s="344"/>
      <c r="O234" s="344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VLOOKUP($B234,Schlüssel!$A$5:$DZ$14,73)</f>
        <v>5</v>
      </c>
      <c r="F236" s="65" t="s">
        <v>10</v>
      </c>
      <c r="G236" s="44">
        <f>VLOOKUP($B234,Schlüssel!$A$5:$DZ$14,74)</f>
        <v>2</v>
      </c>
      <c r="H236" s="65" t="s">
        <v>10</v>
      </c>
      <c r="I236" s="44">
        <f>VLOOKUP($B234,Schlüssel!$A$5:$DZ$14,75)</f>
        <v>3</v>
      </c>
      <c r="J236" s="65" t="s">
        <v>10</v>
      </c>
      <c r="K236" s="44">
        <f>VLOOKUP($B234,Schlüssel!$A$5:$DZ$14,76)</f>
        <v>8</v>
      </c>
      <c r="L236" s="65" t="s">
        <v>10</v>
      </c>
      <c r="M236" s="44">
        <f>VLOOKUP($B234,Schlüssel!$A$5:$DZ$14,77)</f>
        <v>10</v>
      </c>
      <c r="N236" s="65" t="s">
        <v>10</v>
      </c>
      <c r="O236" s="44">
        <f>VLOOKUP($B234,Schlüssel!$A$5:$DZ$14,78)</f>
        <v>6</v>
      </c>
      <c r="P236" s="65" t="s">
        <v>10</v>
      </c>
      <c r="Q236" s="44">
        <f>VLOOKUP($B234,Schlüssel!$A$5:$DZ$14,79)</f>
        <v>4</v>
      </c>
      <c r="R236" s="65" t="s">
        <v>10</v>
      </c>
      <c r="S236" s="44">
        <f>VLOOKUP($B234,Schlüssel!$A$5:$DZ$14,80)</f>
        <v>9</v>
      </c>
      <c r="T236" s="65" t="s">
        <v>10</v>
      </c>
      <c r="U236" s="66">
        <f>VLOOKUP($B234,Schlüssel!$A$5:$DZ$14,81)</f>
        <v>7</v>
      </c>
    </row>
    <row r="237" spans="1:29" ht="20.25" customHeight="1" x14ac:dyDescent="0.25">
      <c r="B237" s="67" t="s">
        <v>1</v>
      </c>
      <c r="C237" s="68"/>
      <c r="D237" s="346" t="s">
        <v>1800</v>
      </c>
      <c r="E237" s="347"/>
      <c r="F237" s="346" t="s">
        <v>1801</v>
      </c>
      <c r="G237" s="347"/>
      <c r="H237" s="346" t="s">
        <v>1802</v>
      </c>
      <c r="I237" s="347"/>
      <c r="J237" s="346" t="s">
        <v>1803</v>
      </c>
      <c r="K237" s="347"/>
      <c r="L237" s="346" t="s">
        <v>1804</v>
      </c>
      <c r="M237" s="347"/>
      <c r="N237" s="346" t="s">
        <v>1805</v>
      </c>
      <c r="O237" s="347"/>
      <c r="P237" s="346" t="s">
        <v>1806</v>
      </c>
      <c r="Q237" s="347"/>
      <c r="R237" s="346" t="s">
        <v>1807</v>
      </c>
      <c r="S237" s="347"/>
      <c r="T237" s="346" t="s">
        <v>1808</v>
      </c>
      <c r="U237" s="347"/>
      <c r="V237" s="354" t="s">
        <v>1799</v>
      </c>
      <c r="W237" s="355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3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3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3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3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6">
        <f>VLOOKUP(B234,Schlüssel!$A$5:$DZ$14,63)</f>
        <v>6</v>
      </c>
      <c r="E254" s="356"/>
      <c r="F254" s="356">
        <f>VLOOKUP(B234,Schlüssel!$A$5:$DZ$14,64)</f>
        <v>1</v>
      </c>
      <c r="G254" s="356"/>
      <c r="H254" s="356">
        <f>VLOOKUP(B234,Schlüssel!$A$5:$DZ$14,65)</f>
        <v>2</v>
      </c>
      <c r="I254" s="356"/>
      <c r="J254" s="356">
        <f>VLOOKUP(B234,Schlüssel!$A$5:$DZ$14,66)</f>
        <v>10</v>
      </c>
      <c r="K254" s="356"/>
      <c r="L254" s="356">
        <f>VLOOKUP(B234,Schlüssel!$A$5:$DZ$14,67)</f>
        <v>3</v>
      </c>
      <c r="M254" s="356"/>
      <c r="N254" s="356">
        <f>VLOOKUP(B234,Schlüssel!$A$5:$DZ$14,68)</f>
        <v>5</v>
      </c>
      <c r="O254" s="356"/>
      <c r="P254" s="356">
        <f>VLOOKUP(B234,Schlüssel!$A$5:$DZ$14,69)</f>
        <v>4</v>
      </c>
      <c r="Q254" s="356"/>
      <c r="R254" s="356">
        <f>VLOOKUP(B234,Schlüssel!$A$5:$DZ$14,70)</f>
        <v>8</v>
      </c>
      <c r="S254" s="356"/>
      <c r="T254" s="356">
        <f>VLOOKUP(B234,Schlüssel!$A$5:$DZ$14,71)</f>
        <v>7</v>
      </c>
      <c r="U254" s="356"/>
      <c r="V254" s="357"/>
      <c r="W254" s="357"/>
    </row>
    <row r="255" spans="1:23" ht="28.5" customHeight="1" x14ac:dyDescent="0.25">
      <c r="B255" s="90"/>
      <c r="C255" s="86"/>
      <c r="D255" s="358" t="str">
        <f>VLOOKUP(D254,Schlüssel!$A$5:$K$14,2)</f>
        <v>SG Rottendorf 1</v>
      </c>
      <c r="E255" s="359"/>
      <c r="F255" s="358" t="str">
        <f>VLOOKUP(F254,Schlüssel!$A$5:$K$14,2)</f>
        <v>BC Comet Nürnberg</v>
      </c>
      <c r="G255" s="359"/>
      <c r="H255" s="358" t="str">
        <f>VLOOKUP(H254,Schlüssel!$A$5:$K$14,2)</f>
        <v>Bajuwaren München 1</v>
      </c>
      <c r="I255" s="359"/>
      <c r="J255" s="358" t="str">
        <f>VLOOKUP(J254,Schlüssel!$A$5:$K$14,2)</f>
        <v>High Roller Rosenheim 1</v>
      </c>
      <c r="K255" s="359"/>
      <c r="L255" s="358" t="str">
        <f>VLOOKUP(L254,Schlüssel!$A$5:$K$14,2)</f>
        <v>BK München 3</v>
      </c>
      <c r="M255" s="359"/>
      <c r="N255" s="358" t="str">
        <f>VLOOKUP(N254,Schlüssel!$A$5:$K$14,2)</f>
        <v>RW Lichtenhof Stein 1</v>
      </c>
      <c r="O255" s="359"/>
      <c r="P255" s="358" t="str">
        <f>VLOOKUP(P254,Schlüssel!$A$5:$K$14,2)</f>
        <v>SG DJK Rimpar</v>
      </c>
      <c r="Q255" s="359"/>
      <c r="R255" s="358" t="str">
        <f>VLOOKUP(R254,Schlüssel!$A$5:$K$14,2)</f>
        <v>BC EMAX Unterföhring 2</v>
      </c>
      <c r="S255" s="359"/>
      <c r="T255" s="358" t="str">
        <f>VLOOKUP(T254,Schlüssel!$A$5:$K$14,2)</f>
        <v>Schanzer Ingolstadt 1</v>
      </c>
      <c r="U255" s="359"/>
      <c r="V255" s="363"/>
      <c r="W255" s="363"/>
    </row>
    <row r="256" spans="1:23" ht="12" customHeight="1" x14ac:dyDescent="0.25">
      <c r="B256" s="90"/>
      <c r="C256" s="86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1"/>
      <c r="V256" s="298"/>
      <c r="W256" s="298"/>
    </row>
    <row r="257" spans="1:29" ht="15.9" customHeight="1" x14ac:dyDescent="0.25">
      <c r="B257" s="91" t="s">
        <v>0</v>
      </c>
      <c r="C257" s="92"/>
      <c r="D257" s="362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4"/>
      <c r="W257" s="364"/>
    </row>
    <row r="258" spans="1:29" ht="15.9" customHeight="1" x14ac:dyDescent="0.25">
      <c r="B258" s="91" t="s">
        <v>2</v>
      </c>
      <c r="C258" s="92"/>
      <c r="D258" s="362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4"/>
      <c r="W258" s="364"/>
    </row>
    <row r="259" spans="1:29" ht="15.9" customHeight="1" x14ac:dyDescent="0.25">
      <c r="B259" s="91" t="s">
        <v>3</v>
      </c>
      <c r="C259" s="92"/>
      <c r="D259" s="362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4"/>
      <c r="W259" s="364"/>
    </row>
    <row r="260" spans="1:29" ht="15.9" customHeight="1" x14ac:dyDescent="0.25">
      <c r="B260" s="91" t="s">
        <v>11</v>
      </c>
      <c r="C260" s="9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4"/>
      <c r="W260" s="364"/>
    </row>
    <row r="261" spans="1:29" ht="15.9" customHeight="1" x14ac:dyDescent="0.25">
      <c r="B261" s="93" t="s">
        <v>1799</v>
      </c>
      <c r="C261" s="94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01"/>
      <c r="W261" s="30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5" t="str">
        <f>Schlüssel!$C$1</f>
        <v>Bayernliga Herren</v>
      </c>
      <c r="G262" s="345"/>
      <c r="H262" s="345"/>
      <c r="I262" s="345"/>
      <c r="J262" s="345"/>
      <c r="K262" s="345"/>
      <c r="L262" s="345"/>
      <c r="M262" s="345"/>
      <c r="N262" s="345"/>
      <c r="O262" s="345"/>
      <c r="P262" s="45"/>
      <c r="Q262" s="45"/>
      <c r="R262" s="48"/>
      <c r="S262" s="49" t="s">
        <v>1794</v>
      </c>
      <c r="T262" s="50"/>
      <c r="U262" s="341" t="str">
        <f>Schlüssel!$BU$1</f>
        <v>15.02./16.02.</v>
      </c>
      <c r="V262" s="342"/>
      <c r="W262" s="34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4" t="str">
        <f>Schlüssel!$BK$2</f>
        <v>Regensburg Super Bowl</v>
      </c>
      <c r="G263" s="344"/>
      <c r="H263" s="344"/>
      <c r="I263" s="344"/>
      <c r="J263" s="344"/>
      <c r="K263" s="344"/>
      <c r="L263" s="344"/>
      <c r="M263" s="344"/>
      <c r="N263" s="344"/>
      <c r="O263" s="344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VLOOKUP($B263,Schlüssel!$A$5:$DZ$14,73)</f>
        <v>10</v>
      </c>
      <c r="F265" s="65" t="s">
        <v>10</v>
      </c>
      <c r="G265" s="44">
        <f>VLOOKUP($B263,Schlüssel!$A$5:$DZ$14,74)</f>
        <v>3</v>
      </c>
      <c r="H265" s="65" t="s">
        <v>10</v>
      </c>
      <c r="I265" s="44">
        <f>VLOOKUP($B263,Schlüssel!$A$5:$DZ$14,75)</f>
        <v>2</v>
      </c>
      <c r="J265" s="65" t="s">
        <v>10</v>
      </c>
      <c r="K265" s="44">
        <f>VLOOKUP($B263,Schlüssel!$A$5:$DZ$14,76)</f>
        <v>7</v>
      </c>
      <c r="L265" s="65" t="s">
        <v>10</v>
      </c>
      <c r="M265" s="44">
        <f>VLOOKUP($B263,Schlüssel!$A$5:$DZ$14,77)</f>
        <v>4</v>
      </c>
      <c r="N265" s="65" t="s">
        <v>10</v>
      </c>
      <c r="O265" s="44">
        <f>VLOOKUP($B263,Schlüssel!$A$5:$DZ$14,78)</f>
        <v>8</v>
      </c>
      <c r="P265" s="65" t="s">
        <v>10</v>
      </c>
      <c r="Q265" s="44">
        <f>VLOOKUP($B263,Schlüssel!$A$5:$DZ$14,79)</f>
        <v>6</v>
      </c>
      <c r="R265" s="65" t="s">
        <v>10</v>
      </c>
      <c r="S265" s="44">
        <f>VLOOKUP($B263,Schlüssel!$A$5:$DZ$14,80)</f>
        <v>1</v>
      </c>
      <c r="T265" s="65" t="s">
        <v>10</v>
      </c>
      <c r="U265" s="66">
        <f>VLOOKUP($B263,Schlüssel!$A$5:$DZ$14,81)</f>
        <v>9</v>
      </c>
    </row>
    <row r="266" spans="1:29" ht="20.25" customHeight="1" x14ac:dyDescent="0.25">
      <c r="B266" s="67" t="s">
        <v>1</v>
      </c>
      <c r="C266" s="68"/>
      <c r="D266" s="346" t="s">
        <v>1800</v>
      </c>
      <c r="E266" s="347"/>
      <c r="F266" s="346" t="s">
        <v>1801</v>
      </c>
      <c r="G266" s="347"/>
      <c r="H266" s="346" t="s">
        <v>1802</v>
      </c>
      <c r="I266" s="347"/>
      <c r="J266" s="346" t="s">
        <v>1803</v>
      </c>
      <c r="K266" s="347"/>
      <c r="L266" s="346" t="s">
        <v>1804</v>
      </c>
      <c r="M266" s="347"/>
      <c r="N266" s="346" t="s">
        <v>1805</v>
      </c>
      <c r="O266" s="347"/>
      <c r="P266" s="346" t="s">
        <v>1806</v>
      </c>
      <c r="Q266" s="347"/>
      <c r="R266" s="346" t="s">
        <v>1807</v>
      </c>
      <c r="S266" s="347"/>
      <c r="T266" s="346" t="s">
        <v>1808</v>
      </c>
      <c r="U266" s="347"/>
      <c r="V266" s="354" t="s">
        <v>1799</v>
      </c>
      <c r="W266" s="355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3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3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3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3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6">
        <f>VLOOKUP(B263,Schlüssel!$A$5:$DZ$14,63)</f>
        <v>1</v>
      </c>
      <c r="E283" s="356"/>
      <c r="F283" s="356">
        <f>VLOOKUP(B263,Schlüssel!$A$5:$DZ$14,64)</f>
        <v>6</v>
      </c>
      <c r="G283" s="356"/>
      <c r="H283" s="356">
        <f>VLOOKUP(B263,Schlüssel!$A$5:$DZ$14,65)</f>
        <v>4</v>
      </c>
      <c r="I283" s="356"/>
      <c r="J283" s="356">
        <f>VLOOKUP(B263,Schlüssel!$A$5:$DZ$14,66)</f>
        <v>9</v>
      </c>
      <c r="K283" s="356"/>
      <c r="L283" s="356">
        <f>VLOOKUP(B263,Schlüssel!$A$5:$DZ$14,67)</f>
        <v>5</v>
      </c>
      <c r="M283" s="356"/>
      <c r="N283" s="356">
        <f>VLOOKUP(B263,Schlüssel!$A$5:$DZ$14,68)</f>
        <v>8</v>
      </c>
      <c r="O283" s="356"/>
      <c r="P283" s="356">
        <f>VLOOKUP(B263,Schlüssel!$A$5:$DZ$14,69)</f>
        <v>7</v>
      </c>
      <c r="Q283" s="356"/>
      <c r="R283" s="356">
        <f>VLOOKUP(B263,Schlüssel!$A$5:$DZ$14,70)</f>
        <v>2</v>
      </c>
      <c r="S283" s="356"/>
      <c r="T283" s="356">
        <f>VLOOKUP(B263,Schlüssel!$A$5:$DZ$14,71)</f>
        <v>3</v>
      </c>
      <c r="U283" s="356"/>
      <c r="V283" s="357"/>
      <c r="W283" s="357"/>
    </row>
    <row r="284" spans="1:23" ht="28.5" customHeight="1" x14ac:dyDescent="0.25">
      <c r="B284" s="90"/>
      <c r="C284" s="86"/>
      <c r="D284" s="358" t="str">
        <f>VLOOKUP(D283,Schlüssel!$A$5:$K$14,2)</f>
        <v>BC Comet Nürnberg</v>
      </c>
      <c r="E284" s="359"/>
      <c r="F284" s="358" t="str">
        <f>VLOOKUP(F283,Schlüssel!$A$5:$K$14,2)</f>
        <v>SG Rottendorf 1</v>
      </c>
      <c r="G284" s="359"/>
      <c r="H284" s="358" t="str">
        <f>VLOOKUP(H283,Schlüssel!$A$5:$K$14,2)</f>
        <v>SG DJK Rimpar</v>
      </c>
      <c r="I284" s="359"/>
      <c r="J284" s="358" t="str">
        <f>VLOOKUP(J283,Schlüssel!$A$5:$K$14,2)</f>
        <v>Bowlinghaus Bamberg 1</v>
      </c>
      <c r="K284" s="359"/>
      <c r="L284" s="358" t="str">
        <f>VLOOKUP(L283,Schlüssel!$A$5:$K$14,2)</f>
        <v>RW Lichtenhof Stein 1</v>
      </c>
      <c r="M284" s="359"/>
      <c r="N284" s="358" t="str">
        <f>VLOOKUP(N283,Schlüssel!$A$5:$K$14,2)</f>
        <v>BC EMAX Unterföhring 2</v>
      </c>
      <c r="O284" s="359"/>
      <c r="P284" s="358" t="str">
        <f>VLOOKUP(P283,Schlüssel!$A$5:$K$14,2)</f>
        <v>Schanzer Ingolstadt 1</v>
      </c>
      <c r="Q284" s="359"/>
      <c r="R284" s="358" t="str">
        <f>VLOOKUP(R283,Schlüssel!$A$5:$K$14,2)</f>
        <v>Bajuwaren München 1</v>
      </c>
      <c r="S284" s="359"/>
      <c r="T284" s="358" t="str">
        <f>VLOOKUP(T283,Schlüssel!$A$5:$K$14,2)</f>
        <v>BK München 3</v>
      </c>
      <c r="U284" s="359"/>
      <c r="V284" s="363"/>
      <c r="W284" s="363"/>
    </row>
    <row r="285" spans="1:23" ht="12" customHeight="1" x14ac:dyDescent="0.25">
      <c r="B285" s="90"/>
      <c r="C285" s="86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0"/>
      <c r="O285" s="360"/>
      <c r="P285" s="360"/>
      <c r="Q285" s="360"/>
      <c r="R285" s="360"/>
      <c r="S285" s="360"/>
      <c r="T285" s="360"/>
      <c r="U285" s="361"/>
      <c r="V285" s="298"/>
      <c r="W285" s="298"/>
    </row>
    <row r="286" spans="1:23" ht="15.9" customHeight="1" x14ac:dyDescent="0.25">
      <c r="B286" s="91" t="s">
        <v>0</v>
      </c>
      <c r="C286" s="92"/>
      <c r="D286" s="362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4"/>
      <c r="W286" s="364"/>
    </row>
    <row r="287" spans="1:23" ht="15.9" customHeight="1" x14ac:dyDescent="0.25">
      <c r="B287" s="91" t="s">
        <v>2</v>
      </c>
      <c r="C287" s="92"/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4"/>
      <c r="W287" s="364"/>
    </row>
    <row r="288" spans="1:23" ht="15.9" customHeight="1" x14ac:dyDescent="0.25">
      <c r="B288" s="91" t="s">
        <v>3</v>
      </c>
      <c r="C288" s="92"/>
      <c r="D288" s="36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4"/>
      <c r="W288" s="364"/>
    </row>
    <row r="289" spans="2:23" ht="15.9" customHeight="1" x14ac:dyDescent="0.25">
      <c r="B289" s="91" t="s">
        <v>11</v>
      </c>
      <c r="C289" s="92"/>
      <c r="D289" s="36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4"/>
      <c r="W289" s="364"/>
    </row>
    <row r="290" spans="2:23" ht="15.9" customHeight="1" x14ac:dyDescent="0.25">
      <c r="B290" s="93" t="s">
        <v>1799</v>
      </c>
      <c r="C290" s="94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01"/>
      <c r="W290" s="301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view="pageBreakPreview" topLeftCell="Z207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6" width="5.6640625" hidden="1" customWidth="1"/>
    <col min="7" max="7" width="7.77734375" customWidth="1"/>
    <col min="8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5" t="str">
        <f>AE1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48"/>
      <c r="S1" s="49" t="s">
        <v>1794</v>
      </c>
      <c r="T1" s="50"/>
      <c r="U1" s="341" t="str">
        <f>AT1</f>
        <v>15.02./16.02.</v>
      </c>
      <c r="V1" s="342"/>
      <c r="W1" s="343"/>
      <c r="X1" s="372"/>
      <c r="Y1" s="373"/>
      <c r="Z1" s="373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41" t="str">
        <f>VLOOKUP(AS2,Spielorte!$A$1:$C$6,2)</f>
        <v>15.02./16.02.</v>
      </c>
      <c r="AU1" s="342"/>
      <c r="AV1" s="34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4" t="str">
        <f>AE2</f>
        <v>Regensburg Super Bowl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9</v>
      </c>
      <c r="AE4" s="65" t="s">
        <v>10</v>
      </c>
      <c r="AF4" s="44">
        <f>VLOOKUP(AA2,Schlüssel!$A$5:$DZ$14,74)</f>
        <v>1</v>
      </c>
      <c r="AG4" s="65" t="s">
        <v>10</v>
      </c>
      <c r="AH4" s="44">
        <f>VLOOKUP(AA2,Schlüssel!$A$5:$DZ$14,75)</f>
        <v>5</v>
      </c>
      <c r="AI4" s="65" t="s">
        <v>10</v>
      </c>
      <c r="AJ4" s="44">
        <f>VLOOKUP(AA2,Schlüssel!$A$5:$DZ$14,76)</f>
        <v>10</v>
      </c>
      <c r="AK4" s="65" t="s">
        <v>10</v>
      </c>
      <c r="AL4" s="44">
        <f>VLOOKUP(AA2,Schlüssel!$A$5:$DZ$14,77)</f>
        <v>7</v>
      </c>
      <c r="AM4" s="65" t="s">
        <v>10</v>
      </c>
      <c r="AN4" s="44">
        <f>VLOOKUP(AA2,Schlüssel!$A$5:$DZ$14,78)</f>
        <v>4</v>
      </c>
      <c r="AO4" s="65" t="s">
        <v>10</v>
      </c>
      <c r="AP4" s="44">
        <f>VLOOKUP(AA2,Schlüssel!$A$5:$DZ$14,79)</f>
        <v>2</v>
      </c>
      <c r="AQ4" s="65" t="s">
        <v>10</v>
      </c>
      <c r="AR4" s="44">
        <f>VLOOKUP(AA2,Schlüssel!$A$5:$DZ$14,80)</f>
        <v>6</v>
      </c>
      <c r="AS4" s="65" t="s">
        <v>10</v>
      </c>
      <c r="AT4" s="44">
        <f>VLOOKUP(AA2,Schlüssel!$A$5:$DZ$14,81)</f>
        <v>3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6" t="s">
        <v>0</v>
      </c>
      <c r="B7" s="73" t="str">
        <f>IF(AA7=0,"",AA7)</f>
        <v>Schlick, Christian</v>
      </c>
      <c r="C7" s="74">
        <f>IF(AB7=0,"",AB7)</f>
        <v>7724</v>
      </c>
      <c r="D7" s="75">
        <f>IF(AC7=0,"",AC7)</f>
        <v>236</v>
      </c>
      <c r="E7" s="348">
        <f>IF(AD7="","",AD7)</f>
        <v>1</v>
      </c>
      <c r="F7" s="75">
        <f t="shared" ref="F7:F20" si="0">IF(AE7=0,"",AE7)</f>
        <v>231</v>
      </c>
      <c r="G7" s="348">
        <f>IF(AF7="","",AF7)</f>
        <v>1</v>
      </c>
      <c r="H7" s="75">
        <f t="shared" ref="H7:H20" si="1">IF(AG7=0,"",AG7)</f>
        <v>164</v>
      </c>
      <c r="I7" s="348">
        <f>IF(AH7="","",AH7)</f>
        <v>1</v>
      </c>
      <c r="J7" s="75">
        <f t="shared" ref="J7:J20" si="2">IF(AI7=0,"",AI7)</f>
        <v>203</v>
      </c>
      <c r="K7" s="348">
        <f>IF(AJ7="","",AJ7)</f>
        <v>1</v>
      </c>
      <c r="L7" s="75">
        <f t="shared" ref="L7:L20" si="3">IF(AK7=0,"",AK7)</f>
        <v>192</v>
      </c>
      <c r="M7" s="348">
        <f>IF(AL7="","",AL7)</f>
        <v>1</v>
      </c>
      <c r="N7" s="75">
        <f>IF(AM7=0,"",AM7)</f>
        <v>216</v>
      </c>
      <c r="O7" s="348">
        <f>IF(AN7="","",AN7)</f>
        <v>1</v>
      </c>
      <c r="P7" s="75">
        <f t="shared" ref="P7:P20" si="4">IF(AO7=0,"",AO7)</f>
        <v>172</v>
      </c>
      <c r="Q7" s="348">
        <f>IF(AP7="","",AP7)</f>
        <v>1</v>
      </c>
      <c r="R7" s="75">
        <f t="shared" ref="R7:R20" si="5">IF(AQ7=0,"",AQ7)</f>
        <v>202</v>
      </c>
      <c r="S7" s="348">
        <f>IF(AR7="","",AR7)</f>
        <v>0</v>
      </c>
      <c r="T7" s="75">
        <f t="shared" ref="T7:T20" si="6">IF(AS7=0,"",AS7)</f>
        <v>183</v>
      </c>
      <c r="U7" s="348">
        <f>IF(AT7="","",AT7)</f>
        <v>1</v>
      </c>
      <c r="V7" s="75">
        <f t="shared" ref="V7:V20" si="7">IF(AU7=0,"",AU7)</f>
        <v>1799</v>
      </c>
      <c r="W7" s="348">
        <f>IF(AV7="","",AV7)</f>
        <v>8</v>
      </c>
      <c r="Z7" s="351" t="s">
        <v>0</v>
      </c>
      <c r="AA7" s="108" t="str">
        <f>IF(AB7=0,"",VLOOKUP(AB7,Starter!$A$1:$D$199,2,FALSE))</f>
        <v>Schlick, Christian</v>
      </c>
      <c r="AB7" s="99">
        <v>7724</v>
      </c>
      <c r="AC7" s="185">
        <v>236</v>
      </c>
      <c r="AD7" s="109">
        <f>IF(SUM(AC7:AC9)+AC25=0,0,IF(SUM(AC7:AC9)=AC25,0.5,IF(SUM(AC7:AC9)&gt;AC25,1,0)))</f>
        <v>1</v>
      </c>
      <c r="AE7" s="185">
        <v>231</v>
      </c>
      <c r="AF7" s="109">
        <f>IF(SUM(AE7:AE9)+AE25=0,0,IF(SUM(AE7:AE9)=AE25,0.5,IF(SUM(AE7:AE9)&gt;AE25,1,0)))</f>
        <v>1</v>
      </c>
      <c r="AG7" s="185">
        <v>164</v>
      </c>
      <c r="AH7" s="109">
        <f>IF(SUM(AG7:AG9)+AG25=0,0,IF(SUM(AG7:AG9)=AG25,0.5,IF(SUM(AG7:AG9)&gt;AG25,1,0)))</f>
        <v>1</v>
      </c>
      <c r="AI7" s="185">
        <v>203</v>
      </c>
      <c r="AJ7" s="109">
        <f>IF(SUM(AI7:AI9)+AI25=0,0,IF(SUM(AI7:AI9)=AI25,0.5,IF(SUM(AI7:AI9)&gt;AI25,1,0)))</f>
        <v>1</v>
      </c>
      <c r="AK7" s="185">
        <v>192</v>
      </c>
      <c r="AL7" s="109">
        <f>IF(SUM(AK7:AK9)+AK25=0,0,IF(SUM(AK7:AK9)=AK25,0.5,IF(SUM(AK7:AK9)&gt;AK25,1,0)))</f>
        <v>1</v>
      </c>
      <c r="AM7" s="185">
        <v>216</v>
      </c>
      <c r="AN7" s="109">
        <f>IF(SUM(AM7:AM9)+AM25=0,0,IF(SUM(AM7:AM9)=AM25,0.5,IF(SUM(AM7:AM9)&gt;AM25,1,0)))</f>
        <v>1</v>
      </c>
      <c r="AO7" s="185">
        <v>172</v>
      </c>
      <c r="AP7" s="109">
        <f>IF(SUM(AO7:AO9)+AO25=0,0,IF(SUM(AO7:AO9)=AO25,0.5,IF(SUM(AO7:AO9)&gt;AO25,1,0)))</f>
        <v>1</v>
      </c>
      <c r="AQ7" s="185">
        <v>202</v>
      </c>
      <c r="AR7" s="109">
        <f>IF(SUM(AQ7:AQ9)+AQ25=0,0,IF(SUM(AQ7:AQ9)=AQ25,0.5,IF(SUM(AQ7:AQ9)&gt;AQ25,1,0)))</f>
        <v>0</v>
      </c>
      <c r="AS7" s="185">
        <v>183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1799</v>
      </c>
      <c r="AV7" s="111">
        <f>SUM(AD7+AF7+AH7+AJ7+AL7+AN7+AP7+AR7+AT7)</f>
        <v>8</v>
      </c>
      <c r="AW7" s="101"/>
      <c r="AX7" s="102"/>
      <c r="AZ7" s="63"/>
      <c r="BA7" s="212"/>
      <c r="BB7" s="213"/>
      <c r="BC7" s="214"/>
      <c r="BD7" s="217">
        <f>+AB7</f>
        <v>7724</v>
      </c>
      <c r="BE7" s="213">
        <f>+AU7</f>
        <v>1799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236</v>
      </c>
      <c r="BI7" s="215">
        <f t="shared" ref="BI7:BI18" si="10">IF(AE7=0,"",AE7)</f>
        <v>231</v>
      </c>
      <c r="BJ7" s="215">
        <f t="shared" ref="BJ7:BJ18" si="11">IF(AG7=0,"",AG7)</f>
        <v>164</v>
      </c>
      <c r="BK7" s="215">
        <f t="shared" ref="BK7:BK18" si="12">IF(AI7=0,"",AI7)</f>
        <v>203</v>
      </c>
      <c r="BL7" s="215">
        <f t="shared" ref="BL7:BL18" si="13">IF(AK7=0,"",AK7)</f>
        <v>192</v>
      </c>
      <c r="BM7" s="215">
        <f t="shared" ref="BM7:BM18" si="14">IF(AM7=0,"",AM7)</f>
        <v>216</v>
      </c>
      <c r="BN7" s="215">
        <f t="shared" ref="BN7:BN18" si="15">IF(AO7=0,"",AO7)</f>
        <v>172</v>
      </c>
      <c r="BO7" s="215">
        <f t="shared" ref="BO7:BO18" si="16">IF(AQ7=0,"",AQ7)</f>
        <v>202</v>
      </c>
      <c r="BP7" s="215">
        <f t="shared" ref="BP7:BP18" si="17">IF(AS7=0,"",AS7)</f>
        <v>183</v>
      </c>
      <c r="BQ7" s="216"/>
      <c r="BR7" s="214"/>
      <c r="BS7" s="215">
        <f>MAX(BH7:BP7)</f>
        <v>236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1799</v>
      </c>
      <c r="BX7" s="215">
        <f>IF(COUNTIF(BH7:BP7,"&gt;0")&lt;Spielorte!$A$23,0,BE7/Spielorte!$A$23)</f>
        <v>199.88888888888889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7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8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6" t="s">
        <v>2</v>
      </c>
      <c r="B10" s="73" t="str">
        <f t="shared" si="19"/>
        <v>Fischbach, Max</v>
      </c>
      <c r="C10" s="74">
        <f t="shared" si="19"/>
        <v>16245</v>
      </c>
      <c r="D10" s="75">
        <f t="shared" si="19"/>
        <v>161</v>
      </c>
      <c r="E10" s="348">
        <f>IF(AD10="","",AD10)</f>
        <v>0</v>
      </c>
      <c r="F10" s="75">
        <f t="shared" si="0"/>
        <v>198</v>
      </c>
      <c r="G10" s="348">
        <f>IF(AF10="","",AF10)</f>
        <v>1</v>
      </c>
      <c r="H10" s="75">
        <f t="shared" si="1"/>
        <v>175</v>
      </c>
      <c r="I10" s="348">
        <f>IF(AH10="","",AH10)</f>
        <v>1</v>
      </c>
      <c r="J10" s="75">
        <f t="shared" si="2"/>
        <v>149</v>
      </c>
      <c r="K10" s="348">
        <f>IF(AJ10="","",AJ10)</f>
        <v>0</v>
      </c>
      <c r="L10" s="75" t="str">
        <f t="shared" si="3"/>
        <v/>
      </c>
      <c r="M10" s="348">
        <f>IF(AL10="","",AL10)</f>
        <v>0</v>
      </c>
      <c r="N10" s="75" t="str">
        <f t="shared" si="20"/>
        <v/>
      </c>
      <c r="O10" s="348">
        <f>IF(AN10="","",AN10)</f>
        <v>1</v>
      </c>
      <c r="P10" s="75" t="str">
        <f t="shared" si="4"/>
        <v/>
      </c>
      <c r="Q10" s="348">
        <f>IF(AP10="","",AP10)</f>
        <v>1</v>
      </c>
      <c r="R10" s="75" t="str">
        <f t="shared" si="5"/>
        <v/>
      </c>
      <c r="S10" s="348">
        <f>IF(AR10="","",AR10)</f>
        <v>1</v>
      </c>
      <c r="T10" s="75" t="str">
        <f t="shared" si="6"/>
        <v/>
      </c>
      <c r="U10" s="348">
        <f>IF(AT10="","",AT10)</f>
        <v>1</v>
      </c>
      <c r="V10" s="75">
        <f t="shared" si="7"/>
        <v>683</v>
      </c>
      <c r="W10" s="348">
        <f>IF(AV10="","",AV10)</f>
        <v>6</v>
      </c>
      <c r="Z10" s="351" t="s">
        <v>2</v>
      </c>
      <c r="AA10" s="108" t="str">
        <f>IF(AB10=0,"",VLOOKUP(AB10,Starter!$A$1:$D$199,2,FALSE))</f>
        <v>Fischbach, Max</v>
      </c>
      <c r="AB10" s="99">
        <v>16245</v>
      </c>
      <c r="AC10" s="188">
        <v>161</v>
      </c>
      <c r="AD10" s="109">
        <f>IF(SUM(AC10:AC12)+AC26=0,0,IF(SUM(AC10:AC12)=AC26,0.5,IF(SUM(AC10:AC12)&gt;AC26,1,0)))</f>
        <v>0</v>
      </c>
      <c r="AE10" s="188">
        <v>198</v>
      </c>
      <c r="AF10" s="109">
        <f>IF(SUM(AE10:AE12)+AE26=0,0,IF(SUM(AE10:AE12)=AE26,0.5,IF(SUM(AE10:AE12)&gt;AE26,1,0)))</f>
        <v>1</v>
      </c>
      <c r="AG10" s="188">
        <v>175</v>
      </c>
      <c r="AH10" s="109">
        <f>IF(SUM(AG10:AG12)+AG26=0,0,IF(SUM(AG10:AG12)=AG26,0.5,IF(SUM(AG10:AG12)&gt;AG26,1,0)))</f>
        <v>1</v>
      </c>
      <c r="AI10" s="188">
        <v>149</v>
      </c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1</v>
      </c>
      <c r="AO10" s="188"/>
      <c r="AP10" s="109">
        <f>IF(SUM(AO10:AO12)+AO26=0,0,IF(SUM(AO10:AO12)=AO26,0.5,IF(SUM(AO10:AO12)&gt;AO26,1,0)))</f>
        <v>1</v>
      </c>
      <c r="AQ10" s="188"/>
      <c r="AR10" s="109">
        <f>IF(SUM(AQ10:AQ12)+AQ26=0,0,IF(SUM(AQ10:AQ12)=AQ26,0.5,IF(SUM(AQ10:AQ12)&gt;AQ26,1,0)))</f>
        <v>1</v>
      </c>
      <c r="AS10" s="188"/>
      <c r="AT10" s="109">
        <f>IF(SUM(AS10:AS12)+AS26=0,0,IF(SUM(AS10:AS12)=AS26,0.5,IF(SUM(AS10:AS12)&gt;AS26,1,0)))</f>
        <v>1</v>
      </c>
      <c r="AU10" s="110">
        <f t="shared" si="8"/>
        <v>683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16245</v>
      </c>
      <c r="BE10" s="213">
        <f t="shared" si="22"/>
        <v>683</v>
      </c>
      <c r="BF10" s="215">
        <f t="shared" si="23"/>
        <v>4</v>
      </c>
      <c r="BG10" s="215">
        <f t="shared" si="24"/>
        <v>4</v>
      </c>
      <c r="BH10" s="215">
        <f t="shared" si="9"/>
        <v>161</v>
      </c>
      <c r="BI10" s="215">
        <f t="shared" si="10"/>
        <v>198</v>
      </c>
      <c r="BJ10" s="215">
        <f t="shared" si="11"/>
        <v>175</v>
      </c>
      <c r="BK10" s="215">
        <f t="shared" si="12"/>
        <v>149</v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198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683</v>
      </c>
      <c r="BX10" s="215">
        <f>IF(COUNTIF(BH10:BP10,"&gt;0")&lt;Spielorte!$A$23,0,BE10/Spielorte!$A$23)</f>
        <v>0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7"/>
      <c r="B11" s="76" t="str">
        <f t="shared" si="19"/>
        <v>Mittelmaier, Andreas</v>
      </c>
      <c r="C11" s="77">
        <f t="shared" si="19"/>
        <v>16896</v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>
        <f t="shared" si="3"/>
        <v>171</v>
      </c>
      <c r="M11" s="349"/>
      <c r="N11" s="78">
        <f t="shared" si="20"/>
        <v>193</v>
      </c>
      <c r="O11" s="349"/>
      <c r="P11" s="78">
        <f t="shared" si="4"/>
        <v>204</v>
      </c>
      <c r="Q11" s="349"/>
      <c r="R11" s="78">
        <f t="shared" si="5"/>
        <v>207</v>
      </c>
      <c r="S11" s="349"/>
      <c r="T11" s="78">
        <f t="shared" si="6"/>
        <v>197</v>
      </c>
      <c r="U11" s="349"/>
      <c r="V11" s="78">
        <f t="shared" si="7"/>
        <v>972</v>
      </c>
      <c r="W11" s="349"/>
      <c r="Z11" s="352"/>
      <c r="AA11" s="108" t="str">
        <f>IF(AB11=0,"",VLOOKUP(AB11,Starter!$A$1:$D$199,2,FALSE))</f>
        <v>Mittelmaier, Andreas</v>
      </c>
      <c r="AB11" s="98">
        <v>16896</v>
      </c>
      <c r="AC11" s="186"/>
      <c r="AD11" s="112"/>
      <c r="AE11" s="186"/>
      <c r="AF11" s="112"/>
      <c r="AG11" s="186"/>
      <c r="AH11" s="112"/>
      <c r="AI11" s="186"/>
      <c r="AJ11" s="112"/>
      <c r="AK11" s="186">
        <v>171</v>
      </c>
      <c r="AL11" s="112"/>
      <c r="AM11" s="186">
        <v>193</v>
      </c>
      <c r="AN11" s="112"/>
      <c r="AO11" s="190">
        <v>204</v>
      </c>
      <c r="AP11" s="112"/>
      <c r="AQ11" s="190">
        <v>207</v>
      </c>
      <c r="AR11" s="112"/>
      <c r="AS11" s="190">
        <v>197</v>
      </c>
      <c r="AT11" s="112"/>
      <c r="AU11" s="113">
        <f t="shared" si="8"/>
        <v>972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16896</v>
      </c>
      <c r="BE11" s="213">
        <f t="shared" si="22"/>
        <v>972</v>
      </c>
      <c r="BF11" s="215">
        <f t="shared" si="23"/>
        <v>5</v>
      </c>
      <c r="BG11" s="215">
        <f t="shared" si="24"/>
        <v>5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>
        <f t="shared" si="13"/>
        <v>171</v>
      </c>
      <c r="BM11" s="215">
        <f t="shared" si="14"/>
        <v>193</v>
      </c>
      <c r="BN11" s="215">
        <f t="shared" si="15"/>
        <v>204</v>
      </c>
      <c r="BO11" s="215">
        <f t="shared" si="16"/>
        <v>207</v>
      </c>
      <c r="BP11" s="215">
        <f t="shared" si="17"/>
        <v>197</v>
      </c>
      <c r="BQ11" s="216"/>
      <c r="BR11" s="214"/>
      <c r="BS11" s="215">
        <f t="shared" si="25"/>
        <v>207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972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8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6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173</v>
      </c>
      <c r="E13" s="348">
        <f>IF(AD13="","",AD13)</f>
        <v>0</v>
      </c>
      <c r="F13" s="75">
        <f t="shared" si="0"/>
        <v>193</v>
      </c>
      <c r="G13" s="348">
        <f>IF(AF13="","",AF13)</f>
        <v>0</v>
      </c>
      <c r="H13" s="75">
        <f t="shared" si="1"/>
        <v>201</v>
      </c>
      <c r="I13" s="348">
        <f>IF(AH13="","",AH13)</f>
        <v>1</v>
      </c>
      <c r="J13" s="75">
        <f t="shared" si="2"/>
        <v>168</v>
      </c>
      <c r="K13" s="348">
        <f>IF(AJ13="","",AJ13)</f>
        <v>0</v>
      </c>
      <c r="L13" s="75">
        <f t="shared" si="3"/>
        <v>180</v>
      </c>
      <c r="M13" s="348">
        <f>IF(AL13="","",AL13)</f>
        <v>1</v>
      </c>
      <c r="N13" s="75">
        <f t="shared" si="20"/>
        <v>183</v>
      </c>
      <c r="O13" s="348">
        <f>IF(AN13="","",AN13)</f>
        <v>1</v>
      </c>
      <c r="P13" s="75">
        <f t="shared" si="4"/>
        <v>199</v>
      </c>
      <c r="Q13" s="348">
        <f>IF(AP13="","",AP13)</f>
        <v>1</v>
      </c>
      <c r="R13" s="75">
        <f t="shared" si="5"/>
        <v>207</v>
      </c>
      <c r="S13" s="348">
        <f>IF(AR13="","",AR13)</f>
        <v>0</v>
      </c>
      <c r="T13" s="75">
        <f t="shared" si="6"/>
        <v>193</v>
      </c>
      <c r="U13" s="348">
        <f>IF(AT13="","",AT13)</f>
        <v>1</v>
      </c>
      <c r="V13" s="75">
        <f t="shared" si="7"/>
        <v>1697</v>
      </c>
      <c r="W13" s="348">
        <f>IF(AV13="","",AV13)</f>
        <v>5</v>
      </c>
      <c r="Z13" s="351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173</v>
      </c>
      <c r="AD13" s="109">
        <f>IF(SUM(AC13:AC15)+AC27=0,0,IF(SUM(AC13:AC15)=AC27,0.5,IF(SUM(AC13:AC15)&gt;AC27,1,0)))</f>
        <v>0</v>
      </c>
      <c r="AE13" s="188">
        <v>193</v>
      </c>
      <c r="AF13" s="109">
        <f>IF(SUM(AE13:AE15)+AE27=0,0,IF(SUM(AE13:AE15)=AE27,0.5,IF(SUM(AE13:AE15)&gt;AE27,1,0)))</f>
        <v>0</v>
      </c>
      <c r="AG13" s="188">
        <v>201</v>
      </c>
      <c r="AH13" s="109">
        <f>IF(SUM(AG13:AG15)+AG27=0,0,IF(SUM(AG13:AG15)=AG27,0.5,IF(SUM(AG13:AG15)&gt;AG27,1,0)))</f>
        <v>1</v>
      </c>
      <c r="AI13" s="188">
        <v>168</v>
      </c>
      <c r="AJ13" s="109">
        <f>IF(SUM(AI13:AI15)+AI27=0,0,IF(SUM(AI13:AI15)=AI27,0.5,IF(SUM(AI13:AI15)&gt;AI27,1,0)))</f>
        <v>0</v>
      </c>
      <c r="AK13" s="188">
        <v>180</v>
      </c>
      <c r="AL13" s="109">
        <f>IF(SUM(AK13:AK15)+AK27=0,0,IF(SUM(AK13:AK15)=AK27,0.5,IF(SUM(AK13:AK15)&gt;AK27,1,0)))</f>
        <v>1</v>
      </c>
      <c r="AM13" s="188">
        <v>183</v>
      </c>
      <c r="AN13" s="109">
        <f>IF(SUM(AM13:AM15)+AM27=0,0,IF(SUM(AM13:AM15)=AM27,0.5,IF(SUM(AM13:AM15)&gt;AM27,1,0)))</f>
        <v>1</v>
      </c>
      <c r="AO13" s="188">
        <v>199</v>
      </c>
      <c r="AP13" s="109">
        <f>IF(SUM(AO13:AO15)+AO27=0,0,IF(SUM(AO13:AO15)=AO27,0.5,IF(SUM(AO13:AO15)&gt;AO27,1,0)))</f>
        <v>1</v>
      </c>
      <c r="AQ13" s="188">
        <v>207</v>
      </c>
      <c r="AR13" s="109">
        <f>IF(SUM(AQ13:AQ15)+AQ27=0,0,IF(SUM(AQ13:AQ15)=AQ27,0.5,IF(SUM(AQ13:AQ15)&gt;AQ27,1,0)))</f>
        <v>0</v>
      </c>
      <c r="AS13" s="188">
        <v>193</v>
      </c>
      <c r="AT13" s="109">
        <f>IF(SUM(AS13:AS15)+AS27=0,0,IF(SUM(AS13:AS15)=AS27,0.5,IF(SUM(AS13:AS15)&gt;AS27,1,0)))</f>
        <v>1</v>
      </c>
      <c r="AU13" s="110">
        <f t="shared" si="8"/>
        <v>1697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1697</v>
      </c>
      <c r="BF13" s="215">
        <f t="shared" si="23"/>
        <v>9</v>
      </c>
      <c r="BG13" s="215">
        <f t="shared" si="24"/>
        <v>9</v>
      </c>
      <c r="BH13" s="215">
        <f t="shared" si="9"/>
        <v>173</v>
      </c>
      <c r="BI13" s="215">
        <f t="shared" si="10"/>
        <v>193</v>
      </c>
      <c r="BJ13" s="215">
        <f t="shared" si="11"/>
        <v>201</v>
      </c>
      <c r="BK13" s="215">
        <f t="shared" si="12"/>
        <v>168</v>
      </c>
      <c r="BL13" s="215">
        <f t="shared" si="13"/>
        <v>180</v>
      </c>
      <c r="BM13" s="215">
        <f t="shared" si="14"/>
        <v>183</v>
      </c>
      <c r="BN13" s="215">
        <f t="shared" si="15"/>
        <v>199</v>
      </c>
      <c r="BO13" s="215">
        <f t="shared" si="16"/>
        <v>207</v>
      </c>
      <c r="BP13" s="215">
        <f t="shared" si="17"/>
        <v>193</v>
      </c>
      <c r="BQ13" s="216"/>
      <c r="BR13" s="214"/>
      <c r="BS13" s="215">
        <f t="shared" si="25"/>
        <v>207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1697</v>
      </c>
      <c r="BX13" s="215">
        <f>IF(COUNTIF(BH13:BP13,"&gt;0")&lt;Spielorte!$A$23,0,BE13/Spielorte!$A$23)</f>
        <v>188.55555555555554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7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8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6" t="s">
        <v>11</v>
      </c>
      <c r="B16" s="73" t="str">
        <f>IF(AA16=0,"",AA16)</f>
        <v>Schwarz, Jan</v>
      </c>
      <c r="C16" s="74">
        <f t="shared" si="19"/>
        <v>7734</v>
      </c>
      <c r="D16" s="75">
        <f t="shared" si="19"/>
        <v>208</v>
      </c>
      <c r="E16" s="348">
        <f>IF(AD16="","",AD16)</f>
        <v>1</v>
      </c>
      <c r="F16" s="75">
        <f t="shared" si="0"/>
        <v>212</v>
      </c>
      <c r="G16" s="348">
        <f>IF(AF16="","",AF16)</f>
        <v>0</v>
      </c>
      <c r="H16" s="75">
        <f t="shared" si="1"/>
        <v>206</v>
      </c>
      <c r="I16" s="348">
        <f>IF(AH16="","",AH16)</f>
        <v>1</v>
      </c>
      <c r="J16" s="75">
        <f t="shared" si="2"/>
        <v>245</v>
      </c>
      <c r="K16" s="348">
        <f>IF(AJ16="","",AJ16)</f>
        <v>1</v>
      </c>
      <c r="L16" s="75">
        <f t="shared" si="3"/>
        <v>214</v>
      </c>
      <c r="M16" s="348">
        <f>IF(AL16="","",AL16)</f>
        <v>1</v>
      </c>
      <c r="N16" s="75">
        <f t="shared" si="20"/>
        <v>164</v>
      </c>
      <c r="O16" s="348">
        <f>IF(AN16="","",AN16)</f>
        <v>1</v>
      </c>
      <c r="P16" s="75">
        <f t="shared" si="4"/>
        <v>193</v>
      </c>
      <c r="Q16" s="348">
        <f>IF(AP16="","",AP16)</f>
        <v>1</v>
      </c>
      <c r="R16" s="75">
        <f t="shared" si="5"/>
        <v>186</v>
      </c>
      <c r="S16" s="348">
        <f>IF(AR16="","",AR16)</f>
        <v>0</v>
      </c>
      <c r="T16" s="75">
        <f t="shared" si="6"/>
        <v>190</v>
      </c>
      <c r="U16" s="348">
        <f>IF(AT16="","",AT16)</f>
        <v>1</v>
      </c>
      <c r="V16" s="75">
        <f t="shared" si="7"/>
        <v>1818</v>
      </c>
      <c r="W16" s="348">
        <f>IF(AV16="","",AV16)</f>
        <v>7</v>
      </c>
      <c r="Z16" s="351" t="s">
        <v>11</v>
      </c>
      <c r="AA16" s="108" t="str">
        <f>IF(AB16=0,"",VLOOKUP(AB16,Starter!$A$1:$D$199,2,FALSE))</f>
        <v>Schwarz, Jan</v>
      </c>
      <c r="AB16" s="99">
        <v>7734</v>
      </c>
      <c r="AC16" s="188">
        <v>208</v>
      </c>
      <c r="AD16" s="109">
        <f>IF(SUM(AC16:AC18)+AC28=0,0,IF(SUM(AC16:AC18)=AC28,0.5,IF(SUM(AC16:AC18)&gt;AC28,1,0)))</f>
        <v>1</v>
      </c>
      <c r="AE16" s="188">
        <v>212</v>
      </c>
      <c r="AF16" s="109">
        <f>IF(SUM(AE16:AE18)+AE28=0,0,IF(SUM(AE16:AE18)=AE28,0.5,IF(SUM(AE16:AE18)&gt;AE28,1,0)))</f>
        <v>0</v>
      </c>
      <c r="AG16" s="188">
        <v>206</v>
      </c>
      <c r="AH16" s="109">
        <f>IF(SUM(AG16:AG18)+AG28=0,0,IF(SUM(AG16:AG18)=AG28,0.5,IF(SUM(AG16:AG18)&gt;AG28,1,0)))</f>
        <v>1</v>
      </c>
      <c r="AI16" s="188">
        <v>245</v>
      </c>
      <c r="AJ16" s="109">
        <f>IF(SUM(AI16:AI18)+AI28=0,0,IF(SUM(AI16:AI18)=AI28,0.5,IF(SUM(AI16:AI18)&gt;AI28,1,0)))</f>
        <v>1</v>
      </c>
      <c r="AK16" s="188">
        <v>214</v>
      </c>
      <c r="AL16" s="109">
        <f>IF(SUM(AK16:AK18)+AK28=0,0,IF(SUM(AK16:AK18)=AK28,0.5,IF(SUM(AK16:AK18)&gt;AK28,1,0)))</f>
        <v>1</v>
      </c>
      <c r="AM16" s="188">
        <v>164</v>
      </c>
      <c r="AN16" s="109">
        <f>IF(SUM(AM16:AM18)+AM28=0,0,IF(SUM(AM16:AM18)=AM28,0.5,IF(SUM(AM16:AM18)&gt;AM28,1,0)))</f>
        <v>1</v>
      </c>
      <c r="AO16" s="188">
        <v>193</v>
      </c>
      <c r="AP16" s="109">
        <f>IF(SUM(AO16:AO18)+AO28=0,0,IF(SUM(AO16:AO18)=AO28,0.5,IF(SUM(AO16:AO18)&gt;AO28,1,0)))</f>
        <v>1</v>
      </c>
      <c r="AQ16" s="188">
        <v>186</v>
      </c>
      <c r="AR16" s="109">
        <f>IF(SUM(AQ16:AQ18)+AQ28=0,0,IF(SUM(AQ16:AQ18)=AQ28,0.5,IF(SUM(AQ16:AQ18)&gt;AQ28,1,0)))</f>
        <v>0</v>
      </c>
      <c r="AS16" s="188">
        <v>190</v>
      </c>
      <c r="AT16" s="109">
        <f>IF(SUM(AS16:AS18)+AS28=0,0,IF(SUM(AS16:AS18)=AS28,0.5,IF(SUM(AS16:AS18)&gt;AS28,1,0)))</f>
        <v>1</v>
      </c>
      <c r="AU16" s="110">
        <f t="shared" si="8"/>
        <v>1818</v>
      </c>
      <c r="AV16" s="111">
        <f>SUM(AD16+AF16+AH16+AJ16+AL16+AN16+AP16+AR16+AT16)</f>
        <v>7</v>
      </c>
      <c r="AW16" s="101"/>
      <c r="AX16" s="102"/>
      <c r="AZ16" s="63"/>
      <c r="BA16" s="212"/>
      <c r="BB16" s="213"/>
      <c r="BC16" s="214"/>
      <c r="BD16" s="217">
        <f t="shared" si="21"/>
        <v>7734</v>
      </c>
      <c r="BE16" s="213">
        <f t="shared" si="22"/>
        <v>1818</v>
      </c>
      <c r="BF16" s="215">
        <f t="shared" si="23"/>
        <v>9</v>
      </c>
      <c r="BG16" s="215">
        <f t="shared" si="24"/>
        <v>9</v>
      </c>
      <c r="BH16" s="215">
        <f t="shared" si="9"/>
        <v>208</v>
      </c>
      <c r="BI16" s="215">
        <f t="shared" si="10"/>
        <v>212</v>
      </c>
      <c r="BJ16" s="215">
        <f t="shared" si="11"/>
        <v>206</v>
      </c>
      <c r="BK16" s="215">
        <f t="shared" si="12"/>
        <v>245</v>
      </c>
      <c r="BL16" s="215">
        <f t="shared" si="13"/>
        <v>214</v>
      </c>
      <c r="BM16" s="215">
        <f t="shared" si="14"/>
        <v>164</v>
      </c>
      <c r="BN16" s="215">
        <f t="shared" si="15"/>
        <v>193</v>
      </c>
      <c r="BO16" s="215">
        <f t="shared" si="16"/>
        <v>186</v>
      </c>
      <c r="BP16" s="215">
        <f t="shared" si="17"/>
        <v>190</v>
      </c>
      <c r="BQ16" s="216"/>
      <c r="BR16" s="214"/>
      <c r="BS16" s="215">
        <f t="shared" si="25"/>
        <v>245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1818</v>
      </c>
      <c r="BX16" s="215">
        <f>IF(COUNTIF(BH16:BP16,"&gt;0")&lt;Spielorte!$A$23,0,BE16/Spielorte!$A$23)</f>
        <v>202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7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8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778</v>
      </c>
      <c r="E19" s="84">
        <f>IF(AD19="","",AD19)</f>
        <v>2</v>
      </c>
      <c r="F19" s="83">
        <f t="shared" si="0"/>
        <v>834</v>
      </c>
      <c r="G19" s="84">
        <f>IF(AF19="","",AF19)</f>
        <v>2</v>
      </c>
      <c r="H19" s="83">
        <f t="shared" si="1"/>
        <v>746</v>
      </c>
      <c r="I19" s="84">
        <f>IF(AH19="","",AH19)</f>
        <v>2</v>
      </c>
      <c r="J19" s="83">
        <f t="shared" si="2"/>
        <v>765</v>
      </c>
      <c r="K19" s="84">
        <f>IF(AJ19="","",AJ19)</f>
        <v>2</v>
      </c>
      <c r="L19" s="83">
        <f t="shared" si="3"/>
        <v>757</v>
      </c>
      <c r="M19" s="84">
        <f>IF(AL19="","",AL19)</f>
        <v>2</v>
      </c>
      <c r="N19" s="83">
        <f t="shared" si="20"/>
        <v>756</v>
      </c>
      <c r="O19" s="84">
        <f>IF(AN19="","",AN19)</f>
        <v>2</v>
      </c>
      <c r="P19" s="83">
        <f t="shared" si="4"/>
        <v>768</v>
      </c>
      <c r="Q19" s="84">
        <f>IF(AP19="","",AP19)</f>
        <v>2</v>
      </c>
      <c r="R19" s="83">
        <f t="shared" si="5"/>
        <v>802</v>
      </c>
      <c r="S19" s="84">
        <f>IF(AR19="","",AR19)</f>
        <v>0</v>
      </c>
      <c r="T19" s="83">
        <f t="shared" si="6"/>
        <v>763</v>
      </c>
      <c r="U19" s="84">
        <f>IF(AT19="","",AT19)</f>
        <v>2</v>
      </c>
      <c r="V19" s="83">
        <f t="shared" si="7"/>
        <v>6969</v>
      </c>
      <c r="W19" s="84">
        <f>IF(AV19="","",AV19)</f>
        <v>16</v>
      </c>
      <c r="AA19" s="81" t="s">
        <v>1799</v>
      </c>
      <c r="AB19" s="120"/>
      <c r="AC19" s="211">
        <f>ABS(SUM(AC7:AC9))+ABS(SUM(AC10:AC12))+ABS(SUM(AC13:AC15))+ABS(SUM(AC16:AC18))</f>
        <v>778</v>
      </c>
      <c r="AD19" s="121">
        <f>IF(AC19+AC29=0,0,IF(AC19=AC29,1,IF(AC19&gt;AC29,2,0)))</f>
        <v>2</v>
      </c>
      <c r="AE19" s="211">
        <f>ABS(SUM(AE7:AE9))+ABS(SUM(AE10:AE12))+ABS(SUM(AE13:AE15))+ABS(SUM(AE16:AE18))</f>
        <v>834</v>
      </c>
      <c r="AF19" s="121">
        <f>IF(AE19+AE29=0,0,IF(AE19=AE29,1,IF(AE19&gt;AE29,2,0)))</f>
        <v>2</v>
      </c>
      <c r="AG19" s="211">
        <f>ABS(SUM(AG7:AG9))+ABS(SUM(AG10:AG12))+ABS(SUM(AG13:AG15))+ABS(SUM(AG16:AG18))</f>
        <v>746</v>
      </c>
      <c r="AH19" s="121">
        <f>IF(AG19+AG29=0,0,IF(AG19=AG29,1,IF(AG19&gt;AG29,2,0)))</f>
        <v>2</v>
      </c>
      <c r="AI19" s="211">
        <f>ABS(SUM(AI7:AI9))+ABS(SUM(AI10:AI12))+ABS(SUM(AI13:AI15))+ABS(SUM(AI16:AI18))</f>
        <v>765</v>
      </c>
      <c r="AJ19" s="121">
        <f>IF(AI19+AI29=0,0,IF(AI19=AI29,1,IF(AI19&gt;AI29,2,0)))</f>
        <v>2</v>
      </c>
      <c r="AK19" s="211">
        <f>ABS(SUM(AK7:AK9))+ABS(SUM(AK10:AK12))+ABS(SUM(AK13:AK15))+ABS(SUM(AK16:AK18))</f>
        <v>757</v>
      </c>
      <c r="AL19" s="121">
        <f>IF(AK19+AK29=0,0,IF(AK19=AK29,1,IF(AK19&gt;AK29,2,0)))</f>
        <v>2</v>
      </c>
      <c r="AM19" s="211">
        <f>ABS(SUM(AM7:AM9))+ABS(SUM(AM10:AM12))+ABS(SUM(AM13:AM15))+ABS(SUM(AM16:AM18))</f>
        <v>756</v>
      </c>
      <c r="AN19" s="121">
        <f>IF(AM19+AM29=0,0,IF(AM19=AM29,1,IF(AM19&gt;AM29,2,0)))</f>
        <v>2</v>
      </c>
      <c r="AO19" s="211">
        <f>ABS(SUM(AO7:AO9))+ABS(SUM(AO10:AO12))+ABS(SUM(AO13:AO15))+ABS(SUM(AO16:AO18))</f>
        <v>768</v>
      </c>
      <c r="AP19" s="121">
        <f>IF(AO19+AO29=0,0,IF(AO19=AO29,1,IF(AO19&gt;AO29,2,0)))</f>
        <v>2</v>
      </c>
      <c r="AQ19" s="211">
        <f>ABS(SUM(AQ7:AQ9))+ABS(SUM(AQ10:AQ12))+ABS(SUM(AQ13:AQ15))+ABS(SUM(AQ16:AQ18))</f>
        <v>802</v>
      </c>
      <c r="AR19" s="121">
        <f>IF(AQ19+AQ29=0,0,IF(AQ19=AQ29,1,IF(AQ19&gt;AQ29,2,0)))</f>
        <v>0</v>
      </c>
      <c r="AS19" s="211">
        <f>ABS(SUM(AS7:AS9))+ABS(SUM(AS10:AS12))+ABS(SUM(AS13:AS15))+ABS(SUM(AS16:AS18))</f>
        <v>763</v>
      </c>
      <c r="AT19" s="121">
        <f>IF(AS19+AS29=0,0,IF(AS19=AS29,1,IF(AS19&gt;AS29,2,0)))</f>
        <v>2</v>
      </c>
      <c r="AU19" s="122">
        <f>SUM(AC19+AE19+AG19+AI19+AK19+AM19+AO19+AQ19+AS19)</f>
        <v>6969</v>
      </c>
      <c r="AV19" s="123">
        <f>SUM(AD19+AF19+AH19+AJ19+AL19+AN19+AP19+AR19+AT19)</f>
        <v>16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4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6</v>
      </c>
      <c r="P20" s="86" t="str">
        <f t="shared" si="4"/>
        <v/>
      </c>
      <c r="Q20" s="87">
        <f>IF(AP20="","",AP20)</f>
        <v>6</v>
      </c>
      <c r="R20" s="86" t="str">
        <f t="shared" si="5"/>
        <v/>
      </c>
      <c r="S20" s="87">
        <f>IF(AR20="","",AR20)</f>
        <v>1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42</v>
      </c>
      <c r="AA20" s="85" t="s">
        <v>1814</v>
      </c>
      <c r="AB20" s="86"/>
      <c r="AC20" s="86"/>
      <c r="AD20" s="124">
        <f>SUM(AD7:AD19)</f>
        <v>4</v>
      </c>
      <c r="AE20" s="86"/>
      <c r="AF20" s="124">
        <f>SUM(AF7:AF19)</f>
        <v>4</v>
      </c>
      <c r="AG20" s="86"/>
      <c r="AH20" s="124">
        <f>SUM(AH7:AH19)</f>
        <v>6</v>
      </c>
      <c r="AI20" s="86"/>
      <c r="AJ20" s="124">
        <f>SUM(AJ7:AJ19)</f>
        <v>4</v>
      </c>
      <c r="AK20" s="86"/>
      <c r="AL20" s="124">
        <f>SUM(AL7:AL19)</f>
        <v>5</v>
      </c>
      <c r="AM20" s="86"/>
      <c r="AN20" s="124">
        <f>SUM(AN7:AN19)</f>
        <v>6</v>
      </c>
      <c r="AO20" s="86"/>
      <c r="AP20" s="124">
        <f>SUM(AP7:AP19)</f>
        <v>6</v>
      </c>
      <c r="AQ20" s="86"/>
      <c r="AR20" s="124">
        <f>SUM(AR7:AR19)</f>
        <v>1</v>
      </c>
      <c r="AS20" s="86"/>
      <c r="AT20" s="124">
        <f>SUM(AT7:AT19)</f>
        <v>6</v>
      </c>
      <c r="AU20" s="86"/>
      <c r="AV20" s="125">
        <f>SUM(AV7:AV19)</f>
        <v>42</v>
      </c>
      <c r="AW20" s="101"/>
      <c r="AX20" s="102"/>
      <c r="BA20" s="212">
        <f>+AV20</f>
        <v>42</v>
      </c>
      <c r="BB20" s="213">
        <f>+AU19</f>
        <v>6969</v>
      </c>
      <c r="BC20" s="214">
        <f>+AA2</f>
        <v>1</v>
      </c>
      <c r="BF20" s="215">
        <f>SUM(BF1:BF19)</f>
        <v>36</v>
      </c>
      <c r="BQ20" s="212">
        <f>+BB20/1000000+BA20</f>
        <v>42.006968999999998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6">
        <f t="shared" si="31"/>
        <v>10</v>
      </c>
      <c r="E22" s="356" t="str">
        <f t="shared" si="31"/>
        <v/>
      </c>
      <c r="F22" s="356">
        <f t="shared" si="31"/>
        <v>9</v>
      </c>
      <c r="G22" s="356" t="str">
        <f t="shared" si="31"/>
        <v/>
      </c>
      <c r="H22" s="356">
        <f t="shared" si="31"/>
        <v>7</v>
      </c>
      <c r="I22" s="356" t="str">
        <f t="shared" si="31"/>
        <v/>
      </c>
      <c r="J22" s="356">
        <f t="shared" si="31"/>
        <v>4</v>
      </c>
      <c r="K22" s="356" t="str">
        <f t="shared" si="31"/>
        <v/>
      </c>
      <c r="L22" s="356">
        <f t="shared" si="31"/>
        <v>6</v>
      </c>
      <c r="M22" s="356" t="str">
        <f t="shared" si="31"/>
        <v/>
      </c>
      <c r="N22" s="356">
        <f t="shared" si="31"/>
        <v>2</v>
      </c>
      <c r="O22" s="356" t="str">
        <f t="shared" si="31"/>
        <v/>
      </c>
      <c r="P22" s="356">
        <f t="shared" si="31"/>
        <v>8</v>
      </c>
      <c r="Q22" s="356" t="str">
        <f t="shared" si="31"/>
        <v/>
      </c>
      <c r="R22" s="356">
        <f t="shared" ref="L22:U24" si="32">IF(AQ22=0,"",AQ22)</f>
        <v>3</v>
      </c>
      <c r="S22" s="356" t="str">
        <f t="shared" si="32"/>
        <v/>
      </c>
      <c r="T22" s="356">
        <f t="shared" si="32"/>
        <v>5</v>
      </c>
      <c r="U22" s="356" t="str">
        <f t="shared" si="32"/>
        <v/>
      </c>
      <c r="V22" s="357"/>
      <c r="W22" s="357"/>
      <c r="AA22" s="88" t="s">
        <v>1797</v>
      </c>
      <c r="AB22" s="89" t="s">
        <v>1798</v>
      </c>
      <c r="AC22" s="370">
        <f>VLOOKUP($AA2,Schlüssel!$A$5:$DG$14,63)</f>
        <v>10</v>
      </c>
      <c r="AD22" s="371"/>
      <c r="AE22" s="370">
        <f>VLOOKUP($AA2,Schlüssel!$A$5:$EK$14,64)</f>
        <v>9</v>
      </c>
      <c r="AF22" s="371"/>
      <c r="AG22" s="370">
        <f>VLOOKUP($AA2,Schlüssel!$A$5:$EK$14,65)</f>
        <v>7</v>
      </c>
      <c r="AH22" s="371"/>
      <c r="AI22" s="370">
        <f>VLOOKUP($AA2,Schlüssel!$A$5:$EK$14,66)</f>
        <v>4</v>
      </c>
      <c r="AJ22" s="371"/>
      <c r="AK22" s="370">
        <f>VLOOKUP($AA2,Schlüssel!$A$5:$EK$14,67)</f>
        <v>6</v>
      </c>
      <c r="AL22" s="371"/>
      <c r="AM22" s="370">
        <f>VLOOKUP($AA2,Schlüssel!$A$5:$EK$14,68)</f>
        <v>2</v>
      </c>
      <c r="AN22" s="371"/>
      <c r="AO22" s="370">
        <f>VLOOKUP($AA2,Schlüssel!$A$5:$EK$14,69)</f>
        <v>8</v>
      </c>
      <c r="AP22" s="371"/>
      <c r="AQ22" s="370">
        <f>VLOOKUP($AA2,Schlüssel!$A$5:$EK$14,70)</f>
        <v>3</v>
      </c>
      <c r="AR22" s="371"/>
      <c r="AS22" s="370">
        <f>VLOOKUP($AA2,Schlüssel!$A$5:$EK$14,71)</f>
        <v>5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8" t="str">
        <f t="shared" si="33"/>
        <v>High Roller Rosenheim 1</v>
      </c>
      <c r="E23" s="359" t="str">
        <f t="shared" si="33"/>
        <v/>
      </c>
      <c r="F23" s="358" t="str">
        <f t="shared" si="33"/>
        <v>Bowlinghaus Bamberg 1</v>
      </c>
      <c r="G23" s="359" t="str">
        <f t="shared" si="33"/>
        <v/>
      </c>
      <c r="H23" s="358" t="str">
        <f t="shared" si="33"/>
        <v>Schanzer Ingolstadt 1</v>
      </c>
      <c r="I23" s="359" t="str">
        <f t="shared" si="33"/>
        <v/>
      </c>
      <c r="J23" s="358" t="str">
        <f t="shared" si="33"/>
        <v>SG DJK Rimpar</v>
      </c>
      <c r="K23" s="359" t="str">
        <f t="shared" si="33"/>
        <v/>
      </c>
      <c r="L23" s="358" t="str">
        <f t="shared" si="32"/>
        <v>SG Rottendorf 1</v>
      </c>
      <c r="M23" s="359" t="str">
        <f t="shared" si="32"/>
        <v/>
      </c>
      <c r="N23" s="358" t="str">
        <f t="shared" si="32"/>
        <v>Bajuwaren München 1</v>
      </c>
      <c r="O23" s="359" t="str">
        <f t="shared" si="32"/>
        <v/>
      </c>
      <c r="P23" s="358" t="str">
        <f t="shared" si="32"/>
        <v>BC EMAX Unterföhring 2</v>
      </c>
      <c r="Q23" s="359" t="str">
        <f t="shared" si="32"/>
        <v/>
      </c>
      <c r="R23" s="358" t="str">
        <f t="shared" si="32"/>
        <v>BK München 3</v>
      </c>
      <c r="S23" s="359" t="str">
        <f t="shared" si="32"/>
        <v/>
      </c>
      <c r="T23" s="358" t="str">
        <f t="shared" si="32"/>
        <v>RW Lichtenhof Stein 1</v>
      </c>
      <c r="U23" s="359" t="str">
        <f t="shared" si="32"/>
        <v/>
      </c>
      <c r="V23" s="363"/>
      <c r="W23" s="363"/>
      <c r="AA23" s="90"/>
      <c r="AB23" s="86"/>
      <c r="AC23" s="358" t="str">
        <f>VLOOKUP(AC22,Schlüssel!$A$5:$K$14,2)</f>
        <v>High Roller Rosenheim 1</v>
      </c>
      <c r="AD23" s="359"/>
      <c r="AE23" s="358" t="str">
        <f>VLOOKUP(AE22,Schlüssel!$A$5:$K$14,2)</f>
        <v>Bowlinghaus Bamberg 1</v>
      </c>
      <c r="AF23" s="359"/>
      <c r="AG23" s="358" t="str">
        <f>VLOOKUP(AG22,Schlüssel!$A$5:$K$14,2)</f>
        <v>Schanzer Ingolstadt 1</v>
      </c>
      <c r="AH23" s="359"/>
      <c r="AI23" s="358" t="str">
        <f>VLOOKUP(AI22,Schlüssel!$A$5:$K$14,2)</f>
        <v>SG DJK Rimpar</v>
      </c>
      <c r="AJ23" s="359"/>
      <c r="AK23" s="358" t="str">
        <f>VLOOKUP(AK22,Schlüssel!$A$5:$K$14,2)</f>
        <v>SG Rottendorf 1</v>
      </c>
      <c r="AL23" s="359"/>
      <c r="AM23" s="358" t="str">
        <f>VLOOKUP(AM22,Schlüssel!$A$5:$K$14,2)</f>
        <v>Bajuwaren München 1</v>
      </c>
      <c r="AN23" s="359"/>
      <c r="AO23" s="358" t="str">
        <f>VLOOKUP(AO22,Schlüssel!$A$5:$K$14,2)</f>
        <v>BC EMAX Unterföhring 2</v>
      </c>
      <c r="AP23" s="359"/>
      <c r="AQ23" s="358" t="str">
        <f>VLOOKUP(AQ22,Schlüssel!$A$5:$K$14,2)</f>
        <v>BK München 3</v>
      </c>
      <c r="AR23" s="359"/>
      <c r="AS23" s="358" t="str">
        <f>VLOOKUP(AS22,Schlüssel!$A$5:$K$14,2)</f>
        <v>RW Lichtenhof Stein 1</v>
      </c>
      <c r="AT23" s="359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60" t="str">
        <f t="shared" si="33"/>
        <v/>
      </c>
      <c r="E24" s="360" t="str">
        <f t="shared" si="33"/>
        <v/>
      </c>
      <c r="F24" s="360" t="str">
        <f t="shared" si="33"/>
        <v/>
      </c>
      <c r="G24" s="360" t="str">
        <f t="shared" si="33"/>
        <v/>
      </c>
      <c r="H24" s="360" t="str">
        <f t="shared" si="33"/>
        <v/>
      </c>
      <c r="I24" s="360" t="str">
        <f t="shared" si="33"/>
        <v/>
      </c>
      <c r="J24" s="360" t="str">
        <f t="shared" si="33"/>
        <v/>
      </c>
      <c r="K24" s="360" t="str">
        <f t="shared" si="33"/>
        <v/>
      </c>
      <c r="L24" s="360" t="str">
        <f t="shared" si="32"/>
        <v/>
      </c>
      <c r="M24" s="360" t="str">
        <f t="shared" si="32"/>
        <v/>
      </c>
      <c r="N24" s="360" t="str">
        <f t="shared" si="32"/>
        <v/>
      </c>
      <c r="O24" s="360" t="str">
        <f t="shared" si="32"/>
        <v/>
      </c>
      <c r="P24" s="360" t="str">
        <f t="shared" si="32"/>
        <v/>
      </c>
      <c r="Q24" s="360" t="str">
        <f t="shared" si="32"/>
        <v/>
      </c>
      <c r="R24" s="360" t="str">
        <f t="shared" si="32"/>
        <v/>
      </c>
      <c r="S24" s="360" t="str">
        <f t="shared" si="32"/>
        <v/>
      </c>
      <c r="T24" s="360" t="str">
        <f t="shared" si="32"/>
        <v/>
      </c>
      <c r="U24" s="361" t="str">
        <f t="shared" si="32"/>
        <v/>
      </c>
      <c r="V24" s="298"/>
      <c r="W24" s="298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4" t="str">
        <f t="shared" ref="B25:C29" si="34">IF(AA25=0,"",AA25)</f>
        <v>Spieler 1</v>
      </c>
      <c r="C25" s="375" t="str">
        <f t="shared" si="34"/>
        <v/>
      </c>
      <c r="D25" s="362">
        <f>IF(AC25=301,"",AC25)</f>
        <v>153</v>
      </c>
      <c r="E25" s="362" t="str">
        <f>IF(AD25=0,"",AD25)</f>
        <v/>
      </c>
      <c r="F25" s="362">
        <f>IF(AE25=301,"",AE25)</f>
        <v>195</v>
      </c>
      <c r="G25" s="362" t="str">
        <f>IF(AF25=0,"",AF25)</f>
        <v/>
      </c>
      <c r="H25" s="362">
        <f>IF(AG25=301,"",AG25)</f>
        <v>152</v>
      </c>
      <c r="I25" s="362" t="str">
        <f>IF(AH25=0,"",AH25)</f>
        <v/>
      </c>
      <c r="J25" s="362">
        <f>IF(AI25=301,"",AI25)</f>
        <v>174</v>
      </c>
      <c r="K25" s="362" t="str">
        <f>IF(AJ25=0,"",AJ25)</f>
        <v/>
      </c>
      <c r="L25" s="362">
        <f>IF(AK25=301,"",AK25)</f>
        <v>157</v>
      </c>
      <c r="M25" s="362" t="str">
        <f>IF(AL25=0,"",AL25)</f>
        <v/>
      </c>
      <c r="N25" s="362">
        <f>IF(AM25=301,"",AM25)</f>
        <v>182</v>
      </c>
      <c r="O25" s="362" t="str">
        <f>IF(AN25=0,"",AN25)</f>
        <v/>
      </c>
      <c r="P25" s="362">
        <f>IF(AO25=301,"",AO25)</f>
        <v>166</v>
      </c>
      <c r="Q25" s="362" t="str">
        <f>IF(AP25=0,"",AP25)</f>
        <v/>
      </c>
      <c r="R25" s="362">
        <f>IF(AQ25=301,"",AQ25)</f>
        <v>236</v>
      </c>
      <c r="S25" s="362" t="str">
        <f>IF(AR25=0,"",AR25)</f>
        <v/>
      </c>
      <c r="T25" s="362">
        <f>IF(AS25=301,"",AS25)</f>
        <v>162</v>
      </c>
      <c r="U25" s="362" t="str">
        <f>IF(AT25=0,"",AT25)</f>
        <v/>
      </c>
      <c r="V25" s="364"/>
      <c r="W25" s="364"/>
      <c r="AA25" s="91" t="s">
        <v>0</v>
      </c>
      <c r="AB25" s="92"/>
      <c r="AC25" s="368">
        <f>ABS(INDEX(AC:AC,MATCH(AC22,$AA:$AA,0)+5)+INDEX(AC:AC,MATCH(AC22,$AA:$AA,0)+6)+INDEX(AC:AC,MATCH(AC22,$AA:$AA,0)+7))</f>
        <v>153</v>
      </c>
      <c r="AD25" s="369"/>
      <c r="AE25" s="368">
        <f>ABS(INDEX(AE:AE,MATCH(AE22,$AA:$AA,0)+5)+INDEX(AE:AE,MATCH(AE22,$AA:$AA,0)+6)+INDEX(AE:AE,MATCH(AE22,$AA:$AA,0)+7))</f>
        <v>195</v>
      </c>
      <c r="AF25" s="369"/>
      <c r="AG25" s="368">
        <f>ABS(INDEX(AG:AG,MATCH(AG22,$AA:$AA,0)+5)+INDEX(AG:AG,MATCH(AG22,$AA:$AA,0)+6)+INDEX(AG:AG,MATCH(AG22,$AA:$AA,0)+7))</f>
        <v>152</v>
      </c>
      <c r="AH25" s="369"/>
      <c r="AI25" s="368">
        <f>ABS(INDEX(AI:AI,MATCH(AI22,$AA:$AA,0)+5)+INDEX(AI:AI,MATCH(AI22,$AA:$AA,0)+6)+INDEX(AI:AI,MATCH(AI22,$AA:$AA,0)+7))</f>
        <v>174</v>
      </c>
      <c r="AJ25" s="369"/>
      <c r="AK25" s="368">
        <f>ABS(INDEX(AK:AK,MATCH(AK22,$AA:$AA,0)+5)+INDEX(AK:AK,MATCH(AK22,$AA:$AA,0)+6)+INDEX(AK:AK,MATCH(AK22,$AA:$AA,0)+7))</f>
        <v>157</v>
      </c>
      <c r="AL25" s="369"/>
      <c r="AM25" s="368">
        <f>ABS(INDEX(AM:AM,MATCH(AM22,$AA:$AA,0)+5)+INDEX(AM:AM,MATCH(AM22,$AA:$AA,0)+6)+INDEX(AM:AM,MATCH(AM22,$AA:$AA,0)+7))</f>
        <v>182</v>
      </c>
      <c r="AN25" s="369"/>
      <c r="AO25" s="368">
        <f>ABS(INDEX(AO:AO,MATCH(AO22,$AA:$AA,0)+5)+INDEX(AO:AO,MATCH(AO22,$AA:$AA,0)+6)+INDEX(AO:AO,MATCH(AO22,$AA:$AA,0)+7))</f>
        <v>166</v>
      </c>
      <c r="AP25" s="369"/>
      <c r="AQ25" s="368">
        <f>ABS(INDEX(AQ:AQ,MATCH(AQ22,$AA:$AA,0)+5)+INDEX(AQ:AQ,MATCH(AQ22,$AA:$AA,0)+6)+INDEX(AQ:AQ,MATCH(AQ22,$AA:$AA,0)+7))</f>
        <v>236</v>
      </c>
      <c r="AR25" s="369"/>
      <c r="AS25" s="368">
        <f>ABS(INDEX(AS:AS,MATCH(AS22,$AA:$AA,0)+5)+INDEX(AS:AS,MATCH(AS22,$AA:$AA,0)+6)+INDEX(AS:AS,MATCH(AS22,$AA:$AA,0)+7))</f>
        <v>162</v>
      </c>
      <c r="AT25" s="369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4" t="str">
        <f t="shared" si="34"/>
        <v>Spieler 2</v>
      </c>
      <c r="C26" s="375" t="str">
        <f t="shared" si="34"/>
        <v/>
      </c>
      <c r="D26" s="362">
        <f>IF(AC26=301,"",AC26)</f>
        <v>164</v>
      </c>
      <c r="E26" s="362" t="str">
        <f>IF(AD26=0,"",AD26)</f>
        <v/>
      </c>
      <c r="F26" s="362">
        <f>IF(AE26=301,"",AE26)</f>
        <v>148</v>
      </c>
      <c r="G26" s="362" t="str">
        <f>IF(AF26=0,"",AF26)</f>
        <v/>
      </c>
      <c r="H26" s="362">
        <f>IF(AG26=301,"",AG26)</f>
        <v>137</v>
      </c>
      <c r="I26" s="362" t="str">
        <f>IF(AH26=0,"",AH26)</f>
        <v/>
      </c>
      <c r="J26" s="362">
        <f>IF(AI26=301,"",AI26)</f>
        <v>164</v>
      </c>
      <c r="K26" s="362" t="str">
        <f>IF(AJ26=0,"",AJ26)</f>
        <v/>
      </c>
      <c r="L26" s="362">
        <f>IF(AK26=301,"",AK26)</f>
        <v>173</v>
      </c>
      <c r="M26" s="362" t="str">
        <f>IF(AL26=0,"",AL26)</f>
        <v/>
      </c>
      <c r="N26" s="362">
        <f>IF(AM26=301,"",AM26)</f>
        <v>145</v>
      </c>
      <c r="O26" s="362" t="str">
        <f>IF(AN26=0,"",AN26)</f>
        <v/>
      </c>
      <c r="P26" s="362">
        <f>IF(AO26=301,"",AO26)</f>
        <v>144</v>
      </c>
      <c r="Q26" s="362" t="str">
        <f>IF(AP26=0,"",AP26)</f>
        <v/>
      </c>
      <c r="R26" s="362">
        <f>IF(AQ26=301,"",AQ26)</f>
        <v>205</v>
      </c>
      <c r="S26" s="362" t="str">
        <f>IF(AR26=0,"",AR26)</f>
        <v/>
      </c>
      <c r="T26" s="362">
        <f>IF(AS26=301,"",AS26)</f>
        <v>159</v>
      </c>
      <c r="U26" s="362" t="str">
        <f>IF(AT26=0,"",AT26)</f>
        <v/>
      </c>
      <c r="V26" s="364"/>
      <c r="W26" s="364"/>
      <c r="AA26" s="91" t="s">
        <v>2</v>
      </c>
      <c r="AB26" s="92"/>
      <c r="AC26" s="366">
        <f>ABS(INDEX(AC:AC,MATCH(AC22,$AA:$AA,0)+8)+INDEX(AC:AC,MATCH(AC22,$AA:$AA,0)+9)+INDEX(AC:AC,MATCH(AC22,$AA:$AA,0)+10))</f>
        <v>164</v>
      </c>
      <c r="AD26" s="367"/>
      <c r="AE26" s="366">
        <f>ABS(INDEX(AE:AE,MATCH(AE22,$AA:$AA,0)+8)+INDEX(AE:AE,MATCH(AE22,$AA:$AA,0)+9)+INDEX(AE:AE,MATCH(AE22,$AA:$AA,0)+10))</f>
        <v>148</v>
      </c>
      <c r="AF26" s="367"/>
      <c r="AG26" s="366">
        <f>ABS(INDEX(AG:AG,MATCH(AG22,$AA:$AA,0)+8)+INDEX(AG:AG,MATCH(AG22,$AA:$AA,0)+9)+INDEX(AG:AG,MATCH(AG22,$AA:$AA,0)+10))</f>
        <v>137</v>
      </c>
      <c r="AH26" s="367"/>
      <c r="AI26" s="366">
        <f>ABS(INDEX(AI:AI,MATCH(AI22,$AA:$AA,0)+8)+INDEX(AI:AI,MATCH(AI22,$AA:$AA,0)+9)+INDEX(AI:AI,MATCH(AI22,$AA:$AA,0)+10))</f>
        <v>164</v>
      </c>
      <c r="AJ26" s="367"/>
      <c r="AK26" s="366">
        <f>ABS(INDEX(AK:AK,MATCH(AK22,$AA:$AA,0)+8)+INDEX(AK:AK,MATCH(AK22,$AA:$AA,0)+9)+INDEX(AK:AK,MATCH(AK22,$AA:$AA,0)+10))</f>
        <v>173</v>
      </c>
      <c r="AL26" s="367"/>
      <c r="AM26" s="366">
        <f>ABS(INDEX(AM:AM,MATCH(AM22,$AA:$AA,0)+8)+INDEX(AM:AM,MATCH(AM22,$AA:$AA,0)+9)+INDEX(AM:AM,MATCH(AM22,$AA:$AA,0)+10))</f>
        <v>145</v>
      </c>
      <c r="AN26" s="367"/>
      <c r="AO26" s="366">
        <f>ABS(INDEX(AO:AO,MATCH(AO22,$AA:$AA,0)+8)+INDEX(AO:AO,MATCH(AO22,$AA:$AA,0)+9)+INDEX(AO:AO,MATCH(AO22,$AA:$AA,0)+10))</f>
        <v>144</v>
      </c>
      <c r="AP26" s="367"/>
      <c r="AQ26" s="366">
        <f>ABS(INDEX(AQ:AQ,MATCH(AQ22,$AA:$AA,0)+8)+INDEX(AQ:AQ,MATCH(AQ22,$AA:$AA,0)+9)+INDEX(AQ:AQ,MATCH(AQ22,$AA:$AA,0)+10))</f>
        <v>205</v>
      </c>
      <c r="AR26" s="367"/>
      <c r="AS26" s="366">
        <f>ABS(INDEX(AS:AS,MATCH(AS22,$AA:$AA,0)+8)+INDEX(AS:AS,MATCH(AS22,$AA:$AA,0)+9)+INDEX(AS:AS,MATCH(AS22,$AA:$AA,0)+10))</f>
        <v>159</v>
      </c>
      <c r="AT26" s="367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4" t="str">
        <f t="shared" si="34"/>
        <v>Spieler 3</v>
      </c>
      <c r="C27" s="375" t="str">
        <f t="shared" si="34"/>
        <v/>
      </c>
      <c r="D27" s="362">
        <f>IF(AC27=301,"",AC27)</f>
        <v>180</v>
      </c>
      <c r="E27" s="362" t="str">
        <f>IF(AD27=0,"",AD27)</f>
        <v/>
      </c>
      <c r="F27" s="362">
        <f>IF(AE27=301,"",AE27)</f>
        <v>215</v>
      </c>
      <c r="G27" s="362" t="str">
        <f>IF(AF27=0,"",AF27)</f>
        <v/>
      </c>
      <c r="H27" s="362">
        <f>IF(AG27=301,"",AG27)</f>
        <v>157</v>
      </c>
      <c r="I27" s="362" t="str">
        <f>IF(AH27=0,"",AH27)</f>
        <v/>
      </c>
      <c r="J27" s="362">
        <f>IF(AI27=301,"",AI27)</f>
        <v>225</v>
      </c>
      <c r="K27" s="362" t="str">
        <f>IF(AJ27=0,"",AJ27)</f>
        <v/>
      </c>
      <c r="L27" s="362">
        <f>IF(AK27=301,"",AK27)</f>
        <v>157</v>
      </c>
      <c r="M27" s="362" t="str">
        <f>IF(AL27=0,"",AL27)</f>
        <v/>
      </c>
      <c r="N27" s="362">
        <f>IF(AM27=301,"",AM27)</f>
        <v>157</v>
      </c>
      <c r="O27" s="362" t="str">
        <f>IF(AN27=0,"",AN27)</f>
        <v/>
      </c>
      <c r="P27" s="362">
        <f>IF(AO27=301,"",AO27)</f>
        <v>172</v>
      </c>
      <c r="Q27" s="362" t="str">
        <f>IF(AP27=0,"",AP27)</f>
        <v/>
      </c>
      <c r="R27" s="362">
        <f>IF(AQ27=301,"",AQ27)</f>
        <v>230</v>
      </c>
      <c r="S27" s="362" t="str">
        <f>IF(AR27=0,"",AR27)</f>
        <v/>
      </c>
      <c r="T27" s="362">
        <f>IF(AS27=301,"",AS27)</f>
        <v>177</v>
      </c>
      <c r="U27" s="362" t="str">
        <f>IF(AT27=0,"",AT27)</f>
        <v/>
      </c>
      <c r="V27" s="364"/>
      <c r="W27" s="364"/>
      <c r="AA27" s="91" t="s">
        <v>3</v>
      </c>
      <c r="AB27" s="92"/>
      <c r="AC27" s="366">
        <f>ABS(INDEX(AC:AC,MATCH(AC22,$AA:$AA,0)+11)+INDEX(AC:AC,MATCH(AC22,$AA:$AA,0)+12)+INDEX(AC:AC,MATCH(AC22,$AA:$AA,0)+13))</f>
        <v>180</v>
      </c>
      <c r="AD27" s="367"/>
      <c r="AE27" s="366">
        <f>ABS(INDEX(AE:AE,MATCH(AE22,$AA:$AA,0)+11)+INDEX(AE:AE,MATCH(AE22,$AA:$AA,0)+12)+INDEX(AE:AE,MATCH(AE22,$AA:$AA,0)+13))</f>
        <v>215</v>
      </c>
      <c r="AF27" s="367"/>
      <c r="AG27" s="366">
        <f>ABS(INDEX(AG:AG,MATCH(AG22,$AA:$AA,0)+11)+INDEX(AG:AG,MATCH(AG22,$AA:$AA,0)+12)+INDEX(AG:AG,MATCH(AG22,$AA:$AA,0)+13))</f>
        <v>157</v>
      </c>
      <c r="AH27" s="367"/>
      <c r="AI27" s="366">
        <f>ABS(INDEX(AI:AI,MATCH(AI22,$AA:$AA,0)+11)+INDEX(AI:AI,MATCH(AI22,$AA:$AA,0)+12)+INDEX(AI:AI,MATCH(AI22,$AA:$AA,0)+13))</f>
        <v>225</v>
      </c>
      <c r="AJ27" s="367"/>
      <c r="AK27" s="366">
        <f>ABS(INDEX(AK:AK,MATCH(AK22,$AA:$AA,0)+11)+INDEX(AK:AK,MATCH(AK22,$AA:$AA,0)+12)+INDEX(AK:AK,MATCH(AK22,$AA:$AA,0)+13))</f>
        <v>157</v>
      </c>
      <c r="AL27" s="367"/>
      <c r="AM27" s="366">
        <f>ABS(INDEX(AM:AM,MATCH(AM22,$AA:$AA,0)+11)+INDEX(AM:AM,MATCH(AM22,$AA:$AA,0)+12)+INDEX(AM:AM,MATCH(AM22,$AA:$AA,0)+13))</f>
        <v>157</v>
      </c>
      <c r="AN27" s="367"/>
      <c r="AO27" s="366">
        <f>ABS(INDEX(AO:AO,MATCH(AO22,$AA:$AA,0)+11)+INDEX(AO:AO,MATCH(AO22,$AA:$AA,0)+12)+INDEX(AO:AO,MATCH(AO22,$AA:$AA,0)+13))</f>
        <v>172</v>
      </c>
      <c r="AP27" s="367"/>
      <c r="AQ27" s="366">
        <f>ABS(INDEX(AQ:AQ,MATCH(AQ22,$AA:$AA,0)+11)+INDEX(AQ:AQ,MATCH(AQ22,$AA:$AA,0)+12)+INDEX(AQ:AQ,MATCH(AQ22,$AA:$AA,0)+13))</f>
        <v>230</v>
      </c>
      <c r="AR27" s="367"/>
      <c r="AS27" s="366">
        <f>ABS(INDEX(AS:AS,MATCH(AS22,$AA:$AA,0)+11)+INDEX(AS:AS,MATCH(AS22,$AA:$AA,0)+12)+INDEX(AS:AS,MATCH(AS22,$AA:$AA,0)+13))</f>
        <v>177</v>
      </c>
      <c r="AT27" s="367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4" t="str">
        <f t="shared" si="34"/>
        <v>Spieler 4</v>
      </c>
      <c r="C28" s="375" t="str">
        <f t="shared" si="34"/>
        <v/>
      </c>
      <c r="D28" s="362">
        <f>IF(AC28=301,"",AC28)</f>
        <v>174</v>
      </c>
      <c r="E28" s="362" t="str">
        <f>IF(AD28=0,"",AD28)</f>
        <v/>
      </c>
      <c r="F28" s="362">
        <f>IF(AE28=301,"",AE28)</f>
        <v>258</v>
      </c>
      <c r="G28" s="362" t="str">
        <f>IF(AF28=0,"",AF28)</f>
        <v/>
      </c>
      <c r="H28" s="362">
        <f>IF(AG28=301,"",AG28)</f>
        <v>202</v>
      </c>
      <c r="I28" s="362" t="str">
        <f>IF(AH28=0,"",AH28)</f>
        <v/>
      </c>
      <c r="J28" s="362">
        <f>IF(AI28=301,"",AI28)</f>
        <v>184</v>
      </c>
      <c r="K28" s="362" t="str">
        <f>IF(AJ28=0,"",AJ28)</f>
        <v/>
      </c>
      <c r="L28" s="362">
        <f>IF(AK28=301,"",AK28)</f>
        <v>178</v>
      </c>
      <c r="M28" s="362" t="str">
        <f>IF(AL28=0,"",AL28)</f>
        <v/>
      </c>
      <c r="N28" s="362">
        <f>IF(AM28=301,"",AM28)</f>
        <v>156</v>
      </c>
      <c r="O28" s="362" t="str">
        <f>IF(AN28=0,"",AN28)</f>
        <v/>
      </c>
      <c r="P28" s="362">
        <f>IF(AO28=301,"",AO28)</f>
        <v>164</v>
      </c>
      <c r="Q28" s="362" t="str">
        <f>IF(AP28=0,"",AP28)</f>
        <v/>
      </c>
      <c r="R28" s="362">
        <f>IF(AQ28=301,"",AQ28)</f>
        <v>202</v>
      </c>
      <c r="S28" s="362" t="str">
        <f>IF(AR28=0,"",AR28)</f>
        <v/>
      </c>
      <c r="T28" s="362">
        <f>IF(AS28=301,"",AS28)</f>
        <v>189</v>
      </c>
      <c r="U28" s="362" t="str">
        <f>IF(AT28=0,"",AT28)</f>
        <v/>
      </c>
      <c r="V28" s="364"/>
      <c r="W28" s="364"/>
      <c r="AA28" s="91" t="s">
        <v>11</v>
      </c>
      <c r="AB28" s="92"/>
      <c r="AC28" s="366">
        <f>ABS(INDEX(AC:AC,MATCH(AC22,$AA:$AA,0)+14)+INDEX(AC:AC,MATCH(AC22,$AA:$AA,0)+15)+INDEX(AC:AC,MATCH(AC22,$AA:$AA,0)+16))</f>
        <v>174</v>
      </c>
      <c r="AD28" s="367"/>
      <c r="AE28" s="366">
        <f>ABS(INDEX(AE:AE,MATCH(AE22,$AA:$AA,0)+14)+INDEX(AE:AE,MATCH(AE22,$AA:$AA,0)+15)+INDEX(AE:AE,MATCH(AE22,$AA:$AA,0)+16))</f>
        <v>258</v>
      </c>
      <c r="AF28" s="367"/>
      <c r="AG28" s="366">
        <f>ABS(INDEX(AG:AG,MATCH(AG22,$AA:$AA,0)+14)+INDEX(AG:AG,MATCH(AG22,$AA:$AA,0)+15)+INDEX(AG:AG,MATCH(AG22,$AA:$AA,0)+16))</f>
        <v>202</v>
      </c>
      <c r="AH28" s="367"/>
      <c r="AI28" s="366">
        <f>ABS(INDEX(AI:AI,MATCH(AI22,$AA:$AA,0)+14)+INDEX(AI:AI,MATCH(AI22,$AA:$AA,0)+15)+INDEX(AI:AI,MATCH(AI22,$AA:$AA,0)+16))</f>
        <v>184</v>
      </c>
      <c r="AJ28" s="367"/>
      <c r="AK28" s="366">
        <f>ABS(INDEX(AK:AK,MATCH(AK22,$AA:$AA,0)+14)+INDEX(AK:AK,MATCH(AK22,$AA:$AA,0)+15)+INDEX(AK:AK,MATCH(AK22,$AA:$AA,0)+16))</f>
        <v>178</v>
      </c>
      <c r="AL28" s="367"/>
      <c r="AM28" s="366">
        <f>ABS(INDEX(AM:AM,MATCH(AM22,$AA:$AA,0)+14)+INDEX(AM:AM,MATCH(AM22,$AA:$AA,0)+15)+INDEX(AM:AM,MATCH(AM22,$AA:$AA,0)+16))</f>
        <v>156</v>
      </c>
      <c r="AN28" s="367"/>
      <c r="AO28" s="366">
        <f>ABS(INDEX(AO:AO,MATCH(AO22,$AA:$AA,0)+14)+INDEX(AO:AO,MATCH(AO22,$AA:$AA,0)+15)+INDEX(AO:AO,MATCH(AO22,$AA:$AA,0)+16))</f>
        <v>164</v>
      </c>
      <c r="AP28" s="367"/>
      <c r="AQ28" s="366">
        <f>ABS(INDEX(AQ:AQ,MATCH(AQ22,$AA:$AA,0)+14)+INDEX(AQ:AQ,MATCH(AQ22,$AA:$AA,0)+15)+INDEX(AQ:AQ,MATCH(AQ22,$AA:$AA,0)+16))</f>
        <v>202</v>
      </c>
      <c r="AR28" s="367"/>
      <c r="AS28" s="366">
        <f>ABS(INDEX(AS:AS,MATCH(AS22,$AA:$AA,0)+14)+INDEX(AS:AS,MATCH(AS22,$AA:$AA,0)+15)+INDEX(AS:AS,MATCH(AS22,$AA:$AA,0)+16))</f>
        <v>189</v>
      </c>
      <c r="AT28" s="367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6" t="str">
        <f t="shared" si="34"/>
        <v>Gesamt</v>
      </c>
      <c r="C29" s="347" t="str">
        <f t="shared" si="34"/>
        <v/>
      </c>
      <c r="D29" s="365">
        <f>IF(AC29=1505,"",AC29)</f>
        <v>671</v>
      </c>
      <c r="E29" s="365" t="str">
        <f>IF(AD29=0,"",AD29)</f>
        <v/>
      </c>
      <c r="F29" s="365">
        <f>IF(AE29=1505,"",AE29)</f>
        <v>816</v>
      </c>
      <c r="G29" s="365" t="str">
        <f>IF(AF29=0,"",AF29)</f>
        <v/>
      </c>
      <c r="H29" s="365">
        <f>IF(AG29=1505,"",AG29)</f>
        <v>648</v>
      </c>
      <c r="I29" s="365" t="str">
        <f>IF(AH29=0,"",AH29)</f>
        <v/>
      </c>
      <c r="J29" s="365">
        <f>IF(AI29=1505,"",AI29)</f>
        <v>747</v>
      </c>
      <c r="K29" s="365" t="str">
        <f>IF(AJ29=0,"",AJ29)</f>
        <v/>
      </c>
      <c r="L29" s="365">
        <f>IF(AK29=1505,"",AK29)</f>
        <v>665</v>
      </c>
      <c r="M29" s="365" t="str">
        <f>IF(AL29=0,"",AL29)</f>
        <v/>
      </c>
      <c r="N29" s="365">
        <f>IF(AM29=1505,"",AM29)</f>
        <v>640</v>
      </c>
      <c r="O29" s="365" t="str">
        <f>IF(AN29=0,"",AN29)</f>
        <v/>
      </c>
      <c r="P29" s="365">
        <f>IF(AO29=1505,"",AO29)</f>
        <v>646</v>
      </c>
      <c r="Q29" s="365" t="str">
        <f>IF(AP29=0,"",AP29)</f>
        <v/>
      </c>
      <c r="R29" s="365">
        <f>IF(AQ29=1505,"",AQ29)</f>
        <v>873</v>
      </c>
      <c r="S29" s="365" t="str">
        <f>IF(AR29=0,"",AR29)</f>
        <v/>
      </c>
      <c r="T29" s="365">
        <f>IF(AS29=1505,"",AS29)</f>
        <v>687</v>
      </c>
      <c r="U29" s="365" t="str">
        <f>IF(AT29=0,"",AT29)</f>
        <v/>
      </c>
      <c r="V29" s="301"/>
      <c r="W29" s="301"/>
      <c r="AA29" s="93" t="s">
        <v>1799</v>
      </c>
      <c r="AB29" s="94"/>
      <c r="AC29" s="346">
        <f>SUM(AC25:AC28)</f>
        <v>671</v>
      </c>
      <c r="AD29" s="347"/>
      <c r="AE29" s="346">
        <f>SUM(AE25:AE28)</f>
        <v>816</v>
      </c>
      <c r="AF29" s="347"/>
      <c r="AG29" s="346">
        <f>SUM(AG25:AG28)</f>
        <v>648</v>
      </c>
      <c r="AH29" s="347"/>
      <c r="AI29" s="346">
        <f>SUM(AI25:AI28)</f>
        <v>747</v>
      </c>
      <c r="AJ29" s="347"/>
      <c r="AK29" s="346">
        <f>SUM(AK25:AK28)</f>
        <v>665</v>
      </c>
      <c r="AL29" s="347"/>
      <c r="AM29" s="346">
        <f>SUM(AM25:AM28)</f>
        <v>640</v>
      </c>
      <c r="AN29" s="347"/>
      <c r="AO29" s="346">
        <f>SUM(AO25:AO28)</f>
        <v>646</v>
      </c>
      <c r="AP29" s="347"/>
      <c r="AQ29" s="346">
        <f>SUM(AQ25:AQ28)</f>
        <v>873</v>
      </c>
      <c r="AR29" s="347"/>
      <c r="AS29" s="346">
        <f>SUM(AS25:AS28)</f>
        <v>687</v>
      </c>
      <c r="AT29" s="347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5" t="str">
        <f>AE31</f>
        <v>Bayernliga Herren</v>
      </c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48"/>
      <c r="S31" s="49" t="s">
        <v>1794</v>
      </c>
      <c r="T31" s="50"/>
      <c r="U31" s="341" t="str">
        <f>AT31</f>
        <v>15.02./16.02.</v>
      </c>
      <c r="V31" s="342"/>
      <c r="W31" s="343"/>
      <c r="X31" s="372"/>
      <c r="Y31" s="373"/>
      <c r="Z31" s="373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41" t="str">
        <f>VLOOKUP(AS32,Spielorte!$A$1:$C$6,2)</f>
        <v>15.02./16.02.</v>
      </c>
      <c r="AU31" s="342"/>
      <c r="AV31" s="34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4" t="str">
        <f>AE32</f>
        <v>Regensburg Super Bowl</v>
      </c>
      <c r="G32" s="344"/>
      <c r="H32" s="344"/>
      <c r="I32" s="344"/>
      <c r="J32" s="344"/>
      <c r="K32" s="344"/>
      <c r="L32" s="344"/>
      <c r="M32" s="344"/>
      <c r="N32" s="344"/>
      <c r="O32" s="344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8</v>
      </c>
      <c r="AE34" s="65" t="s">
        <v>10</v>
      </c>
      <c r="AF34" s="44">
        <f>VLOOKUP(AA32,Schlüssel!$A$5:$DZ$14,74)</f>
        <v>10</v>
      </c>
      <c r="AG34" s="65" t="s">
        <v>10</v>
      </c>
      <c r="AH34" s="44">
        <f>VLOOKUP(AA32,Schlüssel!$A$5:$DZ$14,75)</f>
        <v>4</v>
      </c>
      <c r="AI34" s="65" t="s">
        <v>10</v>
      </c>
      <c r="AJ34" s="44">
        <f>VLOOKUP(AA32,Schlüssel!$A$5:$DZ$14,76)</f>
        <v>6</v>
      </c>
      <c r="AK34" s="65" t="s">
        <v>10</v>
      </c>
      <c r="AL34" s="44">
        <f>VLOOKUP(AA32,Schlüssel!$A$5:$DZ$14,77)</f>
        <v>1</v>
      </c>
      <c r="AM34" s="65" t="s">
        <v>10</v>
      </c>
      <c r="AN34" s="44">
        <f>VLOOKUP(AA32,Schlüssel!$A$5:$DZ$14,78)</f>
        <v>3</v>
      </c>
      <c r="AO34" s="65" t="s">
        <v>10</v>
      </c>
      <c r="AP34" s="44">
        <f>VLOOKUP(AA32,Schlüssel!$A$5:$DZ$14,79)</f>
        <v>7</v>
      </c>
      <c r="AQ34" s="65" t="s">
        <v>10</v>
      </c>
      <c r="AR34" s="44">
        <f>VLOOKUP(AA32,Schlüssel!$A$5:$DZ$14,80)</f>
        <v>2</v>
      </c>
      <c r="AS34" s="65" t="s">
        <v>10</v>
      </c>
      <c r="AT34" s="44">
        <f>VLOOKUP(AA32,Schlüssel!$A$5:$DZ$14,81)</f>
        <v>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6" t="s">
        <v>1800</v>
      </c>
      <c r="E35" s="347"/>
      <c r="F35" s="346" t="s">
        <v>1801</v>
      </c>
      <c r="G35" s="347"/>
      <c r="H35" s="346" t="s">
        <v>1802</v>
      </c>
      <c r="I35" s="347"/>
      <c r="J35" s="346" t="s">
        <v>1803</v>
      </c>
      <c r="K35" s="347"/>
      <c r="L35" s="346" t="s">
        <v>1804</v>
      </c>
      <c r="M35" s="347"/>
      <c r="N35" s="346" t="s">
        <v>1805</v>
      </c>
      <c r="O35" s="347"/>
      <c r="P35" s="346" t="s">
        <v>1806</v>
      </c>
      <c r="Q35" s="347"/>
      <c r="R35" s="346" t="s">
        <v>1807</v>
      </c>
      <c r="S35" s="347"/>
      <c r="T35" s="346" t="s">
        <v>1808</v>
      </c>
      <c r="U35" s="347"/>
      <c r="V35" s="354" t="s">
        <v>1799</v>
      </c>
      <c r="W35" s="355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6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172</v>
      </c>
      <c r="E37" s="348">
        <f>IF(AD37="","",AD37)</f>
        <v>0</v>
      </c>
      <c r="F37" s="75">
        <f t="shared" ref="F37:F50" si="35">IF(AE37=0,"",AE37)</f>
        <v>209</v>
      </c>
      <c r="G37" s="348">
        <f>IF(AF37="","",AF37)</f>
        <v>1</v>
      </c>
      <c r="H37" s="75">
        <f t="shared" ref="H37:H50" si="36">IF(AG37=0,"",AG37)</f>
        <v>199</v>
      </c>
      <c r="I37" s="348">
        <f>IF(AH37="","",AH37)</f>
        <v>1</v>
      </c>
      <c r="J37" s="75">
        <f t="shared" ref="J37:J50" si="37">IF(AI37=0,"",AI37)</f>
        <v>221</v>
      </c>
      <c r="K37" s="348">
        <f>IF(AJ37="","",AJ37)</f>
        <v>1</v>
      </c>
      <c r="L37" s="75">
        <f t="shared" ref="L37:L50" si="38">IF(AK37=0,"",AK37)</f>
        <v>180</v>
      </c>
      <c r="M37" s="348">
        <f>IF(AL37="","",AL37)</f>
        <v>0</v>
      </c>
      <c r="N37" s="75">
        <f>IF(AM37=0,"",AM37)</f>
        <v>182</v>
      </c>
      <c r="O37" s="348">
        <f>IF(AN37="","",AN37)</f>
        <v>0</v>
      </c>
      <c r="P37" s="75">
        <f t="shared" ref="P37:P50" si="39">IF(AO37=0,"",AO37)</f>
        <v>256</v>
      </c>
      <c r="Q37" s="348">
        <f>IF(AP37="","",AP37)</f>
        <v>1</v>
      </c>
      <c r="R37" s="75">
        <f t="shared" ref="R37:R50" si="40">IF(AQ37=0,"",AQ37)</f>
        <v>181</v>
      </c>
      <c r="S37" s="348">
        <f>IF(AR37="","",AR37)</f>
        <v>0</v>
      </c>
      <c r="T37" s="75">
        <f t="shared" ref="T37:T50" si="41">IF(AS37=0,"",AS37)</f>
        <v>143</v>
      </c>
      <c r="U37" s="348">
        <f>IF(AT37="","",AT37)</f>
        <v>1</v>
      </c>
      <c r="V37" s="75">
        <f t="shared" ref="V37:V50" si="42">IF(AU37=0,"",AU37)</f>
        <v>1743</v>
      </c>
      <c r="W37" s="348">
        <f>IF(AV37="","",AV37)</f>
        <v>5</v>
      </c>
      <c r="Z37" s="351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172</v>
      </c>
      <c r="AD37" s="109">
        <f>IF(SUM(AC37:AC39)+AC55=0,0,IF(SUM(AC37:AC39)=AC55,0.5,IF(SUM(AC37:AC39)&gt;AC55,1,0)))</f>
        <v>0</v>
      </c>
      <c r="AE37" s="185">
        <v>209</v>
      </c>
      <c r="AF37" s="109">
        <f>IF(SUM(AE37:AE39)+AE55=0,0,IF(SUM(AE37:AE39)=AE55,0.5,IF(SUM(AE37:AE39)&gt;AE55,1,0)))</f>
        <v>1</v>
      </c>
      <c r="AG37" s="185">
        <v>199</v>
      </c>
      <c r="AH37" s="109">
        <f>IF(SUM(AG37:AG39)+AG55=0,0,IF(SUM(AG37:AG39)=AG55,0.5,IF(SUM(AG37:AG39)&gt;AG55,1,0)))</f>
        <v>1</v>
      </c>
      <c r="AI37" s="185">
        <v>221</v>
      </c>
      <c r="AJ37" s="109">
        <f>IF(SUM(AI37:AI39)+AI55=0,0,IF(SUM(AI37:AI39)=AI55,0.5,IF(SUM(AI37:AI39)&gt;AI55,1,0)))</f>
        <v>1</v>
      </c>
      <c r="AK37" s="185">
        <v>180</v>
      </c>
      <c r="AL37" s="109">
        <f>IF(SUM(AK37:AK39)+AK55=0,0,IF(SUM(AK37:AK39)=AK55,0.5,IF(SUM(AK37:AK39)&gt;AK55,1,0)))</f>
        <v>0</v>
      </c>
      <c r="AM37" s="185">
        <v>182</v>
      </c>
      <c r="AN37" s="109">
        <f>IF(SUM(AM37:AM39)+AM55=0,0,IF(SUM(AM37:AM39)=AM55,0.5,IF(SUM(AM37:AM39)&gt;AM55,1,0)))</f>
        <v>0</v>
      </c>
      <c r="AO37" s="185">
        <v>256</v>
      </c>
      <c r="AP37" s="109">
        <f>IF(SUM(AO37:AO39)+AO55=0,0,IF(SUM(AO37:AO39)=AO55,0.5,IF(SUM(AO37:AO39)&gt;AO55,1,0)))</f>
        <v>1</v>
      </c>
      <c r="AQ37" s="185">
        <v>181</v>
      </c>
      <c r="AR37" s="109">
        <f>IF(SUM(AQ37:AQ39)+AQ55=0,0,IF(SUM(AQ37:AQ39)=AQ55,0.5,IF(SUM(AQ37:AQ39)&gt;AQ55,1,0)))</f>
        <v>0</v>
      </c>
      <c r="AS37" s="185">
        <v>143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1743</v>
      </c>
      <c r="AV37" s="111">
        <f>SUM(AD37+AF37+AH37+AJ37+AL37+AN37+AP37+AR37+AT37)</f>
        <v>5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1743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172</v>
      </c>
      <c r="BI37" s="215">
        <f t="shared" ref="BI37:BI48" si="45">IF(AE37=0,"",AE37)</f>
        <v>209</v>
      </c>
      <c r="BJ37" s="215">
        <f t="shared" ref="BJ37:BJ48" si="46">IF(AG37=0,"",AG37)</f>
        <v>199</v>
      </c>
      <c r="BK37" s="215">
        <f t="shared" ref="BK37:BK48" si="47">IF(AI37=0,"",AI37)</f>
        <v>221</v>
      </c>
      <c r="BL37" s="215">
        <f t="shared" ref="BL37:BL48" si="48">IF(AK37=0,"",AK37)</f>
        <v>180</v>
      </c>
      <c r="BM37" s="215">
        <f t="shared" ref="BM37:BM48" si="49">IF(AM37=0,"",AM37)</f>
        <v>182</v>
      </c>
      <c r="BN37" s="215">
        <f t="shared" ref="BN37:BN48" si="50">IF(AO37=0,"",AO37)</f>
        <v>256</v>
      </c>
      <c r="BO37" s="215">
        <f t="shared" ref="BO37:BO48" si="51">IF(AQ37=0,"",AQ37)</f>
        <v>181</v>
      </c>
      <c r="BP37" s="215">
        <f t="shared" ref="BP37:BP48" si="52">IF(AS37=0,"",AS37)</f>
        <v>143</v>
      </c>
      <c r="BQ37" s="216"/>
      <c r="BR37" s="214"/>
      <c r="BS37" s="215">
        <f>MAX(BH37:BP37)</f>
        <v>256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1743</v>
      </c>
      <c r="BX37" s="215">
        <f>IF(COUNTIF(BH37:BP37,"&gt;0")&lt;Spielorte!$A$23,0,BE37/Spielorte!$A$23)</f>
        <v>193.66666666666666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77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9"/>
      <c r="F38" s="78" t="str">
        <f t="shared" si="35"/>
        <v/>
      </c>
      <c r="G38" s="349"/>
      <c r="H38" s="78" t="str">
        <f t="shared" si="36"/>
        <v/>
      </c>
      <c r="I38" s="349"/>
      <c r="J38" s="78" t="str">
        <f t="shared" si="37"/>
        <v/>
      </c>
      <c r="K38" s="349"/>
      <c r="L38" s="78" t="str">
        <f t="shared" si="38"/>
        <v/>
      </c>
      <c r="M38" s="349"/>
      <c r="N38" s="78" t="str">
        <f t="shared" ref="N38:N50" si="55">IF(AM38=0,"",AM38)</f>
        <v/>
      </c>
      <c r="O38" s="349"/>
      <c r="P38" s="78" t="str">
        <f t="shared" si="39"/>
        <v/>
      </c>
      <c r="Q38" s="349"/>
      <c r="R38" s="78" t="str">
        <f t="shared" si="40"/>
        <v/>
      </c>
      <c r="S38" s="349"/>
      <c r="T38" s="78" t="str">
        <f t="shared" si="41"/>
        <v/>
      </c>
      <c r="U38" s="349"/>
      <c r="V38" s="78" t="str">
        <f t="shared" si="42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Bajuwaren München 1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8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0"/>
      <c r="F39" s="69" t="str">
        <f t="shared" si="35"/>
        <v/>
      </c>
      <c r="G39" s="350"/>
      <c r="H39" s="69" t="str">
        <f t="shared" si="36"/>
        <v/>
      </c>
      <c r="I39" s="350"/>
      <c r="J39" s="69" t="str">
        <f t="shared" si="37"/>
        <v/>
      </c>
      <c r="K39" s="350"/>
      <c r="L39" s="69" t="str">
        <f t="shared" si="38"/>
        <v/>
      </c>
      <c r="M39" s="350"/>
      <c r="N39" s="69" t="str">
        <f t="shared" si="55"/>
        <v/>
      </c>
      <c r="O39" s="350"/>
      <c r="P39" s="69" t="str">
        <f t="shared" si="39"/>
        <v/>
      </c>
      <c r="Q39" s="350"/>
      <c r="R39" s="69" t="str">
        <f t="shared" si="40"/>
        <v/>
      </c>
      <c r="S39" s="350"/>
      <c r="T39" s="69" t="str">
        <f t="shared" si="41"/>
        <v/>
      </c>
      <c r="U39" s="350"/>
      <c r="V39" s="69" t="str">
        <f t="shared" si="42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Bajuwaren München 1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76" t="s">
        <v>2</v>
      </c>
      <c r="B40" s="73" t="str">
        <f t="shared" si="54"/>
        <v>Glasl sen., Hans</v>
      </c>
      <c r="C40" s="74">
        <f t="shared" si="54"/>
        <v>16762</v>
      </c>
      <c r="D40" s="75">
        <f t="shared" si="54"/>
        <v>149</v>
      </c>
      <c r="E40" s="348">
        <f>IF(AD40="","",AD40)</f>
        <v>0</v>
      </c>
      <c r="F40" s="75">
        <f t="shared" si="35"/>
        <v>154</v>
      </c>
      <c r="G40" s="348">
        <f>IF(AF40="","",AF40)</f>
        <v>1</v>
      </c>
      <c r="H40" s="75" t="str">
        <f t="shared" si="36"/>
        <v/>
      </c>
      <c r="I40" s="348">
        <f>IF(AH40="","",AH40)</f>
        <v>1</v>
      </c>
      <c r="J40" s="75" t="str">
        <f t="shared" si="37"/>
        <v/>
      </c>
      <c r="K40" s="348">
        <f>IF(AJ40="","",AJ40)</f>
        <v>0</v>
      </c>
      <c r="L40" s="75" t="str">
        <f t="shared" si="38"/>
        <v/>
      </c>
      <c r="M40" s="348">
        <f>IF(AL40="","",AL40)</f>
        <v>1</v>
      </c>
      <c r="N40" s="75" t="str">
        <f t="shared" si="55"/>
        <v/>
      </c>
      <c r="O40" s="348">
        <f>IF(AN40="","",AN40)</f>
        <v>0</v>
      </c>
      <c r="P40" s="75" t="str">
        <f t="shared" si="39"/>
        <v/>
      </c>
      <c r="Q40" s="348">
        <f>IF(AP40="","",AP40)</f>
        <v>0</v>
      </c>
      <c r="R40" s="75" t="str">
        <f t="shared" si="40"/>
        <v/>
      </c>
      <c r="S40" s="348">
        <f>IF(AR40="","",AR40)</f>
        <v>0</v>
      </c>
      <c r="T40" s="75" t="str">
        <f t="shared" si="41"/>
        <v/>
      </c>
      <c r="U40" s="348">
        <f>IF(AT40="","",AT40)</f>
        <v>0</v>
      </c>
      <c r="V40" s="75">
        <f t="shared" si="42"/>
        <v>303</v>
      </c>
      <c r="W40" s="348">
        <f>IF(AV40="","",AV40)</f>
        <v>3</v>
      </c>
      <c r="Z40" s="351" t="s">
        <v>2</v>
      </c>
      <c r="AA40" s="108" t="str">
        <f>IF(AB40=0,"",VLOOKUP(AB40,Starter!$A$1:$D$199,2,FALSE))</f>
        <v>Glasl sen., Hans</v>
      </c>
      <c r="AB40" s="99">
        <v>16762</v>
      </c>
      <c r="AC40" s="188">
        <v>149</v>
      </c>
      <c r="AD40" s="109">
        <f>IF(SUM(AC40:AC42)+AC56=0,0,IF(SUM(AC40:AC42)=AC56,0.5,IF(SUM(AC40:AC42)&gt;AC56,1,0)))</f>
        <v>0</v>
      </c>
      <c r="AE40" s="188">
        <v>154</v>
      </c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1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1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3"/>
        <v>303</v>
      </c>
      <c r="AV40" s="111">
        <f>SUM(AD40+AF40+AH40+AJ40+AL40+AN40+AP40+AR40+AT40)</f>
        <v>3</v>
      </c>
      <c r="AW40" s="101"/>
      <c r="AX40" s="102"/>
      <c r="AZ40" s="63"/>
      <c r="BA40" s="212"/>
      <c r="BB40" s="213"/>
      <c r="BC40" s="214"/>
      <c r="BD40" s="217">
        <f t="shared" si="56"/>
        <v>16762</v>
      </c>
      <c r="BE40" s="213">
        <f t="shared" si="57"/>
        <v>303</v>
      </c>
      <c r="BF40" s="215">
        <f t="shared" si="58"/>
        <v>2</v>
      </c>
      <c r="BG40" s="215">
        <f t="shared" si="59"/>
        <v>2</v>
      </c>
      <c r="BH40" s="215">
        <f t="shared" si="44"/>
        <v>149</v>
      </c>
      <c r="BI40" s="215">
        <f t="shared" si="45"/>
        <v>154</v>
      </c>
      <c r="BJ40" s="215" t="str">
        <f t="shared" si="46"/>
        <v/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154</v>
      </c>
      <c r="BT40" s="215">
        <f t="shared" si="61"/>
        <v>0</v>
      </c>
      <c r="BU40" s="215" t="str">
        <f t="shared" si="62"/>
        <v>Bajuwaren München 1</v>
      </c>
      <c r="BV40" s="214">
        <f t="shared" si="63"/>
        <v>2</v>
      </c>
      <c r="BW40" s="215">
        <f t="shared" si="64"/>
        <v>303</v>
      </c>
      <c r="BX40" s="215">
        <f>IF(COUNTIF(BH40:BP40,"&gt;0")&lt;Spielorte!$A$23,0,BE40/Spielorte!$A$23)</f>
        <v>0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77"/>
      <c r="B41" s="76" t="str">
        <f t="shared" si="54"/>
        <v>Lüthje, Volker</v>
      </c>
      <c r="C41" s="77">
        <f t="shared" si="54"/>
        <v>7601</v>
      </c>
      <c r="D41" s="78" t="str">
        <f t="shared" si="54"/>
        <v/>
      </c>
      <c r="E41" s="349"/>
      <c r="F41" s="78" t="str">
        <f t="shared" si="35"/>
        <v/>
      </c>
      <c r="G41" s="349"/>
      <c r="H41" s="78">
        <f t="shared" si="36"/>
        <v>242</v>
      </c>
      <c r="I41" s="349"/>
      <c r="J41" s="78">
        <f t="shared" si="37"/>
        <v>191</v>
      </c>
      <c r="K41" s="349"/>
      <c r="L41" s="78">
        <f t="shared" si="38"/>
        <v>184</v>
      </c>
      <c r="M41" s="349"/>
      <c r="N41" s="78">
        <f t="shared" si="55"/>
        <v>145</v>
      </c>
      <c r="O41" s="349"/>
      <c r="P41" s="78">
        <f t="shared" si="39"/>
        <v>131</v>
      </c>
      <c r="Q41" s="349"/>
      <c r="R41" s="78">
        <f t="shared" si="40"/>
        <v>134</v>
      </c>
      <c r="S41" s="349"/>
      <c r="T41" s="78">
        <f t="shared" si="41"/>
        <v>148</v>
      </c>
      <c r="U41" s="349"/>
      <c r="V41" s="78">
        <f t="shared" si="42"/>
        <v>1175</v>
      </c>
      <c r="W41" s="349"/>
      <c r="Z41" s="352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/>
      <c r="AF41" s="112"/>
      <c r="AG41" s="186">
        <v>242</v>
      </c>
      <c r="AH41" s="112"/>
      <c r="AI41" s="186">
        <v>191</v>
      </c>
      <c r="AJ41" s="112"/>
      <c r="AK41" s="186">
        <v>184</v>
      </c>
      <c r="AL41" s="112"/>
      <c r="AM41" s="186">
        <v>145</v>
      </c>
      <c r="AN41" s="112"/>
      <c r="AO41" s="190">
        <v>131</v>
      </c>
      <c r="AP41" s="112"/>
      <c r="AQ41" s="190">
        <v>134</v>
      </c>
      <c r="AR41" s="112"/>
      <c r="AS41" s="190">
        <v>148</v>
      </c>
      <c r="AT41" s="112"/>
      <c r="AU41" s="113">
        <f t="shared" si="43"/>
        <v>1175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7601</v>
      </c>
      <c r="BE41" s="213">
        <f t="shared" si="57"/>
        <v>1175</v>
      </c>
      <c r="BF41" s="215">
        <f t="shared" si="58"/>
        <v>7</v>
      </c>
      <c r="BG41" s="215">
        <f t="shared" si="59"/>
        <v>7</v>
      </c>
      <c r="BH41" s="215" t="str">
        <f t="shared" si="44"/>
        <v/>
      </c>
      <c r="BI41" s="215" t="str">
        <f t="shared" si="45"/>
        <v/>
      </c>
      <c r="BJ41" s="215">
        <f t="shared" si="46"/>
        <v>242</v>
      </c>
      <c r="BK41" s="215">
        <f t="shared" si="47"/>
        <v>191</v>
      </c>
      <c r="BL41" s="215">
        <f t="shared" si="48"/>
        <v>184</v>
      </c>
      <c r="BM41" s="215">
        <f t="shared" si="49"/>
        <v>145</v>
      </c>
      <c r="BN41" s="215">
        <f t="shared" si="50"/>
        <v>131</v>
      </c>
      <c r="BO41" s="215">
        <f t="shared" si="51"/>
        <v>134</v>
      </c>
      <c r="BP41" s="215">
        <f t="shared" si="52"/>
        <v>148</v>
      </c>
      <c r="BQ41" s="216"/>
      <c r="BR41" s="214"/>
      <c r="BS41" s="215">
        <f t="shared" si="60"/>
        <v>242</v>
      </c>
      <c r="BT41" s="215">
        <f t="shared" si="61"/>
        <v>0</v>
      </c>
      <c r="BU41" s="215" t="str">
        <f t="shared" si="62"/>
        <v>Bajuwaren München 1</v>
      </c>
      <c r="BV41" s="214">
        <f t="shared" si="63"/>
        <v>2</v>
      </c>
      <c r="BW41" s="215">
        <f t="shared" si="64"/>
        <v>1175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8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0"/>
      <c r="F42" s="69" t="str">
        <f t="shared" si="35"/>
        <v/>
      </c>
      <c r="G42" s="350"/>
      <c r="H42" s="69" t="str">
        <f t="shared" si="36"/>
        <v/>
      </c>
      <c r="I42" s="350"/>
      <c r="J42" s="69" t="str">
        <f t="shared" si="37"/>
        <v/>
      </c>
      <c r="K42" s="350"/>
      <c r="L42" s="69" t="str">
        <f t="shared" si="38"/>
        <v/>
      </c>
      <c r="M42" s="350"/>
      <c r="N42" s="69" t="str">
        <f t="shared" si="55"/>
        <v/>
      </c>
      <c r="O42" s="350"/>
      <c r="P42" s="69" t="str">
        <f t="shared" si="39"/>
        <v/>
      </c>
      <c r="Q42" s="350"/>
      <c r="R42" s="69" t="str">
        <f t="shared" si="40"/>
        <v/>
      </c>
      <c r="S42" s="350"/>
      <c r="T42" s="69" t="str">
        <f t="shared" si="41"/>
        <v/>
      </c>
      <c r="U42" s="350"/>
      <c r="V42" s="69" t="str">
        <f t="shared" si="42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Bajuwaren München 1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76" t="s">
        <v>3</v>
      </c>
      <c r="B43" s="73" t="str">
        <f t="shared" si="54"/>
        <v>Lüthje, Dennis</v>
      </c>
      <c r="C43" s="74">
        <f t="shared" si="54"/>
        <v>7600</v>
      </c>
      <c r="D43" s="75">
        <f t="shared" si="54"/>
        <v>175</v>
      </c>
      <c r="E43" s="348">
        <f>IF(AD43="","",AD43)</f>
        <v>0</v>
      </c>
      <c r="F43" s="75">
        <f t="shared" si="35"/>
        <v>208</v>
      </c>
      <c r="G43" s="348">
        <f>IF(AF43="","",AF43)</f>
        <v>0</v>
      </c>
      <c r="H43" s="75">
        <f t="shared" si="36"/>
        <v>213</v>
      </c>
      <c r="I43" s="348">
        <f>IF(AH43="","",AH43)</f>
        <v>1</v>
      </c>
      <c r="J43" s="75">
        <f t="shared" si="37"/>
        <v>170</v>
      </c>
      <c r="K43" s="348">
        <f>IF(AJ43="","",AJ43)</f>
        <v>0</v>
      </c>
      <c r="L43" s="75">
        <f t="shared" si="38"/>
        <v>124</v>
      </c>
      <c r="M43" s="348">
        <f>IF(AL43="","",AL43)</f>
        <v>0</v>
      </c>
      <c r="N43" s="75">
        <f t="shared" si="55"/>
        <v>-157</v>
      </c>
      <c r="O43" s="348">
        <f>IF(AN43="","",AN43)</f>
        <v>0</v>
      </c>
      <c r="P43" s="75" t="str">
        <f t="shared" si="39"/>
        <v/>
      </c>
      <c r="Q43" s="348">
        <f>IF(AP43="","",AP43)</f>
        <v>0</v>
      </c>
      <c r="R43" s="75" t="str">
        <f t="shared" si="40"/>
        <v/>
      </c>
      <c r="S43" s="348">
        <f>IF(AR43="","",AR43)</f>
        <v>0</v>
      </c>
      <c r="T43" s="75" t="str">
        <f t="shared" si="41"/>
        <v/>
      </c>
      <c r="U43" s="348">
        <f>IF(AT43="","",AT43)</f>
        <v>0</v>
      </c>
      <c r="V43" s="75">
        <f t="shared" si="42"/>
        <v>1047</v>
      </c>
      <c r="W43" s="348">
        <f>IF(AV43="","",AV43)</f>
        <v>1</v>
      </c>
      <c r="Z43" s="351" t="s">
        <v>3</v>
      </c>
      <c r="AA43" s="108" t="str">
        <f>IF(AB43=0,"",VLOOKUP(AB43,Starter!$A$1:$D$199,2,FALSE))</f>
        <v>Lüthje, Dennis</v>
      </c>
      <c r="AB43" s="99">
        <v>7600</v>
      </c>
      <c r="AC43" s="188">
        <v>175</v>
      </c>
      <c r="AD43" s="109">
        <f>IF(SUM(AC43:AC45)+AC57=0,0,IF(SUM(AC43:AC45)=AC57,0.5,IF(SUM(AC43:AC45)&gt;AC57,1,0)))</f>
        <v>0</v>
      </c>
      <c r="AE43" s="188">
        <v>208</v>
      </c>
      <c r="AF43" s="109">
        <f>IF(SUM(AE43:AE45)+AE57=0,0,IF(SUM(AE43:AE45)=AE57,0.5,IF(SUM(AE43:AE45)&gt;AE57,1,0)))</f>
        <v>0</v>
      </c>
      <c r="AG43" s="188">
        <v>213</v>
      </c>
      <c r="AH43" s="109">
        <f>IF(SUM(AG43:AG45)+AG57=0,0,IF(SUM(AG43:AG45)=AG57,0.5,IF(SUM(AG43:AG45)&gt;AG57,1,0)))</f>
        <v>1</v>
      </c>
      <c r="AI43" s="188">
        <v>170</v>
      </c>
      <c r="AJ43" s="109">
        <f>IF(SUM(AI43:AI45)+AI57=0,0,IF(SUM(AI43:AI45)=AI57,0.5,IF(SUM(AI43:AI45)&gt;AI57,1,0)))</f>
        <v>0</v>
      </c>
      <c r="AK43" s="188">
        <v>124</v>
      </c>
      <c r="AL43" s="109">
        <f>IF(SUM(AK43:AK45)+AK57=0,0,IF(SUM(AK43:AK45)=AK57,0.5,IF(SUM(AK43:AK45)&gt;AK57,1,0)))</f>
        <v>0</v>
      </c>
      <c r="AM43" s="188">
        <v>-157</v>
      </c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3"/>
        <v>1047</v>
      </c>
      <c r="AV43" s="111">
        <f>SUM(AD43+AF43+AH43+AJ43+AL43+AN43+AP43+AR43+AT43)</f>
        <v>1</v>
      </c>
      <c r="AW43" s="101"/>
      <c r="AX43" s="102"/>
      <c r="AZ43" s="63"/>
      <c r="BA43" s="212"/>
      <c r="BB43" s="213"/>
      <c r="BC43" s="214"/>
      <c r="BD43" s="217">
        <f t="shared" si="56"/>
        <v>7600</v>
      </c>
      <c r="BE43" s="213">
        <f t="shared" si="57"/>
        <v>1047</v>
      </c>
      <c r="BF43" s="215">
        <f t="shared" si="58"/>
        <v>6</v>
      </c>
      <c r="BG43" s="215">
        <f t="shared" si="59"/>
        <v>5</v>
      </c>
      <c r="BH43" s="215">
        <f t="shared" si="44"/>
        <v>175</v>
      </c>
      <c r="BI43" s="215">
        <f t="shared" si="45"/>
        <v>208</v>
      </c>
      <c r="BJ43" s="215">
        <f t="shared" si="46"/>
        <v>213</v>
      </c>
      <c r="BK43" s="215">
        <f t="shared" si="47"/>
        <v>170</v>
      </c>
      <c r="BL43" s="215">
        <f t="shared" si="48"/>
        <v>124</v>
      </c>
      <c r="BM43" s="215">
        <f t="shared" si="49"/>
        <v>-157</v>
      </c>
      <c r="BN43" s="215" t="str">
        <f t="shared" si="50"/>
        <v/>
      </c>
      <c r="BO43" s="215" t="str">
        <f t="shared" si="51"/>
        <v/>
      </c>
      <c r="BP43" s="215" t="str">
        <f t="shared" si="52"/>
        <v/>
      </c>
      <c r="BQ43" s="216"/>
      <c r="BR43" s="214"/>
      <c r="BS43" s="215">
        <f t="shared" si="60"/>
        <v>213</v>
      </c>
      <c r="BT43" s="215">
        <f t="shared" si="61"/>
        <v>0</v>
      </c>
      <c r="BU43" s="215" t="str">
        <f t="shared" si="62"/>
        <v>Bajuwaren München 1</v>
      </c>
      <c r="BV43" s="214">
        <f t="shared" si="63"/>
        <v>2</v>
      </c>
      <c r="BW43" s="215">
        <f t="shared" si="64"/>
        <v>890</v>
      </c>
      <c r="BX43" s="215">
        <f>IF(COUNTIF(BH43:BP43,"&gt;0")&lt;Spielorte!$A$23,0,BE43/Spielorte!$A$23)</f>
        <v>0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77"/>
      <c r="B44" s="76" t="str">
        <f t="shared" si="54"/>
        <v>Glasl sen., Hans</v>
      </c>
      <c r="C44" s="77">
        <f t="shared" si="54"/>
        <v>16762</v>
      </c>
      <c r="D44" s="78" t="str">
        <f t="shared" si="54"/>
        <v/>
      </c>
      <c r="E44" s="349"/>
      <c r="F44" s="78" t="str">
        <f t="shared" si="35"/>
        <v/>
      </c>
      <c r="G44" s="349"/>
      <c r="H44" s="78" t="str">
        <f t="shared" si="36"/>
        <v/>
      </c>
      <c r="I44" s="349"/>
      <c r="J44" s="78" t="str">
        <f t="shared" si="37"/>
        <v/>
      </c>
      <c r="K44" s="349"/>
      <c r="L44" s="78" t="str">
        <f t="shared" si="38"/>
        <v/>
      </c>
      <c r="M44" s="349"/>
      <c r="N44" s="78" t="str">
        <f t="shared" si="55"/>
        <v/>
      </c>
      <c r="O44" s="349"/>
      <c r="P44" s="78">
        <f t="shared" si="39"/>
        <v>193</v>
      </c>
      <c r="Q44" s="349"/>
      <c r="R44" s="78">
        <f t="shared" si="40"/>
        <v>181</v>
      </c>
      <c r="S44" s="349"/>
      <c r="T44" s="78">
        <f t="shared" si="41"/>
        <v>166</v>
      </c>
      <c r="U44" s="349"/>
      <c r="V44" s="78">
        <f t="shared" si="42"/>
        <v>540</v>
      </c>
      <c r="W44" s="349"/>
      <c r="Z44" s="352"/>
      <c r="AA44" s="108" t="str">
        <f>IF(AB44=0,"",VLOOKUP(AB44,Starter!$A$1:$D$199,2,FALSE))</f>
        <v>Glasl sen., Hans</v>
      </c>
      <c r="AB44" s="98">
        <v>16762</v>
      </c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>
        <v>193</v>
      </c>
      <c r="AP44" s="112"/>
      <c r="AQ44" s="186">
        <v>181</v>
      </c>
      <c r="AR44" s="112"/>
      <c r="AS44" s="186">
        <v>166</v>
      </c>
      <c r="AT44" s="112"/>
      <c r="AU44" s="113">
        <f t="shared" si="43"/>
        <v>540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16762</v>
      </c>
      <c r="BE44" s="213">
        <f t="shared" si="57"/>
        <v>540</v>
      </c>
      <c r="BF44" s="215">
        <f t="shared" si="58"/>
        <v>3</v>
      </c>
      <c r="BG44" s="215">
        <f t="shared" si="59"/>
        <v>3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>
        <f t="shared" si="50"/>
        <v>193</v>
      </c>
      <c r="BO44" s="215">
        <f t="shared" si="51"/>
        <v>181</v>
      </c>
      <c r="BP44" s="215">
        <f t="shared" si="52"/>
        <v>166</v>
      </c>
      <c r="BQ44" s="216"/>
      <c r="BR44" s="214"/>
      <c r="BS44" s="215">
        <f t="shared" si="60"/>
        <v>193</v>
      </c>
      <c r="BT44" s="215">
        <f t="shared" si="61"/>
        <v>0</v>
      </c>
      <c r="BU44" s="215" t="str">
        <f t="shared" si="62"/>
        <v>Bajuwaren München 1</v>
      </c>
      <c r="BV44" s="214">
        <f t="shared" si="63"/>
        <v>2</v>
      </c>
      <c r="BW44" s="215">
        <f t="shared" si="64"/>
        <v>540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8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0"/>
      <c r="F45" s="69" t="str">
        <f t="shared" si="35"/>
        <v/>
      </c>
      <c r="G45" s="350"/>
      <c r="H45" s="69" t="str">
        <f t="shared" si="36"/>
        <v/>
      </c>
      <c r="I45" s="350"/>
      <c r="J45" s="69" t="str">
        <f t="shared" si="37"/>
        <v/>
      </c>
      <c r="K45" s="350"/>
      <c r="L45" s="69" t="str">
        <f t="shared" si="38"/>
        <v/>
      </c>
      <c r="M45" s="350"/>
      <c r="N45" s="69" t="str">
        <f t="shared" si="55"/>
        <v/>
      </c>
      <c r="O45" s="350"/>
      <c r="P45" s="69" t="str">
        <f t="shared" si="39"/>
        <v/>
      </c>
      <c r="Q45" s="350"/>
      <c r="R45" s="69" t="str">
        <f t="shared" si="40"/>
        <v/>
      </c>
      <c r="S45" s="350"/>
      <c r="T45" s="69" t="str">
        <f t="shared" si="41"/>
        <v/>
      </c>
      <c r="U45" s="350"/>
      <c r="V45" s="69" t="str">
        <f t="shared" si="42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Bajuwaren München 1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76" t="s">
        <v>11</v>
      </c>
      <c r="B46" s="73" t="str">
        <f>IF(AA46=0,"",AA46)</f>
        <v>Reichert, Ralph</v>
      </c>
      <c r="C46" s="74">
        <f t="shared" si="54"/>
        <v>7416</v>
      </c>
      <c r="D46" s="75">
        <f t="shared" si="54"/>
        <v>176</v>
      </c>
      <c r="E46" s="348">
        <f>IF(AD46="","",AD46)</f>
        <v>1</v>
      </c>
      <c r="F46" s="75">
        <f t="shared" si="35"/>
        <v>236</v>
      </c>
      <c r="G46" s="348">
        <f>IF(AF46="","",AF46)</f>
        <v>1</v>
      </c>
      <c r="H46" s="75">
        <f t="shared" si="36"/>
        <v>181</v>
      </c>
      <c r="I46" s="348">
        <f>IF(AH46="","",AH46)</f>
        <v>0</v>
      </c>
      <c r="J46" s="75">
        <f t="shared" si="37"/>
        <v>185</v>
      </c>
      <c r="K46" s="348">
        <f>IF(AJ46="","",AJ46)</f>
        <v>0</v>
      </c>
      <c r="L46" s="75">
        <f t="shared" si="38"/>
        <v>161</v>
      </c>
      <c r="M46" s="348">
        <f>IF(AL46="","",AL46)</f>
        <v>1</v>
      </c>
      <c r="N46" s="75">
        <f t="shared" si="55"/>
        <v>156</v>
      </c>
      <c r="O46" s="348">
        <f>IF(AN46="","",AN46)</f>
        <v>0</v>
      </c>
      <c r="P46" s="75">
        <f t="shared" si="39"/>
        <v>159</v>
      </c>
      <c r="Q46" s="348">
        <f>IF(AP46="","",AP46)</f>
        <v>0</v>
      </c>
      <c r="R46" s="75">
        <f t="shared" si="40"/>
        <v>169</v>
      </c>
      <c r="S46" s="348">
        <f>IF(AR46="","",AR46)</f>
        <v>0</v>
      </c>
      <c r="T46" s="75">
        <f t="shared" si="41"/>
        <v>176</v>
      </c>
      <c r="U46" s="348">
        <f>IF(AT46="","",AT46)</f>
        <v>1</v>
      </c>
      <c r="V46" s="75">
        <f t="shared" si="42"/>
        <v>1599</v>
      </c>
      <c r="W46" s="348">
        <f>IF(AV46="","",AV46)</f>
        <v>4</v>
      </c>
      <c r="Z46" s="351" t="s">
        <v>11</v>
      </c>
      <c r="AA46" s="108" t="str">
        <f>IF(AB46=0,"",VLOOKUP(AB46,Starter!$A$1:$D$199,2,FALSE))</f>
        <v>Reichert, Ralph</v>
      </c>
      <c r="AB46" s="99">
        <v>7416</v>
      </c>
      <c r="AC46" s="188">
        <v>176</v>
      </c>
      <c r="AD46" s="109">
        <f>IF(SUM(AC46:AC48)+AC58=0,0,IF(SUM(AC46:AC48)=AC58,0.5,IF(SUM(AC46:AC48)&gt;AC58,1,0)))</f>
        <v>1</v>
      </c>
      <c r="AE46" s="188">
        <v>236</v>
      </c>
      <c r="AF46" s="109">
        <f>IF(SUM(AE46:AE48)+AE58=0,0,IF(SUM(AE46:AE48)=AE58,0.5,IF(SUM(AE46:AE48)&gt;AE58,1,0)))</f>
        <v>1</v>
      </c>
      <c r="AG46" s="188">
        <v>181</v>
      </c>
      <c r="AH46" s="109">
        <f>IF(SUM(AG46:AG48)+AG58=0,0,IF(SUM(AG46:AG48)=AG58,0.5,IF(SUM(AG46:AG48)&gt;AG58,1,0)))</f>
        <v>0</v>
      </c>
      <c r="AI46" s="188">
        <v>185</v>
      </c>
      <c r="AJ46" s="109">
        <f>IF(SUM(AI46:AI48)+AI58=0,0,IF(SUM(AI46:AI48)=AI58,0.5,IF(SUM(AI46:AI48)&gt;AI58,1,0)))</f>
        <v>0</v>
      </c>
      <c r="AK46" s="188">
        <v>161</v>
      </c>
      <c r="AL46" s="109">
        <f>IF(SUM(AK46:AK48)+AK58=0,0,IF(SUM(AK46:AK48)=AK58,0.5,IF(SUM(AK46:AK48)&gt;AK58,1,0)))</f>
        <v>1</v>
      </c>
      <c r="AM46" s="188">
        <v>156</v>
      </c>
      <c r="AN46" s="109">
        <f>IF(SUM(AM46:AM48)+AM58=0,0,IF(SUM(AM46:AM48)=AM58,0.5,IF(SUM(AM46:AM48)&gt;AM58,1,0)))</f>
        <v>0</v>
      </c>
      <c r="AO46" s="188">
        <v>159</v>
      </c>
      <c r="AP46" s="109">
        <f>IF(SUM(AO46:AO48)+AO58=0,0,IF(SUM(AO46:AO48)=AO58,0.5,IF(SUM(AO46:AO48)&gt;AO58,1,0)))</f>
        <v>0</v>
      </c>
      <c r="AQ46" s="188">
        <v>169</v>
      </c>
      <c r="AR46" s="109">
        <f>IF(SUM(AQ46:AQ48)+AQ58=0,0,IF(SUM(AQ46:AQ48)=AQ58,0.5,IF(SUM(AQ46:AQ48)&gt;AQ58,1,0)))</f>
        <v>0</v>
      </c>
      <c r="AS46" s="188">
        <v>176</v>
      </c>
      <c r="AT46" s="109">
        <f>IF(SUM(AS46:AS48)+AS58=0,0,IF(SUM(AS46:AS48)=AS58,0.5,IF(SUM(AS46:AS48)&gt;AS58,1,0)))</f>
        <v>1</v>
      </c>
      <c r="AU46" s="110">
        <f t="shared" si="43"/>
        <v>1599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7416</v>
      </c>
      <c r="BE46" s="213">
        <f t="shared" si="57"/>
        <v>1599</v>
      </c>
      <c r="BF46" s="215">
        <f t="shared" si="58"/>
        <v>9</v>
      </c>
      <c r="BG46" s="215">
        <f t="shared" si="59"/>
        <v>9</v>
      </c>
      <c r="BH46" s="215">
        <f t="shared" si="44"/>
        <v>176</v>
      </c>
      <c r="BI46" s="215">
        <f t="shared" si="45"/>
        <v>236</v>
      </c>
      <c r="BJ46" s="215">
        <f t="shared" si="46"/>
        <v>181</v>
      </c>
      <c r="BK46" s="215">
        <f t="shared" si="47"/>
        <v>185</v>
      </c>
      <c r="BL46" s="215">
        <f t="shared" si="48"/>
        <v>161</v>
      </c>
      <c r="BM46" s="215">
        <f t="shared" si="49"/>
        <v>156</v>
      </c>
      <c r="BN46" s="215">
        <f t="shared" si="50"/>
        <v>159</v>
      </c>
      <c r="BO46" s="215">
        <f t="shared" si="51"/>
        <v>169</v>
      </c>
      <c r="BP46" s="215">
        <f t="shared" si="52"/>
        <v>176</v>
      </c>
      <c r="BQ46" s="216"/>
      <c r="BR46" s="214"/>
      <c r="BS46" s="215">
        <f t="shared" si="60"/>
        <v>236</v>
      </c>
      <c r="BT46" s="215">
        <f t="shared" si="61"/>
        <v>0</v>
      </c>
      <c r="BU46" s="215" t="str">
        <f t="shared" si="62"/>
        <v>Bajuwaren München 1</v>
      </c>
      <c r="BV46" s="214">
        <f t="shared" si="63"/>
        <v>2</v>
      </c>
      <c r="BW46" s="215">
        <f t="shared" si="64"/>
        <v>1599</v>
      </c>
      <c r="BX46" s="215">
        <f>IF(COUNTIF(BH46:BP46,"&gt;0")&lt;Spielorte!$A$23,0,BE46/Spielorte!$A$23)</f>
        <v>177.66666666666666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77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9"/>
      <c r="F47" s="78" t="str">
        <f t="shared" si="35"/>
        <v/>
      </c>
      <c r="G47" s="349"/>
      <c r="H47" s="78" t="str">
        <f t="shared" si="36"/>
        <v/>
      </c>
      <c r="I47" s="349"/>
      <c r="J47" s="78" t="str">
        <f t="shared" si="37"/>
        <v/>
      </c>
      <c r="K47" s="349"/>
      <c r="L47" s="78" t="str">
        <f t="shared" si="38"/>
        <v/>
      </c>
      <c r="M47" s="349"/>
      <c r="N47" s="78" t="str">
        <f t="shared" si="55"/>
        <v/>
      </c>
      <c r="O47" s="349"/>
      <c r="P47" s="78" t="str">
        <f t="shared" si="39"/>
        <v/>
      </c>
      <c r="Q47" s="349"/>
      <c r="R47" s="78" t="str">
        <f t="shared" si="40"/>
        <v/>
      </c>
      <c r="S47" s="349"/>
      <c r="T47" s="78" t="str">
        <f t="shared" si="41"/>
        <v/>
      </c>
      <c r="U47" s="349"/>
      <c r="V47" s="78" t="str">
        <f t="shared" si="42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Bajuwaren München 1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8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0"/>
      <c r="F48" s="69" t="str">
        <f t="shared" si="35"/>
        <v/>
      </c>
      <c r="G48" s="350"/>
      <c r="H48" s="69" t="str">
        <f t="shared" si="36"/>
        <v/>
      </c>
      <c r="I48" s="350"/>
      <c r="J48" s="69" t="str">
        <f t="shared" si="37"/>
        <v/>
      </c>
      <c r="K48" s="350"/>
      <c r="L48" s="69" t="str">
        <f t="shared" si="38"/>
        <v/>
      </c>
      <c r="M48" s="350"/>
      <c r="N48" s="69" t="str">
        <f t="shared" si="55"/>
        <v/>
      </c>
      <c r="O48" s="350"/>
      <c r="P48" s="69" t="str">
        <f t="shared" si="39"/>
        <v/>
      </c>
      <c r="Q48" s="350"/>
      <c r="R48" s="69" t="str">
        <f t="shared" si="40"/>
        <v/>
      </c>
      <c r="S48" s="350"/>
      <c r="T48" s="69" t="str">
        <f t="shared" si="41"/>
        <v/>
      </c>
      <c r="U48" s="350"/>
      <c r="V48" s="69" t="str">
        <f t="shared" si="42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Bajuwaren München 1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672</v>
      </c>
      <c r="E49" s="84">
        <f>IF(AD49="","",AD49)</f>
        <v>0</v>
      </c>
      <c r="F49" s="83">
        <f t="shared" si="35"/>
        <v>807</v>
      </c>
      <c r="G49" s="84">
        <f>IF(AF49="","",AF49)</f>
        <v>2</v>
      </c>
      <c r="H49" s="83">
        <f t="shared" si="36"/>
        <v>835</v>
      </c>
      <c r="I49" s="84">
        <f>IF(AH49="","",AH49)</f>
        <v>2</v>
      </c>
      <c r="J49" s="83">
        <f t="shared" si="37"/>
        <v>767</v>
      </c>
      <c r="K49" s="84">
        <f>IF(AJ49="","",AJ49)</f>
        <v>0</v>
      </c>
      <c r="L49" s="83">
        <f t="shared" si="38"/>
        <v>649</v>
      </c>
      <c r="M49" s="84">
        <f>IF(AL49="","",AL49)</f>
        <v>2</v>
      </c>
      <c r="N49" s="83">
        <f t="shared" si="55"/>
        <v>640</v>
      </c>
      <c r="O49" s="84">
        <f>IF(AN49="","",AN49)</f>
        <v>0</v>
      </c>
      <c r="P49" s="83">
        <f t="shared" si="39"/>
        <v>739</v>
      </c>
      <c r="Q49" s="84">
        <f>IF(AP49="","",AP49)</f>
        <v>0</v>
      </c>
      <c r="R49" s="83">
        <f t="shared" si="40"/>
        <v>665</v>
      </c>
      <c r="S49" s="84">
        <f>IF(AR49="","",AR49)</f>
        <v>0</v>
      </c>
      <c r="T49" s="83">
        <f t="shared" si="41"/>
        <v>633</v>
      </c>
      <c r="U49" s="84">
        <f>IF(AT49="","",AT49)</f>
        <v>2</v>
      </c>
      <c r="V49" s="83">
        <f t="shared" si="42"/>
        <v>6407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672</v>
      </c>
      <c r="AD49" s="121">
        <f>IF(AC49+AC59=0,0,IF(AC49=AC59,1,IF(AC49&gt;AC59,2,0)))</f>
        <v>0</v>
      </c>
      <c r="AE49" s="211">
        <f>ABS(SUM(AE37:AE39))+ABS(SUM(AE40:AE42))+ABS(SUM(AE43:AE45))+ABS(SUM(AE46:AE48))</f>
        <v>807</v>
      </c>
      <c r="AF49" s="121">
        <f>IF(AE49+AE59=0,0,IF(AE49=AE59,1,IF(AE49&gt;AE59,2,0)))</f>
        <v>2</v>
      </c>
      <c r="AG49" s="211">
        <f>ABS(SUM(AG37:AG39))+ABS(SUM(AG40:AG42))+ABS(SUM(AG43:AG45))+ABS(SUM(AG46:AG48))</f>
        <v>835</v>
      </c>
      <c r="AH49" s="121">
        <f>IF(AG49+AG59=0,0,IF(AG49=AG59,1,IF(AG49&gt;AG59,2,0)))</f>
        <v>2</v>
      </c>
      <c r="AI49" s="211">
        <f>ABS(SUM(AI37:AI39))+ABS(SUM(AI40:AI42))+ABS(SUM(AI43:AI45))+ABS(SUM(AI46:AI48))</f>
        <v>767</v>
      </c>
      <c r="AJ49" s="121">
        <f>IF(AI49+AI59=0,0,IF(AI49=AI59,1,IF(AI49&gt;AI59,2,0)))</f>
        <v>0</v>
      </c>
      <c r="AK49" s="211">
        <f>ABS(SUM(AK37:AK39))+ABS(SUM(AK40:AK42))+ABS(SUM(AK43:AK45))+ABS(SUM(AK46:AK48))</f>
        <v>649</v>
      </c>
      <c r="AL49" s="121">
        <f>IF(AK49+AK59=0,0,IF(AK49=AK59,1,IF(AK49&gt;AK59,2,0)))</f>
        <v>2</v>
      </c>
      <c r="AM49" s="211">
        <f>ABS(SUM(AM37:AM39))+ABS(SUM(AM40:AM42))+ABS(SUM(AM43:AM45))+ABS(SUM(AM46:AM48))</f>
        <v>640</v>
      </c>
      <c r="AN49" s="121">
        <f>IF(AM49+AM59=0,0,IF(AM49=AM59,1,IF(AM49&gt;AM59,2,0)))</f>
        <v>0</v>
      </c>
      <c r="AO49" s="211">
        <f>ABS(SUM(AO37:AO39))+ABS(SUM(AO40:AO42))+ABS(SUM(AO43:AO45))+ABS(SUM(AO46:AO48))</f>
        <v>739</v>
      </c>
      <c r="AP49" s="121">
        <f>IF(AO49+AO59=0,0,IF(AO49=AO59,1,IF(AO49&gt;AO59,2,0)))</f>
        <v>0</v>
      </c>
      <c r="AQ49" s="211">
        <f>ABS(SUM(AQ37:AQ39))+ABS(SUM(AQ40:AQ42))+ABS(SUM(AQ43:AQ45))+ABS(SUM(AQ46:AQ48))</f>
        <v>665</v>
      </c>
      <c r="AR49" s="121">
        <f>IF(AQ49+AQ59=0,0,IF(AQ49=AQ59,1,IF(AQ49&gt;AQ59,2,0)))</f>
        <v>0</v>
      </c>
      <c r="AS49" s="211">
        <f>ABS(SUM(AS37:AS39))+ABS(SUM(AS40:AS42))+ABS(SUM(AS43:AS45))+ABS(SUM(AS46:AS48))</f>
        <v>633</v>
      </c>
      <c r="AT49" s="121">
        <f>IF(AS49+AS59=0,0,IF(AS49=AS59,1,IF(AS49&gt;AS59,2,0)))</f>
        <v>2</v>
      </c>
      <c r="AU49" s="122">
        <f>SUM(AC49+AE49+AG49+AI49+AK49+AM49+AO49+AQ49+AS49)</f>
        <v>6407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1</v>
      </c>
      <c r="F50" s="86" t="str">
        <f t="shared" si="35"/>
        <v/>
      </c>
      <c r="G50" s="87">
        <f>IF(AF50="","",AF50)</f>
        <v>5</v>
      </c>
      <c r="H50" s="86" t="str">
        <f t="shared" si="36"/>
        <v/>
      </c>
      <c r="I50" s="87">
        <f>IF(AH50="","",AH50)</f>
        <v>5</v>
      </c>
      <c r="J50" s="86" t="str">
        <f t="shared" si="37"/>
        <v/>
      </c>
      <c r="K50" s="87">
        <f>IF(AJ50="","",AJ50)</f>
        <v>1</v>
      </c>
      <c r="L50" s="86" t="str">
        <f t="shared" si="38"/>
        <v/>
      </c>
      <c r="M50" s="87">
        <f>IF(AL50="","",AL50)</f>
        <v>4</v>
      </c>
      <c r="N50" s="86" t="str">
        <f t="shared" si="55"/>
        <v/>
      </c>
      <c r="O50" s="87">
        <f>IF(AN50="","",AN50)</f>
        <v>0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4</v>
      </c>
      <c r="V50" s="86" t="str">
        <f t="shared" si="42"/>
        <v/>
      </c>
      <c r="W50" s="87">
        <f>IF(AV50="","",AV50)</f>
        <v>21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5</v>
      </c>
      <c r="AG50" s="86"/>
      <c r="AH50" s="124">
        <f>SUM(AH37:AH49)</f>
        <v>5</v>
      </c>
      <c r="AI50" s="86"/>
      <c r="AJ50" s="124">
        <f>SUM(AJ37:AJ49)</f>
        <v>1</v>
      </c>
      <c r="AK50" s="86"/>
      <c r="AL50" s="124">
        <f>SUM(AL37:AL49)</f>
        <v>4</v>
      </c>
      <c r="AM50" s="86"/>
      <c r="AN50" s="124">
        <f>SUM(AN37:AN49)</f>
        <v>0</v>
      </c>
      <c r="AO50" s="86"/>
      <c r="AP50" s="124">
        <f>SUM(AP37:AP49)</f>
        <v>1</v>
      </c>
      <c r="AQ50" s="86"/>
      <c r="AR50" s="124">
        <f>SUM(AR37:AR49)</f>
        <v>0</v>
      </c>
      <c r="AS50" s="86"/>
      <c r="AT50" s="124">
        <f>SUM(AT37:AT49)</f>
        <v>4</v>
      </c>
      <c r="AU50" s="86"/>
      <c r="AV50" s="125">
        <f>SUM(AV37:AV49)</f>
        <v>21</v>
      </c>
      <c r="AW50" s="101"/>
      <c r="AX50" s="102"/>
      <c r="BA50" s="212">
        <f>+AV50</f>
        <v>21</v>
      </c>
      <c r="BB50" s="213">
        <f>+AU49</f>
        <v>6407</v>
      </c>
      <c r="BC50" s="214">
        <f>+AA32</f>
        <v>2</v>
      </c>
      <c r="BF50" s="215">
        <f>SUM(BF31:BF49)</f>
        <v>36</v>
      </c>
      <c r="BQ50" s="212">
        <f>+BB50/1000000+BA50</f>
        <v>21.006406999999999</v>
      </c>
      <c r="BR50" s="214">
        <f>RANK(BQ50,BQ:BQ)</f>
        <v>6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56">
        <f t="shared" si="66"/>
        <v>4</v>
      </c>
      <c r="E52" s="356" t="str">
        <f t="shared" si="66"/>
        <v/>
      </c>
      <c r="F52" s="356">
        <f t="shared" si="66"/>
        <v>5</v>
      </c>
      <c r="G52" s="356" t="str">
        <f t="shared" si="66"/>
        <v/>
      </c>
      <c r="H52" s="356">
        <f t="shared" si="66"/>
        <v>9</v>
      </c>
      <c r="I52" s="356" t="str">
        <f t="shared" si="66"/>
        <v/>
      </c>
      <c r="J52" s="356">
        <f t="shared" si="66"/>
        <v>6</v>
      </c>
      <c r="K52" s="356" t="str">
        <f t="shared" si="66"/>
        <v/>
      </c>
      <c r="L52" s="356">
        <f t="shared" ref="L52:U54" si="67">IF(AK52=0,"",AK52)</f>
        <v>7</v>
      </c>
      <c r="M52" s="356" t="str">
        <f t="shared" si="67"/>
        <v/>
      </c>
      <c r="N52" s="356">
        <f t="shared" si="67"/>
        <v>1</v>
      </c>
      <c r="O52" s="356" t="str">
        <f t="shared" si="67"/>
        <v/>
      </c>
      <c r="P52" s="356">
        <f t="shared" si="67"/>
        <v>3</v>
      </c>
      <c r="Q52" s="356" t="str">
        <f t="shared" si="67"/>
        <v/>
      </c>
      <c r="R52" s="356">
        <f t="shared" si="67"/>
        <v>10</v>
      </c>
      <c r="S52" s="356" t="str">
        <f t="shared" si="67"/>
        <v/>
      </c>
      <c r="T52" s="356">
        <f t="shared" si="67"/>
        <v>8</v>
      </c>
      <c r="U52" s="356" t="str">
        <f t="shared" si="67"/>
        <v/>
      </c>
      <c r="V52" s="357"/>
      <c r="W52" s="357"/>
      <c r="AA52" s="88" t="s">
        <v>1797</v>
      </c>
      <c r="AB52" s="89" t="s">
        <v>1798</v>
      </c>
      <c r="AC52" s="370">
        <f>VLOOKUP($AA32,Schlüssel!$A$5:$DG$14,63)</f>
        <v>4</v>
      </c>
      <c r="AD52" s="371"/>
      <c r="AE52" s="370">
        <f>VLOOKUP($AA32,Schlüssel!$A$5:$EK$14,64)</f>
        <v>5</v>
      </c>
      <c r="AF52" s="371"/>
      <c r="AG52" s="370">
        <f>VLOOKUP($AA32,Schlüssel!$A$5:$EK$14,65)</f>
        <v>9</v>
      </c>
      <c r="AH52" s="371"/>
      <c r="AI52" s="370">
        <f>VLOOKUP($AA32,Schlüssel!$A$5:$EK$14,66)</f>
        <v>6</v>
      </c>
      <c r="AJ52" s="371"/>
      <c r="AK52" s="370">
        <f>VLOOKUP($AA32,Schlüssel!$A$5:$EK$14,67)</f>
        <v>7</v>
      </c>
      <c r="AL52" s="371"/>
      <c r="AM52" s="370">
        <f>VLOOKUP($AA32,Schlüssel!$A$5:$EK$14,68)</f>
        <v>1</v>
      </c>
      <c r="AN52" s="371"/>
      <c r="AO52" s="370">
        <f>VLOOKUP($AA32,Schlüssel!$A$5:$EK$14,69)</f>
        <v>3</v>
      </c>
      <c r="AP52" s="371"/>
      <c r="AQ52" s="370">
        <f>VLOOKUP($AA32,Schlüssel!$A$5:$EK$14,70)</f>
        <v>10</v>
      </c>
      <c r="AR52" s="371"/>
      <c r="AS52" s="370">
        <f>VLOOKUP($AA32,Schlüssel!$A$5:$EK$14,71)</f>
        <v>8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58" t="str">
        <f t="shared" si="66"/>
        <v>SG DJK Rimpar</v>
      </c>
      <c r="E53" s="359" t="str">
        <f t="shared" si="66"/>
        <v/>
      </c>
      <c r="F53" s="358" t="str">
        <f t="shared" si="66"/>
        <v>RW Lichtenhof Stein 1</v>
      </c>
      <c r="G53" s="359" t="str">
        <f t="shared" si="66"/>
        <v/>
      </c>
      <c r="H53" s="358" t="str">
        <f t="shared" si="66"/>
        <v>Bowlinghaus Bamberg 1</v>
      </c>
      <c r="I53" s="359" t="str">
        <f t="shared" si="66"/>
        <v/>
      </c>
      <c r="J53" s="358" t="str">
        <f t="shared" si="66"/>
        <v>SG Rottendorf 1</v>
      </c>
      <c r="K53" s="359" t="str">
        <f t="shared" si="66"/>
        <v/>
      </c>
      <c r="L53" s="358" t="str">
        <f t="shared" si="67"/>
        <v>Schanzer Ingolstadt 1</v>
      </c>
      <c r="M53" s="359" t="str">
        <f t="shared" si="67"/>
        <v/>
      </c>
      <c r="N53" s="358" t="str">
        <f t="shared" si="67"/>
        <v>BC Comet Nürnberg</v>
      </c>
      <c r="O53" s="359" t="str">
        <f t="shared" si="67"/>
        <v/>
      </c>
      <c r="P53" s="358" t="str">
        <f t="shared" si="67"/>
        <v>BK München 3</v>
      </c>
      <c r="Q53" s="359" t="str">
        <f t="shared" si="67"/>
        <v/>
      </c>
      <c r="R53" s="358" t="str">
        <f t="shared" si="67"/>
        <v>High Roller Rosenheim 1</v>
      </c>
      <c r="S53" s="359" t="str">
        <f t="shared" si="67"/>
        <v/>
      </c>
      <c r="T53" s="358" t="str">
        <f t="shared" si="67"/>
        <v>BC EMAX Unterföhring 2</v>
      </c>
      <c r="U53" s="359" t="str">
        <f t="shared" si="67"/>
        <v/>
      </c>
      <c r="V53" s="363"/>
      <c r="W53" s="363"/>
      <c r="AA53" s="90"/>
      <c r="AB53" s="86"/>
      <c r="AC53" s="358" t="str">
        <f>VLOOKUP(AC52,Schlüssel!$A$5:$K$14,2)</f>
        <v>SG DJK Rimpar</v>
      </c>
      <c r="AD53" s="359"/>
      <c r="AE53" s="358" t="str">
        <f>VLOOKUP(AE52,Schlüssel!$A$5:$K$14,2)</f>
        <v>RW Lichtenhof Stein 1</v>
      </c>
      <c r="AF53" s="359"/>
      <c r="AG53" s="358" t="str">
        <f>VLOOKUP(AG52,Schlüssel!$A$5:$K$14,2)</f>
        <v>Bowlinghaus Bamberg 1</v>
      </c>
      <c r="AH53" s="359"/>
      <c r="AI53" s="358" t="str">
        <f>VLOOKUP(AI52,Schlüssel!$A$5:$K$14,2)</f>
        <v>SG Rottendorf 1</v>
      </c>
      <c r="AJ53" s="359"/>
      <c r="AK53" s="358" t="str">
        <f>VLOOKUP(AK52,Schlüssel!$A$5:$K$14,2)</f>
        <v>Schanzer Ingolstadt 1</v>
      </c>
      <c r="AL53" s="359"/>
      <c r="AM53" s="358" t="str">
        <f>VLOOKUP(AM52,Schlüssel!$A$5:$K$14,2)</f>
        <v>BC Comet Nürnberg</v>
      </c>
      <c r="AN53" s="359"/>
      <c r="AO53" s="358" t="str">
        <f>VLOOKUP(AO52,Schlüssel!$A$5:$K$14,2)</f>
        <v>BK München 3</v>
      </c>
      <c r="AP53" s="359"/>
      <c r="AQ53" s="358" t="str">
        <f>VLOOKUP(AQ52,Schlüssel!$A$5:$K$14,2)</f>
        <v>High Roller Rosenheim 1</v>
      </c>
      <c r="AR53" s="359"/>
      <c r="AS53" s="358" t="str">
        <f>VLOOKUP(AS52,Schlüssel!$A$5:$K$14,2)</f>
        <v>BC EMAX Unterföhring 2</v>
      </c>
      <c r="AT53" s="359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60" t="str">
        <f t="shared" si="66"/>
        <v/>
      </c>
      <c r="E54" s="360" t="str">
        <f t="shared" si="66"/>
        <v/>
      </c>
      <c r="F54" s="360" t="str">
        <f t="shared" si="66"/>
        <v/>
      </c>
      <c r="G54" s="360" t="str">
        <f t="shared" si="66"/>
        <v/>
      </c>
      <c r="H54" s="360" t="str">
        <f t="shared" si="66"/>
        <v/>
      </c>
      <c r="I54" s="360" t="str">
        <f t="shared" si="66"/>
        <v/>
      </c>
      <c r="J54" s="360" t="str">
        <f t="shared" si="66"/>
        <v/>
      </c>
      <c r="K54" s="360" t="str">
        <f t="shared" si="66"/>
        <v/>
      </c>
      <c r="L54" s="360" t="str">
        <f t="shared" si="67"/>
        <v/>
      </c>
      <c r="M54" s="360" t="str">
        <f t="shared" si="67"/>
        <v/>
      </c>
      <c r="N54" s="360" t="str">
        <f t="shared" si="67"/>
        <v/>
      </c>
      <c r="O54" s="360" t="str">
        <f t="shared" si="67"/>
        <v/>
      </c>
      <c r="P54" s="360" t="str">
        <f t="shared" si="67"/>
        <v/>
      </c>
      <c r="Q54" s="360" t="str">
        <f t="shared" si="67"/>
        <v/>
      </c>
      <c r="R54" s="360" t="str">
        <f t="shared" si="67"/>
        <v/>
      </c>
      <c r="S54" s="360" t="str">
        <f t="shared" si="67"/>
        <v/>
      </c>
      <c r="T54" s="360" t="str">
        <f t="shared" si="67"/>
        <v/>
      </c>
      <c r="U54" s="361" t="str">
        <f t="shared" si="67"/>
        <v/>
      </c>
      <c r="V54" s="298"/>
      <c r="W54" s="298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4" t="str">
        <f t="shared" ref="B55:C59" si="68">IF(AA55=0,"",AA55)</f>
        <v>Spieler 1</v>
      </c>
      <c r="C55" s="375" t="str">
        <f t="shared" si="68"/>
        <v/>
      </c>
      <c r="D55" s="362">
        <f>IF(AC55=301,"",AC55)</f>
        <v>198</v>
      </c>
      <c r="E55" s="362" t="str">
        <f>IF(AD55=0,"",AD55)</f>
        <v/>
      </c>
      <c r="F55" s="362">
        <f>IF(AE55=301,"",AE55)</f>
        <v>169</v>
      </c>
      <c r="G55" s="362" t="str">
        <f>IF(AF55=0,"",AF55)</f>
        <v/>
      </c>
      <c r="H55" s="362">
        <f>IF(AG55=301,"",AG55)</f>
        <v>180</v>
      </c>
      <c r="I55" s="362" t="str">
        <f>IF(AH55=0,"",AH55)</f>
        <v/>
      </c>
      <c r="J55" s="362">
        <f>IF(AI55=301,"",AI55)</f>
        <v>211</v>
      </c>
      <c r="K55" s="362" t="str">
        <f>IF(AJ55=0,"",AJ55)</f>
        <v/>
      </c>
      <c r="L55" s="362">
        <f>IF(AK55=301,"",AK55)</f>
        <v>182</v>
      </c>
      <c r="M55" s="362" t="str">
        <f>IF(AL55=0,"",AL55)</f>
        <v/>
      </c>
      <c r="N55" s="362">
        <f>IF(AM55=301,"",AM55)</f>
        <v>216</v>
      </c>
      <c r="O55" s="362" t="str">
        <f>IF(AN55=0,"",AN55)</f>
        <v/>
      </c>
      <c r="P55" s="362">
        <f>IF(AO55=301,"",AO55)</f>
        <v>204</v>
      </c>
      <c r="Q55" s="362" t="str">
        <f>IF(AP55=0,"",AP55)</f>
        <v/>
      </c>
      <c r="R55" s="362">
        <f>IF(AQ55=301,"",AQ55)</f>
        <v>189</v>
      </c>
      <c r="S55" s="362" t="str">
        <f>IF(AR55=0,"",AR55)</f>
        <v/>
      </c>
      <c r="T55" s="362">
        <f>IF(AS55=301,"",AS55)</f>
        <v>0</v>
      </c>
      <c r="U55" s="362" t="str">
        <f>IF(AT55=0,"",AT55)</f>
        <v/>
      </c>
      <c r="V55" s="364"/>
      <c r="W55" s="364"/>
      <c r="AA55" s="91" t="s">
        <v>0</v>
      </c>
      <c r="AB55" s="92"/>
      <c r="AC55" s="368">
        <f>ABS(INDEX(AC:AC,MATCH(AC52,$AA:$AA,0)+5)+INDEX(AC:AC,MATCH(AC52,$AA:$AA,0)+6)+INDEX(AC:AC,MATCH(AC52,$AA:$AA,0)+7))</f>
        <v>198</v>
      </c>
      <c r="AD55" s="369"/>
      <c r="AE55" s="368">
        <f>ABS(INDEX(AE:AE,MATCH(AE52,$AA:$AA,0)+5)+INDEX(AE:AE,MATCH(AE52,$AA:$AA,0)+6)+INDEX(AE:AE,MATCH(AE52,$AA:$AA,0)+7))</f>
        <v>169</v>
      </c>
      <c r="AF55" s="369"/>
      <c r="AG55" s="368">
        <f>ABS(INDEX(AG:AG,MATCH(AG52,$AA:$AA,0)+5)+INDEX(AG:AG,MATCH(AG52,$AA:$AA,0)+6)+INDEX(AG:AG,MATCH(AG52,$AA:$AA,0)+7))</f>
        <v>180</v>
      </c>
      <c r="AH55" s="369"/>
      <c r="AI55" s="368">
        <f>ABS(INDEX(AI:AI,MATCH(AI52,$AA:$AA,0)+5)+INDEX(AI:AI,MATCH(AI52,$AA:$AA,0)+6)+INDEX(AI:AI,MATCH(AI52,$AA:$AA,0)+7))</f>
        <v>211</v>
      </c>
      <c r="AJ55" s="369"/>
      <c r="AK55" s="368">
        <f>ABS(INDEX(AK:AK,MATCH(AK52,$AA:$AA,0)+5)+INDEX(AK:AK,MATCH(AK52,$AA:$AA,0)+6)+INDEX(AK:AK,MATCH(AK52,$AA:$AA,0)+7))</f>
        <v>182</v>
      </c>
      <c r="AL55" s="369"/>
      <c r="AM55" s="368">
        <f>ABS(INDEX(AM:AM,MATCH(AM52,$AA:$AA,0)+5)+INDEX(AM:AM,MATCH(AM52,$AA:$AA,0)+6)+INDEX(AM:AM,MATCH(AM52,$AA:$AA,0)+7))</f>
        <v>216</v>
      </c>
      <c r="AN55" s="369"/>
      <c r="AO55" s="368">
        <f>ABS(INDEX(AO:AO,MATCH(AO52,$AA:$AA,0)+5)+INDEX(AO:AO,MATCH(AO52,$AA:$AA,0)+6)+INDEX(AO:AO,MATCH(AO52,$AA:$AA,0)+7))</f>
        <v>204</v>
      </c>
      <c r="AP55" s="369"/>
      <c r="AQ55" s="368">
        <f>ABS(INDEX(AQ:AQ,MATCH(AQ52,$AA:$AA,0)+5)+INDEX(AQ:AQ,MATCH(AQ52,$AA:$AA,0)+6)+INDEX(AQ:AQ,MATCH(AQ52,$AA:$AA,0)+7))</f>
        <v>189</v>
      </c>
      <c r="AR55" s="369"/>
      <c r="AS55" s="368">
        <f>ABS(INDEX(AS:AS,MATCH(AS52,$AA:$AA,0)+5)+INDEX(AS:AS,MATCH(AS52,$AA:$AA,0)+6)+INDEX(AS:AS,MATCH(AS52,$AA:$AA,0)+7))</f>
        <v>0</v>
      </c>
      <c r="AT55" s="369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4" t="str">
        <f t="shared" si="68"/>
        <v>Spieler 2</v>
      </c>
      <c r="C56" s="375" t="str">
        <f t="shared" si="68"/>
        <v/>
      </c>
      <c r="D56" s="362">
        <f>IF(AC56=301,"",AC56)</f>
        <v>177</v>
      </c>
      <c r="E56" s="362" t="str">
        <f>IF(AD56=0,"",AD56)</f>
        <v/>
      </c>
      <c r="F56" s="362">
        <f>IF(AE56=301,"",AE56)</f>
        <v>137</v>
      </c>
      <c r="G56" s="362" t="str">
        <f>IF(AF56=0,"",AF56)</f>
        <v/>
      </c>
      <c r="H56" s="362">
        <f>IF(AG56=301,"",AG56)</f>
        <v>178</v>
      </c>
      <c r="I56" s="362" t="str">
        <f>IF(AH56=0,"",AH56)</f>
        <v/>
      </c>
      <c r="J56" s="362">
        <f>IF(AI56=301,"",AI56)</f>
        <v>258</v>
      </c>
      <c r="K56" s="362" t="str">
        <f>IF(AJ56=0,"",AJ56)</f>
        <v/>
      </c>
      <c r="L56" s="362">
        <f>IF(AK56=301,"",AK56)</f>
        <v>136</v>
      </c>
      <c r="M56" s="362" t="str">
        <f>IF(AL56=0,"",AL56)</f>
        <v/>
      </c>
      <c r="N56" s="362">
        <f>IF(AM56=301,"",AM56)</f>
        <v>193</v>
      </c>
      <c r="O56" s="362" t="str">
        <f>IF(AN56=0,"",AN56)</f>
        <v/>
      </c>
      <c r="P56" s="362">
        <f>IF(AO56=301,"",AO56)</f>
        <v>180</v>
      </c>
      <c r="Q56" s="362" t="str">
        <f>IF(AP56=0,"",AP56)</f>
        <v/>
      </c>
      <c r="R56" s="362">
        <f>IF(AQ56=301,"",AQ56)</f>
        <v>161</v>
      </c>
      <c r="S56" s="362" t="str">
        <f>IF(AR56=0,"",AR56)</f>
        <v/>
      </c>
      <c r="T56" s="362">
        <f>IF(AS56=301,"",AS56)</f>
        <v>226</v>
      </c>
      <c r="U56" s="362" t="str">
        <f>IF(AT56=0,"",AT56)</f>
        <v/>
      </c>
      <c r="V56" s="364"/>
      <c r="W56" s="364"/>
      <c r="AA56" s="91" t="s">
        <v>2</v>
      </c>
      <c r="AB56" s="92"/>
      <c r="AC56" s="366">
        <f>ABS(INDEX(AC:AC,MATCH(AC52,$AA:$AA,0)+8)+INDEX(AC:AC,MATCH(AC52,$AA:$AA,0)+9)+INDEX(AC:AC,MATCH(AC52,$AA:$AA,0)+10))</f>
        <v>177</v>
      </c>
      <c r="AD56" s="367"/>
      <c r="AE56" s="366">
        <f>ABS(INDEX(AE:AE,MATCH(AE52,$AA:$AA,0)+8)+INDEX(AE:AE,MATCH(AE52,$AA:$AA,0)+9)+INDEX(AE:AE,MATCH(AE52,$AA:$AA,0)+10))</f>
        <v>137</v>
      </c>
      <c r="AF56" s="367"/>
      <c r="AG56" s="366">
        <f>ABS(INDEX(AG:AG,MATCH(AG52,$AA:$AA,0)+8)+INDEX(AG:AG,MATCH(AG52,$AA:$AA,0)+9)+INDEX(AG:AG,MATCH(AG52,$AA:$AA,0)+10))</f>
        <v>178</v>
      </c>
      <c r="AH56" s="367"/>
      <c r="AI56" s="366">
        <f>ABS(INDEX(AI:AI,MATCH(AI52,$AA:$AA,0)+8)+INDEX(AI:AI,MATCH(AI52,$AA:$AA,0)+9)+INDEX(AI:AI,MATCH(AI52,$AA:$AA,0)+10))</f>
        <v>258</v>
      </c>
      <c r="AJ56" s="367"/>
      <c r="AK56" s="366">
        <f>ABS(INDEX(AK:AK,MATCH(AK52,$AA:$AA,0)+8)+INDEX(AK:AK,MATCH(AK52,$AA:$AA,0)+9)+INDEX(AK:AK,MATCH(AK52,$AA:$AA,0)+10))</f>
        <v>136</v>
      </c>
      <c r="AL56" s="367"/>
      <c r="AM56" s="366">
        <f>ABS(INDEX(AM:AM,MATCH(AM52,$AA:$AA,0)+8)+INDEX(AM:AM,MATCH(AM52,$AA:$AA,0)+9)+INDEX(AM:AM,MATCH(AM52,$AA:$AA,0)+10))</f>
        <v>193</v>
      </c>
      <c r="AN56" s="367"/>
      <c r="AO56" s="366">
        <f>ABS(INDEX(AO:AO,MATCH(AO52,$AA:$AA,0)+8)+INDEX(AO:AO,MATCH(AO52,$AA:$AA,0)+9)+INDEX(AO:AO,MATCH(AO52,$AA:$AA,0)+10))</f>
        <v>180</v>
      </c>
      <c r="AP56" s="367"/>
      <c r="AQ56" s="366">
        <f>ABS(INDEX(AQ:AQ,MATCH(AQ52,$AA:$AA,0)+8)+INDEX(AQ:AQ,MATCH(AQ52,$AA:$AA,0)+9)+INDEX(AQ:AQ,MATCH(AQ52,$AA:$AA,0)+10))</f>
        <v>161</v>
      </c>
      <c r="AR56" s="367"/>
      <c r="AS56" s="366">
        <f>ABS(INDEX(AS:AS,MATCH(AS52,$AA:$AA,0)+8)+INDEX(AS:AS,MATCH(AS52,$AA:$AA,0)+9)+INDEX(AS:AS,MATCH(AS52,$AA:$AA,0)+10))</f>
        <v>226</v>
      </c>
      <c r="AT56" s="367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4" t="str">
        <f t="shared" si="68"/>
        <v>Spieler 3</v>
      </c>
      <c r="C57" s="375" t="str">
        <f t="shared" si="68"/>
        <v/>
      </c>
      <c r="D57" s="362">
        <f>IF(AC57=301,"",AC57)</f>
        <v>178</v>
      </c>
      <c r="E57" s="362" t="str">
        <f>IF(AD57=0,"",AD57)</f>
        <v/>
      </c>
      <c r="F57" s="362">
        <f>IF(AE57=301,"",AE57)</f>
        <v>234</v>
      </c>
      <c r="G57" s="362" t="str">
        <f>IF(AF57=0,"",AF57)</f>
        <v/>
      </c>
      <c r="H57" s="362">
        <f>IF(AG57=301,"",AG57)</f>
        <v>171</v>
      </c>
      <c r="I57" s="362" t="str">
        <f>IF(AH57=0,"",AH57)</f>
        <v/>
      </c>
      <c r="J57" s="362">
        <f>IF(AI57=301,"",AI57)</f>
        <v>208</v>
      </c>
      <c r="K57" s="362" t="str">
        <f>IF(AJ57=0,"",AJ57)</f>
        <v/>
      </c>
      <c r="L57" s="362">
        <f>IF(AK57=301,"",AK57)</f>
        <v>153</v>
      </c>
      <c r="M57" s="362" t="str">
        <f>IF(AL57=0,"",AL57)</f>
        <v/>
      </c>
      <c r="N57" s="362">
        <f>IF(AM57=301,"",AM57)</f>
        <v>183</v>
      </c>
      <c r="O57" s="362" t="str">
        <f>IF(AN57=0,"",AN57)</f>
        <v/>
      </c>
      <c r="P57" s="362">
        <f>IF(AO57=301,"",AO57)</f>
        <v>201</v>
      </c>
      <c r="Q57" s="362" t="str">
        <f>IF(AP57=0,"",AP57)</f>
        <v/>
      </c>
      <c r="R57" s="362">
        <f>IF(AQ57=301,"",AQ57)</f>
        <v>203</v>
      </c>
      <c r="S57" s="362" t="str">
        <f>IF(AR57=0,"",AR57)</f>
        <v/>
      </c>
      <c r="T57" s="362">
        <f>IF(AS57=301,"",AS57)</f>
        <v>188</v>
      </c>
      <c r="U57" s="362" t="str">
        <f>IF(AT57=0,"",AT57)</f>
        <v/>
      </c>
      <c r="V57" s="364"/>
      <c r="W57" s="364"/>
      <c r="AA57" s="91" t="s">
        <v>3</v>
      </c>
      <c r="AB57" s="92"/>
      <c r="AC57" s="366">
        <f>ABS(INDEX(AC:AC,MATCH(AC52,$AA:$AA,0)+11)+INDEX(AC:AC,MATCH(AC52,$AA:$AA,0)+12)+INDEX(AC:AC,MATCH(AC52,$AA:$AA,0)+13))</f>
        <v>178</v>
      </c>
      <c r="AD57" s="367"/>
      <c r="AE57" s="366">
        <f>ABS(INDEX(AE:AE,MATCH(AE52,$AA:$AA,0)+11)+INDEX(AE:AE,MATCH(AE52,$AA:$AA,0)+12)+INDEX(AE:AE,MATCH(AE52,$AA:$AA,0)+13))</f>
        <v>234</v>
      </c>
      <c r="AF57" s="367"/>
      <c r="AG57" s="366">
        <f>ABS(INDEX(AG:AG,MATCH(AG52,$AA:$AA,0)+11)+INDEX(AG:AG,MATCH(AG52,$AA:$AA,0)+12)+INDEX(AG:AG,MATCH(AG52,$AA:$AA,0)+13))</f>
        <v>171</v>
      </c>
      <c r="AH57" s="367"/>
      <c r="AI57" s="366">
        <f>ABS(INDEX(AI:AI,MATCH(AI52,$AA:$AA,0)+11)+INDEX(AI:AI,MATCH(AI52,$AA:$AA,0)+12)+INDEX(AI:AI,MATCH(AI52,$AA:$AA,0)+13))</f>
        <v>208</v>
      </c>
      <c r="AJ57" s="367"/>
      <c r="AK57" s="366">
        <f>ABS(INDEX(AK:AK,MATCH(AK52,$AA:$AA,0)+11)+INDEX(AK:AK,MATCH(AK52,$AA:$AA,0)+12)+INDEX(AK:AK,MATCH(AK52,$AA:$AA,0)+13))</f>
        <v>153</v>
      </c>
      <c r="AL57" s="367"/>
      <c r="AM57" s="366">
        <f>ABS(INDEX(AM:AM,MATCH(AM52,$AA:$AA,0)+11)+INDEX(AM:AM,MATCH(AM52,$AA:$AA,0)+12)+INDEX(AM:AM,MATCH(AM52,$AA:$AA,0)+13))</f>
        <v>183</v>
      </c>
      <c r="AN57" s="367"/>
      <c r="AO57" s="366">
        <f>ABS(INDEX(AO:AO,MATCH(AO52,$AA:$AA,0)+11)+INDEX(AO:AO,MATCH(AO52,$AA:$AA,0)+12)+INDEX(AO:AO,MATCH(AO52,$AA:$AA,0)+13))</f>
        <v>201</v>
      </c>
      <c r="AP57" s="367"/>
      <c r="AQ57" s="366">
        <f>ABS(INDEX(AQ:AQ,MATCH(AQ52,$AA:$AA,0)+11)+INDEX(AQ:AQ,MATCH(AQ52,$AA:$AA,0)+12)+INDEX(AQ:AQ,MATCH(AQ52,$AA:$AA,0)+13))</f>
        <v>203</v>
      </c>
      <c r="AR57" s="367"/>
      <c r="AS57" s="366">
        <f>ABS(INDEX(AS:AS,MATCH(AS52,$AA:$AA,0)+11)+INDEX(AS:AS,MATCH(AS52,$AA:$AA,0)+12)+INDEX(AS:AS,MATCH(AS52,$AA:$AA,0)+13))</f>
        <v>188</v>
      </c>
      <c r="AT57" s="367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4" t="str">
        <f t="shared" si="68"/>
        <v>Spieler 4</v>
      </c>
      <c r="C58" s="375" t="str">
        <f t="shared" si="68"/>
        <v/>
      </c>
      <c r="D58" s="362">
        <f>IF(AC58=301,"",AC58)</f>
        <v>167</v>
      </c>
      <c r="E58" s="362" t="str">
        <f>IF(AD58=0,"",AD58)</f>
        <v/>
      </c>
      <c r="F58" s="362">
        <f>IF(AE58=301,"",AE58)</f>
        <v>157</v>
      </c>
      <c r="G58" s="362" t="str">
        <f>IF(AF58=0,"",AF58)</f>
        <v/>
      </c>
      <c r="H58" s="362">
        <f>IF(AG58=301,"",AG58)</f>
        <v>200</v>
      </c>
      <c r="I58" s="362" t="str">
        <f>IF(AH58=0,"",AH58)</f>
        <v/>
      </c>
      <c r="J58" s="362">
        <f>IF(AI58=301,"",AI58)</f>
        <v>190</v>
      </c>
      <c r="K58" s="362" t="str">
        <f>IF(AJ58=0,"",AJ58)</f>
        <v/>
      </c>
      <c r="L58" s="362">
        <f>IF(AK58=301,"",AK58)</f>
        <v>128</v>
      </c>
      <c r="M58" s="362" t="str">
        <f>IF(AL58=0,"",AL58)</f>
        <v/>
      </c>
      <c r="N58" s="362">
        <f>IF(AM58=301,"",AM58)</f>
        <v>164</v>
      </c>
      <c r="O58" s="362" t="str">
        <f>IF(AN58=0,"",AN58)</f>
        <v/>
      </c>
      <c r="P58" s="362">
        <f>IF(AO58=301,"",AO58)</f>
        <v>178</v>
      </c>
      <c r="Q58" s="362" t="str">
        <f>IF(AP58=0,"",AP58)</f>
        <v/>
      </c>
      <c r="R58" s="362">
        <f>IF(AQ58=301,"",AQ58)</f>
        <v>178</v>
      </c>
      <c r="S58" s="362" t="str">
        <f>IF(AR58=0,"",AR58)</f>
        <v/>
      </c>
      <c r="T58" s="362">
        <f>IF(AS58=301,"",AS58)</f>
        <v>152</v>
      </c>
      <c r="U58" s="362" t="str">
        <f>IF(AT58=0,"",AT58)</f>
        <v/>
      </c>
      <c r="V58" s="364"/>
      <c r="W58" s="364"/>
      <c r="AA58" s="91" t="s">
        <v>11</v>
      </c>
      <c r="AB58" s="92"/>
      <c r="AC58" s="366">
        <f>ABS(INDEX(AC:AC,MATCH(AC52,$AA:$AA,0)+14)+INDEX(AC:AC,MATCH(AC52,$AA:$AA,0)+15)+INDEX(AC:AC,MATCH(AC52,$AA:$AA,0)+16))</f>
        <v>167</v>
      </c>
      <c r="AD58" s="367"/>
      <c r="AE58" s="366">
        <f>ABS(INDEX(AE:AE,MATCH(AE52,$AA:$AA,0)+14)+INDEX(AE:AE,MATCH(AE52,$AA:$AA,0)+15)+INDEX(AE:AE,MATCH(AE52,$AA:$AA,0)+16))</f>
        <v>157</v>
      </c>
      <c r="AF58" s="367"/>
      <c r="AG58" s="366">
        <f>ABS(INDEX(AG:AG,MATCH(AG52,$AA:$AA,0)+14)+INDEX(AG:AG,MATCH(AG52,$AA:$AA,0)+15)+INDEX(AG:AG,MATCH(AG52,$AA:$AA,0)+16))</f>
        <v>200</v>
      </c>
      <c r="AH58" s="367"/>
      <c r="AI58" s="366">
        <f>ABS(INDEX(AI:AI,MATCH(AI52,$AA:$AA,0)+14)+INDEX(AI:AI,MATCH(AI52,$AA:$AA,0)+15)+INDEX(AI:AI,MATCH(AI52,$AA:$AA,0)+16))</f>
        <v>190</v>
      </c>
      <c r="AJ58" s="367"/>
      <c r="AK58" s="366">
        <f>ABS(INDEX(AK:AK,MATCH(AK52,$AA:$AA,0)+14)+INDEX(AK:AK,MATCH(AK52,$AA:$AA,0)+15)+INDEX(AK:AK,MATCH(AK52,$AA:$AA,0)+16))</f>
        <v>128</v>
      </c>
      <c r="AL58" s="367"/>
      <c r="AM58" s="366">
        <f>ABS(INDEX(AM:AM,MATCH(AM52,$AA:$AA,0)+14)+INDEX(AM:AM,MATCH(AM52,$AA:$AA,0)+15)+INDEX(AM:AM,MATCH(AM52,$AA:$AA,0)+16))</f>
        <v>164</v>
      </c>
      <c r="AN58" s="367"/>
      <c r="AO58" s="366">
        <f>ABS(INDEX(AO:AO,MATCH(AO52,$AA:$AA,0)+14)+INDEX(AO:AO,MATCH(AO52,$AA:$AA,0)+15)+INDEX(AO:AO,MATCH(AO52,$AA:$AA,0)+16))</f>
        <v>178</v>
      </c>
      <c r="AP58" s="367"/>
      <c r="AQ58" s="366">
        <f>ABS(INDEX(AQ:AQ,MATCH(AQ52,$AA:$AA,0)+14)+INDEX(AQ:AQ,MATCH(AQ52,$AA:$AA,0)+15)+INDEX(AQ:AQ,MATCH(AQ52,$AA:$AA,0)+16))</f>
        <v>178</v>
      </c>
      <c r="AR58" s="367"/>
      <c r="AS58" s="366">
        <f>ABS(INDEX(AS:AS,MATCH(AS52,$AA:$AA,0)+14)+INDEX(AS:AS,MATCH(AS52,$AA:$AA,0)+15)+INDEX(AS:AS,MATCH(AS52,$AA:$AA,0)+16))</f>
        <v>152</v>
      </c>
      <c r="AT58" s="367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6" t="str">
        <f t="shared" si="68"/>
        <v>Gesamt</v>
      </c>
      <c r="C59" s="347" t="str">
        <f t="shared" si="68"/>
        <v/>
      </c>
      <c r="D59" s="365">
        <f>IF(AC59=1505,"",AC59)</f>
        <v>720</v>
      </c>
      <c r="E59" s="365" t="str">
        <f>IF(AD59=0,"",AD59)</f>
        <v/>
      </c>
      <c r="F59" s="365">
        <f>IF(AE59=1505,"",AE59)</f>
        <v>697</v>
      </c>
      <c r="G59" s="365" t="str">
        <f>IF(AF59=0,"",AF59)</f>
        <v/>
      </c>
      <c r="H59" s="365">
        <f>IF(AG59=1505,"",AG59)</f>
        <v>729</v>
      </c>
      <c r="I59" s="365" t="str">
        <f>IF(AH59=0,"",AH59)</f>
        <v/>
      </c>
      <c r="J59" s="365">
        <f>IF(AI59=1505,"",AI59)</f>
        <v>867</v>
      </c>
      <c r="K59" s="365" t="str">
        <f>IF(AJ59=0,"",AJ59)</f>
        <v/>
      </c>
      <c r="L59" s="365">
        <f>IF(AK59=1505,"",AK59)</f>
        <v>599</v>
      </c>
      <c r="M59" s="365" t="str">
        <f>IF(AL59=0,"",AL59)</f>
        <v/>
      </c>
      <c r="N59" s="365">
        <f>IF(AM59=1505,"",AM59)</f>
        <v>756</v>
      </c>
      <c r="O59" s="365" t="str">
        <f>IF(AN59=0,"",AN59)</f>
        <v/>
      </c>
      <c r="P59" s="365">
        <f>IF(AO59=1505,"",AO59)</f>
        <v>763</v>
      </c>
      <c r="Q59" s="365" t="str">
        <f>IF(AP59=0,"",AP59)</f>
        <v/>
      </c>
      <c r="R59" s="365">
        <f>IF(AQ59=1505,"",AQ59)</f>
        <v>731</v>
      </c>
      <c r="S59" s="365" t="str">
        <f>IF(AR59=0,"",AR59)</f>
        <v/>
      </c>
      <c r="T59" s="365">
        <f>IF(AS59=1505,"",AS59)</f>
        <v>566</v>
      </c>
      <c r="U59" s="365" t="str">
        <f>IF(AT59=0,"",AT59)</f>
        <v/>
      </c>
      <c r="V59" s="301"/>
      <c r="W59" s="301"/>
      <c r="AA59" s="93" t="s">
        <v>1799</v>
      </c>
      <c r="AB59" s="94"/>
      <c r="AC59" s="346">
        <f>SUM(AC55:AC58)</f>
        <v>720</v>
      </c>
      <c r="AD59" s="347"/>
      <c r="AE59" s="346">
        <f>SUM(AE55:AE58)</f>
        <v>697</v>
      </c>
      <c r="AF59" s="347"/>
      <c r="AG59" s="346">
        <f>SUM(AG55:AG58)</f>
        <v>729</v>
      </c>
      <c r="AH59" s="347"/>
      <c r="AI59" s="346">
        <f>SUM(AI55:AI58)</f>
        <v>867</v>
      </c>
      <c r="AJ59" s="347"/>
      <c r="AK59" s="346">
        <f>SUM(AK55:AK58)</f>
        <v>599</v>
      </c>
      <c r="AL59" s="347"/>
      <c r="AM59" s="346">
        <f>SUM(AM55:AM58)</f>
        <v>756</v>
      </c>
      <c r="AN59" s="347"/>
      <c r="AO59" s="346">
        <f>SUM(AO55:AO58)</f>
        <v>763</v>
      </c>
      <c r="AP59" s="347"/>
      <c r="AQ59" s="346">
        <f>SUM(AQ55:AQ58)</f>
        <v>731</v>
      </c>
      <c r="AR59" s="347"/>
      <c r="AS59" s="346">
        <f>SUM(AS55:AS58)</f>
        <v>566</v>
      </c>
      <c r="AT59" s="347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5" t="str">
        <f>AE61</f>
        <v>Bayernliga Herren</v>
      </c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48"/>
      <c r="S61" s="49" t="s">
        <v>1794</v>
      </c>
      <c r="T61" s="50"/>
      <c r="U61" s="341" t="str">
        <f>AT61</f>
        <v>15.02./16.02.</v>
      </c>
      <c r="V61" s="342"/>
      <c r="W61" s="343"/>
      <c r="X61" s="372"/>
      <c r="Y61" s="373"/>
      <c r="Z61" s="373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41" t="str">
        <f>VLOOKUP(AS62,Spielorte!$A$1:$C$6,2)</f>
        <v>15.02./16.02.</v>
      </c>
      <c r="AU61" s="342"/>
      <c r="AV61" s="34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4" t="str">
        <f>AE62</f>
        <v>Regensburg Super Bowl</v>
      </c>
      <c r="G62" s="344"/>
      <c r="H62" s="344"/>
      <c r="I62" s="344"/>
      <c r="J62" s="344"/>
      <c r="K62" s="344"/>
      <c r="L62" s="344"/>
      <c r="M62" s="344"/>
      <c r="N62" s="344"/>
      <c r="O62" s="344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3</v>
      </c>
      <c r="AE64" s="65" t="s">
        <v>10</v>
      </c>
      <c r="AF64" s="44">
        <f>VLOOKUP(AA62,Schlüssel!$A$5:$DZ$14,74)</f>
        <v>6</v>
      </c>
      <c r="AG64" s="65" t="s">
        <v>10</v>
      </c>
      <c r="AH64" s="44">
        <f>VLOOKUP(AA62,Schlüssel!$A$5:$DZ$14,75)</f>
        <v>7</v>
      </c>
      <c r="AI64" s="65" t="s">
        <v>10</v>
      </c>
      <c r="AJ64" s="44">
        <f>VLOOKUP(AA62,Schlüssel!$A$5:$DZ$14,76)</f>
        <v>4</v>
      </c>
      <c r="AK64" s="65" t="s">
        <v>10</v>
      </c>
      <c r="AL64" s="44">
        <f>VLOOKUP(AA62,Schlüssel!$A$5:$DZ$14,77)</f>
        <v>9</v>
      </c>
      <c r="AM64" s="65" t="s">
        <v>10</v>
      </c>
      <c r="AN64" s="44">
        <f>VLOOKUP(AA62,Schlüssel!$A$5:$DZ$14,78)</f>
        <v>1</v>
      </c>
      <c r="AO64" s="65" t="s">
        <v>10</v>
      </c>
      <c r="AP64" s="44">
        <f>VLOOKUP(AA62,Schlüssel!$A$5:$DZ$14,79)</f>
        <v>8</v>
      </c>
      <c r="AQ64" s="65" t="s">
        <v>10</v>
      </c>
      <c r="AR64" s="44">
        <f>VLOOKUP(AA62,Schlüssel!$A$5:$DZ$14,80)</f>
        <v>5</v>
      </c>
      <c r="AS64" s="65" t="s">
        <v>10</v>
      </c>
      <c r="AT64" s="44">
        <f>VLOOKUP(AA62,Schlüssel!$A$5:$DZ$14,81)</f>
        <v>10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6" t="s">
        <v>1800</v>
      </c>
      <c r="E65" s="347"/>
      <c r="F65" s="346" t="s">
        <v>1801</v>
      </c>
      <c r="G65" s="347"/>
      <c r="H65" s="346" t="s">
        <v>1802</v>
      </c>
      <c r="I65" s="347"/>
      <c r="J65" s="346" t="s">
        <v>1803</v>
      </c>
      <c r="K65" s="347"/>
      <c r="L65" s="346" t="s">
        <v>1804</v>
      </c>
      <c r="M65" s="347"/>
      <c r="N65" s="346" t="s">
        <v>1805</v>
      </c>
      <c r="O65" s="347"/>
      <c r="P65" s="346" t="s">
        <v>1806</v>
      </c>
      <c r="Q65" s="347"/>
      <c r="R65" s="346" t="s">
        <v>1807</v>
      </c>
      <c r="S65" s="347"/>
      <c r="T65" s="346" t="s">
        <v>1808</v>
      </c>
      <c r="U65" s="347"/>
      <c r="V65" s="354" t="s">
        <v>1799</v>
      </c>
      <c r="W65" s="355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6" t="s">
        <v>0</v>
      </c>
      <c r="B67" s="73" t="str">
        <f>IF(AA67=0,"",AA67)</f>
        <v>Michow, André</v>
      </c>
      <c r="C67" s="74">
        <f>IF(AB67=0,"",AB67)</f>
        <v>16965</v>
      </c>
      <c r="D67" s="75">
        <f>IF(AC67=0,"",AC67)</f>
        <v>190</v>
      </c>
      <c r="E67" s="348">
        <f>IF(AD67="","",AD67)</f>
        <v>0</v>
      </c>
      <c r="F67" s="75">
        <f t="shared" ref="F67:F80" si="69">IF(AE67=0,"",AE67)</f>
        <v>254</v>
      </c>
      <c r="G67" s="348">
        <f>IF(AF67="","",AF67)</f>
        <v>1</v>
      </c>
      <c r="H67" s="75">
        <f t="shared" ref="H67:H80" si="70">IF(AG67=0,"",AG67)</f>
        <v>203</v>
      </c>
      <c r="I67" s="348">
        <f>IF(AH67="","",AH67)</f>
        <v>1</v>
      </c>
      <c r="J67" s="75">
        <f t="shared" ref="J67:J80" si="71">IF(AI67=0,"",AI67)</f>
        <v>246</v>
      </c>
      <c r="K67" s="348">
        <f>IF(AJ67="","",AJ67)</f>
        <v>1</v>
      </c>
      <c r="L67" s="75">
        <f t="shared" ref="L67:L80" si="72">IF(AK67=0,"",AK67)</f>
        <v>206</v>
      </c>
      <c r="M67" s="348">
        <f>IF(AL67="","",AL67)</f>
        <v>1</v>
      </c>
      <c r="N67" s="75">
        <f>IF(AM67=0,"",AM67)</f>
        <v>204</v>
      </c>
      <c r="O67" s="348">
        <f>IF(AN67="","",AN67)</f>
        <v>1</v>
      </c>
      <c r="P67" s="75">
        <f t="shared" ref="P67:P80" si="73">IF(AO67=0,"",AO67)</f>
        <v>204</v>
      </c>
      <c r="Q67" s="348">
        <f>IF(AP67="","",AP67)</f>
        <v>0</v>
      </c>
      <c r="R67" s="75">
        <f t="shared" ref="R67:R80" si="74">IF(AQ67=0,"",AQ67)</f>
        <v>236</v>
      </c>
      <c r="S67" s="348">
        <f>IF(AR67="","",AR67)</f>
        <v>1</v>
      </c>
      <c r="T67" s="75">
        <f t="shared" ref="T67:T80" si="75">IF(AS67=0,"",AS67)</f>
        <v>228</v>
      </c>
      <c r="U67" s="348">
        <f>IF(AT67="","",AT67)</f>
        <v>1</v>
      </c>
      <c r="V67" s="75">
        <f t="shared" ref="V67:V80" si="76">IF(AU67=0,"",AU67)</f>
        <v>1971</v>
      </c>
      <c r="W67" s="348">
        <f>IF(AV67="","",AV67)</f>
        <v>7</v>
      </c>
      <c r="Z67" s="351" t="s">
        <v>0</v>
      </c>
      <c r="AA67" s="108" t="str">
        <f>IF(AB67=0,"",VLOOKUP(AB67,Starter!$A$1:$D$199,2,FALSE))</f>
        <v>Michow, André</v>
      </c>
      <c r="AB67" s="99">
        <v>16965</v>
      </c>
      <c r="AC67" s="185">
        <v>190</v>
      </c>
      <c r="AD67" s="109">
        <f>IF(SUM(AC67:AC69)+AC85=0,0,IF(SUM(AC67:AC69)=AC85,0.5,IF(SUM(AC67:AC69)&gt;AC85,1,0)))</f>
        <v>0</v>
      </c>
      <c r="AE67" s="185">
        <v>254</v>
      </c>
      <c r="AF67" s="109">
        <f>IF(SUM(AE67:AE69)+AE85=0,0,IF(SUM(AE67:AE69)=AE85,0.5,IF(SUM(AE67:AE69)&gt;AE85,1,0)))</f>
        <v>1</v>
      </c>
      <c r="AG67" s="185">
        <v>203</v>
      </c>
      <c r="AH67" s="109">
        <f>IF(SUM(AG67:AG69)+AG85=0,0,IF(SUM(AG67:AG69)=AG85,0.5,IF(SUM(AG67:AG69)&gt;AG85,1,0)))</f>
        <v>1</v>
      </c>
      <c r="AI67" s="185">
        <v>246</v>
      </c>
      <c r="AJ67" s="109">
        <f>IF(SUM(AI67:AI69)+AI85=0,0,IF(SUM(AI67:AI69)=AI85,0.5,IF(SUM(AI67:AI69)&gt;AI85,1,0)))</f>
        <v>1</v>
      </c>
      <c r="AK67" s="185">
        <v>206</v>
      </c>
      <c r="AL67" s="109">
        <f>IF(SUM(AK67:AK69)+AK85=0,0,IF(SUM(AK67:AK69)=AK85,0.5,IF(SUM(AK67:AK69)&gt;AK85,1,0)))</f>
        <v>1</v>
      </c>
      <c r="AM67" s="185">
        <v>204</v>
      </c>
      <c r="AN67" s="109">
        <f>IF(SUM(AM67:AM69)+AM85=0,0,IF(SUM(AM67:AM69)=AM85,0.5,IF(SUM(AM67:AM69)&gt;AM85,1,0)))</f>
        <v>1</v>
      </c>
      <c r="AO67" s="185">
        <v>204</v>
      </c>
      <c r="AP67" s="109">
        <f>IF(SUM(AO67:AO69)+AO85=0,0,IF(SUM(AO67:AO69)=AO85,0.5,IF(SUM(AO67:AO69)&gt;AO85,1,0)))</f>
        <v>0</v>
      </c>
      <c r="AQ67" s="185">
        <v>236</v>
      </c>
      <c r="AR67" s="109">
        <f>IF(SUM(AQ67:AQ69)+AQ85=0,0,IF(SUM(AQ67:AQ69)=AQ85,0.5,IF(SUM(AQ67:AQ69)&gt;AQ85,1,0)))</f>
        <v>1</v>
      </c>
      <c r="AS67" s="185">
        <v>228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1971</v>
      </c>
      <c r="AV67" s="111">
        <f>SUM(AD67+AF67+AH67+AJ67+AL67+AN67+AP67+AR67+AT67)</f>
        <v>7</v>
      </c>
      <c r="AW67" s="101"/>
      <c r="AX67" s="102"/>
      <c r="AZ67" s="63"/>
      <c r="BA67" s="212"/>
      <c r="BB67" s="213"/>
      <c r="BC67" s="214"/>
      <c r="BD67" s="217">
        <f>+AB67</f>
        <v>16965</v>
      </c>
      <c r="BE67" s="213">
        <f>+AU67</f>
        <v>1971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190</v>
      </c>
      <c r="BI67" s="215">
        <f t="shared" ref="BI67:BI78" si="79">IF(AE67=0,"",AE67)</f>
        <v>254</v>
      </c>
      <c r="BJ67" s="215">
        <f t="shared" ref="BJ67:BJ78" si="80">IF(AG67=0,"",AG67)</f>
        <v>203</v>
      </c>
      <c r="BK67" s="215">
        <f t="shared" ref="BK67:BK78" si="81">IF(AI67=0,"",AI67)</f>
        <v>246</v>
      </c>
      <c r="BL67" s="215">
        <f t="shared" ref="BL67:BL78" si="82">IF(AK67=0,"",AK67)</f>
        <v>206</v>
      </c>
      <c r="BM67" s="215">
        <f t="shared" ref="BM67:BM78" si="83">IF(AM67=0,"",AM67)</f>
        <v>204</v>
      </c>
      <c r="BN67" s="215">
        <f t="shared" ref="BN67:BN78" si="84">IF(AO67=0,"",AO67)</f>
        <v>204</v>
      </c>
      <c r="BO67" s="215">
        <f t="shared" ref="BO67:BO78" si="85">IF(AQ67=0,"",AQ67)</f>
        <v>236</v>
      </c>
      <c r="BP67" s="215">
        <f t="shared" ref="BP67:BP78" si="86">IF(AS67=0,"",AS67)</f>
        <v>228</v>
      </c>
      <c r="BQ67" s="216"/>
      <c r="BR67" s="214"/>
      <c r="BS67" s="215">
        <f>MAX(BH67:BP67)</f>
        <v>254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1971</v>
      </c>
      <c r="BX67" s="215">
        <f>IF(COUNTIF(BH67:BP67,"&gt;0")&lt;Spielorte!$A$23,0,BE67/Spielorte!$A$23)</f>
        <v>219</v>
      </c>
      <c r="BY67" s="215">
        <f>IF(BX67&lt;MAX(BX:BX),0,BX67+ROW()/1000000000)</f>
        <v>219.000000067</v>
      </c>
      <c r="BZ67" s="214">
        <f t="shared" ref="BZ67:BZ78" si="87">IF(BY67=0,0,RANK(BY67,BY:BY))</f>
        <v>1</v>
      </c>
    </row>
    <row r="68" spans="1:78" ht="17.100000000000001" customHeight="1" x14ac:dyDescent="0.25">
      <c r="A68" s="377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8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6" t="s">
        <v>2</v>
      </c>
      <c r="B70" s="73" t="str">
        <f t="shared" si="88"/>
        <v>Hinterwimmer, Georg</v>
      </c>
      <c r="C70" s="74">
        <f t="shared" si="88"/>
        <v>7867</v>
      </c>
      <c r="D70" s="75">
        <f t="shared" si="88"/>
        <v>153</v>
      </c>
      <c r="E70" s="348">
        <f>IF(AD70="","",AD70)</f>
        <v>0</v>
      </c>
      <c r="F70" s="75">
        <f t="shared" si="69"/>
        <v>189</v>
      </c>
      <c r="G70" s="348">
        <f>IF(AF70="","",AF70)</f>
        <v>0</v>
      </c>
      <c r="H70" s="75">
        <f t="shared" si="70"/>
        <v>179</v>
      </c>
      <c r="I70" s="348">
        <f>IF(AH70="","",AH70)</f>
        <v>1</v>
      </c>
      <c r="J70" s="75">
        <f t="shared" si="71"/>
        <v>231</v>
      </c>
      <c r="K70" s="348">
        <f>IF(AJ70="","",AJ70)</f>
        <v>1</v>
      </c>
      <c r="L70" s="75">
        <f t="shared" si="72"/>
        <v>217</v>
      </c>
      <c r="M70" s="348">
        <f>IF(AL70="","",AL70)</f>
        <v>1</v>
      </c>
      <c r="N70" s="75">
        <f t="shared" si="89"/>
        <v>212</v>
      </c>
      <c r="O70" s="348">
        <f>IF(AN70="","",AN70)</f>
        <v>1</v>
      </c>
      <c r="P70" s="75">
        <f t="shared" si="73"/>
        <v>180</v>
      </c>
      <c r="Q70" s="348">
        <f>IF(AP70="","",AP70)</f>
        <v>1</v>
      </c>
      <c r="R70" s="75">
        <f t="shared" si="74"/>
        <v>205</v>
      </c>
      <c r="S70" s="348">
        <f>IF(AR70="","",AR70)</f>
        <v>0</v>
      </c>
      <c r="T70" s="75">
        <f t="shared" si="75"/>
        <v>163</v>
      </c>
      <c r="U70" s="348">
        <f>IF(AT70="","",AT70)</f>
        <v>1</v>
      </c>
      <c r="V70" s="75">
        <f t="shared" si="76"/>
        <v>1729</v>
      </c>
      <c r="W70" s="348">
        <f>IF(AV70="","",AV70)</f>
        <v>6</v>
      </c>
      <c r="Z70" s="351" t="s">
        <v>2</v>
      </c>
      <c r="AA70" s="108" t="str">
        <f>IF(AB70=0,"",VLOOKUP(AB70,Starter!$A$1:$D$199,2,FALSE))</f>
        <v>Hinterwimmer, Georg</v>
      </c>
      <c r="AB70" s="99">
        <v>7867</v>
      </c>
      <c r="AC70" s="188">
        <v>153</v>
      </c>
      <c r="AD70" s="109">
        <f>IF(SUM(AC70:AC72)+AC86=0,0,IF(SUM(AC70:AC72)=AC86,0.5,IF(SUM(AC70:AC72)&gt;AC86,1,0)))</f>
        <v>0</v>
      </c>
      <c r="AE70" s="188">
        <v>189</v>
      </c>
      <c r="AF70" s="109">
        <f>IF(SUM(AE70:AE72)+AE86=0,0,IF(SUM(AE70:AE72)=AE86,0.5,IF(SUM(AE70:AE72)&gt;AE86,1,0)))</f>
        <v>0</v>
      </c>
      <c r="AG70" s="188">
        <v>179</v>
      </c>
      <c r="AH70" s="109">
        <f>IF(SUM(AG70:AG72)+AG86=0,0,IF(SUM(AG70:AG72)=AG86,0.5,IF(SUM(AG70:AG72)&gt;AG86,1,0)))</f>
        <v>1</v>
      </c>
      <c r="AI70" s="188">
        <v>231</v>
      </c>
      <c r="AJ70" s="109">
        <f>IF(SUM(AI70:AI72)+AI86=0,0,IF(SUM(AI70:AI72)=AI86,0.5,IF(SUM(AI70:AI72)&gt;AI86,1,0)))</f>
        <v>1</v>
      </c>
      <c r="AK70" s="188">
        <v>217</v>
      </c>
      <c r="AL70" s="109">
        <f>IF(SUM(AK70:AK72)+AK86=0,0,IF(SUM(AK70:AK72)=AK86,0.5,IF(SUM(AK70:AK72)&gt;AK86,1,0)))</f>
        <v>1</v>
      </c>
      <c r="AM70" s="188">
        <v>212</v>
      </c>
      <c r="AN70" s="109">
        <f>IF(SUM(AM70:AM72)+AM86=0,0,IF(SUM(AM70:AM72)=AM86,0.5,IF(SUM(AM70:AM72)&gt;AM86,1,0)))</f>
        <v>1</v>
      </c>
      <c r="AO70" s="188">
        <v>180</v>
      </c>
      <c r="AP70" s="109">
        <f>IF(SUM(AO70:AO72)+AO86=0,0,IF(SUM(AO70:AO72)=AO86,0.5,IF(SUM(AO70:AO72)&gt;AO86,1,0)))</f>
        <v>1</v>
      </c>
      <c r="AQ70" s="188">
        <v>205</v>
      </c>
      <c r="AR70" s="109">
        <f>IF(SUM(AQ70:AQ72)+AQ86=0,0,IF(SUM(AQ70:AQ72)=AQ86,0.5,IF(SUM(AQ70:AQ72)&gt;AQ86,1,0)))</f>
        <v>0</v>
      </c>
      <c r="AS70" s="188">
        <v>163</v>
      </c>
      <c r="AT70" s="109">
        <f>IF(SUM(AS70:AS72)+AS86=0,0,IF(SUM(AS70:AS72)=AS86,0.5,IF(SUM(AS70:AS72)&gt;AS86,1,0)))</f>
        <v>1</v>
      </c>
      <c r="AU70" s="110">
        <f t="shared" si="77"/>
        <v>1729</v>
      </c>
      <c r="AV70" s="111">
        <f>SUM(AD70+AF70+AH70+AJ70+AL70+AN70+AP70+AR70+AT70)</f>
        <v>6</v>
      </c>
      <c r="AW70" s="101"/>
      <c r="AX70" s="102"/>
      <c r="AZ70" s="63"/>
      <c r="BA70" s="212"/>
      <c r="BB70" s="213"/>
      <c r="BC70" s="214"/>
      <c r="BD70" s="217">
        <f t="shared" si="90"/>
        <v>7867</v>
      </c>
      <c r="BE70" s="213">
        <f t="shared" si="91"/>
        <v>1729</v>
      </c>
      <c r="BF70" s="215">
        <f t="shared" si="92"/>
        <v>9</v>
      </c>
      <c r="BG70" s="215">
        <f t="shared" si="93"/>
        <v>9</v>
      </c>
      <c r="BH70" s="215">
        <f t="shared" si="78"/>
        <v>153</v>
      </c>
      <c r="BI70" s="215">
        <f t="shared" si="79"/>
        <v>189</v>
      </c>
      <c r="BJ70" s="215">
        <f t="shared" si="80"/>
        <v>179</v>
      </c>
      <c r="BK70" s="215">
        <f t="shared" si="81"/>
        <v>231</v>
      </c>
      <c r="BL70" s="215">
        <f t="shared" si="82"/>
        <v>217</v>
      </c>
      <c r="BM70" s="215">
        <f t="shared" si="83"/>
        <v>212</v>
      </c>
      <c r="BN70" s="215">
        <f t="shared" si="84"/>
        <v>180</v>
      </c>
      <c r="BO70" s="215">
        <f t="shared" si="85"/>
        <v>205</v>
      </c>
      <c r="BP70" s="215">
        <f t="shared" si="86"/>
        <v>163</v>
      </c>
      <c r="BQ70" s="216"/>
      <c r="BR70" s="214"/>
      <c r="BS70" s="215">
        <f t="shared" si="94"/>
        <v>231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1729</v>
      </c>
      <c r="BX70" s="215">
        <f>IF(COUNTIF(BH70:BP70,"&gt;0")&lt;Spielorte!$A$23,0,BE70/Spielorte!$A$23)</f>
        <v>192.11111111111111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7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8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6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209</v>
      </c>
      <c r="E73" s="348">
        <f>IF(AD73="","",AD73)</f>
        <v>1</v>
      </c>
      <c r="F73" s="75">
        <f t="shared" si="69"/>
        <v>216</v>
      </c>
      <c r="G73" s="348">
        <f>IF(AF73="","",AF73)</f>
        <v>1</v>
      </c>
      <c r="H73" s="75">
        <f t="shared" si="70"/>
        <v>246</v>
      </c>
      <c r="I73" s="348">
        <f>IF(AH73="","",AH73)</f>
        <v>1</v>
      </c>
      <c r="J73" s="75">
        <f t="shared" si="71"/>
        <v>177</v>
      </c>
      <c r="K73" s="348">
        <f>IF(AJ73="","",AJ73)</f>
        <v>1</v>
      </c>
      <c r="L73" s="75">
        <f t="shared" si="72"/>
        <v>198</v>
      </c>
      <c r="M73" s="348">
        <f>IF(AL73="","",AL73)</f>
        <v>1</v>
      </c>
      <c r="N73" s="75">
        <f t="shared" si="89"/>
        <v>182</v>
      </c>
      <c r="O73" s="348">
        <f>IF(AN73="","",AN73)</f>
        <v>0.5</v>
      </c>
      <c r="P73" s="75">
        <f t="shared" si="73"/>
        <v>201</v>
      </c>
      <c r="Q73" s="348">
        <f>IF(AP73="","",AP73)</f>
        <v>1</v>
      </c>
      <c r="R73" s="75">
        <f t="shared" si="74"/>
        <v>230</v>
      </c>
      <c r="S73" s="348">
        <f>IF(AR73="","",AR73)</f>
        <v>1</v>
      </c>
      <c r="T73" s="75">
        <f t="shared" si="75"/>
        <v>128</v>
      </c>
      <c r="U73" s="348">
        <f>IF(AT73="","",AT73)</f>
        <v>0</v>
      </c>
      <c r="V73" s="75">
        <f t="shared" si="76"/>
        <v>1787</v>
      </c>
      <c r="W73" s="348">
        <f>IF(AV73="","",AV73)</f>
        <v>7.5</v>
      </c>
      <c r="Z73" s="351" t="s">
        <v>3</v>
      </c>
      <c r="AA73" s="108" t="str">
        <f>IF(AB73=0,"",VLOOKUP(AB73,Starter!$A$1:$D$199,2,FALSE))</f>
        <v>Laub, Harald</v>
      </c>
      <c r="AB73" s="99">
        <v>7597</v>
      </c>
      <c r="AC73" s="188">
        <v>209</v>
      </c>
      <c r="AD73" s="109">
        <f>IF(SUM(AC73:AC75)+AC87=0,0,IF(SUM(AC73:AC75)=AC87,0.5,IF(SUM(AC73:AC75)&gt;AC87,1,0)))</f>
        <v>1</v>
      </c>
      <c r="AE73" s="188">
        <v>216</v>
      </c>
      <c r="AF73" s="109">
        <f>IF(SUM(AE73:AE75)+AE87=0,0,IF(SUM(AE73:AE75)=AE87,0.5,IF(SUM(AE73:AE75)&gt;AE87,1,0)))</f>
        <v>1</v>
      </c>
      <c r="AG73" s="188">
        <v>246</v>
      </c>
      <c r="AH73" s="109">
        <f>IF(SUM(AG73:AG75)+AG87=0,0,IF(SUM(AG73:AG75)=AG87,0.5,IF(SUM(AG73:AG75)&gt;AG87,1,0)))</f>
        <v>1</v>
      </c>
      <c r="AI73" s="188">
        <v>177</v>
      </c>
      <c r="AJ73" s="109">
        <f>IF(SUM(AI73:AI75)+AI87=0,0,IF(SUM(AI73:AI75)=AI87,0.5,IF(SUM(AI73:AI75)&gt;AI87,1,0)))</f>
        <v>1</v>
      </c>
      <c r="AK73" s="188">
        <v>198</v>
      </c>
      <c r="AL73" s="109">
        <f>IF(SUM(AK73:AK75)+AK87=0,0,IF(SUM(AK73:AK75)=AK87,0.5,IF(SUM(AK73:AK75)&gt;AK87,1,0)))</f>
        <v>1</v>
      </c>
      <c r="AM73" s="188">
        <v>182</v>
      </c>
      <c r="AN73" s="109">
        <f>IF(SUM(AM73:AM75)+AM87=0,0,IF(SUM(AM73:AM75)=AM87,0.5,IF(SUM(AM73:AM75)&gt;AM87,1,0)))</f>
        <v>0.5</v>
      </c>
      <c r="AO73" s="188">
        <v>201</v>
      </c>
      <c r="AP73" s="109">
        <f>IF(SUM(AO73:AO75)+AO87=0,0,IF(SUM(AO73:AO75)=AO87,0.5,IF(SUM(AO73:AO75)&gt;AO87,1,0)))</f>
        <v>1</v>
      </c>
      <c r="AQ73" s="188">
        <v>230</v>
      </c>
      <c r="AR73" s="109">
        <f>IF(SUM(AQ73:AQ75)+AQ87=0,0,IF(SUM(AQ73:AQ75)=AQ87,0.5,IF(SUM(AQ73:AQ75)&gt;AQ87,1,0)))</f>
        <v>1</v>
      </c>
      <c r="AS73" s="188">
        <v>128</v>
      </c>
      <c r="AT73" s="109">
        <f>IF(SUM(AS73:AS75)+AS87=0,0,IF(SUM(AS73:AS75)=AS87,0.5,IF(SUM(AS73:AS75)&gt;AS87,1,0)))</f>
        <v>0</v>
      </c>
      <c r="AU73" s="110">
        <f t="shared" si="77"/>
        <v>1787</v>
      </c>
      <c r="AV73" s="111">
        <f>SUM(AD73+AF73+AH73+AJ73+AL73+AN73+AP73+AR73+AT73)</f>
        <v>7.5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1787</v>
      </c>
      <c r="BF73" s="215">
        <f t="shared" si="92"/>
        <v>9</v>
      </c>
      <c r="BG73" s="215">
        <f t="shared" si="93"/>
        <v>9</v>
      </c>
      <c r="BH73" s="215">
        <f t="shared" si="78"/>
        <v>209</v>
      </c>
      <c r="BI73" s="215">
        <f t="shared" si="79"/>
        <v>216</v>
      </c>
      <c r="BJ73" s="215">
        <f t="shared" si="80"/>
        <v>246</v>
      </c>
      <c r="BK73" s="215">
        <f t="shared" si="81"/>
        <v>177</v>
      </c>
      <c r="BL73" s="215">
        <f t="shared" si="82"/>
        <v>198</v>
      </c>
      <c r="BM73" s="215">
        <f t="shared" si="83"/>
        <v>182</v>
      </c>
      <c r="BN73" s="215">
        <f t="shared" si="84"/>
        <v>201</v>
      </c>
      <c r="BO73" s="215">
        <f t="shared" si="85"/>
        <v>230</v>
      </c>
      <c r="BP73" s="215">
        <f t="shared" si="86"/>
        <v>128</v>
      </c>
      <c r="BQ73" s="216"/>
      <c r="BR73" s="214"/>
      <c r="BS73" s="215">
        <f t="shared" si="94"/>
        <v>246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1787</v>
      </c>
      <c r="BX73" s="215">
        <f>IF(COUNTIF(BH73:BP73,"&gt;0")&lt;Spielorte!$A$23,0,BE73/Spielorte!$A$23)</f>
        <v>198.55555555555554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7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 t="str">
        <f t="shared" si="72"/>
        <v/>
      </c>
      <c r="M74" s="349"/>
      <c r="N74" s="78" t="str">
        <f t="shared" si="89"/>
        <v/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 t="str">
        <f t="shared" si="76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8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6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246</v>
      </c>
      <c r="E76" s="348">
        <f>IF(AD76="","",AD76)</f>
        <v>1</v>
      </c>
      <c r="F76" s="75">
        <f t="shared" si="69"/>
        <v>171</v>
      </c>
      <c r="G76" s="348">
        <f>IF(AF76="","",AF76)</f>
        <v>0</v>
      </c>
      <c r="H76" s="75">
        <f t="shared" si="70"/>
        <v>190</v>
      </c>
      <c r="I76" s="348">
        <f>IF(AH76="","",AH76)</f>
        <v>1</v>
      </c>
      <c r="J76" s="75">
        <f t="shared" si="71"/>
        <v>178</v>
      </c>
      <c r="K76" s="348">
        <f>IF(AJ76="","",AJ76)</f>
        <v>0</v>
      </c>
      <c r="L76" s="75">
        <f t="shared" si="72"/>
        <v>151</v>
      </c>
      <c r="M76" s="348">
        <f>IF(AL76="","",AL76)</f>
        <v>0</v>
      </c>
      <c r="N76" s="75">
        <f t="shared" si="89"/>
        <v>168</v>
      </c>
      <c r="O76" s="348">
        <f>IF(AN76="","",AN76)</f>
        <v>0</v>
      </c>
      <c r="P76" s="75">
        <f t="shared" si="73"/>
        <v>178</v>
      </c>
      <c r="Q76" s="348">
        <f>IF(AP76="","",AP76)</f>
        <v>1</v>
      </c>
      <c r="R76" s="75">
        <f t="shared" si="74"/>
        <v>202</v>
      </c>
      <c r="S76" s="348">
        <f>IF(AR76="","",AR76)</f>
        <v>1</v>
      </c>
      <c r="T76" s="75">
        <f t="shared" si="75"/>
        <v>202</v>
      </c>
      <c r="U76" s="348">
        <f>IF(AT76="","",AT76)</f>
        <v>1</v>
      </c>
      <c r="V76" s="75">
        <f t="shared" si="76"/>
        <v>1686</v>
      </c>
      <c r="W76" s="348">
        <f>IF(AV76="","",AV76)</f>
        <v>5</v>
      </c>
      <c r="Z76" s="351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246</v>
      </c>
      <c r="AD76" s="109">
        <f>IF(SUM(AC76:AC78)+AC88=0,0,IF(SUM(AC76:AC78)=AC88,0.5,IF(SUM(AC76:AC78)&gt;AC88,1,0)))</f>
        <v>1</v>
      </c>
      <c r="AE76" s="188">
        <v>171</v>
      </c>
      <c r="AF76" s="109">
        <f>IF(SUM(AE76:AE78)+AE88=0,0,IF(SUM(AE76:AE78)=AE88,0.5,IF(SUM(AE76:AE78)&gt;AE88,1,0)))</f>
        <v>0</v>
      </c>
      <c r="AG76" s="188">
        <v>190</v>
      </c>
      <c r="AH76" s="109">
        <f>IF(SUM(AG76:AG78)+AG88=0,0,IF(SUM(AG76:AG78)=AG88,0.5,IF(SUM(AG76:AG78)&gt;AG88,1,0)))</f>
        <v>1</v>
      </c>
      <c r="AI76" s="188">
        <v>178</v>
      </c>
      <c r="AJ76" s="109">
        <f>IF(SUM(AI76:AI78)+AI88=0,0,IF(SUM(AI76:AI78)=AI88,0.5,IF(SUM(AI76:AI78)&gt;AI88,1,0)))</f>
        <v>0</v>
      </c>
      <c r="AK76" s="188">
        <v>151</v>
      </c>
      <c r="AL76" s="109">
        <f>IF(SUM(AK76:AK78)+AK88=0,0,IF(SUM(AK76:AK78)=AK88,0.5,IF(SUM(AK76:AK78)&gt;AK88,1,0)))</f>
        <v>0</v>
      </c>
      <c r="AM76" s="188">
        <v>168</v>
      </c>
      <c r="AN76" s="109">
        <f>IF(SUM(AM76:AM78)+AM88=0,0,IF(SUM(AM76:AM78)=AM88,0.5,IF(SUM(AM76:AM78)&gt;AM88,1,0)))</f>
        <v>0</v>
      </c>
      <c r="AO76" s="188">
        <v>178</v>
      </c>
      <c r="AP76" s="109">
        <f>IF(SUM(AO76:AO78)+AO88=0,0,IF(SUM(AO76:AO78)=AO88,0.5,IF(SUM(AO76:AO78)&gt;AO88,1,0)))</f>
        <v>1</v>
      </c>
      <c r="AQ76" s="188">
        <v>202</v>
      </c>
      <c r="AR76" s="109">
        <f>IF(SUM(AQ76:AQ78)+AQ88=0,0,IF(SUM(AQ76:AQ78)=AQ88,0.5,IF(SUM(AQ76:AQ78)&gt;AQ88,1,0)))</f>
        <v>1</v>
      </c>
      <c r="AS76" s="188">
        <v>202</v>
      </c>
      <c r="AT76" s="109">
        <f>IF(SUM(AS76:AS78)+AS88=0,0,IF(SUM(AS76:AS78)=AS88,0.5,IF(SUM(AS76:AS78)&gt;AS88,1,0)))</f>
        <v>1</v>
      </c>
      <c r="AU76" s="110">
        <f t="shared" si="77"/>
        <v>1686</v>
      </c>
      <c r="AV76" s="111">
        <f>SUM(AD76+AF76+AH76+AJ76+AL76+AN76+AP76+AR76+AT76)</f>
        <v>5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1686</v>
      </c>
      <c r="BF76" s="215">
        <f t="shared" si="92"/>
        <v>9</v>
      </c>
      <c r="BG76" s="215">
        <f t="shared" si="93"/>
        <v>9</v>
      </c>
      <c r="BH76" s="215">
        <f t="shared" si="78"/>
        <v>246</v>
      </c>
      <c r="BI76" s="215">
        <f t="shared" si="79"/>
        <v>171</v>
      </c>
      <c r="BJ76" s="215">
        <f t="shared" si="80"/>
        <v>190</v>
      </c>
      <c r="BK76" s="215">
        <f t="shared" si="81"/>
        <v>178</v>
      </c>
      <c r="BL76" s="215">
        <f t="shared" si="82"/>
        <v>151</v>
      </c>
      <c r="BM76" s="215">
        <f t="shared" si="83"/>
        <v>168</v>
      </c>
      <c r="BN76" s="215">
        <f t="shared" si="84"/>
        <v>178</v>
      </c>
      <c r="BO76" s="215">
        <f t="shared" si="85"/>
        <v>202</v>
      </c>
      <c r="BP76" s="215">
        <f t="shared" si="86"/>
        <v>202</v>
      </c>
      <c r="BQ76" s="216"/>
      <c r="BR76" s="214"/>
      <c r="BS76" s="215">
        <f t="shared" si="94"/>
        <v>246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1686</v>
      </c>
      <c r="BX76" s="215">
        <f>IF(COUNTIF(BH76:BP76,"&gt;0")&lt;Spielorte!$A$23,0,BE76/Spielorte!$A$23)</f>
        <v>187.33333333333334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7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8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798</v>
      </c>
      <c r="E79" s="84">
        <f>IF(AD79="","",AD79)</f>
        <v>0</v>
      </c>
      <c r="F79" s="83">
        <f t="shared" si="69"/>
        <v>830</v>
      </c>
      <c r="G79" s="84">
        <f>IF(AF79="","",AF79)</f>
        <v>0</v>
      </c>
      <c r="H79" s="83">
        <f t="shared" si="70"/>
        <v>818</v>
      </c>
      <c r="I79" s="84">
        <f>IF(AH79="","",AH79)</f>
        <v>2</v>
      </c>
      <c r="J79" s="83">
        <f t="shared" si="71"/>
        <v>832</v>
      </c>
      <c r="K79" s="84">
        <f>IF(AJ79="","",AJ79)</f>
        <v>2</v>
      </c>
      <c r="L79" s="83">
        <f t="shared" si="72"/>
        <v>772</v>
      </c>
      <c r="M79" s="84">
        <f>IF(AL79="","",AL79)</f>
        <v>2</v>
      </c>
      <c r="N79" s="83">
        <f t="shared" si="89"/>
        <v>766</v>
      </c>
      <c r="O79" s="84">
        <f>IF(AN79="","",AN79)</f>
        <v>2</v>
      </c>
      <c r="P79" s="83">
        <f t="shared" si="73"/>
        <v>763</v>
      </c>
      <c r="Q79" s="84">
        <f>IF(AP79="","",AP79)</f>
        <v>2</v>
      </c>
      <c r="R79" s="83">
        <f t="shared" si="74"/>
        <v>873</v>
      </c>
      <c r="S79" s="84">
        <f>IF(AR79="","",AR79)</f>
        <v>2</v>
      </c>
      <c r="T79" s="83">
        <f t="shared" si="75"/>
        <v>721</v>
      </c>
      <c r="U79" s="84">
        <f>IF(AT79="","",AT79)</f>
        <v>2</v>
      </c>
      <c r="V79" s="83">
        <f t="shared" si="76"/>
        <v>7173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798</v>
      </c>
      <c r="AD79" s="121">
        <f>IF(AC79+AC89=0,0,IF(AC79=AC89,1,IF(AC79&gt;AC89,2,0)))</f>
        <v>0</v>
      </c>
      <c r="AE79" s="211">
        <f>ABS(SUM(AE67:AE69))+ABS(SUM(AE70:AE72))+ABS(SUM(AE73:AE75))+ABS(SUM(AE76:AE78))</f>
        <v>830</v>
      </c>
      <c r="AF79" s="121">
        <f>IF(AE79+AE89=0,0,IF(AE79=AE89,1,IF(AE79&gt;AE89,2,0)))</f>
        <v>0</v>
      </c>
      <c r="AG79" s="211">
        <f>ABS(SUM(AG67:AG69))+ABS(SUM(AG70:AG72))+ABS(SUM(AG73:AG75))+ABS(SUM(AG76:AG78))</f>
        <v>818</v>
      </c>
      <c r="AH79" s="121">
        <f>IF(AG79+AG89=0,0,IF(AG79=AG89,1,IF(AG79&gt;AG89,2,0)))</f>
        <v>2</v>
      </c>
      <c r="AI79" s="211">
        <f>ABS(SUM(AI67:AI69))+ABS(SUM(AI70:AI72))+ABS(SUM(AI73:AI75))+ABS(SUM(AI76:AI78))</f>
        <v>832</v>
      </c>
      <c r="AJ79" s="121">
        <f>IF(AI79+AI89=0,0,IF(AI79=AI89,1,IF(AI79&gt;AI89,2,0)))</f>
        <v>2</v>
      </c>
      <c r="AK79" s="211">
        <f>ABS(SUM(AK67:AK69))+ABS(SUM(AK70:AK72))+ABS(SUM(AK73:AK75))+ABS(SUM(AK76:AK78))</f>
        <v>772</v>
      </c>
      <c r="AL79" s="121">
        <f>IF(AK79+AK89=0,0,IF(AK79=AK89,1,IF(AK79&gt;AK89,2,0)))</f>
        <v>2</v>
      </c>
      <c r="AM79" s="211">
        <f>ABS(SUM(AM67:AM69))+ABS(SUM(AM70:AM72))+ABS(SUM(AM73:AM75))+ABS(SUM(AM76:AM78))</f>
        <v>766</v>
      </c>
      <c r="AN79" s="121">
        <f>IF(AM79+AM89=0,0,IF(AM79=AM89,1,IF(AM79&gt;AM89,2,0)))</f>
        <v>2</v>
      </c>
      <c r="AO79" s="211">
        <f>ABS(SUM(AO67:AO69))+ABS(SUM(AO70:AO72))+ABS(SUM(AO73:AO75))+ABS(SUM(AO76:AO78))</f>
        <v>763</v>
      </c>
      <c r="AP79" s="121">
        <f>IF(AO79+AO89=0,0,IF(AO79=AO89,1,IF(AO79&gt;AO89,2,0)))</f>
        <v>2</v>
      </c>
      <c r="AQ79" s="211">
        <f>ABS(SUM(AQ67:AQ69))+ABS(SUM(AQ70:AQ72))+ABS(SUM(AQ73:AQ75))+ABS(SUM(AQ76:AQ78))</f>
        <v>873</v>
      </c>
      <c r="AR79" s="121">
        <f>IF(AQ79+AQ89=0,0,IF(AQ79=AQ89,1,IF(AQ79&gt;AQ89,2,0)))</f>
        <v>2</v>
      </c>
      <c r="AS79" s="211">
        <f>ABS(SUM(AS67:AS69))+ABS(SUM(AS70:AS72))+ABS(SUM(AS73:AS75))+ABS(SUM(AS76:AS78))</f>
        <v>721</v>
      </c>
      <c r="AT79" s="121">
        <f>IF(AS79+AS89=0,0,IF(AS79=AS89,1,IF(AS79&gt;AS89,2,0)))</f>
        <v>2</v>
      </c>
      <c r="AU79" s="122">
        <f>SUM(AC79+AE79+AG79+AI79+AK79+AM79+AO79+AQ79+AS79)</f>
        <v>7173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2</v>
      </c>
      <c r="F80" s="86" t="str">
        <f t="shared" si="69"/>
        <v/>
      </c>
      <c r="G80" s="87">
        <f>IF(AF80="","",AF80)</f>
        <v>2</v>
      </c>
      <c r="H80" s="86" t="str">
        <f t="shared" si="70"/>
        <v/>
      </c>
      <c r="I80" s="87">
        <f>IF(AH80="","",AH80)</f>
        <v>6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5</v>
      </c>
      <c r="N80" s="86" t="str">
        <f t="shared" si="89"/>
        <v/>
      </c>
      <c r="O80" s="87">
        <f>IF(AN80="","",AN80)</f>
        <v>4.5</v>
      </c>
      <c r="P80" s="86" t="str">
        <f t="shared" si="73"/>
        <v/>
      </c>
      <c r="Q80" s="87">
        <f>IF(AP80="","",AP80)</f>
        <v>5</v>
      </c>
      <c r="R80" s="86" t="str">
        <f t="shared" si="74"/>
        <v/>
      </c>
      <c r="S80" s="87">
        <f>IF(AR80="","",AR80)</f>
        <v>5</v>
      </c>
      <c r="T80" s="86" t="str">
        <f t="shared" si="75"/>
        <v/>
      </c>
      <c r="U80" s="87">
        <f>IF(AT80="","",AT80)</f>
        <v>5</v>
      </c>
      <c r="V80" s="86" t="str">
        <f t="shared" si="76"/>
        <v/>
      </c>
      <c r="W80" s="87">
        <f>IF(AV80="","",AV80)</f>
        <v>39.5</v>
      </c>
      <c r="AA80" s="85" t="s">
        <v>1814</v>
      </c>
      <c r="AB80" s="86"/>
      <c r="AC80" s="86"/>
      <c r="AD80" s="124">
        <f>SUM(AD67:AD79)</f>
        <v>2</v>
      </c>
      <c r="AE80" s="86"/>
      <c r="AF80" s="124">
        <f>SUM(AF67:AF79)</f>
        <v>2</v>
      </c>
      <c r="AG80" s="86"/>
      <c r="AH80" s="124">
        <f>SUM(AH67:AH79)</f>
        <v>6</v>
      </c>
      <c r="AI80" s="86"/>
      <c r="AJ80" s="124">
        <f>SUM(AJ67:AJ79)</f>
        <v>5</v>
      </c>
      <c r="AK80" s="86"/>
      <c r="AL80" s="124">
        <f>SUM(AL67:AL79)</f>
        <v>5</v>
      </c>
      <c r="AM80" s="86"/>
      <c r="AN80" s="124">
        <f>SUM(AN67:AN79)</f>
        <v>4.5</v>
      </c>
      <c r="AO80" s="86"/>
      <c r="AP80" s="124">
        <f>SUM(AP67:AP79)</f>
        <v>5</v>
      </c>
      <c r="AQ80" s="86"/>
      <c r="AR80" s="124">
        <f>SUM(AR67:AR79)</f>
        <v>5</v>
      </c>
      <c r="AS80" s="86"/>
      <c r="AT80" s="124">
        <f>SUM(AT67:AT79)</f>
        <v>5</v>
      </c>
      <c r="AU80" s="86"/>
      <c r="AV80" s="125">
        <f>SUM(AV67:AV79)</f>
        <v>39.5</v>
      </c>
      <c r="AW80" s="101"/>
      <c r="AX80" s="102"/>
      <c r="BA80" s="212">
        <f>+AV80</f>
        <v>39.5</v>
      </c>
      <c r="BB80" s="213">
        <f>+AU79</f>
        <v>7173</v>
      </c>
      <c r="BC80" s="214">
        <f>+AA62</f>
        <v>3</v>
      </c>
      <c r="BF80" s="215">
        <f>SUM(BF61:BF79)</f>
        <v>36</v>
      </c>
      <c r="BQ80" s="212">
        <f>+BB80/1000000+BA80</f>
        <v>39.507173000000002</v>
      </c>
      <c r="BR80" s="214">
        <f>RANK(BQ80,BQ:BQ)</f>
        <v>2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56">
        <f t="shared" si="100"/>
        <v>8</v>
      </c>
      <c r="E82" s="356" t="str">
        <f t="shared" si="100"/>
        <v/>
      </c>
      <c r="F82" s="356">
        <f t="shared" si="100"/>
        <v>4</v>
      </c>
      <c r="G82" s="356" t="str">
        <f t="shared" si="100"/>
        <v/>
      </c>
      <c r="H82" s="356">
        <f t="shared" si="100"/>
        <v>5</v>
      </c>
      <c r="I82" s="356" t="str">
        <f t="shared" si="100"/>
        <v/>
      </c>
      <c r="J82" s="356">
        <f t="shared" si="100"/>
        <v>7</v>
      </c>
      <c r="K82" s="356" t="str">
        <f t="shared" si="100"/>
        <v/>
      </c>
      <c r="L82" s="356">
        <f t="shared" ref="L82:U84" si="101">IF(AK82=0,"",AK82)</f>
        <v>9</v>
      </c>
      <c r="M82" s="356" t="str">
        <f t="shared" si="101"/>
        <v/>
      </c>
      <c r="N82" s="356">
        <f t="shared" si="101"/>
        <v>6</v>
      </c>
      <c r="O82" s="356" t="str">
        <f t="shared" si="101"/>
        <v/>
      </c>
      <c r="P82" s="356">
        <f t="shared" si="101"/>
        <v>2</v>
      </c>
      <c r="Q82" s="356" t="str">
        <f t="shared" si="101"/>
        <v/>
      </c>
      <c r="R82" s="356">
        <f t="shared" si="101"/>
        <v>1</v>
      </c>
      <c r="S82" s="356" t="str">
        <f t="shared" si="101"/>
        <v/>
      </c>
      <c r="T82" s="356">
        <f t="shared" si="101"/>
        <v>10</v>
      </c>
      <c r="U82" s="356" t="str">
        <f t="shared" si="101"/>
        <v/>
      </c>
      <c r="V82" s="357"/>
      <c r="W82" s="357"/>
      <c r="AA82" s="88" t="s">
        <v>1797</v>
      </c>
      <c r="AB82" s="89" t="s">
        <v>1798</v>
      </c>
      <c r="AC82" s="370">
        <f>VLOOKUP($AA62,Schlüssel!$A$5:$DG$14,63)</f>
        <v>8</v>
      </c>
      <c r="AD82" s="371"/>
      <c r="AE82" s="370">
        <f>VLOOKUP($AA62,Schlüssel!$A$5:$EK$14,64)</f>
        <v>4</v>
      </c>
      <c r="AF82" s="371"/>
      <c r="AG82" s="370">
        <f>VLOOKUP($AA62,Schlüssel!$A$5:$EK$14,65)</f>
        <v>5</v>
      </c>
      <c r="AH82" s="371"/>
      <c r="AI82" s="370">
        <f>VLOOKUP($AA62,Schlüssel!$A$5:$EK$14,66)</f>
        <v>7</v>
      </c>
      <c r="AJ82" s="371"/>
      <c r="AK82" s="370">
        <f>VLOOKUP($AA62,Schlüssel!$A$5:$EK$14,67)</f>
        <v>9</v>
      </c>
      <c r="AL82" s="371"/>
      <c r="AM82" s="370">
        <f>VLOOKUP($AA62,Schlüssel!$A$5:$EK$14,68)</f>
        <v>6</v>
      </c>
      <c r="AN82" s="371"/>
      <c r="AO82" s="370">
        <f>VLOOKUP($AA62,Schlüssel!$A$5:$EK$14,69)</f>
        <v>2</v>
      </c>
      <c r="AP82" s="371"/>
      <c r="AQ82" s="370">
        <f>VLOOKUP($AA62,Schlüssel!$A$5:$EK$14,70)</f>
        <v>1</v>
      </c>
      <c r="AR82" s="371"/>
      <c r="AS82" s="370">
        <f>VLOOKUP($AA62,Schlüssel!$A$5:$EK$14,71)</f>
        <v>10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58" t="str">
        <f t="shared" si="100"/>
        <v>BC EMAX Unterföhring 2</v>
      </c>
      <c r="E83" s="359" t="str">
        <f t="shared" si="100"/>
        <v/>
      </c>
      <c r="F83" s="358" t="str">
        <f t="shared" si="100"/>
        <v>SG DJK Rimpar</v>
      </c>
      <c r="G83" s="359" t="str">
        <f t="shared" si="100"/>
        <v/>
      </c>
      <c r="H83" s="358" t="str">
        <f t="shared" si="100"/>
        <v>RW Lichtenhof Stein 1</v>
      </c>
      <c r="I83" s="359" t="str">
        <f t="shared" si="100"/>
        <v/>
      </c>
      <c r="J83" s="358" t="str">
        <f t="shared" si="100"/>
        <v>Schanzer Ingolstadt 1</v>
      </c>
      <c r="K83" s="359" t="str">
        <f t="shared" si="100"/>
        <v/>
      </c>
      <c r="L83" s="358" t="str">
        <f t="shared" si="101"/>
        <v>Bowlinghaus Bamberg 1</v>
      </c>
      <c r="M83" s="359" t="str">
        <f t="shared" si="101"/>
        <v/>
      </c>
      <c r="N83" s="358" t="str">
        <f t="shared" si="101"/>
        <v>SG Rottendorf 1</v>
      </c>
      <c r="O83" s="359" t="str">
        <f t="shared" si="101"/>
        <v/>
      </c>
      <c r="P83" s="358" t="str">
        <f t="shared" si="101"/>
        <v>Bajuwaren München 1</v>
      </c>
      <c r="Q83" s="359" t="str">
        <f t="shared" si="101"/>
        <v/>
      </c>
      <c r="R83" s="358" t="str">
        <f t="shared" si="101"/>
        <v>BC Comet Nürnberg</v>
      </c>
      <c r="S83" s="359" t="str">
        <f t="shared" si="101"/>
        <v/>
      </c>
      <c r="T83" s="358" t="str">
        <f t="shared" si="101"/>
        <v>High Roller Rosenheim 1</v>
      </c>
      <c r="U83" s="359" t="str">
        <f t="shared" si="101"/>
        <v/>
      </c>
      <c r="V83" s="363"/>
      <c r="W83" s="363"/>
      <c r="AA83" s="90"/>
      <c r="AB83" s="86"/>
      <c r="AC83" s="358" t="str">
        <f>VLOOKUP(AC82,Schlüssel!$A$5:$K$14,2)</f>
        <v>BC EMAX Unterföhring 2</v>
      </c>
      <c r="AD83" s="359"/>
      <c r="AE83" s="358" t="str">
        <f>VLOOKUP(AE82,Schlüssel!$A$5:$K$14,2)</f>
        <v>SG DJK Rimpar</v>
      </c>
      <c r="AF83" s="359"/>
      <c r="AG83" s="358" t="str">
        <f>VLOOKUP(AG82,Schlüssel!$A$5:$K$14,2)</f>
        <v>RW Lichtenhof Stein 1</v>
      </c>
      <c r="AH83" s="359"/>
      <c r="AI83" s="358" t="str">
        <f>VLOOKUP(AI82,Schlüssel!$A$5:$K$14,2)</f>
        <v>Schanzer Ingolstadt 1</v>
      </c>
      <c r="AJ83" s="359"/>
      <c r="AK83" s="358" t="str">
        <f>VLOOKUP(AK82,Schlüssel!$A$5:$K$14,2)</f>
        <v>Bowlinghaus Bamberg 1</v>
      </c>
      <c r="AL83" s="359"/>
      <c r="AM83" s="358" t="str">
        <f>VLOOKUP(AM82,Schlüssel!$A$5:$K$14,2)</f>
        <v>SG Rottendorf 1</v>
      </c>
      <c r="AN83" s="359"/>
      <c r="AO83" s="358" t="str">
        <f>VLOOKUP(AO82,Schlüssel!$A$5:$K$14,2)</f>
        <v>Bajuwaren München 1</v>
      </c>
      <c r="AP83" s="359"/>
      <c r="AQ83" s="358" t="str">
        <f>VLOOKUP(AQ82,Schlüssel!$A$5:$K$14,2)</f>
        <v>BC Comet Nürnberg</v>
      </c>
      <c r="AR83" s="359"/>
      <c r="AS83" s="358" t="str">
        <f>VLOOKUP(AS82,Schlüssel!$A$5:$K$14,2)</f>
        <v>High Roller Rosenheim 1</v>
      </c>
      <c r="AT83" s="359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60" t="str">
        <f t="shared" si="100"/>
        <v/>
      </c>
      <c r="E84" s="360" t="str">
        <f t="shared" si="100"/>
        <v/>
      </c>
      <c r="F84" s="360" t="str">
        <f t="shared" si="100"/>
        <v/>
      </c>
      <c r="G84" s="360" t="str">
        <f t="shared" si="100"/>
        <v/>
      </c>
      <c r="H84" s="360" t="str">
        <f t="shared" si="100"/>
        <v/>
      </c>
      <c r="I84" s="360" t="str">
        <f t="shared" si="100"/>
        <v/>
      </c>
      <c r="J84" s="360" t="str">
        <f t="shared" si="100"/>
        <v/>
      </c>
      <c r="K84" s="360" t="str">
        <f t="shared" si="100"/>
        <v/>
      </c>
      <c r="L84" s="360" t="str">
        <f t="shared" si="101"/>
        <v/>
      </c>
      <c r="M84" s="360" t="str">
        <f t="shared" si="101"/>
        <v/>
      </c>
      <c r="N84" s="360" t="str">
        <f t="shared" si="101"/>
        <v/>
      </c>
      <c r="O84" s="360" t="str">
        <f t="shared" si="101"/>
        <v/>
      </c>
      <c r="P84" s="360" t="str">
        <f t="shared" si="101"/>
        <v/>
      </c>
      <c r="Q84" s="360" t="str">
        <f t="shared" si="101"/>
        <v/>
      </c>
      <c r="R84" s="360" t="str">
        <f t="shared" si="101"/>
        <v/>
      </c>
      <c r="S84" s="360" t="str">
        <f t="shared" si="101"/>
        <v/>
      </c>
      <c r="T84" s="360" t="str">
        <f t="shared" si="101"/>
        <v/>
      </c>
      <c r="U84" s="361" t="str">
        <f t="shared" si="101"/>
        <v/>
      </c>
      <c r="V84" s="298"/>
      <c r="W84" s="298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4" t="str">
        <f t="shared" ref="B85:C89" si="102">IF(AA85=0,"",AA85)</f>
        <v>Spieler 1</v>
      </c>
      <c r="C85" s="375" t="str">
        <f t="shared" si="102"/>
        <v/>
      </c>
      <c r="D85" s="362">
        <f>IF(AC85=301,"",AC85)</f>
        <v>226</v>
      </c>
      <c r="E85" s="362" t="str">
        <f>IF(AD85=0,"",AD85)</f>
        <v/>
      </c>
      <c r="F85" s="362">
        <f>IF(AE85=301,"",AE85)</f>
        <v>224</v>
      </c>
      <c r="G85" s="362" t="str">
        <f>IF(AF85=0,"",AF85)</f>
        <v/>
      </c>
      <c r="H85" s="362">
        <f>IF(AG85=301,"",AG85)</f>
        <v>167</v>
      </c>
      <c r="I85" s="362" t="str">
        <f>IF(AH85=0,"",AH85)</f>
        <v/>
      </c>
      <c r="J85" s="362">
        <f>IF(AI85=301,"",AI85)</f>
        <v>120</v>
      </c>
      <c r="K85" s="362" t="str">
        <f>IF(AJ85=0,"",AJ85)</f>
        <v/>
      </c>
      <c r="L85" s="362">
        <f>IF(AK85=301,"",AK85)</f>
        <v>190</v>
      </c>
      <c r="M85" s="362" t="str">
        <f>IF(AL85=0,"",AL85)</f>
        <v/>
      </c>
      <c r="N85" s="362">
        <f>IF(AM85=301,"",AM85)</f>
        <v>158</v>
      </c>
      <c r="O85" s="362" t="str">
        <f>IF(AN85=0,"",AN85)</f>
        <v/>
      </c>
      <c r="P85" s="362">
        <f>IF(AO85=301,"",AO85)</f>
        <v>256</v>
      </c>
      <c r="Q85" s="362" t="str">
        <f>IF(AP85=0,"",AP85)</f>
        <v/>
      </c>
      <c r="R85" s="362">
        <f>IF(AQ85=301,"",AQ85)</f>
        <v>202</v>
      </c>
      <c r="S85" s="362" t="str">
        <f>IF(AR85=0,"",AR85)</f>
        <v/>
      </c>
      <c r="T85" s="362">
        <f>IF(AS85=301,"",AS85)</f>
        <v>209</v>
      </c>
      <c r="U85" s="362" t="str">
        <f>IF(AT85=0,"",AT85)</f>
        <v/>
      </c>
      <c r="V85" s="364"/>
      <c r="W85" s="364"/>
      <c r="AA85" s="91" t="s">
        <v>0</v>
      </c>
      <c r="AB85" s="92"/>
      <c r="AC85" s="368">
        <f>ABS(INDEX(AC:AC,MATCH(AC82,$AA:$AA,0)+5)+INDEX(AC:AC,MATCH(AC82,$AA:$AA,0)+6)+INDEX(AC:AC,MATCH(AC82,$AA:$AA,0)+7))</f>
        <v>226</v>
      </c>
      <c r="AD85" s="369"/>
      <c r="AE85" s="368">
        <f>ABS(INDEX(AE:AE,MATCH(AE82,$AA:$AA,0)+5)+INDEX(AE:AE,MATCH(AE82,$AA:$AA,0)+6)+INDEX(AE:AE,MATCH(AE82,$AA:$AA,0)+7))</f>
        <v>224</v>
      </c>
      <c r="AF85" s="369"/>
      <c r="AG85" s="368">
        <f>ABS(INDEX(AG:AG,MATCH(AG82,$AA:$AA,0)+5)+INDEX(AG:AG,MATCH(AG82,$AA:$AA,0)+6)+INDEX(AG:AG,MATCH(AG82,$AA:$AA,0)+7))</f>
        <v>167</v>
      </c>
      <c r="AH85" s="369"/>
      <c r="AI85" s="368">
        <f>ABS(INDEX(AI:AI,MATCH(AI82,$AA:$AA,0)+5)+INDEX(AI:AI,MATCH(AI82,$AA:$AA,0)+6)+INDEX(AI:AI,MATCH(AI82,$AA:$AA,0)+7))</f>
        <v>120</v>
      </c>
      <c r="AJ85" s="369"/>
      <c r="AK85" s="368">
        <f>ABS(INDEX(AK:AK,MATCH(AK82,$AA:$AA,0)+5)+INDEX(AK:AK,MATCH(AK82,$AA:$AA,0)+6)+INDEX(AK:AK,MATCH(AK82,$AA:$AA,0)+7))</f>
        <v>190</v>
      </c>
      <c r="AL85" s="369"/>
      <c r="AM85" s="368">
        <f>ABS(INDEX(AM:AM,MATCH(AM82,$AA:$AA,0)+5)+INDEX(AM:AM,MATCH(AM82,$AA:$AA,0)+6)+INDEX(AM:AM,MATCH(AM82,$AA:$AA,0)+7))</f>
        <v>158</v>
      </c>
      <c r="AN85" s="369"/>
      <c r="AO85" s="368">
        <f>ABS(INDEX(AO:AO,MATCH(AO82,$AA:$AA,0)+5)+INDEX(AO:AO,MATCH(AO82,$AA:$AA,0)+6)+INDEX(AO:AO,MATCH(AO82,$AA:$AA,0)+7))</f>
        <v>256</v>
      </c>
      <c r="AP85" s="369"/>
      <c r="AQ85" s="368">
        <f>ABS(INDEX(AQ:AQ,MATCH(AQ82,$AA:$AA,0)+5)+INDEX(AQ:AQ,MATCH(AQ82,$AA:$AA,0)+6)+INDEX(AQ:AQ,MATCH(AQ82,$AA:$AA,0)+7))</f>
        <v>202</v>
      </c>
      <c r="AR85" s="369"/>
      <c r="AS85" s="368">
        <f>ABS(INDEX(AS:AS,MATCH(AS82,$AA:$AA,0)+5)+INDEX(AS:AS,MATCH(AS82,$AA:$AA,0)+6)+INDEX(AS:AS,MATCH(AS82,$AA:$AA,0)+7))</f>
        <v>209</v>
      </c>
      <c r="AT85" s="369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4" t="str">
        <f t="shared" si="102"/>
        <v>Spieler 2</v>
      </c>
      <c r="C86" s="375" t="str">
        <f t="shared" si="102"/>
        <v/>
      </c>
      <c r="D86" s="362">
        <f>IF(AC86=301,"",AC86)</f>
        <v>194</v>
      </c>
      <c r="E86" s="362" t="str">
        <f>IF(AD86=0,"",AD86)</f>
        <v/>
      </c>
      <c r="F86" s="362">
        <f>IF(AE86=301,"",AE86)</f>
        <v>233</v>
      </c>
      <c r="G86" s="362" t="str">
        <f>IF(AF86=0,"",AF86)</f>
        <v/>
      </c>
      <c r="H86" s="362">
        <f>IF(AG86=301,"",AG86)</f>
        <v>136</v>
      </c>
      <c r="I86" s="362" t="str">
        <f>IF(AH86=0,"",AH86)</f>
        <v/>
      </c>
      <c r="J86" s="362">
        <f>IF(AI86=301,"",AI86)</f>
        <v>167</v>
      </c>
      <c r="K86" s="362" t="str">
        <f>IF(AJ86=0,"",AJ86)</f>
        <v/>
      </c>
      <c r="L86" s="362">
        <f>IF(AK86=301,"",AK86)</f>
        <v>172</v>
      </c>
      <c r="M86" s="362" t="str">
        <f>IF(AL86=0,"",AL86)</f>
        <v/>
      </c>
      <c r="N86" s="362">
        <f>IF(AM86=301,"",AM86)</f>
        <v>157</v>
      </c>
      <c r="O86" s="362" t="str">
        <f>IF(AN86=0,"",AN86)</f>
        <v/>
      </c>
      <c r="P86" s="362">
        <f>IF(AO86=301,"",AO86)</f>
        <v>131</v>
      </c>
      <c r="Q86" s="362" t="str">
        <f>IF(AP86=0,"",AP86)</f>
        <v/>
      </c>
      <c r="R86" s="362">
        <f>IF(AQ86=301,"",AQ86)</f>
        <v>207</v>
      </c>
      <c r="S86" s="362" t="str">
        <f>IF(AR86=0,"",AR86)</f>
        <v/>
      </c>
      <c r="T86" s="362">
        <f>IF(AS86=301,"",AS86)</f>
        <v>159</v>
      </c>
      <c r="U86" s="362" t="str">
        <f>IF(AT86=0,"",AT86)</f>
        <v/>
      </c>
      <c r="V86" s="364"/>
      <c r="W86" s="364"/>
      <c r="AA86" s="91" t="s">
        <v>2</v>
      </c>
      <c r="AB86" s="92"/>
      <c r="AC86" s="366">
        <f>ABS(INDEX(AC:AC,MATCH(AC82,$AA:$AA,0)+8)+INDEX(AC:AC,MATCH(AC82,$AA:$AA,0)+9)+INDEX(AC:AC,MATCH(AC82,$AA:$AA,0)+10))</f>
        <v>194</v>
      </c>
      <c r="AD86" s="367"/>
      <c r="AE86" s="366">
        <f>ABS(INDEX(AE:AE,MATCH(AE82,$AA:$AA,0)+8)+INDEX(AE:AE,MATCH(AE82,$AA:$AA,0)+9)+INDEX(AE:AE,MATCH(AE82,$AA:$AA,0)+10))</f>
        <v>233</v>
      </c>
      <c r="AF86" s="367"/>
      <c r="AG86" s="366">
        <f>ABS(INDEX(AG:AG,MATCH(AG82,$AA:$AA,0)+8)+INDEX(AG:AG,MATCH(AG82,$AA:$AA,0)+9)+INDEX(AG:AG,MATCH(AG82,$AA:$AA,0)+10))</f>
        <v>136</v>
      </c>
      <c r="AH86" s="367"/>
      <c r="AI86" s="366">
        <f>ABS(INDEX(AI:AI,MATCH(AI82,$AA:$AA,0)+8)+INDEX(AI:AI,MATCH(AI82,$AA:$AA,0)+9)+INDEX(AI:AI,MATCH(AI82,$AA:$AA,0)+10))</f>
        <v>167</v>
      </c>
      <c r="AJ86" s="367"/>
      <c r="AK86" s="366">
        <f>ABS(INDEX(AK:AK,MATCH(AK82,$AA:$AA,0)+8)+INDEX(AK:AK,MATCH(AK82,$AA:$AA,0)+9)+INDEX(AK:AK,MATCH(AK82,$AA:$AA,0)+10))</f>
        <v>172</v>
      </c>
      <c r="AL86" s="367"/>
      <c r="AM86" s="366">
        <f>ABS(INDEX(AM:AM,MATCH(AM82,$AA:$AA,0)+8)+INDEX(AM:AM,MATCH(AM82,$AA:$AA,0)+9)+INDEX(AM:AM,MATCH(AM82,$AA:$AA,0)+10))</f>
        <v>157</v>
      </c>
      <c r="AN86" s="367"/>
      <c r="AO86" s="366">
        <f>ABS(INDEX(AO:AO,MATCH(AO82,$AA:$AA,0)+8)+INDEX(AO:AO,MATCH(AO82,$AA:$AA,0)+9)+INDEX(AO:AO,MATCH(AO82,$AA:$AA,0)+10))</f>
        <v>131</v>
      </c>
      <c r="AP86" s="367"/>
      <c r="AQ86" s="366">
        <f>ABS(INDEX(AQ:AQ,MATCH(AQ82,$AA:$AA,0)+8)+INDEX(AQ:AQ,MATCH(AQ82,$AA:$AA,0)+9)+INDEX(AQ:AQ,MATCH(AQ82,$AA:$AA,0)+10))</f>
        <v>207</v>
      </c>
      <c r="AR86" s="367"/>
      <c r="AS86" s="366">
        <f>ABS(INDEX(AS:AS,MATCH(AS82,$AA:$AA,0)+8)+INDEX(AS:AS,MATCH(AS82,$AA:$AA,0)+9)+INDEX(AS:AS,MATCH(AS82,$AA:$AA,0)+10))</f>
        <v>159</v>
      </c>
      <c r="AT86" s="367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4" t="str">
        <f t="shared" si="102"/>
        <v>Spieler 3</v>
      </c>
      <c r="C87" s="375" t="str">
        <f t="shared" si="102"/>
        <v/>
      </c>
      <c r="D87" s="362">
        <f>IF(AC87=301,"",AC87)</f>
        <v>184</v>
      </c>
      <c r="E87" s="362" t="str">
        <f>IF(AD87=0,"",AD87)</f>
        <v/>
      </c>
      <c r="F87" s="362">
        <f>IF(AE87=301,"",AE87)</f>
        <v>172</v>
      </c>
      <c r="G87" s="362" t="str">
        <f>IF(AF87=0,"",AF87)</f>
        <v/>
      </c>
      <c r="H87" s="362">
        <f>IF(AG87=301,"",AG87)</f>
        <v>203</v>
      </c>
      <c r="I87" s="362" t="str">
        <f>IF(AH87=0,"",AH87)</f>
        <v/>
      </c>
      <c r="J87" s="362">
        <f>IF(AI87=301,"",AI87)</f>
        <v>170</v>
      </c>
      <c r="K87" s="362" t="str">
        <f>IF(AJ87=0,"",AJ87)</f>
        <v/>
      </c>
      <c r="L87" s="362">
        <f>IF(AK87=301,"",AK87)</f>
        <v>171</v>
      </c>
      <c r="M87" s="362" t="str">
        <f>IF(AL87=0,"",AL87)</f>
        <v/>
      </c>
      <c r="N87" s="362">
        <f>IF(AM87=301,"",AM87)</f>
        <v>182</v>
      </c>
      <c r="O87" s="362" t="str">
        <f>IF(AN87=0,"",AN87)</f>
        <v/>
      </c>
      <c r="P87" s="362">
        <f>IF(AO87=301,"",AO87)</f>
        <v>193</v>
      </c>
      <c r="Q87" s="362" t="str">
        <f>IF(AP87=0,"",AP87)</f>
        <v/>
      </c>
      <c r="R87" s="362">
        <f>IF(AQ87=301,"",AQ87)</f>
        <v>207</v>
      </c>
      <c r="S87" s="362" t="str">
        <f>IF(AR87=0,"",AR87)</f>
        <v/>
      </c>
      <c r="T87" s="362">
        <f>IF(AS87=301,"",AS87)</f>
        <v>151</v>
      </c>
      <c r="U87" s="362" t="str">
        <f>IF(AT87=0,"",AT87)</f>
        <v/>
      </c>
      <c r="V87" s="364"/>
      <c r="W87" s="364"/>
      <c r="AA87" s="91" t="s">
        <v>3</v>
      </c>
      <c r="AB87" s="92"/>
      <c r="AC87" s="366">
        <f>ABS(INDEX(AC:AC,MATCH(AC82,$AA:$AA,0)+11)+INDEX(AC:AC,MATCH(AC82,$AA:$AA,0)+12)+INDEX(AC:AC,MATCH(AC82,$AA:$AA,0)+13))</f>
        <v>184</v>
      </c>
      <c r="AD87" s="367"/>
      <c r="AE87" s="366">
        <f>ABS(INDEX(AE:AE,MATCH(AE82,$AA:$AA,0)+11)+INDEX(AE:AE,MATCH(AE82,$AA:$AA,0)+12)+INDEX(AE:AE,MATCH(AE82,$AA:$AA,0)+13))</f>
        <v>172</v>
      </c>
      <c r="AF87" s="367"/>
      <c r="AG87" s="366">
        <f>ABS(INDEX(AG:AG,MATCH(AG82,$AA:$AA,0)+11)+INDEX(AG:AG,MATCH(AG82,$AA:$AA,0)+12)+INDEX(AG:AG,MATCH(AG82,$AA:$AA,0)+13))</f>
        <v>203</v>
      </c>
      <c r="AH87" s="367"/>
      <c r="AI87" s="366">
        <f>ABS(INDEX(AI:AI,MATCH(AI82,$AA:$AA,0)+11)+INDEX(AI:AI,MATCH(AI82,$AA:$AA,0)+12)+INDEX(AI:AI,MATCH(AI82,$AA:$AA,0)+13))</f>
        <v>170</v>
      </c>
      <c r="AJ87" s="367"/>
      <c r="AK87" s="366">
        <f>ABS(INDEX(AK:AK,MATCH(AK82,$AA:$AA,0)+11)+INDEX(AK:AK,MATCH(AK82,$AA:$AA,0)+12)+INDEX(AK:AK,MATCH(AK82,$AA:$AA,0)+13))</f>
        <v>171</v>
      </c>
      <c r="AL87" s="367"/>
      <c r="AM87" s="366">
        <f>ABS(INDEX(AM:AM,MATCH(AM82,$AA:$AA,0)+11)+INDEX(AM:AM,MATCH(AM82,$AA:$AA,0)+12)+INDEX(AM:AM,MATCH(AM82,$AA:$AA,0)+13))</f>
        <v>182</v>
      </c>
      <c r="AN87" s="367"/>
      <c r="AO87" s="366">
        <f>ABS(INDEX(AO:AO,MATCH(AO82,$AA:$AA,0)+11)+INDEX(AO:AO,MATCH(AO82,$AA:$AA,0)+12)+INDEX(AO:AO,MATCH(AO82,$AA:$AA,0)+13))</f>
        <v>193</v>
      </c>
      <c r="AP87" s="367"/>
      <c r="AQ87" s="366">
        <f>ABS(INDEX(AQ:AQ,MATCH(AQ82,$AA:$AA,0)+11)+INDEX(AQ:AQ,MATCH(AQ82,$AA:$AA,0)+12)+INDEX(AQ:AQ,MATCH(AQ82,$AA:$AA,0)+13))</f>
        <v>207</v>
      </c>
      <c r="AR87" s="367"/>
      <c r="AS87" s="366">
        <f>ABS(INDEX(AS:AS,MATCH(AS82,$AA:$AA,0)+11)+INDEX(AS:AS,MATCH(AS82,$AA:$AA,0)+12)+INDEX(AS:AS,MATCH(AS82,$AA:$AA,0)+13))</f>
        <v>151</v>
      </c>
      <c r="AT87" s="367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4" t="str">
        <f t="shared" si="102"/>
        <v>Spieler 4</v>
      </c>
      <c r="C88" s="375" t="str">
        <f t="shared" si="102"/>
        <v/>
      </c>
      <c r="D88" s="362">
        <f>IF(AC88=301,"",AC88)</f>
        <v>216</v>
      </c>
      <c r="E88" s="362" t="str">
        <f>IF(AD88=0,"",AD88)</f>
        <v/>
      </c>
      <c r="F88" s="362">
        <f>IF(AE88=301,"",AE88)</f>
        <v>244</v>
      </c>
      <c r="G88" s="362" t="str">
        <f>IF(AF88=0,"",AF88)</f>
        <v/>
      </c>
      <c r="H88" s="362">
        <f>IF(AG88=301,"",AG88)</f>
        <v>183</v>
      </c>
      <c r="I88" s="362" t="str">
        <f>IF(AH88=0,"",AH88)</f>
        <v/>
      </c>
      <c r="J88" s="362">
        <f>IF(AI88=301,"",AI88)</f>
        <v>180</v>
      </c>
      <c r="K88" s="362" t="str">
        <f>IF(AJ88=0,"",AJ88)</f>
        <v/>
      </c>
      <c r="L88" s="362">
        <f>IF(AK88=301,"",AK88)</f>
        <v>182</v>
      </c>
      <c r="M88" s="362" t="str">
        <f>IF(AL88=0,"",AL88)</f>
        <v/>
      </c>
      <c r="N88" s="362">
        <f>IF(AM88=301,"",AM88)</f>
        <v>203</v>
      </c>
      <c r="O88" s="362" t="str">
        <f>IF(AN88=0,"",AN88)</f>
        <v/>
      </c>
      <c r="P88" s="362">
        <f>IF(AO88=301,"",AO88)</f>
        <v>159</v>
      </c>
      <c r="Q88" s="362" t="str">
        <f>IF(AP88=0,"",AP88)</f>
        <v/>
      </c>
      <c r="R88" s="362">
        <f>IF(AQ88=301,"",AQ88)</f>
        <v>186</v>
      </c>
      <c r="S88" s="362" t="str">
        <f>IF(AR88=0,"",AR88)</f>
        <v/>
      </c>
      <c r="T88" s="362">
        <f>IF(AS88=301,"",AS88)</f>
        <v>141</v>
      </c>
      <c r="U88" s="362" t="str">
        <f>IF(AT88=0,"",AT88)</f>
        <v/>
      </c>
      <c r="V88" s="364"/>
      <c r="W88" s="364"/>
      <c r="AA88" s="91" t="s">
        <v>11</v>
      </c>
      <c r="AB88" s="92"/>
      <c r="AC88" s="366">
        <f>ABS(INDEX(AC:AC,MATCH(AC82,$AA:$AA,0)+14)+INDEX(AC:AC,MATCH(AC82,$AA:$AA,0)+15)+INDEX(AC:AC,MATCH(AC82,$AA:$AA,0)+16))</f>
        <v>216</v>
      </c>
      <c r="AD88" s="367"/>
      <c r="AE88" s="366">
        <f>ABS(INDEX(AE:AE,MATCH(AE82,$AA:$AA,0)+14)+INDEX(AE:AE,MATCH(AE82,$AA:$AA,0)+15)+INDEX(AE:AE,MATCH(AE82,$AA:$AA,0)+16))</f>
        <v>244</v>
      </c>
      <c r="AF88" s="367"/>
      <c r="AG88" s="366">
        <f>ABS(INDEX(AG:AG,MATCH(AG82,$AA:$AA,0)+14)+INDEX(AG:AG,MATCH(AG82,$AA:$AA,0)+15)+INDEX(AG:AG,MATCH(AG82,$AA:$AA,0)+16))</f>
        <v>183</v>
      </c>
      <c r="AH88" s="367"/>
      <c r="AI88" s="366">
        <f>ABS(INDEX(AI:AI,MATCH(AI82,$AA:$AA,0)+14)+INDEX(AI:AI,MATCH(AI82,$AA:$AA,0)+15)+INDEX(AI:AI,MATCH(AI82,$AA:$AA,0)+16))</f>
        <v>180</v>
      </c>
      <c r="AJ88" s="367"/>
      <c r="AK88" s="366">
        <f>ABS(INDEX(AK:AK,MATCH(AK82,$AA:$AA,0)+14)+INDEX(AK:AK,MATCH(AK82,$AA:$AA,0)+15)+INDEX(AK:AK,MATCH(AK82,$AA:$AA,0)+16))</f>
        <v>182</v>
      </c>
      <c r="AL88" s="367"/>
      <c r="AM88" s="366">
        <f>ABS(INDEX(AM:AM,MATCH(AM82,$AA:$AA,0)+14)+INDEX(AM:AM,MATCH(AM82,$AA:$AA,0)+15)+INDEX(AM:AM,MATCH(AM82,$AA:$AA,0)+16))</f>
        <v>203</v>
      </c>
      <c r="AN88" s="367"/>
      <c r="AO88" s="366">
        <f>ABS(INDEX(AO:AO,MATCH(AO82,$AA:$AA,0)+14)+INDEX(AO:AO,MATCH(AO82,$AA:$AA,0)+15)+INDEX(AO:AO,MATCH(AO82,$AA:$AA,0)+16))</f>
        <v>159</v>
      </c>
      <c r="AP88" s="367"/>
      <c r="AQ88" s="366">
        <f>ABS(INDEX(AQ:AQ,MATCH(AQ82,$AA:$AA,0)+14)+INDEX(AQ:AQ,MATCH(AQ82,$AA:$AA,0)+15)+INDEX(AQ:AQ,MATCH(AQ82,$AA:$AA,0)+16))</f>
        <v>186</v>
      </c>
      <c r="AR88" s="367"/>
      <c r="AS88" s="366">
        <f>ABS(INDEX(AS:AS,MATCH(AS82,$AA:$AA,0)+14)+INDEX(AS:AS,MATCH(AS82,$AA:$AA,0)+15)+INDEX(AS:AS,MATCH(AS82,$AA:$AA,0)+16))</f>
        <v>141</v>
      </c>
      <c r="AT88" s="367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6" t="str">
        <f t="shared" si="102"/>
        <v>Gesamt</v>
      </c>
      <c r="C89" s="347" t="str">
        <f t="shared" si="102"/>
        <v/>
      </c>
      <c r="D89" s="365">
        <f>IF(AC89=1505,"",AC89)</f>
        <v>820</v>
      </c>
      <c r="E89" s="365" t="str">
        <f>IF(AD89=0,"",AD89)</f>
        <v/>
      </c>
      <c r="F89" s="365">
        <f>IF(AE89=1505,"",AE89)</f>
        <v>873</v>
      </c>
      <c r="G89" s="365" t="str">
        <f>IF(AF89=0,"",AF89)</f>
        <v/>
      </c>
      <c r="H89" s="365">
        <f>IF(AG89=1505,"",AG89)</f>
        <v>689</v>
      </c>
      <c r="I89" s="365" t="str">
        <f>IF(AH89=0,"",AH89)</f>
        <v/>
      </c>
      <c r="J89" s="365">
        <f>IF(AI89=1505,"",AI89)</f>
        <v>637</v>
      </c>
      <c r="K89" s="365" t="str">
        <f>IF(AJ89=0,"",AJ89)</f>
        <v/>
      </c>
      <c r="L89" s="365">
        <f>IF(AK89=1505,"",AK89)</f>
        <v>715</v>
      </c>
      <c r="M89" s="365" t="str">
        <f>IF(AL89=0,"",AL89)</f>
        <v/>
      </c>
      <c r="N89" s="365">
        <f>IF(AM89=1505,"",AM89)</f>
        <v>700</v>
      </c>
      <c r="O89" s="365" t="str">
        <f>IF(AN89=0,"",AN89)</f>
        <v/>
      </c>
      <c r="P89" s="365">
        <f>IF(AO89=1505,"",AO89)</f>
        <v>739</v>
      </c>
      <c r="Q89" s="365" t="str">
        <f>IF(AP89=0,"",AP89)</f>
        <v/>
      </c>
      <c r="R89" s="365">
        <f>IF(AQ89=1505,"",AQ89)</f>
        <v>802</v>
      </c>
      <c r="S89" s="365" t="str">
        <f>IF(AR89=0,"",AR89)</f>
        <v/>
      </c>
      <c r="T89" s="365">
        <f>IF(AS89=1505,"",AS89)</f>
        <v>660</v>
      </c>
      <c r="U89" s="365" t="str">
        <f>IF(AT89=0,"",AT89)</f>
        <v/>
      </c>
      <c r="V89" s="301"/>
      <c r="W89" s="301"/>
      <c r="AA89" s="93" t="s">
        <v>1799</v>
      </c>
      <c r="AB89" s="94"/>
      <c r="AC89" s="346">
        <f>SUM(AC85:AC88)</f>
        <v>820</v>
      </c>
      <c r="AD89" s="347"/>
      <c r="AE89" s="346">
        <f>SUM(AE85:AE88)</f>
        <v>873</v>
      </c>
      <c r="AF89" s="347"/>
      <c r="AG89" s="346">
        <f>SUM(AG85:AG88)</f>
        <v>689</v>
      </c>
      <c r="AH89" s="347"/>
      <c r="AI89" s="346">
        <f>SUM(AI85:AI88)</f>
        <v>637</v>
      </c>
      <c r="AJ89" s="347"/>
      <c r="AK89" s="346">
        <f>SUM(AK85:AK88)</f>
        <v>715</v>
      </c>
      <c r="AL89" s="347"/>
      <c r="AM89" s="346">
        <f>SUM(AM85:AM88)</f>
        <v>700</v>
      </c>
      <c r="AN89" s="347"/>
      <c r="AO89" s="346">
        <f>SUM(AO85:AO88)</f>
        <v>739</v>
      </c>
      <c r="AP89" s="347"/>
      <c r="AQ89" s="346">
        <f>SUM(AQ85:AQ88)</f>
        <v>802</v>
      </c>
      <c r="AR89" s="347"/>
      <c r="AS89" s="346">
        <f>SUM(AS85:AS88)</f>
        <v>660</v>
      </c>
      <c r="AT89" s="347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5" t="str">
        <f>AE91</f>
        <v>Bayernliga Herren</v>
      </c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48"/>
      <c r="S91" s="49" t="s">
        <v>1794</v>
      </c>
      <c r="T91" s="50"/>
      <c r="U91" s="341" t="str">
        <f>AT91</f>
        <v>15.02./16.02.</v>
      </c>
      <c r="V91" s="342"/>
      <c r="W91" s="343"/>
      <c r="X91" s="372"/>
      <c r="Y91" s="373"/>
      <c r="Z91" s="373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41" t="str">
        <f>VLOOKUP(AS92,Spielorte!$A$1:$C$6,2)</f>
        <v>15.02./16.02.</v>
      </c>
      <c r="AU91" s="342"/>
      <c r="AV91" s="34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4" t="str">
        <f>AE92</f>
        <v>Regensburg Super Bowl</v>
      </c>
      <c r="G92" s="344"/>
      <c r="H92" s="344"/>
      <c r="I92" s="344"/>
      <c r="J92" s="344"/>
      <c r="K92" s="344"/>
      <c r="L92" s="344"/>
      <c r="M92" s="344"/>
      <c r="N92" s="344"/>
      <c r="O92" s="344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7</v>
      </c>
      <c r="AE94" s="65" t="s">
        <v>10</v>
      </c>
      <c r="AF94" s="44">
        <f>VLOOKUP(AA92,Schlüssel!$A$5:$DZ$14,74)</f>
        <v>5</v>
      </c>
      <c r="AG94" s="65" t="s">
        <v>10</v>
      </c>
      <c r="AH94" s="44">
        <f>VLOOKUP(AA92,Schlüssel!$A$5:$DZ$14,75)</f>
        <v>1</v>
      </c>
      <c r="AI94" s="65" t="s">
        <v>10</v>
      </c>
      <c r="AJ94" s="44">
        <f>VLOOKUP(AA92,Schlüssel!$A$5:$DZ$14,76)</f>
        <v>9</v>
      </c>
      <c r="AK94" s="65" t="s">
        <v>10</v>
      </c>
      <c r="AL94" s="44">
        <f>VLOOKUP(AA92,Schlüssel!$A$5:$DZ$14,77)</f>
        <v>6</v>
      </c>
      <c r="AM94" s="65" t="s">
        <v>10</v>
      </c>
      <c r="AN94" s="44">
        <f>VLOOKUP(AA92,Schlüssel!$A$5:$DZ$14,78)</f>
        <v>10</v>
      </c>
      <c r="AO94" s="65" t="s">
        <v>10</v>
      </c>
      <c r="AP94" s="44">
        <f>VLOOKUP(AA92,Schlüssel!$A$5:$DZ$14,79)</f>
        <v>3</v>
      </c>
      <c r="AQ94" s="65" t="s">
        <v>10</v>
      </c>
      <c r="AR94" s="44">
        <f>VLOOKUP(AA92,Schlüssel!$A$5:$DZ$14,80)</f>
        <v>8</v>
      </c>
      <c r="AS94" s="65" t="s">
        <v>10</v>
      </c>
      <c r="AT94" s="44">
        <f>VLOOKUP(AA92,Schlüssel!$A$5:$DZ$14,81)</f>
        <v>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6" t="s">
        <v>1800</v>
      </c>
      <c r="E95" s="347"/>
      <c r="F95" s="346" t="s">
        <v>1801</v>
      </c>
      <c r="G95" s="347"/>
      <c r="H95" s="346" t="s">
        <v>1802</v>
      </c>
      <c r="I95" s="347"/>
      <c r="J95" s="346" t="s">
        <v>1803</v>
      </c>
      <c r="K95" s="347"/>
      <c r="L95" s="346" t="s">
        <v>1804</v>
      </c>
      <c r="M95" s="347"/>
      <c r="N95" s="346" t="s">
        <v>1805</v>
      </c>
      <c r="O95" s="347"/>
      <c r="P95" s="346" t="s">
        <v>1806</v>
      </c>
      <c r="Q95" s="347"/>
      <c r="R95" s="346" t="s">
        <v>1807</v>
      </c>
      <c r="S95" s="347"/>
      <c r="T95" s="346" t="s">
        <v>1808</v>
      </c>
      <c r="U95" s="347"/>
      <c r="V95" s="354" t="s">
        <v>1799</v>
      </c>
      <c r="W95" s="355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6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198</v>
      </c>
      <c r="E97" s="348">
        <f>IF(AD97="","",AD97)</f>
        <v>1</v>
      </c>
      <c r="F97" s="75">
        <f t="shared" ref="F97:F110" si="103">IF(AE97=0,"",AE97)</f>
        <v>224</v>
      </c>
      <c r="G97" s="348">
        <f>IF(AF97="","",AF97)</f>
        <v>0</v>
      </c>
      <c r="H97" s="75">
        <f t="shared" ref="H97:H110" si="104">IF(AG97=0,"",AG97)</f>
        <v>177</v>
      </c>
      <c r="I97" s="348">
        <f>IF(AH97="","",AH97)</f>
        <v>1</v>
      </c>
      <c r="J97" s="75">
        <f t="shared" ref="J97:J110" si="105">IF(AI97=0,"",AI97)</f>
        <v>174</v>
      </c>
      <c r="K97" s="348">
        <f>IF(AJ97="","",AJ97)</f>
        <v>0</v>
      </c>
      <c r="L97" s="75">
        <f t="shared" ref="L97:L110" si="106">IF(AK97=0,"",AK97)</f>
        <v>192</v>
      </c>
      <c r="M97" s="348">
        <f>IF(AL97="","",AL97)</f>
        <v>0</v>
      </c>
      <c r="N97" s="75">
        <f>IF(AM97=0,"",AM97)</f>
        <v>246</v>
      </c>
      <c r="O97" s="348">
        <f>IF(AN97="","",AN97)</f>
        <v>1</v>
      </c>
      <c r="P97" s="75">
        <f t="shared" ref="P97:P110" si="107">IF(AO97=0,"",AO97)</f>
        <v>221</v>
      </c>
      <c r="Q97" s="348">
        <f>IF(AP97="","",AP97)</f>
        <v>1</v>
      </c>
      <c r="R97" s="75">
        <f t="shared" ref="R97:R110" si="108">IF(AQ97=0,"",AQ97)</f>
        <v>194</v>
      </c>
      <c r="S97" s="348">
        <f>IF(AR97="","",AR97)</f>
        <v>1</v>
      </c>
      <c r="T97" s="75">
        <f t="shared" ref="T97:T110" si="109">IF(AS97=0,"",AS97)</f>
        <v>203</v>
      </c>
      <c r="U97" s="348">
        <f>IF(AT97="","",AT97)</f>
        <v>1</v>
      </c>
      <c r="V97" s="75">
        <f t="shared" ref="V97:V110" si="110">IF(AU97=0,"",AU97)</f>
        <v>1829</v>
      </c>
      <c r="W97" s="348">
        <f>IF(AV97="","",AV97)</f>
        <v>6</v>
      </c>
      <c r="Z97" s="351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198</v>
      </c>
      <c r="AD97" s="109">
        <f>IF(SUM(AC97:AC99)+AC115=0,0,IF(SUM(AC97:AC99)=AC115,0.5,IF(SUM(AC97:AC99)&gt;AC115,1,0)))</f>
        <v>1</v>
      </c>
      <c r="AE97" s="185">
        <v>224</v>
      </c>
      <c r="AF97" s="109">
        <f>IF(SUM(AE97:AE99)+AE115=0,0,IF(SUM(AE97:AE99)=AE115,0.5,IF(SUM(AE97:AE99)&gt;AE115,1,0)))</f>
        <v>0</v>
      </c>
      <c r="AG97" s="185">
        <v>177</v>
      </c>
      <c r="AH97" s="109">
        <f>IF(SUM(AG97:AG99)+AG115=0,0,IF(SUM(AG97:AG99)=AG115,0.5,IF(SUM(AG97:AG99)&gt;AG115,1,0)))</f>
        <v>1</v>
      </c>
      <c r="AI97" s="185">
        <v>174</v>
      </c>
      <c r="AJ97" s="109">
        <f>IF(SUM(AI97:AI99)+AI115=0,0,IF(SUM(AI97:AI99)=AI115,0.5,IF(SUM(AI97:AI99)&gt;AI115,1,0)))</f>
        <v>0</v>
      </c>
      <c r="AK97" s="185">
        <v>192</v>
      </c>
      <c r="AL97" s="109">
        <f>IF(SUM(AK97:AK99)+AK115=0,0,IF(SUM(AK97:AK99)=AK115,0.5,IF(SUM(AK97:AK99)&gt;AK115,1,0)))</f>
        <v>0</v>
      </c>
      <c r="AM97" s="185">
        <v>246</v>
      </c>
      <c r="AN97" s="109">
        <f>IF(SUM(AM97:AM99)+AM115=0,0,IF(SUM(AM97:AM99)=AM115,0.5,IF(SUM(AM97:AM99)&gt;AM115,1,0)))</f>
        <v>1</v>
      </c>
      <c r="AO97" s="185">
        <v>221</v>
      </c>
      <c r="AP97" s="109">
        <f>IF(SUM(AO97:AO99)+AO115=0,0,IF(SUM(AO97:AO99)=AO115,0.5,IF(SUM(AO97:AO99)&gt;AO115,1,0)))</f>
        <v>1</v>
      </c>
      <c r="AQ97" s="185">
        <v>194</v>
      </c>
      <c r="AR97" s="109">
        <f>IF(SUM(AQ97:AQ99)+AQ115=0,0,IF(SUM(AQ97:AQ99)=AQ115,0.5,IF(SUM(AQ97:AQ99)&gt;AQ115,1,0)))</f>
        <v>1</v>
      </c>
      <c r="AS97" s="185">
        <v>203</v>
      </c>
      <c r="AT97" s="109">
        <f>IF(SUM(AS97:AS99)+AS115=0,0,IF(SUM(AS97:AS99)=AS115,0.5,IF(SUM(AS97:AS99)&gt;AS115,1,0)))</f>
        <v>1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1829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1829</v>
      </c>
      <c r="BF97" s="215">
        <f>COUNT(BH97:BP97)</f>
        <v>9</v>
      </c>
      <c r="BG97" s="215">
        <f>COUNTIF(BH97:BP97,"&gt;0")</f>
        <v>9</v>
      </c>
      <c r="BH97" s="215">
        <f t="shared" ref="BH97:BH108" si="112">IF(AC97=0,"",AC97)</f>
        <v>198</v>
      </c>
      <c r="BI97" s="215">
        <f t="shared" ref="BI97:BI108" si="113">IF(AE97=0,"",AE97)</f>
        <v>224</v>
      </c>
      <c r="BJ97" s="215">
        <f t="shared" ref="BJ97:BJ108" si="114">IF(AG97=0,"",AG97)</f>
        <v>177</v>
      </c>
      <c r="BK97" s="215">
        <f t="shared" ref="BK97:BK108" si="115">IF(AI97=0,"",AI97)</f>
        <v>174</v>
      </c>
      <c r="BL97" s="215">
        <f t="shared" ref="BL97:BL108" si="116">IF(AK97=0,"",AK97)</f>
        <v>192</v>
      </c>
      <c r="BM97" s="215">
        <f t="shared" ref="BM97:BM108" si="117">IF(AM97=0,"",AM97)</f>
        <v>246</v>
      </c>
      <c r="BN97" s="215">
        <f t="shared" ref="BN97:BN108" si="118">IF(AO97=0,"",AO97)</f>
        <v>221</v>
      </c>
      <c r="BO97" s="215">
        <f t="shared" ref="BO97:BO108" si="119">IF(AQ97=0,"",AQ97)</f>
        <v>194</v>
      </c>
      <c r="BP97" s="215">
        <f t="shared" ref="BP97:BP108" si="120">IF(AS97=0,"",AS97)</f>
        <v>203</v>
      </c>
      <c r="BQ97" s="216"/>
      <c r="BR97" s="214"/>
      <c r="BS97" s="215">
        <f>MAX(BH97:BP97)</f>
        <v>246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1829</v>
      </c>
      <c r="BX97" s="215">
        <f>IF(COUNTIF(BH97:BP97,"&gt;0")&lt;Spielorte!$A$23,0,BE97/Spielorte!$A$23)</f>
        <v>203.22222222222223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77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9"/>
      <c r="F98" s="78" t="str">
        <f t="shared" si="103"/>
        <v/>
      </c>
      <c r="G98" s="349"/>
      <c r="H98" s="78" t="str">
        <f t="shared" si="104"/>
        <v/>
      </c>
      <c r="I98" s="349"/>
      <c r="J98" s="78" t="str">
        <f t="shared" si="105"/>
        <v/>
      </c>
      <c r="K98" s="349"/>
      <c r="L98" s="78" t="str">
        <f t="shared" si="106"/>
        <v/>
      </c>
      <c r="M98" s="349"/>
      <c r="N98" s="78" t="str">
        <f t="shared" ref="N98:N110" si="123">IF(AM98=0,"",AM98)</f>
        <v/>
      </c>
      <c r="O98" s="349"/>
      <c r="P98" s="78" t="str">
        <f t="shared" si="107"/>
        <v/>
      </c>
      <c r="Q98" s="349"/>
      <c r="R98" s="78" t="str">
        <f t="shared" si="108"/>
        <v/>
      </c>
      <c r="S98" s="349"/>
      <c r="T98" s="78" t="str">
        <f t="shared" si="109"/>
        <v/>
      </c>
      <c r="U98" s="349"/>
      <c r="V98" s="78" t="str">
        <f t="shared" si="110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SG DJK Rimpar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8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0"/>
      <c r="F99" s="69" t="str">
        <f t="shared" si="103"/>
        <v/>
      </c>
      <c r="G99" s="350"/>
      <c r="H99" s="69" t="str">
        <f t="shared" si="104"/>
        <v/>
      </c>
      <c r="I99" s="350"/>
      <c r="J99" s="69" t="str">
        <f t="shared" si="105"/>
        <v/>
      </c>
      <c r="K99" s="350"/>
      <c r="L99" s="69" t="str">
        <f t="shared" si="106"/>
        <v/>
      </c>
      <c r="M99" s="350"/>
      <c r="N99" s="69" t="str">
        <f t="shared" si="123"/>
        <v/>
      </c>
      <c r="O99" s="350"/>
      <c r="P99" s="69" t="str">
        <f t="shared" si="107"/>
        <v/>
      </c>
      <c r="Q99" s="350"/>
      <c r="R99" s="69" t="str">
        <f t="shared" si="108"/>
        <v/>
      </c>
      <c r="S99" s="350"/>
      <c r="T99" s="69" t="str">
        <f t="shared" si="109"/>
        <v/>
      </c>
      <c r="U99" s="350"/>
      <c r="V99" s="69" t="str">
        <f t="shared" si="110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SG DJK Rimpar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76" t="s">
        <v>2</v>
      </c>
      <c r="B100" s="73" t="str">
        <f t="shared" si="122"/>
        <v>Kreß, Michael</v>
      </c>
      <c r="C100" s="74">
        <f t="shared" si="122"/>
        <v>10622</v>
      </c>
      <c r="D100" s="75">
        <f t="shared" si="122"/>
        <v>177</v>
      </c>
      <c r="E100" s="348">
        <f>IF(AD100="","",AD100)</f>
        <v>1</v>
      </c>
      <c r="F100" s="75">
        <f t="shared" si="103"/>
        <v>233</v>
      </c>
      <c r="G100" s="348">
        <f>IF(AF100="","",AF100)</f>
        <v>1</v>
      </c>
      <c r="H100" s="75">
        <f t="shared" si="104"/>
        <v>215</v>
      </c>
      <c r="I100" s="348">
        <f>IF(AH100="","",AH100)</f>
        <v>1</v>
      </c>
      <c r="J100" s="75">
        <f t="shared" si="105"/>
        <v>164</v>
      </c>
      <c r="K100" s="348">
        <f>IF(AJ100="","",AJ100)</f>
        <v>1</v>
      </c>
      <c r="L100" s="75">
        <f t="shared" si="106"/>
        <v>191</v>
      </c>
      <c r="M100" s="348">
        <f>IF(AL100="","",AL100)</f>
        <v>0</v>
      </c>
      <c r="N100" s="75">
        <f t="shared" si="123"/>
        <v>254</v>
      </c>
      <c r="O100" s="348">
        <f>IF(AN100="","",AN100)</f>
        <v>1</v>
      </c>
      <c r="P100" s="75">
        <f t="shared" si="107"/>
        <v>153</v>
      </c>
      <c r="Q100" s="348">
        <f>IF(AP100="","",AP100)</f>
        <v>0</v>
      </c>
      <c r="R100" s="75" t="str">
        <f t="shared" si="108"/>
        <v/>
      </c>
      <c r="S100" s="348">
        <f>IF(AR100="","",AR100)</f>
        <v>1</v>
      </c>
      <c r="T100" s="75" t="str">
        <f t="shared" si="109"/>
        <v/>
      </c>
      <c r="U100" s="348">
        <f>IF(AT100="","",AT100)</f>
        <v>0</v>
      </c>
      <c r="V100" s="75">
        <f t="shared" si="110"/>
        <v>1387</v>
      </c>
      <c r="W100" s="348">
        <f>IF(AV100="","",AV100)</f>
        <v>6</v>
      </c>
      <c r="Z100" s="351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177</v>
      </c>
      <c r="AD100" s="109">
        <f>IF(SUM(AC100:AC102)+AC116=0,0,IF(SUM(AC100:AC102)=AC116,0.5,IF(SUM(AC100:AC102)&gt;AC116,1,0)))</f>
        <v>1</v>
      </c>
      <c r="AE100" s="188">
        <v>233</v>
      </c>
      <c r="AF100" s="109">
        <f>IF(SUM(AE100:AE102)+AE116=0,0,IF(SUM(AE100:AE102)=AE116,0.5,IF(SUM(AE100:AE102)&gt;AE116,1,0)))</f>
        <v>1</v>
      </c>
      <c r="AG100" s="188">
        <v>215</v>
      </c>
      <c r="AH100" s="109">
        <f>IF(SUM(AG100:AG102)+AG116=0,0,IF(SUM(AG100:AG102)=AG116,0.5,IF(SUM(AG100:AG102)&gt;AG116,1,0)))</f>
        <v>1</v>
      </c>
      <c r="AI100" s="188">
        <v>164</v>
      </c>
      <c r="AJ100" s="109">
        <f>IF(SUM(AI100:AI102)+AI116=0,0,IF(SUM(AI100:AI102)=AI116,0.5,IF(SUM(AI100:AI102)&gt;AI116,1,0)))</f>
        <v>1</v>
      </c>
      <c r="AK100" s="188">
        <v>191</v>
      </c>
      <c r="AL100" s="109">
        <f>IF(SUM(AK100:AK102)+AK116=0,0,IF(SUM(AK100:AK102)=AK116,0.5,IF(SUM(AK100:AK102)&gt;AK116,1,0)))</f>
        <v>0</v>
      </c>
      <c r="AM100" s="188">
        <v>254</v>
      </c>
      <c r="AN100" s="109">
        <f>IF(SUM(AM100:AM102)+AM116=0,0,IF(SUM(AM100:AM102)=AM116,0.5,IF(SUM(AM100:AM102)&gt;AM116,1,0)))</f>
        <v>1</v>
      </c>
      <c r="AO100" s="188">
        <v>153</v>
      </c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1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1387</v>
      </c>
      <c r="AV100" s="111">
        <f>SUM(AD100+AF100+AH100+AJ100+AL100+AN100+AP100+AR100+AT100)</f>
        <v>6</v>
      </c>
      <c r="AW100" s="101"/>
      <c r="AX100" s="102"/>
      <c r="AZ100" s="63"/>
      <c r="BA100" s="212"/>
      <c r="BB100" s="213"/>
      <c r="BC100" s="214"/>
      <c r="BD100" s="217">
        <f t="shared" si="124"/>
        <v>10622</v>
      </c>
      <c r="BE100" s="213">
        <f t="shared" si="125"/>
        <v>1387</v>
      </c>
      <c r="BF100" s="215">
        <f t="shared" si="126"/>
        <v>7</v>
      </c>
      <c r="BG100" s="215">
        <f t="shared" si="127"/>
        <v>7</v>
      </c>
      <c r="BH100" s="215">
        <f t="shared" si="112"/>
        <v>177</v>
      </c>
      <c r="BI100" s="215">
        <f t="shared" si="113"/>
        <v>233</v>
      </c>
      <c r="BJ100" s="215">
        <f t="shared" si="114"/>
        <v>215</v>
      </c>
      <c r="BK100" s="215">
        <f t="shared" si="115"/>
        <v>164</v>
      </c>
      <c r="BL100" s="215">
        <f t="shared" si="116"/>
        <v>191</v>
      </c>
      <c r="BM100" s="215">
        <f t="shared" si="117"/>
        <v>254</v>
      </c>
      <c r="BN100" s="215">
        <f t="shared" si="118"/>
        <v>153</v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254</v>
      </c>
      <c r="BT100" s="215">
        <f t="shared" si="129"/>
        <v>0</v>
      </c>
      <c r="BU100" s="215" t="str">
        <f t="shared" si="130"/>
        <v>SG DJK Rimpar</v>
      </c>
      <c r="BV100" s="214">
        <f t="shared" si="131"/>
        <v>2</v>
      </c>
      <c r="BW100" s="215">
        <f t="shared" si="132"/>
        <v>1387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77"/>
      <c r="B101" s="76" t="str">
        <f t="shared" si="122"/>
        <v>Plaschka, Nico</v>
      </c>
      <c r="C101" s="77">
        <f t="shared" si="122"/>
        <v>38039</v>
      </c>
      <c r="D101" s="78" t="str">
        <f t="shared" si="122"/>
        <v/>
      </c>
      <c r="E101" s="349"/>
      <c r="F101" s="78" t="str">
        <f t="shared" si="103"/>
        <v/>
      </c>
      <c r="G101" s="349"/>
      <c r="H101" s="78" t="str">
        <f t="shared" si="104"/>
        <v/>
      </c>
      <c r="I101" s="349"/>
      <c r="J101" s="78" t="str">
        <f t="shared" si="105"/>
        <v/>
      </c>
      <c r="K101" s="349"/>
      <c r="L101" s="78" t="str">
        <f t="shared" si="106"/>
        <v/>
      </c>
      <c r="M101" s="349"/>
      <c r="N101" s="78" t="str">
        <f t="shared" si="123"/>
        <v/>
      </c>
      <c r="O101" s="349"/>
      <c r="P101" s="78" t="str">
        <f t="shared" si="107"/>
        <v/>
      </c>
      <c r="Q101" s="349"/>
      <c r="R101" s="78">
        <f t="shared" si="108"/>
        <v>217</v>
      </c>
      <c r="S101" s="349"/>
      <c r="T101" s="78">
        <f t="shared" si="109"/>
        <v>124</v>
      </c>
      <c r="U101" s="349"/>
      <c r="V101" s="78">
        <f t="shared" si="110"/>
        <v>341</v>
      </c>
      <c r="W101" s="349"/>
      <c r="Z101" s="352"/>
      <c r="AA101" s="108" t="str">
        <f>IF(AB101=0,"",VLOOKUP(AB101,Starter!$A$1:$D$199,2,FALSE))</f>
        <v>Plaschka, Nico</v>
      </c>
      <c r="AB101" s="98">
        <v>38039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>
        <v>217</v>
      </c>
      <c r="AR101" s="112"/>
      <c r="AS101" s="190">
        <v>124</v>
      </c>
      <c r="AT101" s="112"/>
      <c r="AU101" s="113">
        <f t="shared" si="111"/>
        <v>341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38039</v>
      </c>
      <c r="BE101" s="213">
        <f t="shared" si="125"/>
        <v>341</v>
      </c>
      <c r="BF101" s="215">
        <f t="shared" si="126"/>
        <v>2</v>
      </c>
      <c r="BG101" s="215">
        <f t="shared" si="127"/>
        <v>2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>
        <f t="shared" si="119"/>
        <v>217</v>
      </c>
      <c r="BP101" s="215">
        <f t="shared" si="120"/>
        <v>124</v>
      </c>
      <c r="BQ101" s="216"/>
      <c r="BR101" s="214"/>
      <c r="BS101" s="215">
        <f t="shared" si="128"/>
        <v>217</v>
      </c>
      <c r="BT101" s="215">
        <f t="shared" si="129"/>
        <v>0</v>
      </c>
      <c r="BU101" s="215" t="str">
        <f t="shared" si="130"/>
        <v>SG DJK Rimpar</v>
      </c>
      <c r="BV101" s="214">
        <f t="shared" si="131"/>
        <v>2</v>
      </c>
      <c r="BW101" s="215">
        <f t="shared" si="132"/>
        <v>341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8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0"/>
      <c r="F102" s="69" t="str">
        <f t="shared" si="103"/>
        <v/>
      </c>
      <c r="G102" s="350"/>
      <c r="H102" s="69" t="str">
        <f t="shared" si="104"/>
        <v/>
      </c>
      <c r="I102" s="350"/>
      <c r="J102" s="69" t="str">
        <f t="shared" si="105"/>
        <v/>
      </c>
      <c r="K102" s="350"/>
      <c r="L102" s="69" t="str">
        <f t="shared" si="106"/>
        <v/>
      </c>
      <c r="M102" s="350"/>
      <c r="N102" s="69" t="str">
        <f t="shared" si="123"/>
        <v/>
      </c>
      <c r="O102" s="350"/>
      <c r="P102" s="69" t="str">
        <f t="shared" si="107"/>
        <v/>
      </c>
      <c r="Q102" s="350"/>
      <c r="R102" s="69" t="str">
        <f t="shared" si="108"/>
        <v/>
      </c>
      <c r="S102" s="350"/>
      <c r="T102" s="69" t="str">
        <f t="shared" si="109"/>
        <v/>
      </c>
      <c r="U102" s="350"/>
      <c r="V102" s="69" t="str">
        <f t="shared" si="110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SG DJK Rimpar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76" t="s">
        <v>3</v>
      </c>
      <c r="B103" s="73" t="str">
        <f t="shared" si="122"/>
        <v>Gräfe, Sebastian</v>
      </c>
      <c r="C103" s="74">
        <f t="shared" si="122"/>
        <v>38687</v>
      </c>
      <c r="D103" s="75">
        <f t="shared" si="122"/>
        <v>178</v>
      </c>
      <c r="E103" s="348">
        <f>IF(AD103="","",AD103)</f>
        <v>1</v>
      </c>
      <c r="F103" s="75">
        <f t="shared" si="103"/>
        <v>172</v>
      </c>
      <c r="G103" s="348">
        <f>IF(AF103="","",AF103)</f>
        <v>0</v>
      </c>
      <c r="H103" s="75">
        <f t="shared" si="104"/>
        <v>150</v>
      </c>
      <c r="I103" s="348">
        <f>IF(AH103="","",AH103)</f>
        <v>1</v>
      </c>
      <c r="J103" s="75" t="str">
        <f t="shared" si="105"/>
        <v/>
      </c>
      <c r="K103" s="348">
        <f>IF(AJ103="","",AJ103)</f>
        <v>1</v>
      </c>
      <c r="L103" s="75" t="str">
        <f t="shared" si="106"/>
        <v/>
      </c>
      <c r="M103" s="348">
        <f>IF(AL103="","",AL103)</f>
        <v>1</v>
      </c>
      <c r="N103" s="75" t="str">
        <f t="shared" si="123"/>
        <v/>
      </c>
      <c r="O103" s="348">
        <f>IF(AN103="","",AN103)</f>
        <v>0</v>
      </c>
      <c r="P103" s="75" t="str">
        <f t="shared" si="107"/>
        <v/>
      </c>
      <c r="Q103" s="348">
        <f>IF(AP103="","",AP103)</f>
        <v>1</v>
      </c>
      <c r="R103" s="75" t="str">
        <f t="shared" si="108"/>
        <v/>
      </c>
      <c r="S103" s="348">
        <f>IF(AR103="","",AR103)</f>
        <v>0</v>
      </c>
      <c r="T103" s="75" t="str">
        <f t="shared" si="109"/>
        <v/>
      </c>
      <c r="U103" s="348">
        <f>IF(AT103="","",AT103)</f>
        <v>0</v>
      </c>
      <c r="V103" s="75">
        <f t="shared" si="110"/>
        <v>500</v>
      </c>
      <c r="W103" s="348">
        <f>IF(AV103="","",AV103)</f>
        <v>5</v>
      </c>
      <c r="Z103" s="351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178</v>
      </c>
      <c r="AD103" s="109">
        <f>IF(SUM(AC103:AC105)+AC117=0,0,IF(SUM(AC103:AC105)=AC117,0.5,IF(SUM(AC103:AC105)&gt;AC117,1,0)))</f>
        <v>1</v>
      </c>
      <c r="AE103" s="188">
        <v>172</v>
      </c>
      <c r="AF103" s="109">
        <f>IF(SUM(AE103:AE105)+AE117=0,0,IF(SUM(AE103:AE105)=AE117,0.5,IF(SUM(AE103:AE105)&gt;AE117,1,0)))</f>
        <v>0</v>
      </c>
      <c r="AG103" s="188">
        <v>150</v>
      </c>
      <c r="AH103" s="109">
        <f>IF(SUM(AG103:AG105)+AG117=0,0,IF(SUM(AG103:AG105)=AG117,0.5,IF(SUM(AG103:AG105)&gt;AG117,1,0)))</f>
        <v>1</v>
      </c>
      <c r="AI103" s="188"/>
      <c r="AJ103" s="109">
        <f>IF(SUM(AI103:AI105)+AI117=0,0,IF(SUM(AI103:AI105)=AI117,0.5,IF(SUM(AI103:AI105)&gt;AI117,1,0)))</f>
        <v>1</v>
      </c>
      <c r="AK103" s="188"/>
      <c r="AL103" s="109">
        <f>IF(SUM(AK103:AK105)+AK117=0,0,IF(SUM(AK103:AK105)=AK117,0.5,IF(SUM(AK103:AK105)&gt;AK117,1,0)))</f>
        <v>1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1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500</v>
      </c>
      <c r="AV103" s="111">
        <f>SUM(AD103+AF103+AH103+AJ103+AL103+AN103+AP103+AR103+AT103)</f>
        <v>5</v>
      </c>
      <c r="AW103" s="101"/>
      <c r="AX103" s="102"/>
      <c r="AZ103" s="63"/>
      <c r="BA103" s="212"/>
      <c r="BB103" s="213"/>
      <c r="BC103" s="214"/>
      <c r="BD103" s="217">
        <f t="shared" si="124"/>
        <v>38687</v>
      </c>
      <c r="BE103" s="213">
        <f t="shared" si="125"/>
        <v>500</v>
      </c>
      <c r="BF103" s="215">
        <f t="shared" si="126"/>
        <v>3</v>
      </c>
      <c r="BG103" s="215">
        <f t="shared" si="127"/>
        <v>3</v>
      </c>
      <c r="BH103" s="215">
        <f t="shared" si="112"/>
        <v>178</v>
      </c>
      <c r="BI103" s="215">
        <f t="shared" si="113"/>
        <v>172</v>
      </c>
      <c r="BJ103" s="215">
        <f t="shared" si="114"/>
        <v>150</v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178</v>
      </c>
      <c r="BT103" s="215">
        <f t="shared" si="129"/>
        <v>0</v>
      </c>
      <c r="BU103" s="215" t="str">
        <f t="shared" si="130"/>
        <v>SG DJK Rimpar</v>
      </c>
      <c r="BV103" s="214">
        <f t="shared" si="131"/>
        <v>2</v>
      </c>
      <c r="BW103" s="215">
        <f t="shared" si="132"/>
        <v>500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77"/>
      <c r="B104" s="76" t="str">
        <f t="shared" si="122"/>
        <v>Werder, Jan-Uwe</v>
      </c>
      <c r="C104" s="77">
        <f t="shared" si="122"/>
        <v>16301</v>
      </c>
      <c r="D104" s="78" t="str">
        <f t="shared" si="122"/>
        <v/>
      </c>
      <c r="E104" s="349"/>
      <c r="F104" s="78" t="str">
        <f t="shared" si="103"/>
        <v/>
      </c>
      <c r="G104" s="349"/>
      <c r="H104" s="78" t="str">
        <f t="shared" si="104"/>
        <v/>
      </c>
      <c r="I104" s="349"/>
      <c r="J104" s="78">
        <f t="shared" si="105"/>
        <v>225</v>
      </c>
      <c r="K104" s="349"/>
      <c r="L104" s="78">
        <f t="shared" si="106"/>
        <v>222</v>
      </c>
      <c r="M104" s="349"/>
      <c r="N104" s="78">
        <f t="shared" si="123"/>
        <v>196</v>
      </c>
      <c r="O104" s="349"/>
      <c r="P104" s="78">
        <f t="shared" si="107"/>
        <v>237</v>
      </c>
      <c r="Q104" s="349"/>
      <c r="R104" s="78">
        <f t="shared" si="108"/>
        <v>166</v>
      </c>
      <c r="S104" s="349"/>
      <c r="T104" s="78" t="str">
        <f t="shared" si="109"/>
        <v/>
      </c>
      <c r="U104" s="349"/>
      <c r="V104" s="78">
        <f t="shared" si="110"/>
        <v>1046</v>
      </c>
      <c r="W104" s="349"/>
      <c r="Z104" s="352"/>
      <c r="AA104" s="108" t="str">
        <f>IF(AB104=0,"",VLOOKUP(AB104,Starter!$A$1:$D$199,2,FALSE))</f>
        <v>Werder, Jan-Uwe</v>
      </c>
      <c r="AB104" s="98">
        <v>16301</v>
      </c>
      <c r="AC104" s="186"/>
      <c r="AD104" s="112"/>
      <c r="AE104" s="186"/>
      <c r="AF104" s="112"/>
      <c r="AG104" s="186"/>
      <c r="AH104" s="112"/>
      <c r="AI104" s="186">
        <v>225</v>
      </c>
      <c r="AJ104" s="112"/>
      <c r="AK104" s="186">
        <v>222</v>
      </c>
      <c r="AL104" s="112"/>
      <c r="AM104" s="186">
        <v>196</v>
      </c>
      <c r="AN104" s="112"/>
      <c r="AO104" s="186">
        <v>237</v>
      </c>
      <c r="AP104" s="112"/>
      <c r="AQ104" s="186">
        <v>166</v>
      </c>
      <c r="AR104" s="112"/>
      <c r="AS104" s="186"/>
      <c r="AT104" s="112"/>
      <c r="AU104" s="113">
        <f t="shared" si="111"/>
        <v>1046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16301</v>
      </c>
      <c r="BE104" s="213">
        <f t="shared" si="125"/>
        <v>1046</v>
      </c>
      <c r="BF104" s="215">
        <f t="shared" si="126"/>
        <v>5</v>
      </c>
      <c r="BG104" s="215">
        <f t="shared" si="127"/>
        <v>5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>
        <f t="shared" si="115"/>
        <v>225</v>
      </c>
      <c r="BL104" s="215">
        <f t="shared" si="116"/>
        <v>222</v>
      </c>
      <c r="BM104" s="215">
        <f t="shared" si="117"/>
        <v>196</v>
      </c>
      <c r="BN104" s="215">
        <f t="shared" si="118"/>
        <v>237</v>
      </c>
      <c r="BO104" s="215">
        <f t="shared" si="119"/>
        <v>166</v>
      </c>
      <c r="BP104" s="215" t="str">
        <f t="shared" si="120"/>
        <v/>
      </c>
      <c r="BQ104" s="216"/>
      <c r="BR104" s="214"/>
      <c r="BS104" s="215">
        <f t="shared" si="128"/>
        <v>237</v>
      </c>
      <c r="BT104" s="215">
        <f t="shared" si="129"/>
        <v>0</v>
      </c>
      <c r="BU104" s="215" t="str">
        <f t="shared" si="130"/>
        <v>SG DJK Rimpar</v>
      </c>
      <c r="BV104" s="214">
        <f t="shared" si="131"/>
        <v>2</v>
      </c>
      <c r="BW104" s="215">
        <f t="shared" si="132"/>
        <v>1046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8"/>
      <c r="B105" s="79" t="str">
        <f t="shared" si="122"/>
        <v>Kreß, Michael</v>
      </c>
      <c r="C105" s="80">
        <f t="shared" si="122"/>
        <v>10622</v>
      </c>
      <c r="D105" s="69" t="str">
        <f t="shared" si="122"/>
        <v/>
      </c>
      <c r="E105" s="350"/>
      <c r="F105" s="69" t="str">
        <f t="shared" si="103"/>
        <v/>
      </c>
      <c r="G105" s="350"/>
      <c r="H105" s="69" t="str">
        <f t="shared" si="104"/>
        <v/>
      </c>
      <c r="I105" s="350"/>
      <c r="J105" s="69" t="str">
        <f t="shared" si="105"/>
        <v/>
      </c>
      <c r="K105" s="350"/>
      <c r="L105" s="69" t="str">
        <f t="shared" si="106"/>
        <v/>
      </c>
      <c r="M105" s="350"/>
      <c r="N105" s="69" t="str">
        <f t="shared" si="123"/>
        <v/>
      </c>
      <c r="O105" s="350"/>
      <c r="P105" s="69" t="str">
        <f t="shared" si="107"/>
        <v/>
      </c>
      <c r="Q105" s="350"/>
      <c r="R105" s="69" t="str">
        <f t="shared" si="108"/>
        <v/>
      </c>
      <c r="S105" s="350"/>
      <c r="T105" s="69">
        <f t="shared" si="109"/>
        <v>167</v>
      </c>
      <c r="U105" s="350"/>
      <c r="V105" s="69">
        <f t="shared" si="110"/>
        <v>167</v>
      </c>
      <c r="W105" s="350"/>
      <c r="Z105" s="353"/>
      <c r="AA105" s="118" t="str">
        <f>IF(AB105=0,"",VLOOKUP(AB105,Starter!$A$1:$D$199,2,FALSE))</f>
        <v>Kreß, Michael</v>
      </c>
      <c r="AB105" s="100">
        <v>10622</v>
      </c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>
        <v>167</v>
      </c>
      <c r="AT105" s="119"/>
      <c r="AU105" s="116">
        <f t="shared" si="111"/>
        <v>167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10622</v>
      </c>
      <c r="BE105" s="213">
        <f t="shared" si="125"/>
        <v>167</v>
      </c>
      <c r="BF105" s="215">
        <f t="shared" si="126"/>
        <v>1</v>
      </c>
      <c r="BG105" s="215">
        <f t="shared" si="127"/>
        <v>1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>
        <f t="shared" si="120"/>
        <v>167</v>
      </c>
      <c r="BQ105" s="216"/>
      <c r="BR105" s="214"/>
      <c r="BS105" s="215">
        <f t="shared" si="128"/>
        <v>167</v>
      </c>
      <c r="BT105" s="215">
        <f t="shared" si="129"/>
        <v>0</v>
      </c>
      <c r="BU105" s="215" t="str">
        <f t="shared" si="130"/>
        <v>SG DJK Rimpar</v>
      </c>
      <c r="BV105" s="214">
        <f t="shared" si="131"/>
        <v>2</v>
      </c>
      <c r="BW105" s="215">
        <f t="shared" si="132"/>
        <v>167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76" t="s">
        <v>11</v>
      </c>
      <c r="B106" s="73" t="str">
        <f>IF(AA106=0,"",AA106)</f>
        <v>Werder, Jan-Uwe</v>
      </c>
      <c r="C106" s="74">
        <f t="shared" si="122"/>
        <v>16301</v>
      </c>
      <c r="D106" s="75">
        <f t="shared" si="122"/>
        <v>167</v>
      </c>
      <c r="E106" s="348">
        <f>IF(AD106="","",AD106)</f>
        <v>0</v>
      </c>
      <c r="F106" s="75" t="str">
        <f t="shared" si="103"/>
        <v/>
      </c>
      <c r="G106" s="348">
        <f>IF(AF106="","",AF106)</f>
        <v>1</v>
      </c>
      <c r="H106" s="75" t="str">
        <f t="shared" si="104"/>
        <v/>
      </c>
      <c r="I106" s="348">
        <f>IF(AH106="","",AH106)</f>
        <v>0</v>
      </c>
      <c r="J106" s="75" t="str">
        <f t="shared" si="105"/>
        <v/>
      </c>
      <c r="K106" s="348">
        <f>IF(AJ106="","",AJ106)</f>
        <v>0</v>
      </c>
      <c r="L106" s="75" t="str">
        <f t="shared" si="106"/>
        <v/>
      </c>
      <c r="M106" s="348">
        <f>IF(AL106="","",AL106)</f>
        <v>0</v>
      </c>
      <c r="N106" s="75" t="str">
        <f t="shared" si="123"/>
        <v/>
      </c>
      <c r="O106" s="348">
        <f>IF(AN106="","",AN106)</f>
        <v>1</v>
      </c>
      <c r="P106" s="75" t="str">
        <f t="shared" si="107"/>
        <v/>
      </c>
      <c r="Q106" s="348">
        <f>IF(AP106="","",AP106)</f>
        <v>1</v>
      </c>
      <c r="R106" s="75" t="str">
        <f t="shared" si="108"/>
        <v/>
      </c>
      <c r="S106" s="348">
        <f>IF(AR106="","",AR106)</f>
        <v>1</v>
      </c>
      <c r="T106" s="75" t="str">
        <f t="shared" si="109"/>
        <v/>
      </c>
      <c r="U106" s="348">
        <f>IF(AT106="","",AT106)</f>
        <v>0</v>
      </c>
      <c r="V106" s="75">
        <f t="shared" si="110"/>
        <v>167</v>
      </c>
      <c r="W106" s="348">
        <f>IF(AV106="","",AV106)</f>
        <v>4</v>
      </c>
      <c r="Z106" s="351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167</v>
      </c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1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1</v>
      </c>
      <c r="AO106" s="188"/>
      <c r="AP106" s="109">
        <f>IF(SUM(AO106:AO108)+AO118=0,0,IF(SUM(AO106:AO108)=AO118,0.5,IF(SUM(AO106:AO108)&gt;AO118,1,0)))</f>
        <v>1</v>
      </c>
      <c r="AQ106" s="188"/>
      <c r="AR106" s="109">
        <f>IF(SUM(AQ106:AQ108)+AQ118=0,0,IF(SUM(AQ106:AQ108)=AQ118,0.5,IF(SUM(AQ106:AQ108)&gt;AQ118,1,0)))</f>
        <v>1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167</v>
      </c>
      <c r="AV106" s="111">
        <f>SUM(AD106+AF106+AH106+AJ106+AL106+AN106+AP106+AR106+AT106)</f>
        <v>4</v>
      </c>
      <c r="AW106" s="101"/>
      <c r="AX106" s="102"/>
      <c r="AZ106" s="63"/>
      <c r="BA106" s="212"/>
      <c r="BB106" s="213"/>
      <c r="BC106" s="214"/>
      <c r="BD106" s="217">
        <f t="shared" si="124"/>
        <v>16301</v>
      </c>
      <c r="BE106" s="213">
        <f t="shared" si="125"/>
        <v>167</v>
      </c>
      <c r="BF106" s="215">
        <f t="shared" si="126"/>
        <v>1</v>
      </c>
      <c r="BG106" s="215">
        <f t="shared" si="127"/>
        <v>1</v>
      </c>
      <c r="BH106" s="215">
        <f t="shared" si="112"/>
        <v>167</v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167</v>
      </c>
      <c r="BT106" s="215">
        <f t="shared" si="129"/>
        <v>0</v>
      </c>
      <c r="BU106" s="215" t="str">
        <f t="shared" si="130"/>
        <v>SG DJK Rimpar</v>
      </c>
      <c r="BV106" s="214">
        <f t="shared" si="131"/>
        <v>2</v>
      </c>
      <c r="BW106" s="215">
        <f t="shared" si="132"/>
        <v>167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77"/>
      <c r="B107" s="76" t="str">
        <f>IF(AA107=0,"",AA107)</f>
        <v>Plaschka, Nico</v>
      </c>
      <c r="C107" s="77">
        <f t="shared" si="122"/>
        <v>38039</v>
      </c>
      <c r="D107" s="78" t="str">
        <f t="shared" si="122"/>
        <v/>
      </c>
      <c r="E107" s="349"/>
      <c r="F107" s="78">
        <f t="shared" si="103"/>
        <v>244</v>
      </c>
      <c r="G107" s="349"/>
      <c r="H107" s="78">
        <f t="shared" si="104"/>
        <v>140</v>
      </c>
      <c r="I107" s="349"/>
      <c r="J107" s="78">
        <f t="shared" si="105"/>
        <v>184</v>
      </c>
      <c r="K107" s="349"/>
      <c r="L107" s="78" t="str">
        <f t="shared" si="106"/>
        <v/>
      </c>
      <c r="M107" s="349"/>
      <c r="N107" s="78" t="str">
        <f t="shared" si="123"/>
        <v/>
      </c>
      <c r="O107" s="349"/>
      <c r="P107" s="78" t="str">
        <f t="shared" si="107"/>
        <v/>
      </c>
      <c r="Q107" s="349"/>
      <c r="R107" s="78" t="str">
        <f t="shared" si="108"/>
        <v/>
      </c>
      <c r="S107" s="349"/>
      <c r="T107" s="78" t="str">
        <f t="shared" si="109"/>
        <v/>
      </c>
      <c r="U107" s="349"/>
      <c r="V107" s="78">
        <f t="shared" si="110"/>
        <v>568</v>
      </c>
      <c r="W107" s="349"/>
      <c r="Z107" s="352"/>
      <c r="AA107" s="108" t="str">
        <f>IF(AB107=0,"",VLOOKUP(AB107,Starter!$A$1:$D$199,2,FALSE))</f>
        <v>Plaschka, Nico</v>
      </c>
      <c r="AB107" s="98">
        <v>38039</v>
      </c>
      <c r="AC107" s="186"/>
      <c r="AD107" s="112"/>
      <c r="AE107" s="186">
        <v>244</v>
      </c>
      <c r="AF107" s="112"/>
      <c r="AG107" s="186">
        <v>140</v>
      </c>
      <c r="AH107" s="112"/>
      <c r="AI107" s="186">
        <v>184</v>
      </c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568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38039</v>
      </c>
      <c r="BE107" s="213">
        <f t="shared" si="125"/>
        <v>568</v>
      </c>
      <c r="BF107" s="215">
        <f t="shared" si="126"/>
        <v>3</v>
      </c>
      <c r="BG107" s="215">
        <f t="shared" si="127"/>
        <v>3</v>
      </c>
      <c r="BH107" s="215" t="str">
        <f t="shared" si="112"/>
        <v/>
      </c>
      <c r="BI107" s="215">
        <f t="shared" si="113"/>
        <v>244</v>
      </c>
      <c r="BJ107" s="215">
        <f t="shared" si="114"/>
        <v>140</v>
      </c>
      <c r="BK107" s="215">
        <f t="shared" si="115"/>
        <v>184</v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244</v>
      </c>
      <c r="BT107" s="215">
        <f t="shared" si="129"/>
        <v>0</v>
      </c>
      <c r="BU107" s="215" t="str">
        <f t="shared" si="130"/>
        <v>SG DJK Rimpar</v>
      </c>
      <c r="BV107" s="214">
        <f t="shared" si="131"/>
        <v>2</v>
      </c>
      <c r="BW107" s="215">
        <f t="shared" si="132"/>
        <v>568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8"/>
      <c r="B108" s="79" t="str">
        <f>IF(AA108=0,"",AA108)</f>
        <v>Gräfe, Sebastian</v>
      </c>
      <c r="C108" s="80">
        <f t="shared" si="122"/>
        <v>38687</v>
      </c>
      <c r="D108" s="69" t="str">
        <f t="shared" si="122"/>
        <v/>
      </c>
      <c r="E108" s="350"/>
      <c r="F108" s="69" t="str">
        <f t="shared" si="103"/>
        <v/>
      </c>
      <c r="G108" s="350"/>
      <c r="H108" s="69" t="str">
        <f t="shared" si="104"/>
        <v/>
      </c>
      <c r="I108" s="350"/>
      <c r="J108" s="69" t="str">
        <f t="shared" si="105"/>
        <v/>
      </c>
      <c r="K108" s="350"/>
      <c r="L108" s="69">
        <f t="shared" si="106"/>
        <v>186</v>
      </c>
      <c r="M108" s="350"/>
      <c r="N108" s="69">
        <f t="shared" si="123"/>
        <v>219</v>
      </c>
      <c r="O108" s="350"/>
      <c r="P108" s="69">
        <f t="shared" si="107"/>
        <v>234</v>
      </c>
      <c r="Q108" s="350"/>
      <c r="R108" s="69">
        <f t="shared" si="108"/>
        <v>181</v>
      </c>
      <c r="S108" s="350"/>
      <c r="T108" s="69">
        <f t="shared" si="109"/>
        <v>147</v>
      </c>
      <c r="U108" s="350"/>
      <c r="V108" s="69">
        <f t="shared" si="110"/>
        <v>967</v>
      </c>
      <c r="W108" s="350"/>
      <c r="Z108" s="353"/>
      <c r="AA108" s="118" t="str">
        <f>IF(AB108=0,"",VLOOKUP(AB108,Starter!$A$1:$D$199,2,FALSE))</f>
        <v>Gräfe, Sebastian</v>
      </c>
      <c r="AB108" s="100">
        <v>38687</v>
      </c>
      <c r="AC108" s="189"/>
      <c r="AD108" s="119"/>
      <c r="AE108" s="189"/>
      <c r="AF108" s="119"/>
      <c r="AG108" s="189"/>
      <c r="AH108" s="119"/>
      <c r="AI108" s="189"/>
      <c r="AJ108" s="119"/>
      <c r="AK108" s="189">
        <v>186</v>
      </c>
      <c r="AL108" s="119"/>
      <c r="AM108" s="189">
        <v>219</v>
      </c>
      <c r="AN108" s="119"/>
      <c r="AO108" s="189">
        <v>234</v>
      </c>
      <c r="AP108" s="119"/>
      <c r="AQ108" s="189">
        <v>181</v>
      </c>
      <c r="AR108" s="119"/>
      <c r="AS108" s="189">
        <v>147</v>
      </c>
      <c r="AT108" s="119"/>
      <c r="AU108" s="116">
        <f t="shared" si="111"/>
        <v>967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38687</v>
      </c>
      <c r="BE108" s="213">
        <f t="shared" si="125"/>
        <v>967</v>
      </c>
      <c r="BF108" s="215">
        <f t="shared" si="126"/>
        <v>5</v>
      </c>
      <c r="BG108" s="215">
        <f t="shared" si="127"/>
        <v>5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>
        <f t="shared" si="116"/>
        <v>186</v>
      </c>
      <c r="BM108" s="215">
        <f t="shared" si="117"/>
        <v>219</v>
      </c>
      <c r="BN108" s="215">
        <f t="shared" si="118"/>
        <v>234</v>
      </c>
      <c r="BO108" s="215">
        <f t="shared" si="119"/>
        <v>181</v>
      </c>
      <c r="BP108" s="215">
        <f t="shared" si="120"/>
        <v>147</v>
      </c>
      <c r="BQ108" s="216"/>
      <c r="BR108" s="214"/>
      <c r="BS108" s="215">
        <f t="shared" si="128"/>
        <v>234</v>
      </c>
      <c r="BT108" s="215">
        <f t="shared" si="129"/>
        <v>0</v>
      </c>
      <c r="BU108" s="215" t="str">
        <f t="shared" si="130"/>
        <v>SG DJK Rimpar</v>
      </c>
      <c r="BV108" s="214">
        <f t="shared" si="131"/>
        <v>2</v>
      </c>
      <c r="BW108" s="215">
        <f t="shared" si="132"/>
        <v>967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>
        <f t="shared" si="122"/>
        <v>720</v>
      </c>
      <c r="E109" s="84">
        <f>IF(AD109="","",AD109)</f>
        <v>2</v>
      </c>
      <c r="F109" s="83">
        <f t="shared" si="103"/>
        <v>873</v>
      </c>
      <c r="G109" s="84">
        <f>IF(AF109="","",AF109)</f>
        <v>2</v>
      </c>
      <c r="H109" s="83">
        <f t="shared" si="104"/>
        <v>682</v>
      </c>
      <c r="I109" s="84">
        <f>IF(AH109="","",AH109)</f>
        <v>2</v>
      </c>
      <c r="J109" s="83">
        <f t="shared" si="105"/>
        <v>747</v>
      </c>
      <c r="K109" s="84">
        <f>IF(AJ109="","",AJ109)</f>
        <v>0</v>
      </c>
      <c r="L109" s="83">
        <f t="shared" si="106"/>
        <v>791</v>
      </c>
      <c r="M109" s="84">
        <f>IF(AL109="","",AL109)</f>
        <v>0</v>
      </c>
      <c r="N109" s="83">
        <f t="shared" si="123"/>
        <v>915</v>
      </c>
      <c r="O109" s="84">
        <f>IF(AN109="","",AN109)</f>
        <v>2</v>
      </c>
      <c r="P109" s="83">
        <f t="shared" si="107"/>
        <v>845</v>
      </c>
      <c r="Q109" s="84">
        <f>IF(AP109="","",AP109)</f>
        <v>2</v>
      </c>
      <c r="R109" s="83">
        <f t="shared" si="108"/>
        <v>758</v>
      </c>
      <c r="S109" s="84">
        <f>IF(AR109="","",AR109)</f>
        <v>2</v>
      </c>
      <c r="T109" s="83">
        <f t="shared" si="109"/>
        <v>641</v>
      </c>
      <c r="U109" s="84">
        <f>IF(AT109="","",AT109)</f>
        <v>0</v>
      </c>
      <c r="V109" s="83">
        <f t="shared" si="110"/>
        <v>6972</v>
      </c>
      <c r="W109" s="84">
        <f>IF(AV109="","",AV109)</f>
        <v>12</v>
      </c>
      <c r="AA109" s="81" t="s">
        <v>1799</v>
      </c>
      <c r="AB109" s="120"/>
      <c r="AC109" s="211">
        <f>ABS(SUM(AC97:AC99))+ABS(SUM(AC100:AC102))+ABS(SUM(AC103:AC105))+ABS(SUM(AC106:AC108))</f>
        <v>720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873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682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747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791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915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845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758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641</v>
      </c>
      <c r="AT109" s="121">
        <f>IF(AS109+AS119=0,0,IF(AS109=AS119,1,IF(AS109&gt;AS119,2,0)))</f>
        <v>0</v>
      </c>
      <c r="AU109" s="122">
        <f>SUM(AC109+AE109+AG109+AI109+AK109+AM109+AO109+AQ109+AS109)</f>
        <v>6972</v>
      </c>
      <c r="AV109" s="123">
        <f>SUM(AD109+AF109+AH109+AJ109+AL109+AN109+AP109+AR109+AT109)</f>
        <v>12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5</v>
      </c>
      <c r="F110" s="86" t="str">
        <f t="shared" si="103"/>
        <v/>
      </c>
      <c r="G110" s="87">
        <f>IF(AF110="","",AF110)</f>
        <v>4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1</v>
      </c>
      <c r="N110" s="86" t="str">
        <f t="shared" si="123"/>
        <v/>
      </c>
      <c r="O110" s="87">
        <f>IF(AN110="","",AN110)</f>
        <v>5</v>
      </c>
      <c r="P110" s="86" t="str">
        <f t="shared" si="107"/>
        <v/>
      </c>
      <c r="Q110" s="87">
        <f>IF(AP110="","",AP110)</f>
        <v>5</v>
      </c>
      <c r="R110" s="86" t="str">
        <f t="shared" si="108"/>
        <v/>
      </c>
      <c r="S110" s="87">
        <f>IF(AR110="","",AR110)</f>
        <v>5</v>
      </c>
      <c r="T110" s="86" t="str">
        <f t="shared" si="109"/>
        <v/>
      </c>
      <c r="U110" s="87">
        <f>IF(AT110="","",AT110)</f>
        <v>1</v>
      </c>
      <c r="V110" s="86" t="str">
        <f t="shared" si="110"/>
        <v/>
      </c>
      <c r="W110" s="87">
        <f>IF(AV110="","",AV110)</f>
        <v>33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4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5</v>
      </c>
      <c r="AO110" s="86"/>
      <c r="AP110" s="124">
        <f>SUM(AP97:AP109)</f>
        <v>5</v>
      </c>
      <c r="AQ110" s="86"/>
      <c r="AR110" s="124">
        <f>SUM(AR97:AR109)</f>
        <v>5</v>
      </c>
      <c r="AS110" s="86"/>
      <c r="AT110" s="124">
        <f>SUM(AT97:AT109)</f>
        <v>1</v>
      </c>
      <c r="AU110" s="86"/>
      <c r="AV110" s="125">
        <f>SUM(AV97:AV109)</f>
        <v>33</v>
      </c>
      <c r="AW110" s="101"/>
      <c r="AX110" s="102"/>
      <c r="BA110" s="212">
        <f>+AV110</f>
        <v>33</v>
      </c>
      <c r="BB110" s="213">
        <f>+AU109</f>
        <v>6972</v>
      </c>
      <c r="BC110" s="214">
        <f>+AA92</f>
        <v>4</v>
      </c>
      <c r="BF110" s="215">
        <f>SUM(BF91:BF109)</f>
        <v>36</v>
      </c>
      <c r="BQ110" s="212">
        <f>+BB110/1000000+BA110</f>
        <v>33.006971999999998</v>
      </c>
      <c r="BR110" s="214">
        <f>RANK(BQ110,BQ:BQ)</f>
        <v>3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6">
        <f t="shared" si="134"/>
        <v>2</v>
      </c>
      <c r="E112" s="356" t="str">
        <f t="shared" si="134"/>
        <v/>
      </c>
      <c r="F112" s="356">
        <f t="shared" si="134"/>
        <v>3</v>
      </c>
      <c r="G112" s="356" t="str">
        <f t="shared" si="134"/>
        <v/>
      </c>
      <c r="H112" s="356">
        <f t="shared" si="134"/>
        <v>10</v>
      </c>
      <c r="I112" s="356" t="str">
        <f t="shared" si="134"/>
        <v/>
      </c>
      <c r="J112" s="356">
        <f t="shared" si="134"/>
        <v>1</v>
      </c>
      <c r="K112" s="356" t="str">
        <f t="shared" si="134"/>
        <v/>
      </c>
      <c r="L112" s="356">
        <f t="shared" ref="L112:U114" si="135">IF(AK112=0,"",AK112)</f>
        <v>8</v>
      </c>
      <c r="M112" s="356" t="str">
        <f t="shared" si="135"/>
        <v/>
      </c>
      <c r="N112" s="356">
        <f t="shared" si="135"/>
        <v>7</v>
      </c>
      <c r="O112" s="356" t="str">
        <f t="shared" si="135"/>
        <v/>
      </c>
      <c r="P112" s="356">
        <f t="shared" si="135"/>
        <v>9</v>
      </c>
      <c r="Q112" s="356" t="str">
        <f t="shared" si="135"/>
        <v/>
      </c>
      <c r="R112" s="356">
        <f t="shared" si="135"/>
        <v>5</v>
      </c>
      <c r="S112" s="356" t="str">
        <f t="shared" si="135"/>
        <v/>
      </c>
      <c r="T112" s="356">
        <f t="shared" si="135"/>
        <v>6</v>
      </c>
      <c r="U112" s="356" t="str">
        <f t="shared" si="135"/>
        <v/>
      </c>
      <c r="V112" s="357"/>
      <c r="W112" s="357"/>
      <c r="AA112" s="88" t="s">
        <v>1797</v>
      </c>
      <c r="AB112" s="89" t="s">
        <v>1798</v>
      </c>
      <c r="AC112" s="370">
        <f>VLOOKUP($AA92,Schlüssel!$A$5:$DG$14,63)</f>
        <v>2</v>
      </c>
      <c r="AD112" s="371"/>
      <c r="AE112" s="370">
        <f>VLOOKUP($AA92,Schlüssel!$A$5:$EK$14,64)</f>
        <v>3</v>
      </c>
      <c r="AF112" s="371"/>
      <c r="AG112" s="370">
        <f>VLOOKUP($AA92,Schlüssel!$A$5:$EK$14,65)</f>
        <v>10</v>
      </c>
      <c r="AH112" s="371"/>
      <c r="AI112" s="370">
        <f>VLOOKUP($AA92,Schlüssel!$A$5:$EK$14,66)</f>
        <v>1</v>
      </c>
      <c r="AJ112" s="371"/>
      <c r="AK112" s="370">
        <f>VLOOKUP($AA92,Schlüssel!$A$5:$EK$14,67)</f>
        <v>8</v>
      </c>
      <c r="AL112" s="371"/>
      <c r="AM112" s="370">
        <f>VLOOKUP($AA92,Schlüssel!$A$5:$EK$14,68)</f>
        <v>7</v>
      </c>
      <c r="AN112" s="371"/>
      <c r="AO112" s="370">
        <f>VLOOKUP($AA92,Schlüssel!$A$5:$EK$14,69)</f>
        <v>9</v>
      </c>
      <c r="AP112" s="371"/>
      <c r="AQ112" s="370">
        <f>VLOOKUP($AA92,Schlüssel!$A$5:$EK$14,70)</f>
        <v>5</v>
      </c>
      <c r="AR112" s="371"/>
      <c r="AS112" s="370">
        <f>VLOOKUP($AA92,Schlüssel!$A$5:$EK$14,71)</f>
        <v>6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58" t="str">
        <f t="shared" si="134"/>
        <v>Bajuwaren München 1</v>
      </c>
      <c r="E113" s="359" t="str">
        <f t="shared" si="134"/>
        <v/>
      </c>
      <c r="F113" s="358" t="str">
        <f t="shared" si="134"/>
        <v>BK München 3</v>
      </c>
      <c r="G113" s="359" t="str">
        <f t="shared" si="134"/>
        <v/>
      </c>
      <c r="H113" s="358" t="str">
        <f t="shared" si="134"/>
        <v>High Roller Rosenheim 1</v>
      </c>
      <c r="I113" s="359" t="str">
        <f t="shared" si="134"/>
        <v/>
      </c>
      <c r="J113" s="358" t="str">
        <f t="shared" si="134"/>
        <v>BC Comet Nürnberg</v>
      </c>
      <c r="K113" s="359" t="str">
        <f t="shared" si="134"/>
        <v/>
      </c>
      <c r="L113" s="358" t="str">
        <f t="shared" si="135"/>
        <v>BC EMAX Unterföhring 2</v>
      </c>
      <c r="M113" s="359" t="str">
        <f t="shared" si="135"/>
        <v/>
      </c>
      <c r="N113" s="358" t="str">
        <f t="shared" si="135"/>
        <v>Schanzer Ingolstadt 1</v>
      </c>
      <c r="O113" s="359" t="str">
        <f t="shared" si="135"/>
        <v/>
      </c>
      <c r="P113" s="358" t="str">
        <f t="shared" si="135"/>
        <v>Bowlinghaus Bamberg 1</v>
      </c>
      <c r="Q113" s="359" t="str">
        <f t="shared" si="135"/>
        <v/>
      </c>
      <c r="R113" s="358" t="str">
        <f t="shared" si="135"/>
        <v>RW Lichtenhof Stein 1</v>
      </c>
      <c r="S113" s="359" t="str">
        <f t="shared" si="135"/>
        <v/>
      </c>
      <c r="T113" s="358" t="str">
        <f t="shared" si="135"/>
        <v>SG Rottendorf 1</v>
      </c>
      <c r="U113" s="359" t="str">
        <f t="shared" si="135"/>
        <v/>
      </c>
      <c r="V113" s="363"/>
      <c r="W113" s="363"/>
      <c r="AA113" s="90"/>
      <c r="AB113" s="86"/>
      <c r="AC113" s="358" t="str">
        <f>VLOOKUP(AC112,Schlüssel!$A$5:$K$14,2)</f>
        <v>Bajuwaren München 1</v>
      </c>
      <c r="AD113" s="359"/>
      <c r="AE113" s="358" t="str">
        <f>VLOOKUP(AE112,Schlüssel!$A$5:$K$14,2)</f>
        <v>BK München 3</v>
      </c>
      <c r="AF113" s="359"/>
      <c r="AG113" s="358" t="str">
        <f>VLOOKUP(AG112,Schlüssel!$A$5:$K$14,2)</f>
        <v>High Roller Rosenheim 1</v>
      </c>
      <c r="AH113" s="359"/>
      <c r="AI113" s="358" t="str">
        <f>VLOOKUP(AI112,Schlüssel!$A$5:$K$14,2)</f>
        <v>BC Comet Nürnberg</v>
      </c>
      <c r="AJ113" s="359"/>
      <c r="AK113" s="358" t="str">
        <f>VLOOKUP(AK112,Schlüssel!$A$5:$K$14,2)</f>
        <v>BC EMAX Unterföhring 2</v>
      </c>
      <c r="AL113" s="359"/>
      <c r="AM113" s="358" t="str">
        <f>VLOOKUP(AM112,Schlüssel!$A$5:$K$14,2)</f>
        <v>Schanzer Ingolstadt 1</v>
      </c>
      <c r="AN113" s="359"/>
      <c r="AO113" s="358" t="str">
        <f>VLOOKUP(AO112,Schlüssel!$A$5:$K$14,2)</f>
        <v>Bowlinghaus Bamberg 1</v>
      </c>
      <c r="AP113" s="359"/>
      <c r="AQ113" s="358" t="str">
        <f>VLOOKUP(AQ112,Schlüssel!$A$5:$K$14,2)</f>
        <v>RW Lichtenhof Stein 1</v>
      </c>
      <c r="AR113" s="359"/>
      <c r="AS113" s="358" t="str">
        <f>VLOOKUP(AS112,Schlüssel!$A$5:$K$14,2)</f>
        <v>SG Rottendorf 1</v>
      </c>
      <c r="AT113" s="359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60" t="str">
        <f t="shared" si="134"/>
        <v/>
      </c>
      <c r="E114" s="360" t="str">
        <f t="shared" si="134"/>
        <v/>
      </c>
      <c r="F114" s="360" t="str">
        <f t="shared" si="134"/>
        <v/>
      </c>
      <c r="G114" s="360" t="str">
        <f t="shared" si="134"/>
        <v/>
      </c>
      <c r="H114" s="360" t="str">
        <f t="shared" si="134"/>
        <v/>
      </c>
      <c r="I114" s="360" t="str">
        <f t="shared" si="134"/>
        <v/>
      </c>
      <c r="J114" s="360" t="str">
        <f t="shared" si="134"/>
        <v/>
      </c>
      <c r="K114" s="360" t="str">
        <f t="shared" si="134"/>
        <v/>
      </c>
      <c r="L114" s="360" t="str">
        <f t="shared" si="135"/>
        <v/>
      </c>
      <c r="M114" s="360" t="str">
        <f t="shared" si="135"/>
        <v/>
      </c>
      <c r="N114" s="360" t="str">
        <f t="shared" si="135"/>
        <v/>
      </c>
      <c r="O114" s="360" t="str">
        <f t="shared" si="135"/>
        <v/>
      </c>
      <c r="P114" s="360" t="str">
        <f t="shared" si="135"/>
        <v/>
      </c>
      <c r="Q114" s="360" t="str">
        <f t="shared" si="135"/>
        <v/>
      </c>
      <c r="R114" s="360" t="str">
        <f t="shared" si="135"/>
        <v/>
      </c>
      <c r="S114" s="360" t="str">
        <f t="shared" si="135"/>
        <v/>
      </c>
      <c r="T114" s="360" t="str">
        <f t="shared" si="135"/>
        <v/>
      </c>
      <c r="U114" s="361" t="str">
        <f t="shared" si="135"/>
        <v/>
      </c>
      <c r="V114" s="298"/>
      <c r="W114" s="298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4" t="str">
        <f t="shared" ref="B115:C119" si="136">IF(AA115=0,"",AA115)</f>
        <v>Spieler 1</v>
      </c>
      <c r="C115" s="375" t="str">
        <f t="shared" si="136"/>
        <v/>
      </c>
      <c r="D115" s="362">
        <f>IF(AC115=301,"",AC115)</f>
        <v>172</v>
      </c>
      <c r="E115" s="362" t="str">
        <f>IF(AD115=0,"",AD115)</f>
        <v/>
      </c>
      <c r="F115" s="362">
        <f>IF(AE115=301,"",AE115)</f>
        <v>254</v>
      </c>
      <c r="G115" s="362" t="str">
        <f>IF(AF115=0,"",AF115)</f>
        <v/>
      </c>
      <c r="H115" s="362">
        <f>IF(AG115=301,"",AG115)</f>
        <v>169</v>
      </c>
      <c r="I115" s="362" t="str">
        <f>IF(AH115=0,"",AH115)</f>
        <v/>
      </c>
      <c r="J115" s="362">
        <f>IF(AI115=301,"",AI115)</f>
        <v>203</v>
      </c>
      <c r="K115" s="362" t="str">
        <f>IF(AJ115=0,"",AJ115)</f>
        <v/>
      </c>
      <c r="L115" s="362">
        <f>IF(AK115=301,"",AK115)</f>
        <v>194</v>
      </c>
      <c r="M115" s="362" t="str">
        <f>IF(AL115=0,"",AL115)</f>
        <v/>
      </c>
      <c r="N115" s="362">
        <f>IF(AM115=301,"",AM115)</f>
        <v>190</v>
      </c>
      <c r="O115" s="362" t="str">
        <f>IF(AN115=0,"",AN115)</f>
        <v/>
      </c>
      <c r="P115" s="362">
        <f>IF(AO115=301,"",AO115)</f>
        <v>169</v>
      </c>
      <c r="Q115" s="362" t="str">
        <f>IF(AP115=0,"",AP115)</f>
        <v/>
      </c>
      <c r="R115" s="362">
        <f>IF(AQ115=301,"",AQ115)</f>
        <v>146</v>
      </c>
      <c r="S115" s="362" t="str">
        <f>IF(AR115=0,"",AR115)</f>
        <v/>
      </c>
      <c r="T115" s="362">
        <f>IF(AS115=301,"",AS115)</f>
        <v>161</v>
      </c>
      <c r="U115" s="362" t="str">
        <f>IF(AT115=0,"",AT115)</f>
        <v/>
      </c>
      <c r="V115" s="364"/>
      <c r="W115" s="364"/>
      <c r="AA115" s="91" t="s">
        <v>0</v>
      </c>
      <c r="AB115" s="92"/>
      <c r="AC115" s="368">
        <f>ABS(INDEX(AC:AC,MATCH(AC112,$AA:$AA,0)+5)+INDEX(AC:AC,MATCH(AC112,$AA:$AA,0)+6)+INDEX(AC:AC,MATCH(AC112,$AA:$AA,0)+7))</f>
        <v>172</v>
      </c>
      <c r="AD115" s="369"/>
      <c r="AE115" s="368">
        <f>ABS(INDEX(AE:AE,MATCH(AE112,$AA:$AA,0)+5)+INDEX(AE:AE,MATCH(AE112,$AA:$AA,0)+6)+INDEX(AE:AE,MATCH(AE112,$AA:$AA,0)+7))</f>
        <v>254</v>
      </c>
      <c r="AF115" s="369"/>
      <c r="AG115" s="368">
        <f>ABS(INDEX(AG:AG,MATCH(AG112,$AA:$AA,0)+5)+INDEX(AG:AG,MATCH(AG112,$AA:$AA,0)+6)+INDEX(AG:AG,MATCH(AG112,$AA:$AA,0)+7))</f>
        <v>169</v>
      </c>
      <c r="AH115" s="369"/>
      <c r="AI115" s="368">
        <f>ABS(INDEX(AI:AI,MATCH(AI112,$AA:$AA,0)+5)+INDEX(AI:AI,MATCH(AI112,$AA:$AA,0)+6)+INDEX(AI:AI,MATCH(AI112,$AA:$AA,0)+7))</f>
        <v>203</v>
      </c>
      <c r="AJ115" s="369"/>
      <c r="AK115" s="368">
        <f>ABS(INDEX(AK:AK,MATCH(AK112,$AA:$AA,0)+5)+INDEX(AK:AK,MATCH(AK112,$AA:$AA,0)+6)+INDEX(AK:AK,MATCH(AK112,$AA:$AA,0)+7))</f>
        <v>194</v>
      </c>
      <c r="AL115" s="369"/>
      <c r="AM115" s="368">
        <f>ABS(INDEX(AM:AM,MATCH(AM112,$AA:$AA,0)+5)+INDEX(AM:AM,MATCH(AM112,$AA:$AA,0)+6)+INDEX(AM:AM,MATCH(AM112,$AA:$AA,0)+7))</f>
        <v>190</v>
      </c>
      <c r="AN115" s="369"/>
      <c r="AO115" s="368">
        <f>ABS(INDEX(AO:AO,MATCH(AO112,$AA:$AA,0)+5)+INDEX(AO:AO,MATCH(AO112,$AA:$AA,0)+6)+INDEX(AO:AO,MATCH(AO112,$AA:$AA,0)+7))</f>
        <v>169</v>
      </c>
      <c r="AP115" s="369"/>
      <c r="AQ115" s="368">
        <f>ABS(INDEX(AQ:AQ,MATCH(AQ112,$AA:$AA,0)+5)+INDEX(AQ:AQ,MATCH(AQ112,$AA:$AA,0)+6)+INDEX(AQ:AQ,MATCH(AQ112,$AA:$AA,0)+7))</f>
        <v>146</v>
      </c>
      <c r="AR115" s="369"/>
      <c r="AS115" s="368">
        <f>ABS(INDEX(AS:AS,MATCH(AS112,$AA:$AA,0)+5)+INDEX(AS:AS,MATCH(AS112,$AA:$AA,0)+6)+INDEX(AS:AS,MATCH(AS112,$AA:$AA,0)+7))</f>
        <v>161</v>
      </c>
      <c r="AT115" s="369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4" t="str">
        <f t="shared" si="136"/>
        <v>Spieler 2</v>
      </c>
      <c r="C116" s="375" t="str">
        <f t="shared" si="136"/>
        <v/>
      </c>
      <c r="D116" s="362">
        <f>IF(AC116=301,"",AC116)</f>
        <v>149</v>
      </c>
      <c r="E116" s="362" t="str">
        <f>IF(AD116=0,"",AD116)</f>
        <v/>
      </c>
      <c r="F116" s="362">
        <f>IF(AE116=301,"",AE116)</f>
        <v>189</v>
      </c>
      <c r="G116" s="362" t="str">
        <f>IF(AF116=0,"",AF116)</f>
        <v/>
      </c>
      <c r="H116" s="362">
        <f>IF(AG116=301,"",AG116)</f>
        <v>152</v>
      </c>
      <c r="I116" s="362" t="str">
        <f>IF(AH116=0,"",AH116)</f>
        <v/>
      </c>
      <c r="J116" s="362">
        <f>IF(AI116=301,"",AI116)</f>
        <v>149</v>
      </c>
      <c r="K116" s="362" t="str">
        <f>IF(AJ116=0,"",AJ116)</f>
        <v/>
      </c>
      <c r="L116" s="362">
        <f>IF(AK116=301,"",AK116)</f>
        <v>200</v>
      </c>
      <c r="M116" s="362" t="str">
        <f>IF(AL116=0,"",AL116)</f>
        <v/>
      </c>
      <c r="N116" s="362">
        <f>IF(AM116=301,"",AM116)</f>
        <v>192</v>
      </c>
      <c r="O116" s="362" t="str">
        <f>IF(AN116=0,"",AN116)</f>
        <v/>
      </c>
      <c r="P116" s="362">
        <f>IF(AO116=301,"",AO116)</f>
        <v>172</v>
      </c>
      <c r="Q116" s="362" t="str">
        <f>IF(AP116=0,"",AP116)</f>
        <v/>
      </c>
      <c r="R116" s="362">
        <f>IF(AQ116=301,"",AQ116)</f>
        <v>138</v>
      </c>
      <c r="S116" s="362" t="str">
        <f>IF(AR116=0,"",AR116)</f>
        <v/>
      </c>
      <c r="T116" s="362">
        <f>IF(AS116=301,"",AS116)</f>
        <v>158</v>
      </c>
      <c r="U116" s="362" t="str">
        <f>IF(AT116=0,"",AT116)</f>
        <v/>
      </c>
      <c r="V116" s="364"/>
      <c r="W116" s="364"/>
      <c r="AA116" s="91" t="s">
        <v>2</v>
      </c>
      <c r="AB116" s="92"/>
      <c r="AC116" s="366">
        <f>ABS(INDEX(AC:AC,MATCH(AC112,$AA:$AA,0)+8)+INDEX(AC:AC,MATCH(AC112,$AA:$AA,0)+9)+INDEX(AC:AC,MATCH(AC112,$AA:$AA,0)+10))</f>
        <v>149</v>
      </c>
      <c r="AD116" s="367"/>
      <c r="AE116" s="366">
        <f>ABS(INDEX(AE:AE,MATCH(AE112,$AA:$AA,0)+8)+INDEX(AE:AE,MATCH(AE112,$AA:$AA,0)+9)+INDEX(AE:AE,MATCH(AE112,$AA:$AA,0)+10))</f>
        <v>189</v>
      </c>
      <c r="AF116" s="367"/>
      <c r="AG116" s="366">
        <f>ABS(INDEX(AG:AG,MATCH(AG112,$AA:$AA,0)+8)+INDEX(AG:AG,MATCH(AG112,$AA:$AA,0)+9)+INDEX(AG:AG,MATCH(AG112,$AA:$AA,0)+10))</f>
        <v>152</v>
      </c>
      <c r="AH116" s="367"/>
      <c r="AI116" s="366">
        <f>ABS(INDEX(AI:AI,MATCH(AI112,$AA:$AA,0)+8)+INDEX(AI:AI,MATCH(AI112,$AA:$AA,0)+9)+INDEX(AI:AI,MATCH(AI112,$AA:$AA,0)+10))</f>
        <v>149</v>
      </c>
      <c r="AJ116" s="367"/>
      <c r="AK116" s="366">
        <f>ABS(INDEX(AK:AK,MATCH(AK112,$AA:$AA,0)+8)+INDEX(AK:AK,MATCH(AK112,$AA:$AA,0)+9)+INDEX(AK:AK,MATCH(AK112,$AA:$AA,0)+10))</f>
        <v>200</v>
      </c>
      <c r="AL116" s="367"/>
      <c r="AM116" s="366">
        <f>ABS(INDEX(AM:AM,MATCH(AM112,$AA:$AA,0)+8)+INDEX(AM:AM,MATCH(AM112,$AA:$AA,0)+9)+INDEX(AM:AM,MATCH(AM112,$AA:$AA,0)+10))</f>
        <v>192</v>
      </c>
      <c r="AN116" s="367"/>
      <c r="AO116" s="366">
        <f>ABS(INDEX(AO:AO,MATCH(AO112,$AA:$AA,0)+8)+INDEX(AO:AO,MATCH(AO112,$AA:$AA,0)+9)+INDEX(AO:AO,MATCH(AO112,$AA:$AA,0)+10))</f>
        <v>172</v>
      </c>
      <c r="AP116" s="367"/>
      <c r="AQ116" s="366">
        <f>ABS(INDEX(AQ:AQ,MATCH(AQ112,$AA:$AA,0)+8)+INDEX(AQ:AQ,MATCH(AQ112,$AA:$AA,0)+9)+INDEX(AQ:AQ,MATCH(AQ112,$AA:$AA,0)+10))</f>
        <v>138</v>
      </c>
      <c r="AR116" s="367"/>
      <c r="AS116" s="366">
        <f>ABS(INDEX(AS:AS,MATCH(AS112,$AA:$AA,0)+8)+INDEX(AS:AS,MATCH(AS112,$AA:$AA,0)+9)+INDEX(AS:AS,MATCH(AS112,$AA:$AA,0)+10))</f>
        <v>158</v>
      </c>
      <c r="AT116" s="367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4" t="str">
        <f t="shared" si="136"/>
        <v>Spieler 3</v>
      </c>
      <c r="C117" s="375" t="str">
        <f t="shared" si="136"/>
        <v/>
      </c>
      <c r="D117" s="362">
        <f>IF(AC117=301,"",AC117)</f>
        <v>175</v>
      </c>
      <c r="E117" s="362" t="str">
        <f>IF(AD117=0,"",AD117)</f>
        <v/>
      </c>
      <c r="F117" s="362">
        <f>IF(AE117=301,"",AE117)</f>
        <v>216</v>
      </c>
      <c r="G117" s="362" t="str">
        <f>IF(AF117=0,"",AF117)</f>
        <v/>
      </c>
      <c r="H117" s="362">
        <f>IF(AG117=301,"",AG117)</f>
        <v>145</v>
      </c>
      <c r="I117" s="362" t="str">
        <f>IF(AH117=0,"",AH117)</f>
        <v/>
      </c>
      <c r="J117" s="362">
        <f>IF(AI117=301,"",AI117)</f>
        <v>168</v>
      </c>
      <c r="K117" s="362" t="str">
        <f>IF(AJ117=0,"",AJ117)</f>
        <v/>
      </c>
      <c r="L117" s="362">
        <f>IF(AK117=301,"",AK117)</f>
        <v>213</v>
      </c>
      <c r="M117" s="362" t="str">
        <f>IF(AL117=0,"",AL117)</f>
        <v/>
      </c>
      <c r="N117" s="362">
        <f>IF(AM117=301,"",AM117)</f>
        <v>219</v>
      </c>
      <c r="O117" s="362" t="str">
        <f>IF(AN117=0,"",AN117)</f>
        <v/>
      </c>
      <c r="P117" s="362">
        <f>IF(AO117=301,"",AO117)</f>
        <v>225</v>
      </c>
      <c r="Q117" s="362" t="str">
        <f>IF(AP117=0,"",AP117)</f>
        <v/>
      </c>
      <c r="R117" s="362">
        <f>IF(AQ117=301,"",AQ117)</f>
        <v>200</v>
      </c>
      <c r="S117" s="362" t="str">
        <f>IF(AR117=0,"",AR117)</f>
        <v/>
      </c>
      <c r="T117" s="362">
        <f>IF(AS117=301,"",AS117)</f>
        <v>170</v>
      </c>
      <c r="U117" s="362" t="str">
        <f>IF(AT117=0,"",AT117)</f>
        <v/>
      </c>
      <c r="V117" s="364"/>
      <c r="W117" s="364"/>
      <c r="AA117" s="91" t="s">
        <v>3</v>
      </c>
      <c r="AB117" s="92"/>
      <c r="AC117" s="366">
        <f>ABS(INDEX(AC:AC,MATCH(AC112,$AA:$AA,0)+11)+INDEX(AC:AC,MATCH(AC112,$AA:$AA,0)+12)+INDEX(AC:AC,MATCH(AC112,$AA:$AA,0)+13))</f>
        <v>175</v>
      </c>
      <c r="AD117" s="367"/>
      <c r="AE117" s="366">
        <f>ABS(INDEX(AE:AE,MATCH(AE112,$AA:$AA,0)+11)+INDEX(AE:AE,MATCH(AE112,$AA:$AA,0)+12)+INDEX(AE:AE,MATCH(AE112,$AA:$AA,0)+13))</f>
        <v>216</v>
      </c>
      <c r="AF117" s="367"/>
      <c r="AG117" s="366">
        <f>ABS(INDEX(AG:AG,MATCH(AG112,$AA:$AA,0)+11)+INDEX(AG:AG,MATCH(AG112,$AA:$AA,0)+12)+INDEX(AG:AG,MATCH(AG112,$AA:$AA,0)+13))</f>
        <v>145</v>
      </c>
      <c r="AH117" s="367"/>
      <c r="AI117" s="366">
        <f>ABS(INDEX(AI:AI,MATCH(AI112,$AA:$AA,0)+11)+INDEX(AI:AI,MATCH(AI112,$AA:$AA,0)+12)+INDEX(AI:AI,MATCH(AI112,$AA:$AA,0)+13))</f>
        <v>168</v>
      </c>
      <c r="AJ117" s="367"/>
      <c r="AK117" s="366">
        <f>ABS(INDEX(AK:AK,MATCH(AK112,$AA:$AA,0)+11)+INDEX(AK:AK,MATCH(AK112,$AA:$AA,0)+12)+INDEX(AK:AK,MATCH(AK112,$AA:$AA,0)+13))</f>
        <v>213</v>
      </c>
      <c r="AL117" s="367"/>
      <c r="AM117" s="366">
        <f>ABS(INDEX(AM:AM,MATCH(AM112,$AA:$AA,0)+11)+INDEX(AM:AM,MATCH(AM112,$AA:$AA,0)+12)+INDEX(AM:AM,MATCH(AM112,$AA:$AA,0)+13))</f>
        <v>219</v>
      </c>
      <c r="AN117" s="367"/>
      <c r="AO117" s="366">
        <f>ABS(INDEX(AO:AO,MATCH(AO112,$AA:$AA,0)+11)+INDEX(AO:AO,MATCH(AO112,$AA:$AA,0)+12)+INDEX(AO:AO,MATCH(AO112,$AA:$AA,0)+13))</f>
        <v>225</v>
      </c>
      <c r="AP117" s="367"/>
      <c r="AQ117" s="366">
        <f>ABS(INDEX(AQ:AQ,MATCH(AQ112,$AA:$AA,0)+11)+INDEX(AQ:AQ,MATCH(AQ112,$AA:$AA,0)+12)+INDEX(AQ:AQ,MATCH(AQ112,$AA:$AA,0)+13))</f>
        <v>200</v>
      </c>
      <c r="AR117" s="367"/>
      <c r="AS117" s="366">
        <f>ABS(INDEX(AS:AS,MATCH(AS112,$AA:$AA,0)+11)+INDEX(AS:AS,MATCH(AS112,$AA:$AA,0)+12)+INDEX(AS:AS,MATCH(AS112,$AA:$AA,0)+13))</f>
        <v>170</v>
      </c>
      <c r="AT117" s="367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4" t="str">
        <f t="shared" si="136"/>
        <v>Spieler 4</v>
      </c>
      <c r="C118" s="375" t="str">
        <f t="shared" si="136"/>
        <v/>
      </c>
      <c r="D118" s="362">
        <f>IF(AC118=301,"",AC118)</f>
        <v>176</v>
      </c>
      <c r="E118" s="362" t="str">
        <f>IF(AD118=0,"",AD118)</f>
        <v/>
      </c>
      <c r="F118" s="362">
        <f>IF(AE118=301,"",AE118)</f>
        <v>171</v>
      </c>
      <c r="G118" s="362" t="str">
        <f>IF(AF118=0,"",AF118)</f>
        <v/>
      </c>
      <c r="H118" s="362">
        <f>IF(AG118=301,"",AG118)</f>
        <v>184</v>
      </c>
      <c r="I118" s="362" t="str">
        <f>IF(AH118=0,"",AH118)</f>
        <v/>
      </c>
      <c r="J118" s="362">
        <f>IF(AI118=301,"",AI118)</f>
        <v>245</v>
      </c>
      <c r="K118" s="362" t="str">
        <f>IF(AJ118=0,"",AJ118)</f>
        <v/>
      </c>
      <c r="L118" s="362">
        <f>IF(AK118=301,"",AK118)</f>
        <v>243</v>
      </c>
      <c r="M118" s="362" t="str">
        <f>IF(AL118=0,"",AL118)</f>
        <v/>
      </c>
      <c r="N118" s="362">
        <f>IF(AM118=301,"",AM118)</f>
        <v>147</v>
      </c>
      <c r="O118" s="362" t="str">
        <f>IF(AN118=0,"",AN118)</f>
        <v/>
      </c>
      <c r="P118" s="362">
        <f>IF(AO118=301,"",AO118)</f>
        <v>173</v>
      </c>
      <c r="Q118" s="362" t="str">
        <f>IF(AP118=0,"",AP118)</f>
        <v/>
      </c>
      <c r="R118" s="362">
        <f>IF(AQ118=301,"",AQ118)</f>
        <v>176</v>
      </c>
      <c r="S118" s="362" t="str">
        <f>IF(AR118=0,"",AR118)</f>
        <v/>
      </c>
      <c r="T118" s="362">
        <f>IF(AS118=301,"",AS118)</f>
        <v>221</v>
      </c>
      <c r="U118" s="362" t="str">
        <f>IF(AT118=0,"",AT118)</f>
        <v/>
      </c>
      <c r="V118" s="364"/>
      <c r="W118" s="364"/>
      <c r="AA118" s="91" t="s">
        <v>11</v>
      </c>
      <c r="AB118" s="92"/>
      <c r="AC118" s="366">
        <f>ABS(INDEX(AC:AC,MATCH(AC112,$AA:$AA,0)+14)+INDEX(AC:AC,MATCH(AC112,$AA:$AA,0)+15)+INDEX(AC:AC,MATCH(AC112,$AA:$AA,0)+16))</f>
        <v>176</v>
      </c>
      <c r="AD118" s="367"/>
      <c r="AE118" s="366">
        <f>ABS(INDEX(AE:AE,MATCH(AE112,$AA:$AA,0)+14)+INDEX(AE:AE,MATCH(AE112,$AA:$AA,0)+15)+INDEX(AE:AE,MATCH(AE112,$AA:$AA,0)+16))</f>
        <v>171</v>
      </c>
      <c r="AF118" s="367"/>
      <c r="AG118" s="366">
        <f>ABS(INDEX(AG:AG,MATCH(AG112,$AA:$AA,0)+14)+INDEX(AG:AG,MATCH(AG112,$AA:$AA,0)+15)+INDEX(AG:AG,MATCH(AG112,$AA:$AA,0)+16))</f>
        <v>184</v>
      </c>
      <c r="AH118" s="367"/>
      <c r="AI118" s="366">
        <f>ABS(INDEX(AI:AI,MATCH(AI112,$AA:$AA,0)+14)+INDEX(AI:AI,MATCH(AI112,$AA:$AA,0)+15)+INDEX(AI:AI,MATCH(AI112,$AA:$AA,0)+16))</f>
        <v>245</v>
      </c>
      <c r="AJ118" s="367"/>
      <c r="AK118" s="366">
        <f>ABS(INDEX(AK:AK,MATCH(AK112,$AA:$AA,0)+14)+INDEX(AK:AK,MATCH(AK112,$AA:$AA,0)+15)+INDEX(AK:AK,MATCH(AK112,$AA:$AA,0)+16))</f>
        <v>243</v>
      </c>
      <c r="AL118" s="367"/>
      <c r="AM118" s="366">
        <f>ABS(INDEX(AM:AM,MATCH(AM112,$AA:$AA,0)+14)+INDEX(AM:AM,MATCH(AM112,$AA:$AA,0)+15)+INDEX(AM:AM,MATCH(AM112,$AA:$AA,0)+16))</f>
        <v>147</v>
      </c>
      <c r="AN118" s="367"/>
      <c r="AO118" s="366">
        <f>ABS(INDEX(AO:AO,MATCH(AO112,$AA:$AA,0)+14)+INDEX(AO:AO,MATCH(AO112,$AA:$AA,0)+15)+INDEX(AO:AO,MATCH(AO112,$AA:$AA,0)+16))</f>
        <v>173</v>
      </c>
      <c r="AP118" s="367"/>
      <c r="AQ118" s="366">
        <f>ABS(INDEX(AQ:AQ,MATCH(AQ112,$AA:$AA,0)+14)+INDEX(AQ:AQ,MATCH(AQ112,$AA:$AA,0)+15)+INDEX(AQ:AQ,MATCH(AQ112,$AA:$AA,0)+16))</f>
        <v>176</v>
      </c>
      <c r="AR118" s="367"/>
      <c r="AS118" s="366">
        <f>ABS(INDEX(AS:AS,MATCH(AS112,$AA:$AA,0)+14)+INDEX(AS:AS,MATCH(AS112,$AA:$AA,0)+15)+INDEX(AS:AS,MATCH(AS112,$AA:$AA,0)+16))</f>
        <v>221</v>
      </c>
      <c r="AT118" s="367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6" t="str">
        <f t="shared" si="136"/>
        <v>Gesamt</v>
      </c>
      <c r="C119" s="347" t="str">
        <f t="shared" si="136"/>
        <v/>
      </c>
      <c r="D119" s="365">
        <f>IF(AC119=1505,"",AC119)</f>
        <v>672</v>
      </c>
      <c r="E119" s="365" t="str">
        <f>IF(AD119=0,"",AD119)</f>
        <v/>
      </c>
      <c r="F119" s="365">
        <f>IF(AE119=1505,"",AE119)</f>
        <v>830</v>
      </c>
      <c r="G119" s="365" t="str">
        <f>IF(AF119=0,"",AF119)</f>
        <v/>
      </c>
      <c r="H119" s="365">
        <f>IF(AG119=1505,"",AG119)</f>
        <v>650</v>
      </c>
      <c r="I119" s="365" t="str">
        <f>IF(AH119=0,"",AH119)</f>
        <v/>
      </c>
      <c r="J119" s="365">
        <f>IF(AI119=1505,"",AI119)</f>
        <v>765</v>
      </c>
      <c r="K119" s="365" t="str">
        <f>IF(AJ119=0,"",AJ119)</f>
        <v/>
      </c>
      <c r="L119" s="365">
        <f>IF(AK119=1505,"",AK119)</f>
        <v>850</v>
      </c>
      <c r="M119" s="365" t="str">
        <f>IF(AL119=0,"",AL119)</f>
        <v/>
      </c>
      <c r="N119" s="365">
        <f>IF(AM119=1505,"",AM119)</f>
        <v>748</v>
      </c>
      <c r="O119" s="365" t="str">
        <f>IF(AN119=0,"",AN119)</f>
        <v/>
      </c>
      <c r="P119" s="365">
        <f>IF(AO119=1505,"",AO119)</f>
        <v>739</v>
      </c>
      <c r="Q119" s="365" t="str">
        <f>IF(AP119=0,"",AP119)</f>
        <v/>
      </c>
      <c r="R119" s="365">
        <f>IF(AQ119=1505,"",AQ119)</f>
        <v>660</v>
      </c>
      <c r="S119" s="365" t="str">
        <f>IF(AR119=0,"",AR119)</f>
        <v/>
      </c>
      <c r="T119" s="365">
        <f>IF(AS119=1505,"",AS119)</f>
        <v>710</v>
      </c>
      <c r="U119" s="365" t="str">
        <f>IF(AT119=0,"",AT119)</f>
        <v/>
      </c>
      <c r="V119" s="301"/>
      <c r="W119" s="301"/>
      <c r="AA119" s="93" t="s">
        <v>1799</v>
      </c>
      <c r="AB119" s="94"/>
      <c r="AC119" s="346">
        <f>SUM(AC115:AC118)</f>
        <v>672</v>
      </c>
      <c r="AD119" s="347"/>
      <c r="AE119" s="346">
        <f>SUM(AE115:AE118)</f>
        <v>830</v>
      </c>
      <c r="AF119" s="347"/>
      <c r="AG119" s="346">
        <f>SUM(AG115:AG118)</f>
        <v>650</v>
      </c>
      <c r="AH119" s="347"/>
      <c r="AI119" s="346">
        <f>SUM(AI115:AI118)</f>
        <v>765</v>
      </c>
      <c r="AJ119" s="347"/>
      <c r="AK119" s="346">
        <f>SUM(AK115:AK118)</f>
        <v>850</v>
      </c>
      <c r="AL119" s="347"/>
      <c r="AM119" s="346">
        <f>SUM(AM115:AM118)</f>
        <v>748</v>
      </c>
      <c r="AN119" s="347"/>
      <c r="AO119" s="346">
        <f>SUM(AO115:AO118)</f>
        <v>739</v>
      </c>
      <c r="AP119" s="347"/>
      <c r="AQ119" s="346">
        <f>SUM(AQ115:AQ118)</f>
        <v>660</v>
      </c>
      <c r="AR119" s="347"/>
      <c r="AS119" s="346">
        <f>SUM(AS115:AS118)</f>
        <v>710</v>
      </c>
      <c r="AT119" s="347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5" t="str">
        <f>AE121</f>
        <v>Bayernliga Herren</v>
      </c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48"/>
      <c r="S121" s="49" t="s">
        <v>1794</v>
      </c>
      <c r="T121" s="50"/>
      <c r="U121" s="341" t="str">
        <f>AT121</f>
        <v>15.02./16.02.</v>
      </c>
      <c r="V121" s="342"/>
      <c r="W121" s="343"/>
      <c r="X121" s="372"/>
      <c r="Y121" s="373"/>
      <c r="Z121" s="373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41" t="str">
        <f>VLOOKUP(AS122,Spielorte!$A$1:$C$6,2)</f>
        <v>15.02./16.02.</v>
      </c>
      <c r="AU121" s="342"/>
      <c r="AV121" s="34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4" t="str">
        <f>AE122</f>
        <v>Regensburg Super Bowl</v>
      </c>
      <c r="G122" s="344"/>
      <c r="H122" s="344"/>
      <c r="I122" s="344"/>
      <c r="J122" s="344"/>
      <c r="K122" s="344"/>
      <c r="L122" s="344"/>
      <c r="M122" s="344"/>
      <c r="N122" s="344"/>
      <c r="O122" s="344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2</v>
      </c>
      <c r="AE124" s="65" t="s">
        <v>10</v>
      </c>
      <c r="AF124" s="44">
        <f>VLOOKUP(AA122,Schlüssel!$A$5:$DZ$14,74)</f>
        <v>9</v>
      </c>
      <c r="AG124" s="65" t="s">
        <v>10</v>
      </c>
      <c r="AH124" s="44">
        <f>VLOOKUP(AA122,Schlüssel!$A$5:$DZ$14,75)</f>
        <v>8</v>
      </c>
      <c r="AI124" s="65" t="s">
        <v>10</v>
      </c>
      <c r="AJ124" s="44">
        <f>VLOOKUP(AA122,Schlüssel!$A$5:$DZ$14,76)</f>
        <v>1</v>
      </c>
      <c r="AK124" s="65" t="s">
        <v>10</v>
      </c>
      <c r="AL124" s="44">
        <f>VLOOKUP(AA122,Schlüssel!$A$5:$DZ$14,77)</f>
        <v>3</v>
      </c>
      <c r="AM124" s="65" t="s">
        <v>10</v>
      </c>
      <c r="AN124" s="44">
        <f>VLOOKUP(AA122,Schlüssel!$A$5:$DZ$14,78)</f>
        <v>5</v>
      </c>
      <c r="AO124" s="65" t="s">
        <v>10</v>
      </c>
      <c r="AP124" s="44">
        <f>VLOOKUP(AA122,Schlüssel!$A$5:$DZ$14,79)</f>
        <v>10</v>
      </c>
      <c r="AQ124" s="65" t="s">
        <v>10</v>
      </c>
      <c r="AR124" s="44">
        <f>VLOOKUP(AA122,Schlüssel!$A$5:$DZ$14,80)</f>
        <v>7</v>
      </c>
      <c r="AS124" s="65" t="s">
        <v>10</v>
      </c>
      <c r="AT124" s="44">
        <f>VLOOKUP(AA122,Schlüssel!$A$5:$DZ$14,81)</f>
        <v>4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6" t="s">
        <v>1800</v>
      </c>
      <c r="E125" s="347"/>
      <c r="F125" s="346" t="s">
        <v>1801</v>
      </c>
      <c r="G125" s="347"/>
      <c r="H125" s="346" t="s">
        <v>1802</v>
      </c>
      <c r="I125" s="347"/>
      <c r="J125" s="346" t="s">
        <v>1803</v>
      </c>
      <c r="K125" s="347"/>
      <c r="L125" s="346" t="s">
        <v>1804</v>
      </c>
      <c r="M125" s="347"/>
      <c r="N125" s="346" t="s">
        <v>1805</v>
      </c>
      <c r="O125" s="347"/>
      <c r="P125" s="346" t="s">
        <v>1806</v>
      </c>
      <c r="Q125" s="347"/>
      <c r="R125" s="346" t="s">
        <v>1807</v>
      </c>
      <c r="S125" s="347"/>
      <c r="T125" s="346" t="s">
        <v>1808</v>
      </c>
      <c r="U125" s="347"/>
      <c r="V125" s="354" t="s">
        <v>1799</v>
      </c>
      <c r="W125" s="355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6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215</v>
      </c>
      <c r="E127" s="348">
        <f>IF(AD127="","",AD127)</f>
        <v>1</v>
      </c>
      <c r="F127" s="75">
        <f t="shared" ref="F127:F140" si="137">IF(AE127=0,"",AE127)</f>
        <v>169</v>
      </c>
      <c r="G127" s="348">
        <f>IF(AF127="","",AF127)</f>
        <v>0</v>
      </c>
      <c r="H127" s="75">
        <f t="shared" ref="H127:H140" si="138">IF(AG127=0,"",AG127)</f>
        <v>167</v>
      </c>
      <c r="I127" s="348">
        <f>IF(AH127="","",AH127)</f>
        <v>0</v>
      </c>
      <c r="J127" s="75">
        <f t="shared" ref="J127:J140" si="139">IF(AI127=0,"",AI127)</f>
        <v>141</v>
      </c>
      <c r="K127" s="348">
        <f>IF(AJ127="","",AJ127)</f>
        <v>0</v>
      </c>
      <c r="L127" s="75">
        <f t="shared" ref="L127:L140" si="140">IF(AK127=0,"",AK127)</f>
        <v>171</v>
      </c>
      <c r="M127" s="348">
        <f>IF(AL127="","",AL127)</f>
        <v>1</v>
      </c>
      <c r="N127" s="75">
        <f>IF(AM127=0,"",AM127)</f>
        <v>182</v>
      </c>
      <c r="O127" s="348">
        <f>IF(AN127="","",AN127)</f>
        <v>1</v>
      </c>
      <c r="P127" s="75">
        <f t="shared" ref="P127:P140" si="141">IF(AO127=0,"",AO127)</f>
        <v>222</v>
      </c>
      <c r="Q127" s="348">
        <f>IF(AP127="","",AP127)</f>
        <v>1</v>
      </c>
      <c r="R127" s="75">
        <f t="shared" ref="R127:R140" si="142">IF(AQ127=0,"",AQ127)</f>
        <v>146</v>
      </c>
      <c r="S127" s="348">
        <f>IF(AR127="","",AR127)</f>
        <v>0</v>
      </c>
      <c r="T127" s="75">
        <f t="shared" ref="T127:T140" si="143">IF(AS127=0,"",AS127)</f>
        <v>162</v>
      </c>
      <c r="U127" s="348">
        <f>IF(AT127="","",AT127)</f>
        <v>0</v>
      </c>
      <c r="V127" s="75">
        <f t="shared" ref="V127:V140" si="144">IF(AU127=0,"",AU127)</f>
        <v>1575</v>
      </c>
      <c r="W127" s="348">
        <f>IF(AV127="","",AV127)</f>
        <v>4</v>
      </c>
      <c r="Z127" s="351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215</v>
      </c>
      <c r="AD127" s="109">
        <f>IF(SUM(AC127:AC129)+AC145=0,0,IF(SUM(AC127:AC129)=AC145,0.5,IF(SUM(AC127:AC129)&gt;AC145,1,0)))</f>
        <v>1</v>
      </c>
      <c r="AE127" s="185">
        <v>169</v>
      </c>
      <c r="AF127" s="109">
        <f>IF(SUM(AE127:AE129)+AE145=0,0,IF(SUM(AE127:AE129)=AE145,0.5,IF(SUM(AE127:AE129)&gt;AE145,1,0)))</f>
        <v>0</v>
      </c>
      <c r="AG127" s="185">
        <v>167</v>
      </c>
      <c r="AH127" s="109">
        <f>IF(SUM(AG127:AG129)+AG145=0,0,IF(SUM(AG127:AG129)=AG145,0.5,IF(SUM(AG127:AG129)&gt;AG145,1,0)))</f>
        <v>0</v>
      </c>
      <c r="AI127" s="185">
        <v>141</v>
      </c>
      <c r="AJ127" s="109">
        <f>IF(SUM(AI127:AI129)+AI145=0,0,IF(SUM(AI127:AI129)=AI145,0.5,IF(SUM(AI127:AI129)&gt;AI145,1,0)))</f>
        <v>0</v>
      </c>
      <c r="AK127" s="185">
        <v>171</v>
      </c>
      <c r="AL127" s="109">
        <f>IF(SUM(AK127:AK129)+AK145=0,0,IF(SUM(AK127:AK129)=AK145,0.5,IF(SUM(AK127:AK129)&gt;AK145,1,0)))</f>
        <v>1</v>
      </c>
      <c r="AM127" s="185">
        <v>182</v>
      </c>
      <c r="AN127" s="109">
        <f>IF(SUM(AM127:AM129)+AM145=0,0,IF(SUM(AM127:AM129)=AM145,0.5,IF(SUM(AM127:AM129)&gt;AM145,1,0)))</f>
        <v>1</v>
      </c>
      <c r="AO127" s="185">
        <v>222</v>
      </c>
      <c r="AP127" s="109">
        <f>IF(SUM(AO127:AO129)+AO145=0,0,IF(SUM(AO127:AO129)=AO145,0.5,IF(SUM(AO127:AO129)&gt;AO145,1,0)))</f>
        <v>1</v>
      </c>
      <c r="AQ127" s="185">
        <v>146</v>
      </c>
      <c r="AR127" s="109">
        <f>IF(SUM(AQ127:AQ129)+AQ145=0,0,IF(SUM(AQ127:AQ129)=AQ145,0.5,IF(SUM(AQ127:AQ129)&gt;AQ145,1,0)))</f>
        <v>0</v>
      </c>
      <c r="AS127" s="185">
        <v>162</v>
      </c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1575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1575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6">IF(AC127=0,"",AC127)</f>
        <v>215</v>
      </c>
      <c r="BI127" s="215">
        <f t="shared" ref="BI127:BI138" si="147">IF(AE127=0,"",AE127)</f>
        <v>169</v>
      </c>
      <c r="BJ127" s="215">
        <f t="shared" ref="BJ127:BJ138" si="148">IF(AG127=0,"",AG127)</f>
        <v>167</v>
      </c>
      <c r="BK127" s="215">
        <f t="shared" ref="BK127:BK138" si="149">IF(AI127=0,"",AI127)</f>
        <v>141</v>
      </c>
      <c r="BL127" s="215">
        <f t="shared" ref="BL127:BL138" si="150">IF(AK127=0,"",AK127)</f>
        <v>171</v>
      </c>
      <c r="BM127" s="215">
        <f t="shared" ref="BM127:BM138" si="151">IF(AM127=0,"",AM127)</f>
        <v>182</v>
      </c>
      <c r="BN127" s="215">
        <f t="shared" ref="BN127:BN138" si="152">IF(AO127=0,"",AO127)</f>
        <v>222</v>
      </c>
      <c r="BO127" s="215">
        <f t="shared" ref="BO127:BO138" si="153">IF(AQ127=0,"",AQ127)</f>
        <v>146</v>
      </c>
      <c r="BP127" s="215">
        <f t="shared" ref="BP127:BP138" si="154">IF(AS127=0,"",AS127)</f>
        <v>162</v>
      </c>
      <c r="BQ127" s="216"/>
      <c r="BR127" s="214"/>
      <c r="BS127" s="215">
        <f>MAX(BH127:BP127)</f>
        <v>222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1575</v>
      </c>
      <c r="BX127" s="215">
        <f>IF(COUNTIF(BH127:BP127,"&gt;0")&lt;Spielorte!$A$23,0,BE127/Spielorte!$A$23)</f>
        <v>175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77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49"/>
      <c r="F128" s="78" t="str">
        <f t="shared" si="137"/>
        <v/>
      </c>
      <c r="G128" s="349"/>
      <c r="H128" s="78" t="str">
        <f t="shared" si="138"/>
        <v/>
      </c>
      <c r="I128" s="349"/>
      <c r="J128" s="78" t="str">
        <f t="shared" si="139"/>
        <v/>
      </c>
      <c r="K128" s="349"/>
      <c r="L128" s="78" t="str">
        <f t="shared" si="140"/>
        <v/>
      </c>
      <c r="M128" s="349"/>
      <c r="N128" s="78" t="str">
        <f t="shared" ref="N128:N140" si="157">IF(AM128=0,"",AM128)</f>
        <v/>
      </c>
      <c r="O128" s="349"/>
      <c r="P128" s="78" t="str">
        <f t="shared" si="141"/>
        <v/>
      </c>
      <c r="Q128" s="349"/>
      <c r="R128" s="78" t="str">
        <f t="shared" si="142"/>
        <v/>
      </c>
      <c r="S128" s="349"/>
      <c r="T128" s="78" t="str">
        <f t="shared" si="143"/>
        <v/>
      </c>
      <c r="U128" s="349"/>
      <c r="V128" s="78" t="str">
        <f t="shared" si="144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>RW Lichtenhof Stein 1</v>
      </c>
      <c r="BV128" s="214">
        <f t="shared" ref="BV128:BV138" si="165">RANK(BT128,BT:BT)</f>
        <v>2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8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0"/>
      <c r="F129" s="69" t="str">
        <f t="shared" si="137"/>
        <v/>
      </c>
      <c r="G129" s="350"/>
      <c r="H129" s="69" t="str">
        <f t="shared" si="138"/>
        <v/>
      </c>
      <c r="I129" s="350"/>
      <c r="J129" s="69" t="str">
        <f t="shared" si="139"/>
        <v/>
      </c>
      <c r="K129" s="350"/>
      <c r="L129" s="69" t="str">
        <f t="shared" si="140"/>
        <v/>
      </c>
      <c r="M129" s="350"/>
      <c r="N129" s="69" t="str">
        <f t="shared" si="157"/>
        <v/>
      </c>
      <c r="O129" s="350"/>
      <c r="P129" s="69" t="str">
        <f t="shared" si="141"/>
        <v/>
      </c>
      <c r="Q129" s="350"/>
      <c r="R129" s="69" t="str">
        <f t="shared" si="142"/>
        <v/>
      </c>
      <c r="S129" s="350"/>
      <c r="T129" s="69" t="str">
        <f t="shared" si="143"/>
        <v/>
      </c>
      <c r="U129" s="350"/>
      <c r="V129" s="69" t="str">
        <f t="shared" si="144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>RW Lichtenhof Stein 1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76" t="s">
        <v>2</v>
      </c>
      <c r="B130" s="73" t="str">
        <f t="shared" si="156"/>
        <v>Mesch, John</v>
      </c>
      <c r="C130" s="74">
        <f t="shared" si="156"/>
        <v>7740</v>
      </c>
      <c r="D130" s="75">
        <f t="shared" si="156"/>
        <v>156</v>
      </c>
      <c r="E130" s="348">
        <f>IF(AD130="","",AD130)</f>
        <v>0</v>
      </c>
      <c r="F130" s="75">
        <f t="shared" si="137"/>
        <v>137</v>
      </c>
      <c r="G130" s="348">
        <f>IF(AF130="","",AF130)</f>
        <v>0</v>
      </c>
      <c r="H130" s="75" t="str">
        <f t="shared" si="138"/>
        <v/>
      </c>
      <c r="I130" s="348">
        <f>IF(AH130="","",AH130)</f>
        <v>0</v>
      </c>
      <c r="J130" s="75" t="str">
        <f t="shared" si="139"/>
        <v/>
      </c>
      <c r="K130" s="348">
        <f>IF(AJ130="","",AJ130)</f>
        <v>1</v>
      </c>
      <c r="L130" s="75" t="str">
        <f t="shared" si="140"/>
        <v/>
      </c>
      <c r="M130" s="348">
        <f>IF(AL130="","",AL130)</f>
        <v>0</v>
      </c>
      <c r="N130" s="75" t="str">
        <f t="shared" si="157"/>
        <v/>
      </c>
      <c r="O130" s="348">
        <f>IF(AN130="","",AN130)</f>
        <v>0</v>
      </c>
      <c r="P130" s="75">
        <f t="shared" si="141"/>
        <v>172</v>
      </c>
      <c r="Q130" s="348">
        <f>IF(AP130="","",AP130)</f>
        <v>0</v>
      </c>
      <c r="R130" s="75">
        <f t="shared" si="142"/>
        <v>138</v>
      </c>
      <c r="S130" s="348">
        <f>IF(AR130="","",AR130)</f>
        <v>0</v>
      </c>
      <c r="T130" s="75">
        <f t="shared" si="143"/>
        <v>159</v>
      </c>
      <c r="U130" s="348">
        <f>IF(AT130="","",AT130)</f>
        <v>0</v>
      </c>
      <c r="V130" s="75">
        <f t="shared" si="144"/>
        <v>762</v>
      </c>
      <c r="W130" s="348">
        <f>IF(AV130="","",AV130)</f>
        <v>1</v>
      </c>
      <c r="Z130" s="351" t="s">
        <v>2</v>
      </c>
      <c r="AA130" s="108" t="str">
        <f>IF(AB130=0,"",VLOOKUP(AB130,Starter!$A$1:$D$199,2,FALSE))</f>
        <v>Mesch, John</v>
      </c>
      <c r="AB130" s="99">
        <v>7740</v>
      </c>
      <c r="AC130" s="188">
        <v>156</v>
      </c>
      <c r="AD130" s="109">
        <f>IF(SUM(AC130:AC132)+AC146=0,0,IF(SUM(AC130:AC132)=AC146,0.5,IF(SUM(AC130:AC132)&gt;AC146,1,0)))</f>
        <v>0</v>
      </c>
      <c r="AE130" s="188">
        <v>137</v>
      </c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1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>
        <v>172</v>
      </c>
      <c r="AP130" s="109">
        <f>IF(SUM(AO130:AO132)+AO146=0,0,IF(SUM(AO130:AO132)=AO146,0.5,IF(SUM(AO130:AO132)&gt;AO146,1,0)))</f>
        <v>0</v>
      </c>
      <c r="AQ130" s="188">
        <v>138</v>
      </c>
      <c r="AR130" s="109">
        <f>IF(SUM(AQ130:AQ132)+AQ146=0,0,IF(SUM(AQ130:AQ132)=AQ146,0.5,IF(SUM(AQ130:AQ132)&gt;AQ146,1,0)))</f>
        <v>0</v>
      </c>
      <c r="AS130" s="188">
        <v>159</v>
      </c>
      <c r="AT130" s="109">
        <f>IF(SUM(AS130:AS132)+AS146=0,0,IF(SUM(AS130:AS132)=AS146,0.5,IF(SUM(AS130:AS132)&gt;AS146,1,0)))</f>
        <v>0</v>
      </c>
      <c r="AU130" s="110">
        <f t="shared" si="145"/>
        <v>762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58"/>
        <v>7740</v>
      </c>
      <c r="BE130" s="213">
        <f t="shared" si="159"/>
        <v>762</v>
      </c>
      <c r="BF130" s="215">
        <f t="shared" si="160"/>
        <v>5</v>
      </c>
      <c r="BG130" s="215">
        <f t="shared" si="161"/>
        <v>5</v>
      </c>
      <c r="BH130" s="215">
        <f t="shared" si="146"/>
        <v>156</v>
      </c>
      <c r="BI130" s="215">
        <f t="shared" si="147"/>
        <v>137</v>
      </c>
      <c r="BJ130" s="215" t="str">
        <f t="shared" si="148"/>
        <v/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>
        <f t="shared" si="152"/>
        <v>172</v>
      </c>
      <c r="BO130" s="215">
        <f t="shared" si="153"/>
        <v>138</v>
      </c>
      <c r="BP130" s="215">
        <f t="shared" si="154"/>
        <v>159</v>
      </c>
      <c r="BQ130" s="216"/>
      <c r="BR130" s="214"/>
      <c r="BS130" s="215">
        <f t="shared" si="162"/>
        <v>172</v>
      </c>
      <c r="BT130" s="215">
        <f t="shared" si="163"/>
        <v>0</v>
      </c>
      <c r="BU130" s="215" t="str">
        <f t="shared" si="164"/>
        <v>RW Lichtenhof Stein 1</v>
      </c>
      <c r="BV130" s="214">
        <f t="shared" si="165"/>
        <v>2</v>
      </c>
      <c r="BW130" s="215">
        <f t="shared" si="166"/>
        <v>762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77"/>
      <c r="B131" s="76" t="str">
        <f t="shared" si="156"/>
        <v>Wieczorek Ben</v>
      </c>
      <c r="C131" s="77">
        <f t="shared" si="156"/>
        <v>39948</v>
      </c>
      <c r="D131" s="78" t="str">
        <f t="shared" si="156"/>
        <v/>
      </c>
      <c r="E131" s="349"/>
      <c r="F131" s="78" t="str">
        <f t="shared" si="137"/>
        <v/>
      </c>
      <c r="G131" s="349"/>
      <c r="H131" s="78">
        <f t="shared" si="138"/>
        <v>136</v>
      </c>
      <c r="I131" s="349"/>
      <c r="J131" s="78">
        <f t="shared" si="139"/>
        <v>191</v>
      </c>
      <c r="K131" s="349"/>
      <c r="L131" s="78">
        <f t="shared" si="140"/>
        <v>136</v>
      </c>
      <c r="M131" s="349"/>
      <c r="N131" s="78">
        <f t="shared" si="157"/>
        <v>136</v>
      </c>
      <c r="O131" s="349"/>
      <c r="P131" s="78" t="str">
        <f t="shared" si="141"/>
        <v/>
      </c>
      <c r="Q131" s="349"/>
      <c r="R131" s="78" t="str">
        <f t="shared" si="142"/>
        <v/>
      </c>
      <c r="S131" s="349"/>
      <c r="T131" s="78" t="str">
        <f t="shared" si="143"/>
        <v/>
      </c>
      <c r="U131" s="349"/>
      <c r="V131" s="78">
        <f t="shared" si="144"/>
        <v>599</v>
      </c>
      <c r="W131" s="349"/>
      <c r="Z131" s="352"/>
      <c r="AA131" s="108" t="str">
        <f>IF(AB131=0,"",VLOOKUP(AB131,Starter!$A$1:$D$199,2,FALSE))</f>
        <v>Wieczorek Ben</v>
      </c>
      <c r="AB131" s="98">
        <v>39948</v>
      </c>
      <c r="AC131" s="186"/>
      <c r="AD131" s="112"/>
      <c r="AE131" s="186"/>
      <c r="AF131" s="112"/>
      <c r="AG131" s="186">
        <v>136</v>
      </c>
      <c r="AH131" s="112"/>
      <c r="AI131" s="186">
        <v>191</v>
      </c>
      <c r="AJ131" s="112"/>
      <c r="AK131" s="186">
        <v>136</v>
      </c>
      <c r="AL131" s="112"/>
      <c r="AM131" s="186">
        <v>136</v>
      </c>
      <c r="AN131" s="112"/>
      <c r="AO131" s="190"/>
      <c r="AP131" s="112"/>
      <c r="AQ131" s="190"/>
      <c r="AR131" s="112"/>
      <c r="AS131" s="190"/>
      <c r="AT131" s="112"/>
      <c r="AU131" s="113">
        <f t="shared" si="145"/>
        <v>599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39948</v>
      </c>
      <c r="BE131" s="213">
        <f t="shared" si="159"/>
        <v>599</v>
      </c>
      <c r="BF131" s="215">
        <f t="shared" si="160"/>
        <v>4</v>
      </c>
      <c r="BG131" s="215">
        <f t="shared" si="161"/>
        <v>4</v>
      </c>
      <c r="BH131" s="215" t="str">
        <f t="shared" si="146"/>
        <v/>
      </c>
      <c r="BI131" s="215" t="str">
        <f t="shared" si="147"/>
        <v/>
      </c>
      <c r="BJ131" s="215">
        <f t="shared" si="148"/>
        <v>136</v>
      </c>
      <c r="BK131" s="215">
        <f t="shared" si="149"/>
        <v>191</v>
      </c>
      <c r="BL131" s="215">
        <f t="shared" si="150"/>
        <v>136</v>
      </c>
      <c r="BM131" s="215">
        <f t="shared" si="151"/>
        <v>136</v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191</v>
      </c>
      <c r="BT131" s="215">
        <f t="shared" si="163"/>
        <v>0</v>
      </c>
      <c r="BU131" s="215" t="str">
        <f t="shared" si="164"/>
        <v>RW Lichtenhof Stein 1</v>
      </c>
      <c r="BV131" s="214">
        <f t="shared" si="165"/>
        <v>2</v>
      </c>
      <c r="BW131" s="215">
        <f t="shared" si="166"/>
        <v>599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8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50"/>
      <c r="F132" s="69" t="str">
        <f t="shared" si="137"/>
        <v/>
      </c>
      <c r="G132" s="350"/>
      <c r="H132" s="69" t="str">
        <f t="shared" si="138"/>
        <v/>
      </c>
      <c r="I132" s="350"/>
      <c r="J132" s="69" t="str">
        <f t="shared" si="139"/>
        <v/>
      </c>
      <c r="K132" s="350"/>
      <c r="L132" s="69" t="str">
        <f t="shared" si="140"/>
        <v/>
      </c>
      <c r="M132" s="350"/>
      <c r="N132" s="69" t="str">
        <f t="shared" si="157"/>
        <v/>
      </c>
      <c r="O132" s="350"/>
      <c r="P132" s="69" t="str">
        <f t="shared" si="141"/>
        <v/>
      </c>
      <c r="Q132" s="350"/>
      <c r="R132" s="69" t="str">
        <f t="shared" si="142"/>
        <v/>
      </c>
      <c r="S132" s="350"/>
      <c r="T132" s="69" t="str">
        <f t="shared" si="143"/>
        <v/>
      </c>
      <c r="U132" s="350"/>
      <c r="V132" s="69" t="str">
        <f t="shared" si="144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>RW Lichtenhof Stein 1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76" t="s">
        <v>3</v>
      </c>
      <c r="B133" s="73" t="str">
        <f t="shared" si="156"/>
        <v>Jackwerth, Enno</v>
      </c>
      <c r="C133" s="74">
        <f t="shared" si="156"/>
        <v>16263</v>
      </c>
      <c r="D133" s="75">
        <f t="shared" si="156"/>
        <v>215</v>
      </c>
      <c r="E133" s="348">
        <f>IF(AD133="","",AD133)</f>
        <v>1</v>
      </c>
      <c r="F133" s="75">
        <f t="shared" si="137"/>
        <v>234</v>
      </c>
      <c r="G133" s="348">
        <f>IF(AF133="","",AF133)</f>
        <v>1</v>
      </c>
      <c r="H133" s="75">
        <f t="shared" si="138"/>
        <v>203</v>
      </c>
      <c r="I133" s="348">
        <f>IF(AH133="","",AH133)</f>
        <v>0</v>
      </c>
      <c r="J133" s="75">
        <f t="shared" si="139"/>
        <v>201</v>
      </c>
      <c r="K133" s="348">
        <f>IF(AJ133="","",AJ133)</f>
        <v>1</v>
      </c>
      <c r="L133" s="75">
        <f t="shared" si="140"/>
        <v>168</v>
      </c>
      <c r="M133" s="348">
        <f>IF(AL133="","",AL133)</f>
        <v>0</v>
      </c>
      <c r="N133" s="75">
        <f t="shared" si="157"/>
        <v>204</v>
      </c>
      <c r="O133" s="348">
        <f>IF(AN133="","",AN133)</f>
        <v>1</v>
      </c>
      <c r="P133" s="75">
        <f t="shared" si="141"/>
        <v>171</v>
      </c>
      <c r="Q133" s="348">
        <f>IF(AP133="","",AP133)</f>
        <v>0</v>
      </c>
      <c r="R133" s="75">
        <f t="shared" si="142"/>
        <v>200</v>
      </c>
      <c r="S133" s="348">
        <f>IF(AR133="","",AR133)</f>
        <v>1</v>
      </c>
      <c r="T133" s="75">
        <f t="shared" si="143"/>
        <v>177</v>
      </c>
      <c r="U133" s="348">
        <f>IF(AT133="","",AT133)</f>
        <v>0</v>
      </c>
      <c r="V133" s="75">
        <f t="shared" si="144"/>
        <v>1773</v>
      </c>
      <c r="W133" s="348">
        <f>IF(AV133="","",AV133)</f>
        <v>5</v>
      </c>
      <c r="Z133" s="351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215</v>
      </c>
      <c r="AD133" s="109">
        <f>IF(SUM(AC133:AC135)+AC147=0,0,IF(SUM(AC133:AC135)=AC147,0.5,IF(SUM(AC133:AC135)&gt;AC147,1,0)))</f>
        <v>1</v>
      </c>
      <c r="AE133" s="188">
        <v>234</v>
      </c>
      <c r="AF133" s="109">
        <f>IF(SUM(AE133:AE135)+AE147=0,0,IF(SUM(AE133:AE135)=AE147,0.5,IF(SUM(AE133:AE135)&gt;AE147,1,0)))</f>
        <v>1</v>
      </c>
      <c r="AG133" s="188">
        <v>203</v>
      </c>
      <c r="AH133" s="109">
        <f>IF(SUM(AG133:AG135)+AG147=0,0,IF(SUM(AG133:AG135)=AG147,0.5,IF(SUM(AG133:AG135)&gt;AG147,1,0)))</f>
        <v>0</v>
      </c>
      <c r="AI133" s="188">
        <v>201</v>
      </c>
      <c r="AJ133" s="109">
        <f>IF(SUM(AI133:AI135)+AI147=0,0,IF(SUM(AI133:AI135)=AI147,0.5,IF(SUM(AI133:AI135)&gt;AI147,1,0)))</f>
        <v>1</v>
      </c>
      <c r="AK133" s="188">
        <v>168</v>
      </c>
      <c r="AL133" s="109">
        <f>IF(SUM(AK133:AK135)+AK147=0,0,IF(SUM(AK133:AK135)=AK147,0.5,IF(SUM(AK133:AK135)&gt;AK147,1,0)))</f>
        <v>0</v>
      </c>
      <c r="AM133" s="188">
        <v>204</v>
      </c>
      <c r="AN133" s="109">
        <f>IF(SUM(AM133:AM135)+AM147=0,0,IF(SUM(AM133:AM135)=AM147,0.5,IF(SUM(AM133:AM135)&gt;AM147,1,0)))</f>
        <v>1</v>
      </c>
      <c r="AO133" s="188">
        <v>171</v>
      </c>
      <c r="AP133" s="109">
        <f>IF(SUM(AO133:AO135)+AO147=0,0,IF(SUM(AO133:AO135)=AO147,0.5,IF(SUM(AO133:AO135)&gt;AO147,1,0)))</f>
        <v>0</v>
      </c>
      <c r="AQ133" s="188">
        <v>200</v>
      </c>
      <c r="AR133" s="109">
        <f>IF(SUM(AQ133:AQ135)+AQ147=0,0,IF(SUM(AQ133:AQ135)=AQ147,0.5,IF(SUM(AQ133:AQ135)&gt;AQ147,1,0)))</f>
        <v>1</v>
      </c>
      <c r="AS133" s="188">
        <v>177</v>
      </c>
      <c r="AT133" s="109">
        <f>IF(SUM(AS133:AS135)+AS147=0,0,IF(SUM(AS133:AS135)=AS147,0.5,IF(SUM(AS133:AS135)&gt;AS147,1,0)))</f>
        <v>0</v>
      </c>
      <c r="AU133" s="110">
        <f t="shared" si="145"/>
        <v>1773</v>
      </c>
      <c r="AV133" s="111">
        <f>SUM(AD133+AF133+AH133+AJ133+AL133+AN133+AP133+AR133+AT133)</f>
        <v>5</v>
      </c>
      <c r="AW133" s="101"/>
      <c r="AX133" s="102"/>
      <c r="AZ133" s="63"/>
      <c r="BA133" s="212"/>
      <c r="BB133" s="213"/>
      <c r="BC133" s="214"/>
      <c r="BD133" s="217">
        <f t="shared" si="158"/>
        <v>16263</v>
      </c>
      <c r="BE133" s="213">
        <f t="shared" si="159"/>
        <v>1773</v>
      </c>
      <c r="BF133" s="215">
        <f t="shared" si="160"/>
        <v>9</v>
      </c>
      <c r="BG133" s="215">
        <f t="shared" si="161"/>
        <v>9</v>
      </c>
      <c r="BH133" s="215">
        <f t="shared" si="146"/>
        <v>215</v>
      </c>
      <c r="BI133" s="215">
        <f t="shared" si="147"/>
        <v>234</v>
      </c>
      <c r="BJ133" s="215">
        <f t="shared" si="148"/>
        <v>203</v>
      </c>
      <c r="BK133" s="215">
        <f t="shared" si="149"/>
        <v>201</v>
      </c>
      <c r="BL133" s="215">
        <f t="shared" si="150"/>
        <v>168</v>
      </c>
      <c r="BM133" s="215">
        <f t="shared" si="151"/>
        <v>204</v>
      </c>
      <c r="BN133" s="215">
        <f t="shared" si="152"/>
        <v>171</v>
      </c>
      <c r="BO133" s="215">
        <f t="shared" si="153"/>
        <v>200</v>
      </c>
      <c r="BP133" s="215">
        <f t="shared" si="154"/>
        <v>177</v>
      </c>
      <c r="BQ133" s="216"/>
      <c r="BR133" s="214"/>
      <c r="BS133" s="215">
        <f t="shared" si="162"/>
        <v>234</v>
      </c>
      <c r="BT133" s="215">
        <f t="shared" si="163"/>
        <v>0</v>
      </c>
      <c r="BU133" s="215" t="str">
        <f t="shared" si="164"/>
        <v>RW Lichtenhof Stein 1</v>
      </c>
      <c r="BV133" s="214">
        <f t="shared" si="165"/>
        <v>2</v>
      </c>
      <c r="BW133" s="215">
        <f t="shared" si="166"/>
        <v>1773</v>
      </c>
      <c r="BX133" s="215">
        <f>IF(COUNTIF(BH133:BP133,"&gt;0")&lt;Spielorte!$A$23,0,BE133/Spielorte!$A$23)</f>
        <v>197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77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49"/>
      <c r="F134" s="78" t="str">
        <f t="shared" si="137"/>
        <v/>
      </c>
      <c r="G134" s="349"/>
      <c r="H134" s="78" t="str">
        <f t="shared" si="138"/>
        <v/>
      </c>
      <c r="I134" s="349"/>
      <c r="J134" s="78" t="str">
        <f t="shared" si="139"/>
        <v/>
      </c>
      <c r="K134" s="349"/>
      <c r="L134" s="78" t="str">
        <f t="shared" si="140"/>
        <v/>
      </c>
      <c r="M134" s="349"/>
      <c r="N134" s="78" t="str">
        <f t="shared" si="157"/>
        <v/>
      </c>
      <c r="O134" s="349"/>
      <c r="P134" s="78" t="str">
        <f t="shared" si="141"/>
        <v/>
      </c>
      <c r="Q134" s="349"/>
      <c r="R134" s="78" t="str">
        <f t="shared" si="142"/>
        <v/>
      </c>
      <c r="S134" s="349"/>
      <c r="T134" s="78" t="str">
        <f t="shared" si="143"/>
        <v/>
      </c>
      <c r="U134" s="349"/>
      <c r="V134" s="78" t="str">
        <f t="shared" si="144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>RW Lichtenhof Stein 1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8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50"/>
      <c r="F135" s="69" t="str">
        <f t="shared" si="137"/>
        <v/>
      </c>
      <c r="G135" s="350"/>
      <c r="H135" s="69" t="str">
        <f t="shared" si="138"/>
        <v/>
      </c>
      <c r="I135" s="350"/>
      <c r="J135" s="69" t="str">
        <f t="shared" si="139"/>
        <v/>
      </c>
      <c r="K135" s="350"/>
      <c r="L135" s="69" t="str">
        <f t="shared" si="140"/>
        <v/>
      </c>
      <c r="M135" s="350"/>
      <c r="N135" s="69" t="str">
        <f t="shared" si="157"/>
        <v/>
      </c>
      <c r="O135" s="350"/>
      <c r="P135" s="69" t="str">
        <f t="shared" si="141"/>
        <v/>
      </c>
      <c r="Q135" s="350"/>
      <c r="R135" s="69" t="str">
        <f t="shared" si="142"/>
        <v/>
      </c>
      <c r="S135" s="350"/>
      <c r="T135" s="69" t="str">
        <f t="shared" si="143"/>
        <v/>
      </c>
      <c r="U135" s="350"/>
      <c r="V135" s="69" t="str">
        <f t="shared" si="144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>RW Lichtenhof Stein 1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76" t="s">
        <v>11</v>
      </c>
      <c r="B136" s="73" t="str">
        <f>IF(AA136=0,"",AA136)</f>
        <v>Birkner, Jochen</v>
      </c>
      <c r="C136" s="74">
        <f t="shared" si="156"/>
        <v>7937</v>
      </c>
      <c r="D136" s="75">
        <f t="shared" si="156"/>
        <v>159</v>
      </c>
      <c r="E136" s="348">
        <f>IF(AD136="","",AD136)</f>
        <v>0</v>
      </c>
      <c r="F136" s="75">
        <f t="shared" si="137"/>
        <v>157</v>
      </c>
      <c r="G136" s="348">
        <f>IF(AF136="","",AF136)</f>
        <v>0</v>
      </c>
      <c r="H136" s="75">
        <f t="shared" si="138"/>
        <v>183</v>
      </c>
      <c r="I136" s="348">
        <f>IF(AH136="","",AH136)</f>
        <v>0</v>
      </c>
      <c r="J136" s="75">
        <f t="shared" si="139"/>
        <v>174</v>
      </c>
      <c r="K136" s="348">
        <f>IF(AJ136="","",AJ136)</f>
        <v>0</v>
      </c>
      <c r="L136" s="75">
        <f t="shared" si="140"/>
        <v>166</v>
      </c>
      <c r="M136" s="348">
        <f>IF(AL136="","",AL136)</f>
        <v>0</v>
      </c>
      <c r="N136" s="75">
        <f t="shared" si="157"/>
        <v>218</v>
      </c>
      <c r="O136" s="348">
        <f>IF(AN136="","",AN136)</f>
        <v>1</v>
      </c>
      <c r="P136" s="75">
        <f t="shared" si="141"/>
        <v>205</v>
      </c>
      <c r="Q136" s="348">
        <f>IF(AP136="","",AP136)</f>
        <v>1</v>
      </c>
      <c r="R136" s="75">
        <f t="shared" si="142"/>
        <v>176</v>
      </c>
      <c r="S136" s="348">
        <f>IF(AR136="","",AR136)</f>
        <v>0</v>
      </c>
      <c r="T136" s="75">
        <f t="shared" si="143"/>
        <v>189</v>
      </c>
      <c r="U136" s="348">
        <f>IF(AT136="","",AT136)</f>
        <v>0</v>
      </c>
      <c r="V136" s="75">
        <f t="shared" si="144"/>
        <v>1627</v>
      </c>
      <c r="W136" s="348">
        <f>IF(AV136="","",AV136)</f>
        <v>2</v>
      </c>
      <c r="Z136" s="351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159</v>
      </c>
      <c r="AD136" s="109">
        <f>IF(SUM(AC136:AC138)+AC148=0,0,IF(SUM(AC136:AC138)=AC148,0.5,IF(SUM(AC136:AC138)&gt;AC148,1,0)))</f>
        <v>0</v>
      </c>
      <c r="AE136" s="188">
        <v>157</v>
      </c>
      <c r="AF136" s="109">
        <f>IF(SUM(AE136:AE138)+AE148=0,0,IF(SUM(AE136:AE138)=AE148,0.5,IF(SUM(AE136:AE138)&gt;AE148,1,0)))</f>
        <v>0</v>
      </c>
      <c r="AG136" s="188">
        <v>183</v>
      </c>
      <c r="AH136" s="109">
        <f>IF(SUM(AG136:AG138)+AG148=0,0,IF(SUM(AG136:AG138)=AG148,0.5,IF(SUM(AG136:AG138)&gt;AG148,1,0)))</f>
        <v>0</v>
      </c>
      <c r="AI136" s="188">
        <v>174</v>
      </c>
      <c r="AJ136" s="109">
        <f>IF(SUM(AI136:AI138)+AI148=0,0,IF(SUM(AI136:AI138)=AI148,0.5,IF(SUM(AI136:AI138)&gt;AI148,1,0)))</f>
        <v>0</v>
      </c>
      <c r="AK136" s="188">
        <v>166</v>
      </c>
      <c r="AL136" s="109">
        <f>IF(SUM(AK136:AK138)+AK148=0,0,IF(SUM(AK136:AK138)=AK148,0.5,IF(SUM(AK136:AK138)&gt;AK148,1,0)))</f>
        <v>0</v>
      </c>
      <c r="AM136" s="188">
        <v>218</v>
      </c>
      <c r="AN136" s="109">
        <f>IF(SUM(AM136:AM138)+AM148=0,0,IF(SUM(AM136:AM138)=AM148,0.5,IF(SUM(AM136:AM138)&gt;AM148,1,0)))</f>
        <v>1</v>
      </c>
      <c r="AO136" s="188">
        <v>205</v>
      </c>
      <c r="AP136" s="109">
        <f>IF(SUM(AO136:AO138)+AO148=0,0,IF(SUM(AO136:AO138)=AO148,0.5,IF(SUM(AO136:AO138)&gt;AO148,1,0)))</f>
        <v>1</v>
      </c>
      <c r="AQ136" s="188">
        <v>176</v>
      </c>
      <c r="AR136" s="109">
        <f>IF(SUM(AQ136:AQ138)+AQ148=0,0,IF(SUM(AQ136:AQ138)=AQ148,0.5,IF(SUM(AQ136:AQ138)&gt;AQ148,1,0)))</f>
        <v>0</v>
      </c>
      <c r="AS136" s="188">
        <v>189</v>
      </c>
      <c r="AT136" s="109">
        <f>IF(SUM(AS136:AS138)+AS148=0,0,IF(SUM(AS136:AS138)=AS148,0.5,IF(SUM(AS136:AS138)&gt;AS148,1,0)))</f>
        <v>0</v>
      </c>
      <c r="AU136" s="110">
        <f t="shared" si="145"/>
        <v>1627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7937</v>
      </c>
      <c r="BE136" s="213">
        <f t="shared" si="159"/>
        <v>1627</v>
      </c>
      <c r="BF136" s="215">
        <f t="shared" si="160"/>
        <v>9</v>
      </c>
      <c r="BG136" s="215">
        <f t="shared" si="161"/>
        <v>9</v>
      </c>
      <c r="BH136" s="215">
        <f t="shared" si="146"/>
        <v>159</v>
      </c>
      <c r="BI136" s="215">
        <f t="shared" si="147"/>
        <v>157</v>
      </c>
      <c r="BJ136" s="215">
        <f t="shared" si="148"/>
        <v>183</v>
      </c>
      <c r="BK136" s="215">
        <f t="shared" si="149"/>
        <v>174</v>
      </c>
      <c r="BL136" s="215">
        <f t="shared" si="150"/>
        <v>166</v>
      </c>
      <c r="BM136" s="215">
        <f t="shared" si="151"/>
        <v>218</v>
      </c>
      <c r="BN136" s="215">
        <f t="shared" si="152"/>
        <v>205</v>
      </c>
      <c r="BO136" s="215">
        <f t="shared" si="153"/>
        <v>176</v>
      </c>
      <c r="BP136" s="215">
        <f t="shared" si="154"/>
        <v>189</v>
      </c>
      <c r="BQ136" s="216"/>
      <c r="BR136" s="214"/>
      <c r="BS136" s="215">
        <f t="shared" si="162"/>
        <v>218</v>
      </c>
      <c r="BT136" s="215">
        <f t="shared" si="163"/>
        <v>0</v>
      </c>
      <c r="BU136" s="215" t="str">
        <f t="shared" si="164"/>
        <v>RW Lichtenhof Stein 1</v>
      </c>
      <c r="BV136" s="214">
        <f t="shared" si="165"/>
        <v>2</v>
      </c>
      <c r="BW136" s="215">
        <f t="shared" si="166"/>
        <v>1627</v>
      </c>
      <c r="BX136" s="215">
        <f>IF(COUNTIF(BH136:BP136,"&gt;0")&lt;Spielorte!$A$23,0,BE136/Spielorte!$A$23)</f>
        <v>180.77777777777777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77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9"/>
      <c r="F137" s="78" t="str">
        <f t="shared" si="137"/>
        <v/>
      </c>
      <c r="G137" s="349"/>
      <c r="H137" s="78" t="str">
        <f t="shared" si="138"/>
        <v/>
      </c>
      <c r="I137" s="349"/>
      <c r="J137" s="78" t="str">
        <f t="shared" si="139"/>
        <v/>
      </c>
      <c r="K137" s="349"/>
      <c r="L137" s="78" t="str">
        <f t="shared" si="140"/>
        <v/>
      </c>
      <c r="M137" s="349"/>
      <c r="N137" s="78" t="str">
        <f t="shared" si="157"/>
        <v/>
      </c>
      <c r="O137" s="349"/>
      <c r="P137" s="78" t="str">
        <f t="shared" si="141"/>
        <v/>
      </c>
      <c r="Q137" s="349"/>
      <c r="R137" s="78" t="str">
        <f t="shared" si="142"/>
        <v/>
      </c>
      <c r="S137" s="349"/>
      <c r="T137" s="78" t="str">
        <f t="shared" si="143"/>
        <v/>
      </c>
      <c r="U137" s="349"/>
      <c r="V137" s="78" t="str">
        <f t="shared" si="144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>RW Lichtenhof Stein 1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8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0"/>
      <c r="F138" s="69" t="str">
        <f t="shared" si="137"/>
        <v/>
      </c>
      <c r="G138" s="350"/>
      <c r="H138" s="69" t="str">
        <f t="shared" si="138"/>
        <v/>
      </c>
      <c r="I138" s="350"/>
      <c r="J138" s="69" t="str">
        <f t="shared" si="139"/>
        <v/>
      </c>
      <c r="K138" s="350"/>
      <c r="L138" s="69" t="str">
        <f t="shared" si="140"/>
        <v/>
      </c>
      <c r="M138" s="350"/>
      <c r="N138" s="69" t="str">
        <f t="shared" si="157"/>
        <v/>
      </c>
      <c r="O138" s="350"/>
      <c r="P138" s="69" t="str">
        <f t="shared" si="141"/>
        <v/>
      </c>
      <c r="Q138" s="350"/>
      <c r="R138" s="69" t="str">
        <f t="shared" si="142"/>
        <v/>
      </c>
      <c r="S138" s="350"/>
      <c r="T138" s="69" t="str">
        <f t="shared" si="143"/>
        <v/>
      </c>
      <c r="U138" s="350"/>
      <c r="V138" s="69" t="str">
        <f t="shared" si="144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>RW Lichtenhof Stein 1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745</v>
      </c>
      <c r="E139" s="84">
        <f>IF(AD139="","",AD139)</f>
        <v>2</v>
      </c>
      <c r="F139" s="83">
        <f t="shared" si="137"/>
        <v>697</v>
      </c>
      <c r="G139" s="84">
        <f>IF(AF139="","",AF139)</f>
        <v>0</v>
      </c>
      <c r="H139" s="83">
        <f t="shared" si="138"/>
        <v>689</v>
      </c>
      <c r="I139" s="84">
        <f>IF(AH139="","",AH139)</f>
        <v>0</v>
      </c>
      <c r="J139" s="83">
        <f t="shared" si="139"/>
        <v>707</v>
      </c>
      <c r="K139" s="84">
        <f>IF(AJ139="","",AJ139)</f>
        <v>2</v>
      </c>
      <c r="L139" s="83">
        <f t="shared" si="140"/>
        <v>641</v>
      </c>
      <c r="M139" s="84">
        <f>IF(AL139="","",AL139)</f>
        <v>0</v>
      </c>
      <c r="N139" s="83">
        <f t="shared" si="157"/>
        <v>740</v>
      </c>
      <c r="O139" s="84">
        <f>IF(AN139="","",AN139)</f>
        <v>2</v>
      </c>
      <c r="P139" s="83">
        <f t="shared" si="141"/>
        <v>770</v>
      </c>
      <c r="Q139" s="84">
        <f>IF(AP139="","",AP139)</f>
        <v>2</v>
      </c>
      <c r="R139" s="83">
        <f t="shared" si="142"/>
        <v>660</v>
      </c>
      <c r="S139" s="84">
        <f>IF(AR139="","",AR139)</f>
        <v>0</v>
      </c>
      <c r="T139" s="83">
        <f t="shared" si="143"/>
        <v>687</v>
      </c>
      <c r="U139" s="84">
        <f>IF(AT139="","",AT139)</f>
        <v>0</v>
      </c>
      <c r="V139" s="83">
        <f t="shared" si="144"/>
        <v>6336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745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689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707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641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740</v>
      </c>
      <c r="AN139" s="121">
        <f>IF(AM139+AM149=0,0,IF(AM139=AM149,1,IF(AM139&gt;AM149,2,0)))</f>
        <v>2</v>
      </c>
      <c r="AO139" s="211">
        <f>ABS(SUM(AO127:AO129))+ABS(SUM(AO130:AO132))+ABS(SUM(AO133:AO135))+ABS(SUM(AO136:AO138))</f>
        <v>770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660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687</v>
      </c>
      <c r="AT139" s="121">
        <f>IF(AS139+AS149=0,0,IF(AS139=AS149,1,IF(AS139&gt;AS149,2,0)))</f>
        <v>0</v>
      </c>
      <c r="AU139" s="122">
        <f>SUM(AC139+AE139+AG139+AI139+AK139+AM139+AO139+AQ139+AS139)</f>
        <v>6336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4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0</v>
      </c>
      <c r="J140" s="86" t="str">
        <f t="shared" si="139"/>
        <v/>
      </c>
      <c r="K140" s="87">
        <f>IF(AJ140="","",AJ140)</f>
        <v>4</v>
      </c>
      <c r="L140" s="86" t="str">
        <f t="shared" si="140"/>
        <v/>
      </c>
      <c r="M140" s="87">
        <f>IF(AL140="","",AL140)</f>
        <v>1</v>
      </c>
      <c r="N140" s="86" t="str">
        <f t="shared" si="157"/>
        <v/>
      </c>
      <c r="O140" s="87">
        <f>IF(AN140="","",AN140)</f>
        <v>5</v>
      </c>
      <c r="P140" s="86" t="str">
        <f t="shared" si="141"/>
        <v/>
      </c>
      <c r="Q140" s="87">
        <f>IF(AP140="","",AP140)</f>
        <v>4</v>
      </c>
      <c r="R140" s="86" t="str">
        <f t="shared" si="142"/>
        <v/>
      </c>
      <c r="S140" s="87">
        <f>IF(AR140="","",AR140)</f>
        <v>1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20</v>
      </c>
      <c r="AA140" s="85" t="s">
        <v>1814</v>
      </c>
      <c r="AB140" s="86"/>
      <c r="AC140" s="86"/>
      <c r="AD140" s="124">
        <f>SUM(AD127:AD139)</f>
        <v>4</v>
      </c>
      <c r="AE140" s="86"/>
      <c r="AF140" s="124">
        <f>SUM(AF127:AF139)</f>
        <v>1</v>
      </c>
      <c r="AG140" s="86"/>
      <c r="AH140" s="124">
        <f>SUM(AH127:AH139)</f>
        <v>0</v>
      </c>
      <c r="AI140" s="86"/>
      <c r="AJ140" s="124">
        <f>SUM(AJ127:AJ139)</f>
        <v>4</v>
      </c>
      <c r="AK140" s="86"/>
      <c r="AL140" s="124">
        <f>SUM(AL127:AL139)</f>
        <v>1</v>
      </c>
      <c r="AM140" s="86"/>
      <c r="AN140" s="124">
        <f>SUM(AN127:AN139)</f>
        <v>5</v>
      </c>
      <c r="AO140" s="86"/>
      <c r="AP140" s="124">
        <f>SUM(AP127:AP139)</f>
        <v>4</v>
      </c>
      <c r="AQ140" s="86"/>
      <c r="AR140" s="124">
        <f>SUM(AR127:AR139)</f>
        <v>1</v>
      </c>
      <c r="AS140" s="86"/>
      <c r="AT140" s="124">
        <f>SUM(AT127:AT139)</f>
        <v>0</v>
      </c>
      <c r="AU140" s="86"/>
      <c r="AV140" s="125">
        <f>SUM(AV127:AV139)</f>
        <v>20</v>
      </c>
      <c r="AW140" s="101"/>
      <c r="AX140" s="102"/>
      <c r="BA140" s="212">
        <f>+AV140</f>
        <v>20</v>
      </c>
      <c r="BB140" s="213">
        <f>+AU139</f>
        <v>6336</v>
      </c>
      <c r="BC140" s="214">
        <f>+AA122</f>
        <v>5</v>
      </c>
      <c r="BF140" s="215">
        <f>SUM(BF121:BF139)</f>
        <v>36</v>
      </c>
      <c r="BQ140" s="212">
        <f>+BB140/1000000+BA140</f>
        <v>20.006336000000001</v>
      </c>
      <c r="BR140" s="214">
        <f>RANK(BQ140,BQ:BQ)</f>
        <v>7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6">
        <f t="shared" si="168"/>
        <v>7</v>
      </c>
      <c r="E142" s="356" t="str">
        <f t="shared" si="168"/>
        <v/>
      </c>
      <c r="F142" s="356">
        <f t="shared" si="168"/>
        <v>2</v>
      </c>
      <c r="G142" s="356" t="str">
        <f t="shared" si="168"/>
        <v/>
      </c>
      <c r="H142" s="356">
        <f t="shared" si="168"/>
        <v>3</v>
      </c>
      <c r="I142" s="356" t="str">
        <f t="shared" si="168"/>
        <v/>
      </c>
      <c r="J142" s="356">
        <f t="shared" si="168"/>
        <v>8</v>
      </c>
      <c r="K142" s="356" t="str">
        <f t="shared" si="168"/>
        <v/>
      </c>
      <c r="L142" s="356">
        <f t="shared" ref="L142:U144" si="169">IF(AK142=0,"",AK142)</f>
        <v>10</v>
      </c>
      <c r="M142" s="356" t="str">
        <f t="shared" si="169"/>
        <v/>
      </c>
      <c r="N142" s="356">
        <f t="shared" si="169"/>
        <v>9</v>
      </c>
      <c r="O142" s="356" t="str">
        <f t="shared" si="169"/>
        <v/>
      </c>
      <c r="P142" s="356">
        <f t="shared" si="169"/>
        <v>6</v>
      </c>
      <c r="Q142" s="356" t="str">
        <f t="shared" si="169"/>
        <v/>
      </c>
      <c r="R142" s="356">
        <f t="shared" si="169"/>
        <v>4</v>
      </c>
      <c r="S142" s="356" t="str">
        <f t="shared" si="169"/>
        <v/>
      </c>
      <c r="T142" s="356">
        <f t="shared" si="169"/>
        <v>1</v>
      </c>
      <c r="U142" s="356" t="str">
        <f t="shared" si="169"/>
        <v/>
      </c>
      <c r="V142" s="357"/>
      <c r="W142" s="357"/>
      <c r="AA142" s="88" t="s">
        <v>1797</v>
      </c>
      <c r="AB142" s="89" t="s">
        <v>1798</v>
      </c>
      <c r="AC142" s="370">
        <f>VLOOKUP($AA122,Schlüssel!$A$5:$DG$14,63)</f>
        <v>7</v>
      </c>
      <c r="AD142" s="371"/>
      <c r="AE142" s="370">
        <f>VLOOKUP($AA122,Schlüssel!$A$5:$EK$14,64)</f>
        <v>2</v>
      </c>
      <c r="AF142" s="371"/>
      <c r="AG142" s="370">
        <f>VLOOKUP($AA122,Schlüssel!$A$5:$EK$14,65)</f>
        <v>3</v>
      </c>
      <c r="AH142" s="371"/>
      <c r="AI142" s="370">
        <f>VLOOKUP($AA122,Schlüssel!$A$5:$EK$14,66)</f>
        <v>8</v>
      </c>
      <c r="AJ142" s="371"/>
      <c r="AK142" s="370">
        <f>VLOOKUP($AA122,Schlüssel!$A$5:$EK$14,67)</f>
        <v>10</v>
      </c>
      <c r="AL142" s="371"/>
      <c r="AM142" s="370">
        <f>VLOOKUP($AA122,Schlüssel!$A$5:$EK$14,68)</f>
        <v>9</v>
      </c>
      <c r="AN142" s="371"/>
      <c r="AO142" s="370">
        <f>VLOOKUP($AA122,Schlüssel!$A$5:$EK$14,69)</f>
        <v>6</v>
      </c>
      <c r="AP142" s="371"/>
      <c r="AQ142" s="370">
        <f>VLOOKUP($AA122,Schlüssel!$A$5:$EK$14,70)</f>
        <v>4</v>
      </c>
      <c r="AR142" s="371"/>
      <c r="AS142" s="370">
        <f>VLOOKUP($AA122,Schlüssel!$A$5:$EK$14,71)</f>
        <v>1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58" t="str">
        <f t="shared" si="168"/>
        <v>Schanzer Ingolstadt 1</v>
      </c>
      <c r="E143" s="359" t="str">
        <f t="shared" si="168"/>
        <v/>
      </c>
      <c r="F143" s="358" t="str">
        <f t="shared" si="168"/>
        <v>Bajuwaren München 1</v>
      </c>
      <c r="G143" s="359" t="str">
        <f t="shared" si="168"/>
        <v/>
      </c>
      <c r="H143" s="358" t="str">
        <f t="shared" si="168"/>
        <v>BK München 3</v>
      </c>
      <c r="I143" s="359" t="str">
        <f t="shared" si="168"/>
        <v/>
      </c>
      <c r="J143" s="358" t="str">
        <f t="shared" si="168"/>
        <v>BC EMAX Unterföhring 2</v>
      </c>
      <c r="K143" s="359" t="str">
        <f t="shared" si="168"/>
        <v/>
      </c>
      <c r="L143" s="358" t="str">
        <f t="shared" si="169"/>
        <v>High Roller Rosenheim 1</v>
      </c>
      <c r="M143" s="359" t="str">
        <f t="shared" si="169"/>
        <v/>
      </c>
      <c r="N143" s="358" t="str">
        <f t="shared" si="169"/>
        <v>Bowlinghaus Bamberg 1</v>
      </c>
      <c r="O143" s="359" t="str">
        <f t="shared" si="169"/>
        <v/>
      </c>
      <c r="P143" s="358" t="str">
        <f t="shared" si="169"/>
        <v>SG Rottendorf 1</v>
      </c>
      <c r="Q143" s="359" t="str">
        <f t="shared" si="169"/>
        <v/>
      </c>
      <c r="R143" s="358" t="str">
        <f t="shared" si="169"/>
        <v>SG DJK Rimpar</v>
      </c>
      <c r="S143" s="359" t="str">
        <f t="shared" si="169"/>
        <v/>
      </c>
      <c r="T143" s="358" t="str">
        <f t="shared" si="169"/>
        <v>BC Comet Nürnberg</v>
      </c>
      <c r="U143" s="359" t="str">
        <f t="shared" si="169"/>
        <v/>
      </c>
      <c r="V143" s="363"/>
      <c r="W143" s="363"/>
      <c r="AA143" s="90"/>
      <c r="AB143" s="86"/>
      <c r="AC143" s="358" t="str">
        <f>VLOOKUP(AC142,Schlüssel!$A$5:$K$14,2)</f>
        <v>Schanzer Ingolstadt 1</v>
      </c>
      <c r="AD143" s="359"/>
      <c r="AE143" s="358" t="str">
        <f>VLOOKUP(AE142,Schlüssel!$A$5:$K$14,2)</f>
        <v>Bajuwaren München 1</v>
      </c>
      <c r="AF143" s="359"/>
      <c r="AG143" s="358" t="str">
        <f>VLOOKUP(AG142,Schlüssel!$A$5:$K$14,2)</f>
        <v>BK München 3</v>
      </c>
      <c r="AH143" s="359"/>
      <c r="AI143" s="358" t="str">
        <f>VLOOKUP(AI142,Schlüssel!$A$5:$K$14,2)</f>
        <v>BC EMAX Unterföhring 2</v>
      </c>
      <c r="AJ143" s="359"/>
      <c r="AK143" s="358" t="str">
        <f>VLOOKUP(AK142,Schlüssel!$A$5:$K$14,2)</f>
        <v>High Roller Rosenheim 1</v>
      </c>
      <c r="AL143" s="359"/>
      <c r="AM143" s="358" t="str">
        <f>VLOOKUP(AM142,Schlüssel!$A$5:$K$14,2)</f>
        <v>Bowlinghaus Bamberg 1</v>
      </c>
      <c r="AN143" s="359"/>
      <c r="AO143" s="358" t="str">
        <f>VLOOKUP(AO142,Schlüssel!$A$5:$K$14,2)</f>
        <v>SG Rottendorf 1</v>
      </c>
      <c r="AP143" s="359"/>
      <c r="AQ143" s="358" t="str">
        <f>VLOOKUP(AQ142,Schlüssel!$A$5:$K$14,2)</f>
        <v>SG DJK Rimpar</v>
      </c>
      <c r="AR143" s="359"/>
      <c r="AS143" s="358" t="str">
        <f>VLOOKUP(AS142,Schlüssel!$A$5:$K$14,2)</f>
        <v>BC Comet Nürnberg</v>
      </c>
      <c r="AT143" s="359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60" t="str">
        <f t="shared" si="168"/>
        <v/>
      </c>
      <c r="E144" s="360" t="str">
        <f t="shared" si="168"/>
        <v/>
      </c>
      <c r="F144" s="360" t="str">
        <f t="shared" si="168"/>
        <v/>
      </c>
      <c r="G144" s="360" t="str">
        <f t="shared" si="168"/>
        <v/>
      </c>
      <c r="H144" s="360" t="str">
        <f t="shared" si="168"/>
        <v/>
      </c>
      <c r="I144" s="360" t="str">
        <f t="shared" si="168"/>
        <v/>
      </c>
      <c r="J144" s="360" t="str">
        <f t="shared" si="168"/>
        <v/>
      </c>
      <c r="K144" s="360" t="str">
        <f t="shared" si="168"/>
        <v/>
      </c>
      <c r="L144" s="360" t="str">
        <f t="shared" si="169"/>
        <v/>
      </c>
      <c r="M144" s="360" t="str">
        <f t="shared" si="169"/>
        <v/>
      </c>
      <c r="N144" s="360" t="str">
        <f t="shared" si="169"/>
        <v/>
      </c>
      <c r="O144" s="360" t="str">
        <f t="shared" si="169"/>
        <v/>
      </c>
      <c r="P144" s="360" t="str">
        <f t="shared" si="169"/>
        <v/>
      </c>
      <c r="Q144" s="360" t="str">
        <f t="shared" si="169"/>
        <v/>
      </c>
      <c r="R144" s="360" t="str">
        <f t="shared" si="169"/>
        <v/>
      </c>
      <c r="S144" s="360" t="str">
        <f t="shared" si="169"/>
        <v/>
      </c>
      <c r="T144" s="360" t="str">
        <f t="shared" si="169"/>
        <v/>
      </c>
      <c r="U144" s="361" t="str">
        <f t="shared" si="169"/>
        <v/>
      </c>
      <c r="V144" s="298"/>
      <c r="W144" s="298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4" t="str">
        <f t="shared" ref="B145:C149" si="170">IF(AA145=0,"",AA145)</f>
        <v>Spieler 1</v>
      </c>
      <c r="C145" s="375" t="str">
        <f t="shared" si="170"/>
        <v/>
      </c>
      <c r="D145" s="362">
        <f>IF(AC145=301,"",AC145)</f>
        <v>148</v>
      </c>
      <c r="E145" s="362" t="str">
        <f>IF(AD145=0,"",AD145)</f>
        <v/>
      </c>
      <c r="F145" s="362">
        <f>IF(AE145=301,"",AE145)</f>
        <v>209</v>
      </c>
      <c r="G145" s="362" t="str">
        <f>IF(AF145=0,"",AF145)</f>
        <v/>
      </c>
      <c r="H145" s="362">
        <f>IF(AG145=301,"",AG145)</f>
        <v>203</v>
      </c>
      <c r="I145" s="362" t="str">
        <f>IF(AH145=0,"",AH145)</f>
        <v/>
      </c>
      <c r="J145" s="362">
        <f>IF(AI145=301,"",AI145)</f>
        <v>164</v>
      </c>
      <c r="K145" s="362" t="str">
        <f>IF(AJ145=0,"",AJ145)</f>
        <v/>
      </c>
      <c r="L145" s="362">
        <f>IF(AK145=301,"",AK145)</f>
        <v>142</v>
      </c>
      <c r="M145" s="362" t="str">
        <f>IF(AL145=0,"",AL145)</f>
        <v/>
      </c>
      <c r="N145" s="362">
        <f>IF(AM145=301,"",AM145)</f>
        <v>160</v>
      </c>
      <c r="O145" s="362" t="str">
        <f>IF(AN145=0,"",AN145)</f>
        <v/>
      </c>
      <c r="P145" s="362">
        <f>IF(AO145=301,"",AO145)</f>
        <v>158</v>
      </c>
      <c r="Q145" s="362" t="str">
        <f>IF(AP145=0,"",AP145)</f>
        <v/>
      </c>
      <c r="R145" s="362">
        <f>IF(AQ145=301,"",AQ145)</f>
        <v>194</v>
      </c>
      <c r="S145" s="362" t="str">
        <f>IF(AR145=0,"",AR145)</f>
        <v/>
      </c>
      <c r="T145" s="362">
        <f>IF(AS145=301,"",AS145)</f>
        <v>183</v>
      </c>
      <c r="U145" s="362" t="str">
        <f>IF(AT145=0,"",AT145)</f>
        <v/>
      </c>
      <c r="V145" s="364"/>
      <c r="W145" s="364"/>
      <c r="AA145" s="91" t="s">
        <v>0</v>
      </c>
      <c r="AB145" s="92"/>
      <c r="AC145" s="368">
        <f>ABS(INDEX(AC:AC,MATCH(AC142,$AA:$AA,0)+5)+INDEX(AC:AC,MATCH(AC142,$AA:$AA,0)+6)+INDEX(AC:AC,MATCH(AC142,$AA:$AA,0)+7))</f>
        <v>148</v>
      </c>
      <c r="AD145" s="369"/>
      <c r="AE145" s="368">
        <f>ABS(INDEX(AE:AE,MATCH(AE142,$AA:$AA,0)+5)+INDEX(AE:AE,MATCH(AE142,$AA:$AA,0)+6)+INDEX(AE:AE,MATCH(AE142,$AA:$AA,0)+7))</f>
        <v>209</v>
      </c>
      <c r="AF145" s="369"/>
      <c r="AG145" s="368">
        <f>ABS(INDEX(AG:AG,MATCH(AG142,$AA:$AA,0)+5)+INDEX(AG:AG,MATCH(AG142,$AA:$AA,0)+6)+INDEX(AG:AG,MATCH(AG142,$AA:$AA,0)+7))</f>
        <v>203</v>
      </c>
      <c r="AH145" s="369"/>
      <c r="AI145" s="368">
        <f>ABS(INDEX(AI:AI,MATCH(AI142,$AA:$AA,0)+5)+INDEX(AI:AI,MATCH(AI142,$AA:$AA,0)+6)+INDEX(AI:AI,MATCH(AI142,$AA:$AA,0)+7))</f>
        <v>164</v>
      </c>
      <c r="AJ145" s="369"/>
      <c r="AK145" s="368">
        <f>ABS(INDEX(AK:AK,MATCH(AK142,$AA:$AA,0)+5)+INDEX(AK:AK,MATCH(AK142,$AA:$AA,0)+6)+INDEX(AK:AK,MATCH(AK142,$AA:$AA,0)+7))</f>
        <v>142</v>
      </c>
      <c r="AL145" s="369"/>
      <c r="AM145" s="368">
        <f>ABS(INDEX(AM:AM,MATCH(AM142,$AA:$AA,0)+5)+INDEX(AM:AM,MATCH(AM142,$AA:$AA,0)+6)+INDEX(AM:AM,MATCH(AM142,$AA:$AA,0)+7))</f>
        <v>160</v>
      </c>
      <c r="AN145" s="369"/>
      <c r="AO145" s="368">
        <f>ABS(INDEX(AO:AO,MATCH(AO142,$AA:$AA,0)+5)+INDEX(AO:AO,MATCH(AO142,$AA:$AA,0)+6)+INDEX(AO:AO,MATCH(AO142,$AA:$AA,0)+7))</f>
        <v>158</v>
      </c>
      <c r="AP145" s="369"/>
      <c r="AQ145" s="368">
        <f>ABS(INDEX(AQ:AQ,MATCH(AQ142,$AA:$AA,0)+5)+INDEX(AQ:AQ,MATCH(AQ142,$AA:$AA,0)+6)+INDEX(AQ:AQ,MATCH(AQ142,$AA:$AA,0)+7))</f>
        <v>194</v>
      </c>
      <c r="AR145" s="369"/>
      <c r="AS145" s="368">
        <f>ABS(INDEX(AS:AS,MATCH(AS142,$AA:$AA,0)+5)+INDEX(AS:AS,MATCH(AS142,$AA:$AA,0)+6)+INDEX(AS:AS,MATCH(AS142,$AA:$AA,0)+7))</f>
        <v>183</v>
      </c>
      <c r="AT145" s="369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4" t="str">
        <f t="shared" si="170"/>
        <v>Spieler 2</v>
      </c>
      <c r="C146" s="375" t="str">
        <f t="shared" si="170"/>
        <v/>
      </c>
      <c r="D146" s="362">
        <f>IF(AC146=301,"",AC146)</f>
        <v>161</v>
      </c>
      <c r="E146" s="362" t="str">
        <f>IF(AD146=0,"",AD146)</f>
        <v/>
      </c>
      <c r="F146" s="362">
        <f>IF(AE146=301,"",AE146)</f>
        <v>154</v>
      </c>
      <c r="G146" s="362" t="str">
        <f>IF(AF146=0,"",AF146)</f>
        <v/>
      </c>
      <c r="H146" s="362">
        <f>IF(AG146=301,"",AG146)</f>
        <v>179</v>
      </c>
      <c r="I146" s="362" t="str">
        <f>IF(AH146=0,"",AH146)</f>
        <v/>
      </c>
      <c r="J146" s="362">
        <f>IF(AI146=301,"",AI146)</f>
        <v>169</v>
      </c>
      <c r="K146" s="362" t="str">
        <f>IF(AJ146=0,"",AJ146)</f>
        <v/>
      </c>
      <c r="L146" s="362">
        <f>IF(AK146=301,"",AK146)</f>
        <v>202</v>
      </c>
      <c r="M146" s="362" t="str">
        <f>IF(AL146=0,"",AL146)</f>
        <v/>
      </c>
      <c r="N146" s="362">
        <f>IF(AM146=301,"",AM146)</f>
        <v>179</v>
      </c>
      <c r="O146" s="362" t="str">
        <f>IF(AN146=0,"",AN146)</f>
        <v/>
      </c>
      <c r="P146" s="362">
        <f>IF(AO146=301,"",AO146)</f>
        <v>195</v>
      </c>
      <c r="Q146" s="362" t="str">
        <f>IF(AP146=0,"",AP146)</f>
        <v/>
      </c>
      <c r="R146" s="362">
        <f>IF(AQ146=301,"",AQ146)</f>
        <v>217</v>
      </c>
      <c r="S146" s="362" t="str">
        <f>IF(AR146=0,"",AR146)</f>
        <v/>
      </c>
      <c r="T146" s="362">
        <f>IF(AS146=301,"",AS146)</f>
        <v>197</v>
      </c>
      <c r="U146" s="362" t="str">
        <f>IF(AT146=0,"",AT146)</f>
        <v/>
      </c>
      <c r="V146" s="364"/>
      <c r="W146" s="364"/>
      <c r="AA146" s="91" t="s">
        <v>2</v>
      </c>
      <c r="AB146" s="92"/>
      <c r="AC146" s="366">
        <f>ABS(INDEX(AC:AC,MATCH(AC142,$AA:$AA,0)+8)+INDEX(AC:AC,MATCH(AC142,$AA:$AA,0)+9)+INDEX(AC:AC,MATCH(AC142,$AA:$AA,0)+10))</f>
        <v>161</v>
      </c>
      <c r="AD146" s="367"/>
      <c r="AE146" s="366">
        <f>ABS(INDEX(AE:AE,MATCH(AE142,$AA:$AA,0)+8)+INDEX(AE:AE,MATCH(AE142,$AA:$AA,0)+9)+INDEX(AE:AE,MATCH(AE142,$AA:$AA,0)+10))</f>
        <v>154</v>
      </c>
      <c r="AF146" s="367"/>
      <c r="AG146" s="366">
        <f>ABS(INDEX(AG:AG,MATCH(AG142,$AA:$AA,0)+8)+INDEX(AG:AG,MATCH(AG142,$AA:$AA,0)+9)+INDEX(AG:AG,MATCH(AG142,$AA:$AA,0)+10))</f>
        <v>179</v>
      </c>
      <c r="AH146" s="367"/>
      <c r="AI146" s="366">
        <f>ABS(INDEX(AI:AI,MATCH(AI142,$AA:$AA,0)+8)+INDEX(AI:AI,MATCH(AI142,$AA:$AA,0)+9)+INDEX(AI:AI,MATCH(AI142,$AA:$AA,0)+10))</f>
        <v>169</v>
      </c>
      <c r="AJ146" s="367"/>
      <c r="AK146" s="366">
        <f>ABS(INDEX(AK:AK,MATCH(AK142,$AA:$AA,0)+8)+INDEX(AK:AK,MATCH(AK142,$AA:$AA,0)+9)+INDEX(AK:AK,MATCH(AK142,$AA:$AA,0)+10))</f>
        <v>202</v>
      </c>
      <c r="AL146" s="367"/>
      <c r="AM146" s="366">
        <f>ABS(INDEX(AM:AM,MATCH(AM142,$AA:$AA,0)+8)+INDEX(AM:AM,MATCH(AM142,$AA:$AA,0)+9)+INDEX(AM:AM,MATCH(AM142,$AA:$AA,0)+10))</f>
        <v>179</v>
      </c>
      <c r="AN146" s="367"/>
      <c r="AO146" s="366">
        <f>ABS(INDEX(AO:AO,MATCH(AO142,$AA:$AA,0)+8)+INDEX(AO:AO,MATCH(AO142,$AA:$AA,0)+9)+INDEX(AO:AO,MATCH(AO142,$AA:$AA,0)+10))</f>
        <v>195</v>
      </c>
      <c r="AP146" s="367"/>
      <c r="AQ146" s="366">
        <f>ABS(INDEX(AQ:AQ,MATCH(AQ142,$AA:$AA,0)+8)+INDEX(AQ:AQ,MATCH(AQ142,$AA:$AA,0)+9)+INDEX(AQ:AQ,MATCH(AQ142,$AA:$AA,0)+10))</f>
        <v>217</v>
      </c>
      <c r="AR146" s="367"/>
      <c r="AS146" s="366">
        <f>ABS(INDEX(AS:AS,MATCH(AS142,$AA:$AA,0)+8)+INDEX(AS:AS,MATCH(AS142,$AA:$AA,0)+9)+INDEX(AS:AS,MATCH(AS142,$AA:$AA,0)+10))</f>
        <v>197</v>
      </c>
      <c r="AT146" s="367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4" t="str">
        <f t="shared" si="170"/>
        <v>Spieler 3</v>
      </c>
      <c r="C147" s="375" t="str">
        <f t="shared" si="170"/>
        <v/>
      </c>
      <c r="D147" s="362">
        <f>IF(AC147=301,"",AC147)</f>
        <v>149</v>
      </c>
      <c r="E147" s="362" t="str">
        <f>IF(AD147=0,"",AD147)</f>
        <v/>
      </c>
      <c r="F147" s="362">
        <f>IF(AE147=301,"",AE147)</f>
        <v>208</v>
      </c>
      <c r="G147" s="362" t="str">
        <f>IF(AF147=0,"",AF147)</f>
        <v/>
      </c>
      <c r="H147" s="362">
        <f>IF(AG147=301,"",AG147)</f>
        <v>246</v>
      </c>
      <c r="I147" s="362" t="str">
        <f>IF(AH147=0,"",AH147)</f>
        <v/>
      </c>
      <c r="J147" s="362">
        <f>IF(AI147=301,"",AI147)</f>
        <v>148</v>
      </c>
      <c r="K147" s="362" t="str">
        <f>IF(AJ147=0,"",AJ147)</f>
        <v/>
      </c>
      <c r="L147" s="362">
        <f>IF(AK147=301,"",AK147)</f>
        <v>184</v>
      </c>
      <c r="M147" s="362" t="str">
        <f>IF(AL147=0,"",AL147)</f>
        <v/>
      </c>
      <c r="N147" s="362">
        <f>IF(AM147=301,"",AM147)</f>
        <v>184</v>
      </c>
      <c r="O147" s="362" t="str">
        <f>IF(AN147=0,"",AN147)</f>
        <v/>
      </c>
      <c r="P147" s="362">
        <f>IF(AO147=301,"",AO147)</f>
        <v>182</v>
      </c>
      <c r="Q147" s="362" t="str">
        <f>IF(AP147=0,"",AP147)</f>
        <v/>
      </c>
      <c r="R147" s="362">
        <f>IF(AQ147=301,"",AQ147)</f>
        <v>166</v>
      </c>
      <c r="S147" s="362" t="str">
        <f>IF(AR147=0,"",AR147)</f>
        <v/>
      </c>
      <c r="T147" s="362">
        <f>IF(AS147=301,"",AS147)</f>
        <v>193</v>
      </c>
      <c r="U147" s="362" t="str">
        <f>IF(AT147=0,"",AT147)</f>
        <v/>
      </c>
      <c r="V147" s="364"/>
      <c r="W147" s="364"/>
      <c r="AA147" s="91" t="s">
        <v>3</v>
      </c>
      <c r="AB147" s="92"/>
      <c r="AC147" s="366">
        <f>ABS(INDEX(AC:AC,MATCH(AC142,$AA:$AA,0)+11)+INDEX(AC:AC,MATCH(AC142,$AA:$AA,0)+12)+INDEX(AC:AC,MATCH(AC142,$AA:$AA,0)+13))</f>
        <v>149</v>
      </c>
      <c r="AD147" s="367"/>
      <c r="AE147" s="366">
        <f>ABS(INDEX(AE:AE,MATCH(AE142,$AA:$AA,0)+11)+INDEX(AE:AE,MATCH(AE142,$AA:$AA,0)+12)+INDEX(AE:AE,MATCH(AE142,$AA:$AA,0)+13))</f>
        <v>208</v>
      </c>
      <c r="AF147" s="367"/>
      <c r="AG147" s="366">
        <f>ABS(INDEX(AG:AG,MATCH(AG142,$AA:$AA,0)+11)+INDEX(AG:AG,MATCH(AG142,$AA:$AA,0)+12)+INDEX(AG:AG,MATCH(AG142,$AA:$AA,0)+13))</f>
        <v>246</v>
      </c>
      <c r="AH147" s="367"/>
      <c r="AI147" s="366">
        <f>ABS(INDEX(AI:AI,MATCH(AI142,$AA:$AA,0)+11)+INDEX(AI:AI,MATCH(AI142,$AA:$AA,0)+12)+INDEX(AI:AI,MATCH(AI142,$AA:$AA,0)+13))</f>
        <v>148</v>
      </c>
      <c r="AJ147" s="367"/>
      <c r="AK147" s="366">
        <f>ABS(INDEX(AK:AK,MATCH(AK142,$AA:$AA,0)+11)+INDEX(AK:AK,MATCH(AK142,$AA:$AA,0)+12)+INDEX(AK:AK,MATCH(AK142,$AA:$AA,0)+13))</f>
        <v>184</v>
      </c>
      <c r="AL147" s="367"/>
      <c r="AM147" s="366">
        <f>ABS(INDEX(AM:AM,MATCH(AM142,$AA:$AA,0)+11)+INDEX(AM:AM,MATCH(AM142,$AA:$AA,0)+12)+INDEX(AM:AM,MATCH(AM142,$AA:$AA,0)+13))</f>
        <v>184</v>
      </c>
      <c r="AN147" s="367"/>
      <c r="AO147" s="366">
        <f>ABS(INDEX(AO:AO,MATCH(AO142,$AA:$AA,0)+11)+INDEX(AO:AO,MATCH(AO142,$AA:$AA,0)+12)+INDEX(AO:AO,MATCH(AO142,$AA:$AA,0)+13))</f>
        <v>182</v>
      </c>
      <c r="AP147" s="367"/>
      <c r="AQ147" s="366">
        <f>ABS(INDEX(AQ:AQ,MATCH(AQ142,$AA:$AA,0)+11)+INDEX(AQ:AQ,MATCH(AQ142,$AA:$AA,0)+12)+INDEX(AQ:AQ,MATCH(AQ142,$AA:$AA,0)+13))</f>
        <v>166</v>
      </c>
      <c r="AR147" s="367"/>
      <c r="AS147" s="366">
        <f>ABS(INDEX(AS:AS,MATCH(AS142,$AA:$AA,0)+11)+INDEX(AS:AS,MATCH(AS142,$AA:$AA,0)+12)+INDEX(AS:AS,MATCH(AS142,$AA:$AA,0)+13))</f>
        <v>193</v>
      </c>
      <c r="AT147" s="367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4" t="str">
        <f t="shared" si="170"/>
        <v>Spieler 4</v>
      </c>
      <c r="C148" s="375" t="str">
        <f t="shared" si="170"/>
        <v/>
      </c>
      <c r="D148" s="362">
        <f>IF(AC148=301,"",AC148)</f>
        <v>185</v>
      </c>
      <c r="E148" s="362" t="str">
        <f>IF(AD148=0,"",AD148)</f>
        <v/>
      </c>
      <c r="F148" s="362">
        <f>IF(AE148=301,"",AE148)</f>
        <v>236</v>
      </c>
      <c r="G148" s="362" t="str">
        <f>IF(AF148=0,"",AF148)</f>
        <v/>
      </c>
      <c r="H148" s="362">
        <f>IF(AG148=301,"",AG148)</f>
        <v>190</v>
      </c>
      <c r="I148" s="362" t="str">
        <f>IF(AH148=0,"",AH148)</f>
        <v/>
      </c>
      <c r="J148" s="362">
        <f>IF(AI148=301,"",AI148)</f>
        <v>181</v>
      </c>
      <c r="K148" s="362" t="str">
        <f>IF(AJ148=0,"",AJ148)</f>
        <v/>
      </c>
      <c r="L148" s="362">
        <f>IF(AK148=301,"",AK148)</f>
        <v>178</v>
      </c>
      <c r="M148" s="362" t="str">
        <f>IF(AL148=0,"",AL148)</f>
        <v/>
      </c>
      <c r="N148" s="362">
        <f>IF(AM148=301,"",AM148)</f>
        <v>170</v>
      </c>
      <c r="O148" s="362" t="str">
        <f>IF(AN148=0,"",AN148)</f>
        <v/>
      </c>
      <c r="P148" s="362">
        <f>IF(AO148=301,"",AO148)</f>
        <v>166</v>
      </c>
      <c r="Q148" s="362" t="str">
        <f>IF(AP148=0,"",AP148)</f>
        <v/>
      </c>
      <c r="R148" s="362">
        <f>IF(AQ148=301,"",AQ148)</f>
        <v>181</v>
      </c>
      <c r="S148" s="362" t="str">
        <f>IF(AR148=0,"",AR148)</f>
        <v/>
      </c>
      <c r="T148" s="362">
        <f>IF(AS148=301,"",AS148)</f>
        <v>190</v>
      </c>
      <c r="U148" s="362" t="str">
        <f>IF(AT148=0,"",AT148)</f>
        <v/>
      </c>
      <c r="V148" s="364"/>
      <c r="W148" s="364"/>
      <c r="AA148" s="91" t="s">
        <v>11</v>
      </c>
      <c r="AB148" s="92"/>
      <c r="AC148" s="366">
        <f>ABS(INDEX(AC:AC,MATCH(AC142,$AA:$AA,0)+14)+INDEX(AC:AC,MATCH(AC142,$AA:$AA,0)+15)+INDEX(AC:AC,MATCH(AC142,$AA:$AA,0)+16))</f>
        <v>185</v>
      </c>
      <c r="AD148" s="367"/>
      <c r="AE148" s="366">
        <f>ABS(INDEX(AE:AE,MATCH(AE142,$AA:$AA,0)+14)+INDEX(AE:AE,MATCH(AE142,$AA:$AA,0)+15)+INDEX(AE:AE,MATCH(AE142,$AA:$AA,0)+16))</f>
        <v>236</v>
      </c>
      <c r="AF148" s="367"/>
      <c r="AG148" s="366">
        <f>ABS(INDEX(AG:AG,MATCH(AG142,$AA:$AA,0)+14)+INDEX(AG:AG,MATCH(AG142,$AA:$AA,0)+15)+INDEX(AG:AG,MATCH(AG142,$AA:$AA,0)+16))</f>
        <v>190</v>
      </c>
      <c r="AH148" s="367"/>
      <c r="AI148" s="366">
        <f>ABS(INDEX(AI:AI,MATCH(AI142,$AA:$AA,0)+14)+INDEX(AI:AI,MATCH(AI142,$AA:$AA,0)+15)+INDEX(AI:AI,MATCH(AI142,$AA:$AA,0)+16))</f>
        <v>181</v>
      </c>
      <c r="AJ148" s="367"/>
      <c r="AK148" s="366">
        <f>ABS(INDEX(AK:AK,MATCH(AK142,$AA:$AA,0)+14)+INDEX(AK:AK,MATCH(AK142,$AA:$AA,0)+15)+INDEX(AK:AK,MATCH(AK142,$AA:$AA,0)+16))</f>
        <v>178</v>
      </c>
      <c r="AL148" s="367"/>
      <c r="AM148" s="366">
        <f>ABS(INDEX(AM:AM,MATCH(AM142,$AA:$AA,0)+14)+INDEX(AM:AM,MATCH(AM142,$AA:$AA,0)+15)+INDEX(AM:AM,MATCH(AM142,$AA:$AA,0)+16))</f>
        <v>170</v>
      </c>
      <c r="AN148" s="367"/>
      <c r="AO148" s="366">
        <f>ABS(INDEX(AO:AO,MATCH(AO142,$AA:$AA,0)+14)+INDEX(AO:AO,MATCH(AO142,$AA:$AA,0)+15)+INDEX(AO:AO,MATCH(AO142,$AA:$AA,0)+16))</f>
        <v>166</v>
      </c>
      <c r="AP148" s="367"/>
      <c r="AQ148" s="366">
        <f>ABS(INDEX(AQ:AQ,MATCH(AQ142,$AA:$AA,0)+14)+INDEX(AQ:AQ,MATCH(AQ142,$AA:$AA,0)+15)+INDEX(AQ:AQ,MATCH(AQ142,$AA:$AA,0)+16))</f>
        <v>181</v>
      </c>
      <c r="AR148" s="367"/>
      <c r="AS148" s="366">
        <f>ABS(INDEX(AS:AS,MATCH(AS142,$AA:$AA,0)+14)+INDEX(AS:AS,MATCH(AS142,$AA:$AA,0)+15)+INDEX(AS:AS,MATCH(AS142,$AA:$AA,0)+16))</f>
        <v>190</v>
      </c>
      <c r="AT148" s="367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6" t="str">
        <f t="shared" si="170"/>
        <v>Gesamt</v>
      </c>
      <c r="C149" s="347" t="str">
        <f t="shared" si="170"/>
        <v/>
      </c>
      <c r="D149" s="365">
        <f>IF(AC149=1505,"",AC149)</f>
        <v>643</v>
      </c>
      <c r="E149" s="365" t="str">
        <f>IF(AD149=0,"",AD149)</f>
        <v/>
      </c>
      <c r="F149" s="365">
        <f>IF(AE149=1505,"",AE149)</f>
        <v>807</v>
      </c>
      <c r="G149" s="365" t="str">
        <f>IF(AF149=0,"",AF149)</f>
        <v/>
      </c>
      <c r="H149" s="365">
        <f>IF(AG149=1505,"",AG149)</f>
        <v>818</v>
      </c>
      <c r="I149" s="365" t="str">
        <f>IF(AH149=0,"",AH149)</f>
        <v/>
      </c>
      <c r="J149" s="365">
        <f>IF(AI149=1505,"",AI149)</f>
        <v>662</v>
      </c>
      <c r="K149" s="365" t="str">
        <f>IF(AJ149=0,"",AJ149)</f>
        <v/>
      </c>
      <c r="L149" s="365">
        <f>IF(AK149=1505,"",AK149)</f>
        <v>706</v>
      </c>
      <c r="M149" s="365" t="str">
        <f>IF(AL149=0,"",AL149)</f>
        <v/>
      </c>
      <c r="N149" s="365">
        <f>IF(AM149=1505,"",AM149)</f>
        <v>693</v>
      </c>
      <c r="O149" s="365" t="str">
        <f>IF(AN149=0,"",AN149)</f>
        <v/>
      </c>
      <c r="P149" s="365">
        <f>IF(AO149=1505,"",AO149)</f>
        <v>701</v>
      </c>
      <c r="Q149" s="365" t="str">
        <f>IF(AP149=0,"",AP149)</f>
        <v/>
      </c>
      <c r="R149" s="365">
        <f>IF(AQ149=1505,"",AQ149)</f>
        <v>758</v>
      </c>
      <c r="S149" s="365" t="str">
        <f>IF(AR149=0,"",AR149)</f>
        <v/>
      </c>
      <c r="T149" s="365">
        <f>IF(AS149=1505,"",AS149)</f>
        <v>763</v>
      </c>
      <c r="U149" s="365" t="str">
        <f>IF(AT149=0,"",AT149)</f>
        <v/>
      </c>
      <c r="V149" s="301"/>
      <c r="W149" s="301"/>
      <c r="AA149" s="93" t="s">
        <v>1799</v>
      </c>
      <c r="AB149" s="94"/>
      <c r="AC149" s="346">
        <f>SUM(AC145:AC148)</f>
        <v>643</v>
      </c>
      <c r="AD149" s="347"/>
      <c r="AE149" s="346">
        <f>SUM(AE145:AE148)</f>
        <v>807</v>
      </c>
      <c r="AF149" s="347"/>
      <c r="AG149" s="346">
        <f>SUM(AG145:AG148)</f>
        <v>818</v>
      </c>
      <c r="AH149" s="347"/>
      <c r="AI149" s="346">
        <f>SUM(AI145:AI148)</f>
        <v>662</v>
      </c>
      <c r="AJ149" s="347"/>
      <c r="AK149" s="346">
        <f>SUM(AK145:AK148)</f>
        <v>706</v>
      </c>
      <c r="AL149" s="347"/>
      <c r="AM149" s="346">
        <f>SUM(AM145:AM148)</f>
        <v>693</v>
      </c>
      <c r="AN149" s="347"/>
      <c r="AO149" s="346">
        <f>SUM(AO145:AO148)</f>
        <v>701</v>
      </c>
      <c r="AP149" s="347"/>
      <c r="AQ149" s="346">
        <f>SUM(AQ145:AQ148)</f>
        <v>758</v>
      </c>
      <c r="AR149" s="347"/>
      <c r="AS149" s="346">
        <f>SUM(AS145:AS148)</f>
        <v>763</v>
      </c>
      <c r="AT149" s="347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5" t="str">
        <f>AE151</f>
        <v>Bayernliga Herren</v>
      </c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48"/>
      <c r="S151" s="49" t="s">
        <v>1794</v>
      </c>
      <c r="T151" s="50"/>
      <c r="U151" s="341" t="str">
        <f>AT151</f>
        <v>15.02./16.02.</v>
      </c>
      <c r="V151" s="342"/>
      <c r="W151" s="343"/>
      <c r="X151" s="372"/>
      <c r="Y151" s="373"/>
      <c r="Z151" s="373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41" t="str">
        <f>VLOOKUP(AS152,Spielorte!$A$1:$C$6,2)</f>
        <v>15.02./16.02.</v>
      </c>
      <c r="AU151" s="342"/>
      <c r="AV151" s="34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4" t="str">
        <f>AE152</f>
        <v>Regensburg Super Bowl</v>
      </c>
      <c r="G152" s="344"/>
      <c r="H152" s="344"/>
      <c r="I152" s="344"/>
      <c r="J152" s="344"/>
      <c r="K152" s="344"/>
      <c r="L152" s="344"/>
      <c r="M152" s="344"/>
      <c r="N152" s="344"/>
      <c r="O152" s="344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6</v>
      </c>
      <c r="AE154" s="65" t="s">
        <v>10</v>
      </c>
      <c r="AF154" s="44">
        <f>VLOOKUP(AA152,Schlüssel!$A$5:$DZ$14,74)</f>
        <v>4</v>
      </c>
      <c r="AG154" s="65" t="s">
        <v>10</v>
      </c>
      <c r="AH154" s="44">
        <f>VLOOKUP(AA152,Schlüssel!$A$5:$DZ$14,75)</f>
        <v>10</v>
      </c>
      <c r="AI154" s="65" t="s">
        <v>10</v>
      </c>
      <c r="AJ154" s="44">
        <f>VLOOKUP(AA152,Schlüssel!$A$5:$DZ$14,76)</f>
        <v>5</v>
      </c>
      <c r="AK154" s="65" t="s">
        <v>10</v>
      </c>
      <c r="AL154" s="44">
        <f>VLOOKUP(AA152,Schlüssel!$A$5:$DZ$14,77)</f>
        <v>8</v>
      </c>
      <c r="AM154" s="65" t="s">
        <v>10</v>
      </c>
      <c r="AN154" s="44">
        <f>VLOOKUP(AA152,Schlüssel!$A$5:$DZ$14,78)</f>
        <v>2</v>
      </c>
      <c r="AO154" s="65" t="s">
        <v>10</v>
      </c>
      <c r="AP154" s="44">
        <f>VLOOKUP(AA152,Schlüssel!$A$5:$DZ$14,79)</f>
        <v>9</v>
      </c>
      <c r="AQ154" s="65" t="s">
        <v>10</v>
      </c>
      <c r="AR154" s="44">
        <f>VLOOKUP(AA152,Schlüssel!$A$5:$DZ$14,80)</f>
        <v>3</v>
      </c>
      <c r="AS154" s="65" t="s">
        <v>10</v>
      </c>
      <c r="AT154" s="44">
        <f>VLOOKUP(AA152,Schlüssel!$A$5:$DZ$14,81)</f>
        <v>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6" t="s">
        <v>1800</v>
      </c>
      <c r="E155" s="347"/>
      <c r="F155" s="346" t="s">
        <v>1801</v>
      </c>
      <c r="G155" s="347"/>
      <c r="H155" s="346" t="s">
        <v>1802</v>
      </c>
      <c r="I155" s="347"/>
      <c r="J155" s="346" t="s">
        <v>1803</v>
      </c>
      <c r="K155" s="347"/>
      <c r="L155" s="346" t="s">
        <v>1804</v>
      </c>
      <c r="M155" s="347"/>
      <c r="N155" s="346" t="s">
        <v>1805</v>
      </c>
      <c r="O155" s="347"/>
      <c r="P155" s="346" t="s">
        <v>1806</v>
      </c>
      <c r="Q155" s="347"/>
      <c r="R155" s="346" t="s">
        <v>1807</v>
      </c>
      <c r="S155" s="347"/>
      <c r="T155" s="346" t="s">
        <v>1808</v>
      </c>
      <c r="U155" s="347"/>
      <c r="V155" s="354" t="s">
        <v>1799</v>
      </c>
      <c r="W155" s="355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6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149</v>
      </c>
      <c r="E157" s="348">
        <f>IF(AD157="","",AD157)</f>
        <v>0</v>
      </c>
      <c r="F157" s="75">
        <f t="shared" ref="F157:F170" si="171">IF(AE157=0,"",AE157)</f>
        <v>168</v>
      </c>
      <c r="G157" s="348">
        <f>IF(AF157="","",AF157)</f>
        <v>1</v>
      </c>
      <c r="H157" s="75">
        <f t="shared" ref="H157:H170" si="172">IF(AG157=0,"",AG157)</f>
        <v>158</v>
      </c>
      <c r="I157" s="348">
        <f>IF(AH157="","",AH157)</f>
        <v>0</v>
      </c>
      <c r="J157" s="75">
        <f t="shared" ref="J157:J170" si="173">IF(AI157=0,"",AI157)</f>
        <v>211</v>
      </c>
      <c r="K157" s="348">
        <f>IF(AJ157="","",AJ157)</f>
        <v>0</v>
      </c>
      <c r="L157" s="75">
        <f t="shared" ref="L157:L170" si="174">IF(AK157=0,"",AK157)</f>
        <v>157</v>
      </c>
      <c r="M157" s="348">
        <f>IF(AL157="","",AL157)</f>
        <v>0</v>
      </c>
      <c r="N157" s="75">
        <f>IF(AM157=0,"",AM157)</f>
        <v>158</v>
      </c>
      <c r="O157" s="348">
        <f>IF(AN157="","",AN157)</f>
        <v>0</v>
      </c>
      <c r="P157" s="75">
        <f t="shared" ref="P157:P170" si="175">IF(AO157=0,"",AO157)</f>
        <v>158</v>
      </c>
      <c r="Q157" s="348">
        <f>IF(AP157="","",AP157)</f>
        <v>0</v>
      </c>
      <c r="R157" s="75">
        <f t="shared" ref="R157:R170" si="176">IF(AQ157=0,"",AQ157)</f>
        <v>180</v>
      </c>
      <c r="S157" s="348">
        <f>IF(AR157="","",AR157)</f>
        <v>1</v>
      </c>
      <c r="T157" s="75">
        <f t="shared" ref="T157:T170" si="177">IF(AS157=0,"",AS157)</f>
        <v>161</v>
      </c>
      <c r="U157" s="348">
        <f>IF(AT157="","",AT157)</f>
        <v>0</v>
      </c>
      <c r="V157" s="75">
        <f t="shared" ref="V157:V170" si="178">IF(AU157=0,"",AU157)</f>
        <v>1500</v>
      </c>
      <c r="W157" s="348">
        <f>IF(AV157="","",AV157)</f>
        <v>2</v>
      </c>
      <c r="Z157" s="351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149</v>
      </c>
      <c r="AD157" s="109">
        <f>IF(SUM(AC157:AC159)+AC175=0,0,IF(SUM(AC157:AC159)=AC175,0.5,IF(SUM(AC157:AC159)&gt;AC175,1,0)))</f>
        <v>0</v>
      </c>
      <c r="AE157" s="185">
        <v>168</v>
      </c>
      <c r="AF157" s="109">
        <f>IF(SUM(AE157:AE159)+AE175=0,0,IF(SUM(AE157:AE159)=AE175,0.5,IF(SUM(AE157:AE159)&gt;AE175,1,0)))</f>
        <v>1</v>
      </c>
      <c r="AG157" s="185">
        <v>158</v>
      </c>
      <c r="AH157" s="109">
        <f>IF(SUM(AG157:AG159)+AG175=0,0,IF(SUM(AG157:AG159)=AG175,0.5,IF(SUM(AG157:AG159)&gt;AG175,1,0)))</f>
        <v>0</v>
      </c>
      <c r="AI157" s="185">
        <v>211</v>
      </c>
      <c r="AJ157" s="109">
        <f>IF(SUM(AI157:AI159)+AI175=0,0,IF(SUM(AI157:AI159)=AI175,0.5,IF(SUM(AI157:AI159)&gt;AI175,1,0)))</f>
        <v>0</v>
      </c>
      <c r="AK157" s="185">
        <v>157</v>
      </c>
      <c r="AL157" s="109">
        <f>IF(SUM(AK157:AK159)+AK175=0,0,IF(SUM(AK157:AK159)=AK175,0.5,IF(SUM(AK157:AK159)&gt;AK175,1,0)))</f>
        <v>0</v>
      </c>
      <c r="AM157" s="185">
        <v>158</v>
      </c>
      <c r="AN157" s="109">
        <f>IF(SUM(AM157:AM159)+AM175=0,0,IF(SUM(AM157:AM159)=AM175,0.5,IF(SUM(AM157:AM159)&gt;AM175,1,0)))</f>
        <v>0</v>
      </c>
      <c r="AO157" s="185">
        <v>158</v>
      </c>
      <c r="AP157" s="109">
        <f>IF(SUM(AO157:AO159)+AO175=0,0,IF(SUM(AO157:AO159)=AO175,0.5,IF(SUM(AO157:AO159)&gt;AO175,1,0)))</f>
        <v>0</v>
      </c>
      <c r="AQ157" s="185">
        <v>180</v>
      </c>
      <c r="AR157" s="109">
        <f>IF(SUM(AQ157:AQ159)+AQ175=0,0,IF(SUM(AQ157:AQ159)=AQ175,0.5,IF(SUM(AQ157:AQ159)&gt;AQ175,1,0)))</f>
        <v>1</v>
      </c>
      <c r="AS157" s="185">
        <v>161</v>
      </c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1500</v>
      </c>
      <c r="AV157" s="111">
        <f>SUM(AD157+AF157+AH157+AJ157+AL157+AN157+AP157+AR157+AT157)</f>
        <v>2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1500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0">IF(AC157=0,"",AC157)</f>
        <v>149</v>
      </c>
      <c r="BI157" s="215">
        <f t="shared" ref="BI157:BI168" si="181">IF(AE157=0,"",AE157)</f>
        <v>168</v>
      </c>
      <c r="BJ157" s="215">
        <f t="shared" ref="BJ157:BJ168" si="182">IF(AG157=0,"",AG157)</f>
        <v>158</v>
      </c>
      <c r="BK157" s="215">
        <f t="shared" ref="BK157:BK168" si="183">IF(AI157=0,"",AI157)</f>
        <v>211</v>
      </c>
      <c r="BL157" s="215">
        <f t="shared" ref="BL157:BL168" si="184">IF(AK157=0,"",AK157)</f>
        <v>157</v>
      </c>
      <c r="BM157" s="215">
        <f t="shared" ref="BM157:BM168" si="185">IF(AM157=0,"",AM157)</f>
        <v>158</v>
      </c>
      <c r="BN157" s="215">
        <f t="shared" ref="BN157:BN168" si="186">IF(AO157=0,"",AO157)</f>
        <v>158</v>
      </c>
      <c r="BO157" s="215">
        <f t="shared" ref="BO157:BO168" si="187">IF(AQ157=0,"",AQ157)</f>
        <v>180</v>
      </c>
      <c r="BP157" s="215">
        <f t="shared" ref="BP157:BP168" si="188">IF(AS157=0,"",AS157)</f>
        <v>161</v>
      </c>
      <c r="BQ157" s="216"/>
      <c r="BR157" s="214"/>
      <c r="BS157" s="215">
        <f>MAX(BH157:BP157)</f>
        <v>211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1500</v>
      </c>
      <c r="BX157" s="215">
        <f>IF(COUNTIF(BH157:BP157,"&gt;0")&lt;Spielorte!$A$23,0,BE157/Spielorte!$A$23)</f>
        <v>166.66666666666666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77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49"/>
      <c r="F158" s="78" t="str">
        <f t="shared" si="171"/>
        <v/>
      </c>
      <c r="G158" s="349"/>
      <c r="H158" s="78" t="str">
        <f t="shared" si="172"/>
        <v/>
      </c>
      <c r="I158" s="349"/>
      <c r="J158" s="78" t="str">
        <f t="shared" si="173"/>
        <v/>
      </c>
      <c r="K158" s="349"/>
      <c r="L158" s="78" t="str">
        <f t="shared" si="174"/>
        <v/>
      </c>
      <c r="M158" s="349"/>
      <c r="N158" s="78" t="str">
        <f t="shared" ref="N158:N170" si="191">IF(AM158=0,"",AM158)</f>
        <v/>
      </c>
      <c r="O158" s="349"/>
      <c r="P158" s="78" t="str">
        <f t="shared" si="175"/>
        <v/>
      </c>
      <c r="Q158" s="349"/>
      <c r="R158" s="78" t="str">
        <f t="shared" si="176"/>
        <v/>
      </c>
      <c r="S158" s="349"/>
      <c r="T158" s="78" t="str">
        <f t="shared" si="177"/>
        <v/>
      </c>
      <c r="U158" s="349"/>
      <c r="V158" s="78" t="str">
        <f t="shared" si="178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SG Rottendorf 1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8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0"/>
      <c r="F159" s="69" t="str">
        <f t="shared" si="171"/>
        <v/>
      </c>
      <c r="G159" s="350"/>
      <c r="H159" s="69" t="str">
        <f t="shared" si="172"/>
        <v/>
      </c>
      <c r="I159" s="350"/>
      <c r="J159" s="69" t="str">
        <f t="shared" si="173"/>
        <v/>
      </c>
      <c r="K159" s="350"/>
      <c r="L159" s="69" t="str">
        <f t="shared" si="174"/>
        <v/>
      </c>
      <c r="M159" s="350"/>
      <c r="N159" s="69" t="str">
        <f t="shared" si="191"/>
        <v/>
      </c>
      <c r="O159" s="350"/>
      <c r="P159" s="69" t="str">
        <f t="shared" si="175"/>
        <v/>
      </c>
      <c r="Q159" s="350"/>
      <c r="R159" s="69" t="str">
        <f t="shared" si="176"/>
        <v/>
      </c>
      <c r="S159" s="350"/>
      <c r="T159" s="69" t="str">
        <f t="shared" si="177"/>
        <v/>
      </c>
      <c r="U159" s="350"/>
      <c r="V159" s="69" t="str">
        <f t="shared" si="178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SG Rottendorf 1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76" t="s">
        <v>2</v>
      </c>
      <c r="B160" s="73" t="str">
        <f t="shared" si="190"/>
        <v>Reichardt, Stefan</v>
      </c>
      <c r="C160" s="74">
        <f t="shared" si="190"/>
        <v>16945</v>
      </c>
      <c r="D160" s="75">
        <f t="shared" si="190"/>
        <v>177</v>
      </c>
      <c r="E160" s="348">
        <f>IF(AD160="","",AD160)</f>
        <v>1</v>
      </c>
      <c r="F160" s="75">
        <f t="shared" si="171"/>
        <v>174</v>
      </c>
      <c r="G160" s="348">
        <f>IF(AF160="","",AF160)</f>
        <v>1</v>
      </c>
      <c r="H160" s="75">
        <f t="shared" si="172"/>
        <v>158</v>
      </c>
      <c r="I160" s="348">
        <f>IF(AH160="","",AH160)</f>
        <v>1</v>
      </c>
      <c r="J160" s="75">
        <f t="shared" si="173"/>
        <v>258</v>
      </c>
      <c r="K160" s="348">
        <f>IF(AJ160="","",AJ160)</f>
        <v>1</v>
      </c>
      <c r="L160" s="75">
        <f t="shared" si="174"/>
        <v>173</v>
      </c>
      <c r="M160" s="348">
        <f>IF(AL160="","",AL160)</f>
        <v>1</v>
      </c>
      <c r="N160" s="75">
        <f t="shared" si="191"/>
        <v>157</v>
      </c>
      <c r="O160" s="348">
        <f>IF(AN160="","",AN160)</f>
        <v>0</v>
      </c>
      <c r="P160" s="75">
        <f t="shared" si="175"/>
        <v>195</v>
      </c>
      <c r="Q160" s="348">
        <f>IF(AP160="","",AP160)</f>
        <v>1</v>
      </c>
      <c r="R160" s="75">
        <f t="shared" si="176"/>
        <v>165</v>
      </c>
      <c r="S160" s="348">
        <f>IF(AR160="","",AR160)</f>
        <v>1</v>
      </c>
      <c r="T160" s="75">
        <f t="shared" si="177"/>
        <v>158</v>
      </c>
      <c r="U160" s="348">
        <f>IF(AT160="","",AT160)</f>
        <v>1</v>
      </c>
      <c r="V160" s="75">
        <f t="shared" si="178"/>
        <v>1615</v>
      </c>
      <c r="W160" s="348">
        <f>IF(AV160="","",AV160)</f>
        <v>8</v>
      </c>
      <c r="Z160" s="351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177</v>
      </c>
      <c r="AD160" s="109">
        <f>IF(SUM(AC160:AC162)+AC176=0,0,IF(SUM(AC160:AC162)=AC176,0.5,IF(SUM(AC160:AC162)&gt;AC176,1,0)))</f>
        <v>1</v>
      </c>
      <c r="AE160" s="188">
        <v>174</v>
      </c>
      <c r="AF160" s="109">
        <f>IF(SUM(AE160:AE162)+AE176=0,0,IF(SUM(AE160:AE162)=AE176,0.5,IF(SUM(AE160:AE162)&gt;AE176,1,0)))</f>
        <v>1</v>
      </c>
      <c r="AG160" s="188">
        <v>158</v>
      </c>
      <c r="AH160" s="109">
        <f>IF(SUM(AG160:AG162)+AG176=0,0,IF(SUM(AG160:AG162)=AG176,0.5,IF(SUM(AG160:AG162)&gt;AG176,1,0)))</f>
        <v>1</v>
      </c>
      <c r="AI160" s="188">
        <v>258</v>
      </c>
      <c r="AJ160" s="109">
        <f>IF(SUM(AI160:AI162)+AI176=0,0,IF(SUM(AI160:AI162)=AI176,0.5,IF(SUM(AI160:AI162)&gt;AI176,1,0)))</f>
        <v>1</v>
      </c>
      <c r="AK160" s="188">
        <v>173</v>
      </c>
      <c r="AL160" s="109">
        <f>IF(SUM(AK160:AK162)+AK176=0,0,IF(SUM(AK160:AK162)=AK176,0.5,IF(SUM(AK160:AK162)&gt;AK176,1,0)))</f>
        <v>1</v>
      </c>
      <c r="AM160" s="188">
        <v>157</v>
      </c>
      <c r="AN160" s="109">
        <f>IF(SUM(AM160:AM162)+AM176=0,0,IF(SUM(AM160:AM162)=AM176,0.5,IF(SUM(AM160:AM162)&gt;AM176,1,0)))</f>
        <v>0</v>
      </c>
      <c r="AO160" s="188">
        <v>195</v>
      </c>
      <c r="AP160" s="109">
        <f>IF(SUM(AO160:AO162)+AO176=0,0,IF(SUM(AO160:AO162)=AO176,0.5,IF(SUM(AO160:AO162)&gt;AO176,1,0)))</f>
        <v>1</v>
      </c>
      <c r="AQ160" s="188">
        <v>165</v>
      </c>
      <c r="AR160" s="109">
        <f>IF(SUM(AQ160:AQ162)+AQ176=0,0,IF(SUM(AQ160:AQ162)=AQ176,0.5,IF(SUM(AQ160:AQ162)&gt;AQ176,1,0)))</f>
        <v>1</v>
      </c>
      <c r="AS160" s="188">
        <v>158</v>
      </c>
      <c r="AT160" s="109">
        <f>IF(SUM(AS160:AS162)+AS176=0,0,IF(SUM(AS160:AS162)=AS176,0.5,IF(SUM(AS160:AS162)&gt;AS176,1,0)))</f>
        <v>1</v>
      </c>
      <c r="AU160" s="110">
        <f t="shared" si="179"/>
        <v>1615</v>
      </c>
      <c r="AV160" s="111">
        <f>SUM(AD160+AF160+AH160+AJ160+AL160+AN160+AP160+AR160+AT160)</f>
        <v>8</v>
      </c>
      <c r="AW160" s="101"/>
      <c r="AX160" s="102"/>
      <c r="AZ160" s="63"/>
      <c r="BA160" s="212"/>
      <c r="BB160" s="213"/>
      <c r="BC160" s="214"/>
      <c r="BD160" s="217">
        <f t="shared" si="192"/>
        <v>16945</v>
      </c>
      <c r="BE160" s="213">
        <f t="shared" si="193"/>
        <v>1615</v>
      </c>
      <c r="BF160" s="215">
        <f t="shared" si="194"/>
        <v>9</v>
      </c>
      <c r="BG160" s="215">
        <f t="shared" si="195"/>
        <v>9</v>
      </c>
      <c r="BH160" s="215">
        <f t="shared" si="180"/>
        <v>177</v>
      </c>
      <c r="BI160" s="215">
        <f t="shared" si="181"/>
        <v>174</v>
      </c>
      <c r="BJ160" s="215">
        <f t="shared" si="182"/>
        <v>158</v>
      </c>
      <c r="BK160" s="215">
        <f t="shared" si="183"/>
        <v>258</v>
      </c>
      <c r="BL160" s="215">
        <f t="shared" si="184"/>
        <v>173</v>
      </c>
      <c r="BM160" s="215">
        <f t="shared" si="185"/>
        <v>157</v>
      </c>
      <c r="BN160" s="215">
        <f t="shared" si="186"/>
        <v>195</v>
      </c>
      <c r="BO160" s="215">
        <f t="shared" si="187"/>
        <v>165</v>
      </c>
      <c r="BP160" s="215">
        <f t="shared" si="188"/>
        <v>158</v>
      </c>
      <c r="BQ160" s="216"/>
      <c r="BR160" s="214"/>
      <c r="BS160" s="215">
        <f t="shared" si="196"/>
        <v>258</v>
      </c>
      <c r="BT160" s="215">
        <f t="shared" si="197"/>
        <v>0</v>
      </c>
      <c r="BU160" s="215" t="str">
        <f t="shared" si="198"/>
        <v>SG Rottendorf 1</v>
      </c>
      <c r="BV160" s="214">
        <f t="shared" si="199"/>
        <v>2</v>
      </c>
      <c r="BW160" s="215">
        <f t="shared" si="200"/>
        <v>1615</v>
      </c>
      <c r="BX160" s="215">
        <f>IF(COUNTIF(BH160:BP160,"&gt;0")&lt;Spielorte!$A$23,0,BE160/Spielorte!$A$23)</f>
        <v>179.44444444444446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77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9"/>
      <c r="F161" s="78" t="str">
        <f t="shared" si="171"/>
        <v/>
      </c>
      <c r="G161" s="349"/>
      <c r="H161" s="78" t="str">
        <f t="shared" si="172"/>
        <v/>
      </c>
      <c r="I161" s="349"/>
      <c r="J161" s="78" t="str">
        <f t="shared" si="173"/>
        <v/>
      </c>
      <c r="K161" s="349"/>
      <c r="L161" s="78" t="str">
        <f t="shared" si="174"/>
        <v/>
      </c>
      <c r="M161" s="349"/>
      <c r="N161" s="78" t="str">
        <f t="shared" si="191"/>
        <v/>
      </c>
      <c r="O161" s="349"/>
      <c r="P161" s="78" t="str">
        <f t="shared" si="175"/>
        <v/>
      </c>
      <c r="Q161" s="349"/>
      <c r="R161" s="78" t="str">
        <f t="shared" si="176"/>
        <v/>
      </c>
      <c r="S161" s="349"/>
      <c r="T161" s="78" t="str">
        <f t="shared" si="177"/>
        <v/>
      </c>
      <c r="U161" s="349"/>
      <c r="V161" s="78" t="str">
        <f t="shared" si="178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SG Rottendorf 1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8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0"/>
      <c r="F162" s="69" t="str">
        <f t="shared" si="171"/>
        <v/>
      </c>
      <c r="G162" s="350"/>
      <c r="H162" s="69" t="str">
        <f t="shared" si="172"/>
        <v/>
      </c>
      <c r="I162" s="350"/>
      <c r="J162" s="69" t="str">
        <f t="shared" si="173"/>
        <v/>
      </c>
      <c r="K162" s="350"/>
      <c r="L162" s="69" t="str">
        <f t="shared" si="174"/>
        <v/>
      </c>
      <c r="M162" s="350"/>
      <c r="N162" s="69" t="str">
        <f t="shared" si="191"/>
        <v/>
      </c>
      <c r="O162" s="350"/>
      <c r="P162" s="69" t="str">
        <f t="shared" si="175"/>
        <v/>
      </c>
      <c r="Q162" s="350"/>
      <c r="R162" s="69" t="str">
        <f t="shared" si="176"/>
        <v/>
      </c>
      <c r="S162" s="350"/>
      <c r="T162" s="69" t="str">
        <f t="shared" si="177"/>
        <v/>
      </c>
      <c r="U162" s="350"/>
      <c r="V162" s="69" t="str">
        <f t="shared" si="178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SG Rottendorf 1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76" t="s">
        <v>3</v>
      </c>
      <c r="B163" s="73" t="str">
        <f t="shared" si="190"/>
        <v>Stemmler, Patrick</v>
      </c>
      <c r="C163" s="74">
        <f t="shared" si="190"/>
        <v>16495</v>
      </c>
      <c r="D163" s="75">
        <f t="shared" si="190"/>
        <v>205</v>
      </c>
      <c r="E163" s="348">
        <f>IF(AD163="","",AD163)</f>
        <v>0.5</v>
      </c>
      <c r="F163" s="75">
        <f t="shared" si="171"/>
        <v>215</v>
      </c>
      <c r="G163" s="348">
        <f>IF(AF163="","",AF163)</f>
        <v>1</v>
      </c>
      <c r="H163" s="75">
        <f t="shared" si="172"/>
        <v>152</v>
      </c>
      <c r="I163" s="348">
        <f>IF(AH163="","",AH163)</f>
        <v>0</v>
      </c>
      <c r="J163" s="75">
        <f t="shared" si="173"/>
        <v>208</v>
      </c>
      <c r="K163" s="348">
        <f>IF(AJ163="","",AJ163)</f>
        <v>1</v>
      </c>
      <c r="L163" s="75">
        <f t="shared" si="174"/>
        <v>157</v>
      </c>
      <c r="M163" s="348">
        <f>IF(AL163="","",AL163)</f>
        <v>0</v>
      </c>
      <c r="N163" s="75">
        <f t="shared" si="191"/>
        <v>182</v>
      </c>
      <c r="O163" s="348">
        <f>IF(AN163="","",AN163)</f>
        <v>0.5</v>
      </c>
      <c r="P163" s="75">
        <f t="shared" si="175"/>
        <v>182</v>
      </c>
      <c r="Q163" s="348">
        <f>IF(AP163="","",AP163)</f>
        <v>1</v>
      </c>
      <c r="R163" s="75">
        <f t="shared" si="176"/>
        <v>221</v>
      </c>
      <c r="S163" s="348">
        <f>IF(AR163="","",AR163)</f>
        <v>1</v>
      </c>
      <c r="T163" s="75">
        <f t="shared" si="177"/>
        <v>170</v>
      </c>
      <c r="U163" s="348">
        <f>IF(AT163="","",AT163)</f>
        <v>1</v>
      </c>
      <c r="V163" s="75">
        <f t="shared" si="178"/>
        <v>1692</v>
      </c>
      <c r="W163" s="348">
        <f>IF(AV163="","",AV163)</f>
        <v>6</v>
      </c>
      <c r="Z163" s="351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205</v>
      </c>
      <c r="AD163" s="109">
        <f>IF(SUM(AC163:AC165)+AC177=0,0,IF(SUM(AC163:AC165)=AC177,0.5,IF(SUM(AC163:AC165)&gt;AC177,1,0)))</f>
        <v>0.5</v>
      </c>
      <c r="AE163" s="188">
        <v>215</v>
      </c>
      <c r="AF163" s="109">
        <f>IF(SUM(AE163:AE165)+AE177=0,0,IF(SUM(AE163:AE165)=AE177,0.5,IF(SUM(AE163:AE165)&gt;AE177,1,0)))</f>
        <v>1</v>
      </c>
      <c r="AG163" s="188">
        <v>152</v>
      </c>
      <c r="AH163" s="109">
        <f>IF(SUM(AG163:AG165)+AG177=0,0,IF(SUM(AG163:AG165)=AG177,0.5,IF(SUM(AG163:AG165)&gt;AG177,1,0)))</f>
        <v>0</v>
      </c>
      <c r="AI163" s="188">
        <v>208</v>
      </c>
      <c r="AJ163" s="109">
        <f>IF(SUM(AI163:AI165)+AI177=0,0,IF(SUM(AI163:AI165)=AI177,0.5,IF(SUM(AI163:AI165)&gt;AI177,1,0)))</f>
        <v>1</v>
      </c>
      <c r="AK163" s="188">
        <v>157</v>
      </c>
      <c r="AL163" s="109">
        <f>IF(SUM(AK163:AK165)+AK177=0,0,IF(SUM(AK163:AK165)=AK177,0.5,IF(SUM(AK163:AK165)&gt;AK177,1,0)))</f>
        <v>0</v>
      </c>
      <c r="AM163" s="188">
        <v>182</v>
      </c>
      <c r="AN163" s="109">
        <f>IF(SUM(AM163:AM165)+AM177=0,0,IF(SUM(AM163:AM165)=AM177,0.5,IF(SUM(AM163:AM165)&gt;AM177,1,0)))</f>
        <v>0.5</v>
      </c>
      <c r="AO163" s="188">
        <v>182</v>
      </c>
      <c r="AP163" s="109">
        <f>IF(SUM(AO163:AO165)+AO177=0,0,IF(SUM(AO163:AO165)=AO177,0.5,IF(SUM(AO163:AO165)&gt;AO177,1,0)))</f>
        <v>1</v>
      </c>
      <c r="AQ163" s="188">
        <v>221</v>
      </c>
      <c r="AR163" s="109">
        <f>IF(SUM(AQ163:AQ165)+AQ177=0,0,IF(SUM(AQ163:AQ165)=AQ177,0.5,IF(SUM(AQ163:AQ165)&gt;AQ177,1,0)))</f>
        <v>1</v>
      </c>
      <c r="AS163" s="188">
        <v>170</v>
      </c>
      <c r="AT163" s="109">
        <f>IF(SUM(AS163:AS165)+AS177=0,0,IF(SUM(AS163:AS165)=AS177,0.5,IF(SUM(AS163:AS165)&gt;AS177,1,0)))</f>
        <v>1</v>
      </c>
      <c r="AU163" s="110">
        <f t="shared" si="179"/>
        <v>1692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2"/>
        <v>16495</v>
      </c>
      <c r="BE163" s="213">
        <f t="shared" si="193"/>
        <v>1692</v>
      </c>
      <c r="BF163" s="215">
        <f t="shared" si="194"/>
        <v>9</v>
      </c>
      <c r="BG163" s="215">
        <f t="shared" si="195"/>
        <v>9</v>
      </c>
      <c r="BH163" s="215">
        <f t="shared" si="180"/>
        <v>205</v>
      </c>
      <c r="BI163" s="215">
        <f t="shared" si="181"/>
        <v>215</v>
      </c>
      <c r="BJ163" s="215">
        <f t="shared" si="182"/>
        <v>152</v>
      </c>
      <c r="BK163" s="215">
        <f t="shared" si="183"/>
        <v>208</v>
      </c>
      <c r="BL163" s="215">
        <f t="shared" si="184"/>
        <v>157</v>
      </c>
      <c r="BM163" s="215">
        <f t="shared" si="185"/>
        <v>182</v>
      </c>
      <c r="BN163" s="215">
        <f t="shared" si="186"/>
        <v>182</v>
      </c>
      <c r="BO163" s="215">
        <f t="shared" si="187"/>
        <v>221</v>
      </c>
      <c r="BP163" s="215">
        <f t="shared" si="188"/>
        <v>170</v>
      </c>
      <c r="BQ163" s="216"/>
      <c r="BR163" s="214"/>
      <c r="BS163" s="215">
        <f t="shared" si="196"/>
        <v>221</v>
      </c>
      <c r="BT163" s="215">
        <f t="shared" si="197"/>
        <v>0</v>
      </c>
      <c r="BU163" s="215" t="str">
        <f t="shared" si="198"/>
        <v>SG Rottendorf 1</v>
      </c>
      <c r="BV163" s="214">
        <f t="shared" si="199"/>
        <v>2</v>
      </c>
      <c r="BW163" s="215">
        <f t="shared" si="200"/>
        <v>1692</v>
      </c>
      <c r="BX163" s="215">
        <f>IF(COUNTIF(BH163:BP163,"&gt;0")&lt;Spielorte!$A$23,0,BE163/Spielorte!$A$23)</f>
        <v>188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77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49"/>
      <c r="F164" s="78" t="str">
        <f t="shared" si="171"/>
        <v/>
      </c>
      <c r="G164" s="349"/>
      <c r="H164" s="78" t="str">
        <f t="shared" si="172"/>
        <v/>
      </c>
      <c r="I164" s="349"/>
      <c r="J164" s="78" t="str">
        <f t="shared" si="173"/>
        <v/>
      </c>
      <c r="K164" s="349"/>
      <c r="L164" s="78" t="str">
        <f t="shared" si="174"/>
        <v/>
      </c>
      <c r="M164" s="349"/>
      <c r="N164" s="78" t="str">
        <f t="shared" si="191"/>
        <v/>
      </c>
      <c r="O164" s="349"/>
      <c r="P164" s="78" t="str">
        <f t="shared" si="175"/>
        <v/>
      </c>
      <c r="Q164" s="349"/>
      <c r="R164" s="78" t="str">
        <f t="shared" si="176"/>
        <v/>
      </c>
      <c r="S164" s="349"/>
      <c r="T164" s="78" t="str">
        <f t="shared" si="177"/>
        <v/>
      </c>
      <c r="U164" s="349"/>
      <c r="V164" s="78" t="str">
        <f t="shared" si="178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0</v>
      </c>
      <c r="BU164" s="215" t="str">
        <f t="shared" si="198"/>
        <v>SG Rottendorf 1</v>
      </c>
      <c r="BV164" s="214">
        <f t="shared" si="199"/>
        <v>2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8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0"/>
      <c r="F165" s="69" t="str">
        <f t="shared" si="171"/>
        <v/>
      </c>
      <c r="G165" s="350"/>
      <c r="H165" s="69" t="str">
        <f t="shared" si="172"/>
        <v/>
      </c>
      <c r="I165" s="350"/>
      <c r="J165" s="69" t="str">
        <f t="shared" si="173"/>
        <v/>
      </c>
      <c r="K165" s="350"/>
      <c r="L165" s="69" t="str">
        <f t="shared" si="174"/>
        <v/>
      </c>
      <c r="M165" s="350"/>
      <c r="N165" s="69" t="str">
        <f t="shared" si="191"/>
        <v/>
      </c>
      <c r="O165" s="350"/>
      <c r="P165" s="69" t="str">
        <f t="shared" si="175"/>
        <v/>
      </c>
      <c r="Q165" s="350"/>
      <c r="R165" s="69" t="str">
        <f t="shared" si="176"/>
        <v/>
      </c>
      <c r="S165" s="350"/>
      <c r="T165" s="69" t="str">
        <f t="shared" si="177"/>
        <v/>
      </c>
      <c r="U165" s="350"/>
      <c r="V165" s="69" t="str">
        <f t="shared" si="178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SG Rottendorf 1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76" t="s">
        <v>11</v>
      </c>
      <c r="B166" s="73" t="str">
        <f>IF(AA166=0,"",AA166)</f>
        <v>Wendel, Dominik</v>
      </c>
      <c r="C166" s="74">
        <f t="shared" si="190"/>
        <v>16852</v>
      </c>
      <c r="D166" s="75">
        <f t="shared" si="190"/>
        <v>152</v>
      </c>
      <c r="E166" s="348">
        <f>IF(AD166="","",AD166)</f>
        <v>1</v>
      </c>
      <c r="F166" s="75">
        <f t="shared" si="171"/>
        <v>232</v>
      </c>
      <c r="G166" s="348">
        <f>IF(AF166="","",AF166)</f>
        <v>1</v>
      </c>
      <c r="H166" s="75">
        <f t="shared" si="172"/>
        <v>190</v>
      </c>
      <c r="I166" s="348">
        <f>IF(AH166="","",AH166)</f>
        <v>1</v>
      </c>
      <c r="J166" s="75">
        <f t="shared" si="173"/>
        <v>190</v>
      </c>
      <c r="K166" s="348">
        <f>IF(AJ166="","",AJ166)</f>
        <v>1</v>
      </c>
      <c r="L166" s="75">
        <f t="shared" si="174"/>
        <v>178</v>
      </c>
      <c r="M166" s="348">
        <f>IF(AL166="","",AL166)</f>
        <v>0</v>
      </c>
      <c r="N166" s="75">
        <f t="shared" si="191"/>
        <v>203</v>
      </c>
      <c r="O166" s="348">
        <f>IF(AN166="","",AN166)</f>
        <v>1</v>
      </c>
      <c r="P166" s="75">
        <f t="shared" si="175"/>
        <v>166</v>
      </c>
      <c r="Q166" s="348">
        <f>IF(AP166="","",AP166)</f>
        <v>0</v>
      </c>
      <c r="R166" s="75">
        <f t="shared" si="176"/>
        <v>162</v>
      </c>
      <c r="S166" s="348">
        <f>IF(AR166="","",AR166)</f>
        <v>0</v>
      </c>
      <c r="T166" s="75">
        <f t="shared" si="177"/>
        <v>221</v>
      </c>
      <c r="U166" s="348">
        <f>IF(AT166="","",AT166)</f>
        <v>1</v>
      </c>
      <c r="V166" s="75">
        <f t="shared" si="178"/>
        <v>1694</v>
      </c>
      <c r="W166" s="348">
        <f>IF(AV166="","",AV166)</f>
        <v>6</v>
      </c>
      <c r="Z166" s="351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152</v>
      </c>
      <c r="AD166" s="109">
        <f>IF(SUM(AC166:AC168)+AC178=0,0,IF(SUM(AC166:AC168)=AC178,0.5,IF(SUM(AC166:AC168)&gt;AC178,1,0)))</f>
        <v>1</v>
      </c>
      <c r="AE166" s="188">
        <v>232</v>
      </c>
      <c r="AF166" s="109">
        <f>IF(SUM(AE166:AE168)+AE178=0,0,IF(SUM(AE166:AE168)=AE178,0.5,IF(SUM(AE166:AE168)&gt;AE178,1,0)))</f>
        <v>1</v>
      </c>
      <c r="AG166" s="188">
        <v>190</v>
      </c>
      <c r="AH166" s="109">
        <f>IF(SUM(AG166:AG168)+AG178=0,0,IF(SUM(AG166:AG168)=AG178,0.5,IF(SUM(AG166:AG168)&gt;AG178,1,0)))</f>
        <v>1</v>
      </c>
      <c r="AI166" s="188">
        <v>190</v>
      </c>
      <c r="AJ166" s="109">
        <f>IF(SUM(AI166:AI168)+AI178=0,0,IF(SUM(AI166:AI168)=AI178,0.5,IF(SUM(AI166:AI168)&gt;AI178,1,0)))</f>
        <v>1</v>
      </c>
      <c r="AK166" s="188">
        <v>178</v>
      </c>
      <c r="AL166" s="109">
        <f>IF(SUM(AK166:AK168)+AK178=0,0,IF(SUM(AK166:AK168)=AK178,0.5,IF(SUM(AK166:AK168)&gt;AK178,1,0)))</f>
        <v>0</v>
      </c>
      <c r="AM166" s="188">
        <v>203</v>
      </c>
      <c r="AN166" s="109">
        <f>IF(SUM(AM166:AM168)+AM178=0,0,IF(SUM(AM166:AM168)=AM178,0.5,IF(SUM(AM166:AM168)&gt;AM178,1,0)))</f>
        <v>1</v>
      </c>
      <c r="AO166" s="188">
        <v>166</v>
      </c>
      <c r="AP166" s="109">
        <f>IF(SUM(AO166:AO168)+AO178=0,0,IF(SUM(AO166:AO168)=AO178,0.5,IF(SUM(AO166:AO168)&gt;AO178,1,0)))</f>
        <v>0</v>
      </c>
      <c r="AQ166" s="188">
        <v>162</v>
      </c>
      <c r="AR166" s="109">
        <f>IF(SUM(AQ166:AQ168)+AQ178=0,0,IF(SUM(AQ166:AQ168)=AQ178,0.5,IF(SUM(AQ166:AQ168)&gt;AQ178,1,0)))</f>
        <v>0</v>
      </c>
      <c r="AS166" s="188">
        <v>221</v>
      </c>
      <c r="AT166" s="109">
        <f>IF(SUM(AS166:AS168)+AS178=0,0,IF(SUM(AS166:AS168)=AS178,0.5,IF(SUM(AS166:AS168)&gt;AS178,1,0)))</f>
        <v>1</v>
      </c>
      <c r="AU166" s="110">
        <f t="shared" si="179"/>
        <v>1694</v>
      </c>
      <c r="AV166" s="111">
        <f>SUM(AD166+AF166+AH166+AJ166+AL166+AN166+AP166+AR166+AT166)</f>
        <v>6</v>
      </c>
      <c r="AW166" s="101"/>
      <c r="AX166" s="102"/>
      <c r="AZ166" s="63"/>
      <c r="BA166" s="212"/>
      <c r="BB166" s="213"/>
      <c r="BC166" s="214"/>
      <c r="BD166" s="217">
        <f t="shared" si="192"/>
        <v>16852</v>
      </c>
      <c r="BE166" s="213">
        <f t="shared" si="193"/>
        <v>1694</v>
      </c>
      <c r="BF166" s="215">
        <f t="shared" si="194"/>
        <v>9</v>
      </c>
      <c r="BG166" s="215">
        <f t="shared" si="195"/>
        <v>9</v>
      </c>
      <c r="BH166" s="215">
        <f t="shared" si="180"/>
        <v>152</v>
      </c>
      <c r="BI166" s="215">
        <f t="shared" si="181"/>
        <v>232</v>
      </c>
      <c r="BJ166" s="215">
        <f t="shared" si="182"/>
        <v>190</v>
      </c>
      <c r="BK166" s="215">
        <f t="shared" si="183"/>
        <v>190</v>
      </c>
      <c r="BL166" s="215">
        <f t="shared" si="184"/>
        <v>178</v>
      </c>
      <c r="BM166" s="215">
        <f t="shared" si="185"/>
        <v>203</v>
      </c>
      <c r="BN166" s="215">
        <f t="shared" si="186"/>
        <v>166</v>
      </c>
      <c r="BO166" s="215">
        <f t="shared" si="187"/>
        <v>162</v>
      </c>
      <c r="BP166" s="215">
        <f t="shared" si="188"/>
        <v>221</v>
      </c>
      <c r="BQ166" s="216"/>
      <c r="BR166" s="214"/>
      <c r="BS166" s="215">
        <f t="shared" si="196"/>
        <v>232</v>
      </c>
      <c r="BT166" s="215">
        <f t="shared" si="197"/>
        <v>0</v>
      </c>
      <c r="BU166" s="215" t="str">
        <f t="shared" si="198"/>
        <v>SG Rottendorf 1</v>
      </c>
      <c r="BV166" s="214">
        <f t="shared" si="199"/>
        <v>2</v>
      </c>
      <c r="BW166" s="215">
        <f t="shared" si="200"/>
        <v>1694</v>
      </c>
      <c r="BX166" s="215">
        <f>IF(COUNTIF(BH166:BP166,"&gt;0")&lt;Spielorte!$A$23,0,BE166/Spielorte!$A$23)</f>
        <v>188.22222222222223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77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9"/>
      <c r="F167" s="78" t="str">
        <f t="shared" si="171"/>
        <v/>
      </c>
      <c r="G167" s="349"/>
      <c r="H167" s="78" t="str">
        <f t="shared" si="172"/>
        <v/>
      </c>
      <c r="I167" s="349"/>
      <c r="J167" s="78" t="str">
        <f t="shared" si="173"/>
        <v/>
      </c>
      <c r="K167" s="349"/>
      <c r="L167" s="78" t="str">
        <f t="shared" si="174"/>
        <v/>
      </c>
      <c r="M167" s="349"/>
      <c r="N167" s="78" t="str">
        <f t="shared" si="191"/>
        <v/>
      </c>
      <c r="O167" s="349"/>
      <c r="P167" s="78" t="str">
        <f t="shared" si="175"/>
        <v/>
      </c>
      <c r="Q167" s="349"/>
      <c r="R167" s="78" t="str">
        <f t="shared" si="176"/>
        <v/>
      </c>
      <c r="S167" s="349"/>
      <c r="T167" s="78" t="str">
        <f t="shared" si="177"/>
        <v/>
      </c>
      <c r="U167" s="349"/>
      <c r="V167" s="78" t="str">
        <f t="shared" si="178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SG Rottendorf 1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8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0"/>
      <c r="F168" s="69" t="str">
        <f t="shared" si="171"/>
        <v/>
      </c>
      <c r="G168" s="350"/>
      <c r="H168" s="69" t="str">
        <f t="shared" si="172"/>
        <v/>
      </c>
      <c r="I168" s="350"/>
      <c r="J168" s="69" t="str">
        <f t="shared" si="173"/>
        <v/>
      </c>
      <c r="K168" s="350"/>
      <c r="L168" s="69" t="str">
        <f t="shared" si="174"/>
        <v/>
      </c>
      <c r="M168" s="350"/>
      <c r="N168" s="69" t="str">
        <f t="shared" si="191"/>
        <v/>
      </c>
      <c r="O168" s="350"/>
      <c r="P168" s="69" t="str">
        <f t="shared" si="175"/>
        <v/>
      </c>
      <c r="Q168" s="350"/>
      <c r="R168" s="69" t="str">
        <f t="shared" si="176"/>
        <v/>
      </c>
      <c r="S168" s="350"/>
      <c r="T168" s="69" t="str">
        <f t="shared" si="177"/>
        <v/>
      </c>
      <c r="U168" s="350"/>
      <c r="V168" s="69" t="str">
        <f t="shared" si="178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SG Rottendorf 1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683</v>
      </c>
      <c r="E169" s="84">
        <f>IF(AD169="","",AD169)</f>
        <v>2</v>
      </c>
      <c r="F169" s="83">
        <f t="shared" si="171"/>
        <v>789</v>
      </c>
      <c r="G169" s="84">
        <f>IF(AF169="","",AF169)</f>
        <v>2</v>
      </c>
      <c r="H169" s="83">
        <f t="shared" si="172"/>
        <v>658</v>
      </c>
      <c r="I169" s="84">
        <f>IF(AH169="","",AH169)</f>
        <v>0</v>
      </c>
      <c r="J169" s="83">
        <f t="shared" si="173"/>
        <v>867</v>
      </c>
      <c r="K169" s="84">
        <f>IF(AJ169="","",AJ169)</f>
        <v>2</v>
      </c>
      <c r="L169" s="83">
        <f t="shared" si="174"/>
        <v>665</v>
      </c>
      <c r="M169" s="84">
        <f>IF(AL169="","",AL169)</f>
        <v>0</v>
      </c>
      <c r="N169" s="83">
        <f t="shared" si="191"/>
        <v>700</v>
      </c>
      <c r="O169" s="84">
        <f>IF(AN169="","",AN169)</f>
        <v>0</v>
      </c>
      <c r="P169" s="83">
        <f t="shared" si="175"/>
        <v>701</v>
      </c>
      <c r="Q169" s="84">
        <f>IF(AP169="","",AP169)</f>
        <v>0</v>
      </c>
      <c r="R169" s="83">
        <f t="shared" si="176"/>
        <v>728</v>
      </c>
      <c r="S169" s="84">
        <f>IF(AR169="","",AR169)</f>
        <v>2</v>
      </c>
      <c r="T169" s="83">
        <f t="shared" si="177"/>
        <v>710</v>
      </c>
      <c r="U169" s="84">
        <f>IF(AT169="","",AT169)</f>
        <v>2</v>
      </c>
      <c r="V169" s="83">
        <f t="shared" si="178"/>
        <v>6501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683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789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658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867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665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700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701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728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710</v>
      </c>
      <c r="AT169" s="121">
        <f>IF(AS169+AS179=0,0,IF(AS169=AS179,1,IF(AS169&gt;AS179,2,0)))</f>
        <v>2</v>
      </c>
      <c r="AU169" s="122">
        <f>SUM(AC169+AE169+AG169+AI169+AK169+AM169+AO169+AQ169+AS169)</f>
        <v>6501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4.5</v>
      </c>
      <c r="F170" s="86" t="str">
        <f t="shared" si="171"/>
        <v/>
      </c>
      <c r="G170" s="87">
        <f>IF(AF170="","",AF170)</f>
        <v>6</v>
      </c>
      <c r="H170" s="86" t="str">
        <f t="shared" si="172"/>
        <v/>
      </c>
      <c r="I170" s="87">
        <f>IF(AH170="","",AH170)</f>
        <v>2</v>
      </c>
      <c r="J170" s="86" t="str">
        <f t="shared" si="173"/>
        <v/>
      </c>
      <c r="K170" s="87">
        <f>IF(AJ170="","",AJ170)</f>
        <v>5</v>
      </c>
      <c r="L170" s="86" t="str">
        <f t="shared" si="174"/>
        <v/>
      </c>
      <c r="M170" s="87">
        <f>IF(AL170="","",AL170)</f>
        <v>1</v>
      </c>
      <c r="N170" s="86" t="str">
        <f t="shared" si="191"/>
        <v/>
      </c>
      <c r="O170" s="87">
        <f>IF(AN170="","",AN170)</f>
        <v>1.5</v>
      </c>
      <c r="P170" s="86" t="str">
        <f t="shared" si="175"/>
        <v/>
      </c>
      <c r="Q170" s="87">
        <f>IF(AP170="","",AP170)</f>
        <v>2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5</v>
      </c>
      <c r="V170" s="86" t="str">
        <f t="shared" si="178"/>
        <v/>
      </c>
      <c r="W170" s="87">
        <f>IF(AV170="","",AV170)</f>
        <v>32</v>
      </c>
      <c r="AA170" s="85" t="s">
        <v>1814</v>
      </c>
      <c r="AB170" s="86"/>
      <c r="AC170" s="86"/>
      <c r="AD170" s="124">
        <f>SUM(AD157:AD169)</f>
        <v>4.5</v>
      </c>
      <c r="AE170" s="86"/>
      <c r="AF170" s="124">
        <f>SUM(AF157:AF169)</f>
        <v>6</v>
      </c>
      <c r="AG170" s="86"/>
      <c r="AH170" s="124">
        <f>SUM(AH157:AH169)</f>
        <v>2</v>
      </c>
      <c r="AI170" s="86"/>
      <c r="AJ170" s="124">
        <f>SUM(AJ157:AJ169)</f>
        <v>5</v>
      </c>
      <c r="AK170" s="86"/>
      <c r="AL170" s="124">
        <f>SUM(AL157:AL169)</f>
        <v>1</v>
      </c>
      <c r="AM170" s="86"/>
      <c r="AN170" s="124">
        <f>SUM(AN157:AN169)</f>
        <v>1.5</v>
      </c>
      <c r="AO170" s="86"/>
      <c r="AP170" s="124">
        <f>SUM(AP157:AP169)</f>
        <v>2</v>
      </c>
      <c r="AQ170" s="86"/>
      <c r="AR170" s="124">
        <f>SUM(AR157:AR169)</f>
        <v>5</v>
      </c>
      <c r="AS170" s="86"/>
      <c r="AT170" s="124">
        <f>SUM(AT157:AT169)</f>
        <v>5</v>
      </c>
      <c r="AU170" s="86"/>
      <c r="AV170" s="125">
        <f>SUM(AV157:AV169)</f>
        <v>32</v>
      </c>
      <c r="AW170" s="101"/>
      <c r="AX170" s="102"/>
      <c r="BA170" s="212">
        <f>+AV170</f>
        <v>32</v>
      </c>
      <c r="BB170" s="213">
        <f>+AU169</f>
        <v>6501</v>
      </c>
      <c r="BC170" s="214">
        <f>+AA152</f>
        <v>6</v>
      </c>
      <c r="BF170" s="215">
        <f>SUM(BF151:BF169)</f>
        <v>36</v>
      </c>
      <c r="BQ170" s="212">
        <f>+BB170/1000000+BA170</f>
        <v>32.006501</v>
      </c>
      <c r="BR170" s="214">
        <f>RANK(BQ170,BQ:BQ)</f>
        <v>4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6">
        <f t="shared" si="202"/>
        <v>9</v>
      </c>
      <c r="E172" s="356" t="str">
        <f t="shared" si="202"/>
        <v/>
      </c>
      <c r="F172" s="356">
        <f t="shared" si="202"/>
        <v>10</v>
      </c>
      <c r="G172" s="356" t="str">
        <f t="shared" si="202"/>
        <v/>
      </c>
      <c r="H172" s="356">
        <f t="shared" si="202"/>
        <v>8</v>
      </c>
      <c r="I172" s="356" t="str">
        <f t="shared" si="202"/>
        <v/>
      </c>
      <c r="J172" s="356">
        <f t="shared" si="202"/>
        <v>2</v>
      </c>
      <c r="K172" s="356" t="str">
        <f t="shared" si="202"/>
        <v/>
      </c>
      <c r="L172" s="356">
        <f t="shared" ref="L172:U174" si="203">IF(AK172=0,"",AK172)</f>
        <v>1</v>
      </c>
      <c r="M172" s="356" t="str">
        <f t="shared" si="203"/>
        <v/>
      </c>
      <c r="N172" s="356">
        <f t="shared" si="203"/>
        <v>3</v>
      </c>
      <c r="O172" s="356" t="str">
        <f t="shared" si="203"/>
        <v/>
      </c>
      <c r="P172" s="356">
        <f t="shared" si="203"/>
        <v>5</v>
      </c>
      <c r="Q172" s="356" t="str">
        <f t="shared" si="203"/>
        <v/>
      </c>
      <c r="R172" s="356">
        <f t="shared" si="203"/>
        <v>7</v>
      </c>
      <c r="S172" s="356" t="str">
        <f t="shared" si="203"/>
        <v/>
      </c>
      <c r="T172" s="356">
        <f t="shared" si="203"/>
        <v>4</v>
      </c>
      <c r="U172" s="356" t="str">
        <f t="shared" si="203"/>
        <v/>
      </c>
      <c r="V172" s="357"/>
      <c r="W172" s="357"/>
      <c r="AA172" s="88" t="s">
        <v>1797</v>
      </c>
      <c r="AB172" s="89" t="s">
        <v>1798</v>
      </c>
      <c r="AC172" s="370">
        <f>VLOOKUP($AA152,Schlüssel!$A$5:$DG$14,63)</f>
        <v>9</v>
      </c>
      <c r="AD172" s="371"/>
      <c r="AE172" s="370">
        <f>VLOOKUP($AA152,Schlüssel!$A$5:$EK$14,64)</f>
        <v>10</v>
      </c>
      <c r="AF172" s="371"/>
      <c r="AG172" s="370">
        <f>VLOOKUP($AA152,Schlüssel!$A$5:$EK$14,65)</f>
        <v>8</v>
      </c>
      <c r="AH172" s="371"/>
      <c r="AI172" s="370">
        <f>VLOOKUP($AA152,Schlüssel!$A$5:$EK$14,66)</f>
        <v>2</v>
      </c>
      <c r="AJ172" s="371"/>
      <c r="AK172" s="370">
        <f>VLOOKUP($AA152,Schlüssel!$A$5:$EK$14,67)</f>
        <v>1</v>
      </c>
      <c r="AL172" s="371"/>
      <c r="AM172" s="370">
        <f>VLOOKUP($AA152,Schlüssel!$A$5:$EK$14,68)</f>
        <v>3</v>
      </c>
      <c r="AN172" s="371"/>
      <c r="AO172" s="370">
        <f>VLOOKUP($AA152,Schlüssel!$A$5:$EK$14,69)</f>
        <v>5</v>
      </c>
      <c r="AP172" s="371"/>
      <c r="AQ172" s="370">
        <f>VLOOKUP($AA152,Schlüssel!$A$5:$EK$14,70)</f>
        <v>7</v>
      </c>
      <c r="AR172" s="371"/>
      <c r="AS172" s="370">
        <f>VLOOKUP($AA152,Schlüssel!$A$5:$EK$14,71)</f>
        <v>4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58" t="str">
        <f t="shared" si="202"/>
        <v>Bowlinghaus Bamberg 1</v>
      </c>
      <c r="E173" s="359" t="str">
        <f t="shared" si="202"/>
        <v/>
      </c>
      <c r="F173" s="358" t="str">
        <f t="shared" si="202"/>
        <v>High Roller Rosenheim 1</v>
      </c>
      <c r="G173" s="359" t="str">
        <f t="shared" si="202"/>
        <v/>
      </c>
      <c r="H173" s="358" t="str">
        <f t="shared" si="202"/>
        <v>BC EMAX Unterföhring 2</v>
      </c>
      <c r="I173" s="359" t="str">
        <f t="shared" si="202"/>
        <v/>
      </c>
      <c r="J173" s="358" t="str">
        <f t="shared" si="202"/>
        <v>Bajuwaren München 1</v>
      </c>
      <c r="K173" s="359" t="str">
        <f t="shared" si="202"/>
        <v/>
      </c>
      <c r="L173" s="358" t="str">
        <f t="shared" si="203"/>
        <v>BC Comet Nürnberg</v>
      </c>
      <c r="M173" s="359" t="str">
        <f t="shared" si="203"/>
        <v/>
      </c>
      <c r="N173" s="358" t="str">
        <f t="shared" si="203"/>
        <v>BK München 3</v>
      </c>
      <c r="O173" s="359" t="str">
        <f t="shared" si="203"/>
        <v/>
      </c>
      <c r="P173" s="358" t="str">
        <f t="shared" si="203"/>
        <v>RW Lichtenhof Stein 1</v>
      </c>
      <c r="Q173" s="359" t="str">
        <f t="shared" si="203"/>
        <v/>
      </c>
      <c r="R173" s="358" t="str">
        <f t="shared" si="203"/>
        <v>Schanzer Ingolstadt 1</v>
      </c>
      <c r="S173" s="359" t="str">
        <f t="shared" si="203"/>
        <v/>
      </c>
      <c r="T173" s="358" t="str">
        <f t="shared" si="203"/>
        <v>SG DJK Rimpar</v>
      </c>
      <c r="U173" s="359" t="str">
        <f t="shared" si="203"/>
        <v/>
      </c>
      <c r="V173" s="363"/>
      <c r="W173" s="363"/>
      <c r="AA173" s="90"/>
      <c r="AB173" s="86"/>
      <c r="AC173" s="358" t="str">
        <f>VLOOKUP(AC172,Schlüssel!$A$5:$K$14,2)</f>
        <v>Bowlinghaus Bamberg 1</v>
      </c>
      <c r="AD173" s="359"/>
      <c r="AE173" s="358" t="str">
        <f>VLOOKUP(AE172,Schlüssel!$A$5:$K$14,2)</f>
        <v>High Roller Rosenheim 1</v>
      </c>
      <c r="AF173" s="359"/>
      <c r="AG173" s="358" t="str">
        <f>VLOOKUP(AG172,Schlüssel!$A$5:$K$14,2)</f>
        <v>BC EMAX Unterföhring 2</v>
      </c>
      <c r="AH173" s="359"/>
      <c r="AI173" s="358" t="str">
        <f>VLOOKUP(AI172,Schlüssel!$A$5:$K$14,2)</f>
        <v>Bajuwaren München 1</v>
      </c>
      <c r="AJ173" s="359"/>
      <c r="AK173" s="358" t="str">
        <f>VLOOKUP(AK172,Schlüssel!$A$5:$K$14,2)</f>
        <v>BC Comet Nürnberg</v>
      </c>
      <c r="AL173" s="359"/>
      <c r="AM173" s="358" t="str">
        <f>VLOOKUP(AM172,Schlüssel!$A$5:$K$14,2)</f>
        <v>BK München 3</v>
      </c>
      <c r="AN173" s="359"/>
      <c r="AO173" s="358" t="str">
        <f>VLOOKUP(AO172,Schlüssel!$A$5:$K$14,2)</f>
        <v>RW Lichtenhof Stein 1</v>
      </c>
      <c r="AP173" s="359"/>
      <c r="AQ173" s="358" t="str">
        <f>VLOOKUP(AQ172,Schlüssel!$A$5:$K$14,2)</f>
        <v>Schanzer Ingolstadt 1</v>
      </c>
      <c r="AR173" s="359"/>
      <c r="AS173" s="358" t="str">
        <f>VLOOKUP(AS172,Schlüssel!$A$5:$K$14,2)</f>
        <v>SG DJK Rimpar</v>
      </c>
      <c r="AT173" s="359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60" t="str">
        <f t="shared" si="202"/>
        <v/>
      </c>
      <c r="E174" s="360" t="str">
        <f t="shared" si="202"/>
        <v/>
      </c>
      <c r="F174" s="360" t="str">
        <f t="shared" si="202"/>
        <v/>
      </c>
      <c r="G174" s="360" t="str">
        <f t="shared" si="202"/>
        <v/>
      </c>
      <c r="H174" s="360" t="str">
        <f t="shared" si="202"/>
        <v/>
      </c>
      <c r="I174" s="360" t="str">
        <f t="shared" si="202"/>
        <v/>
      </c>
      <c r="J174" s="360" t="str">
        <f t="shared" si="202"/>
        <v/>
      </c>
      <c r="K174" s="360" t="str">
        <f t="shared" si="202"/>
        <v/>
      </c>
      <c r="L174" s="360" t="str">
        <f t="shared" si="203"/>
        <v/>
      </c>
      <c r="M174" s="360" t="str">
        <f t="shared" si="203"/>
        <v/>
      </c>
      <c r="N174" s="360" t="str">
        <f t="shared" si="203"/>
        <v/>
      </c>
      <c r="O174" s="360" t="str">
        <f t="shared" si="203"/>
        <v/>
      </c>
      <c r="P174" s="360" t="str">
        <f t="shared" si="203"/>
        <v/>
      </c>
      <c r="Q174" s="360" t="str">
        <f t="shared" si="203"/>
        <v/>
      </c>
      <c r="R174" s="360" t="str">
        <f t="shared" si="203"/>
        <v/>
      </c>
      <c r="S174" s="360" t="str">
        <f t="shared" si="203"/>
        <v/>
      </c>
      <c r="T174" s="360" t="str">
        <f t="shared" si="203"/>
        <v/>
      </c>
      <c r="U174" s="361" t="str">
        <f t="shared" si="203"/>
        <v/>
      </c>
      <c r="V174" s="298"/>
      <c r="W174" s="298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4" t="str">
        <f t="shared" ref="B175:C179" si="204">IF(AA175=0,"",AA175)</f>
        <v>Spieler 1</v>
      </c>
      <c r="C175" s="375" t="str">
        <f t="shared" si="204"/>
        <v/>
      </c>
      <c r="D175" s="362">
        <f>IF(AC175=301,"",AC175)</f>
        <v>160</v>
      </c>
      <c r="E175" s="362" t="str">
        <f>IF(AD175=0,"",AD175)</f>
        <v/>
      </c>
      <c r="F175" s="362">
        <f>IF(AE175=301,"",AE175)</f>
        <v>160</v>
      </c>
      <c r="G175" s="362" t="str">
        <f>IF(AF175=0,"",AF175)</f>
        <v/>
      </c>
      <c r="H175" s="362">
        <f>IF(AG175=301,"",AG175)</f>
        <v>205</v>
      </c>
      <c r="I175" s="362" t="str">
        <f>IF(AH175=0,"",AH175)</f>
        <v/>
      </c>
      <c r="J175" s="362">
        <f>IF(AI175=301,"",AI175)</f>
        <v>221</v>
      </c>
      <c r="K175" s="362" t="str">
        <f>IF(AJ175=0,"",AJ175)</f>
        <v/>
      </c>
      <c r="L175" s="362">
        <f>IF(AK175=301,"",AK175)</f>
        <v>192</v>
      </c>
      <c r="M175" s="362" t="str">
        <f>IF(AL175=0,"",AL175)</f>
        <v/>
      </c>
      <c r="N175" s="362">
        <f>IF(AM175=301,"",AM175)</f>
        <v>204</v>
      </c>
      <c r="O175" s="362" t="str">
        <f>IF(AN175=0,"",AN175)</f>
        <v/>
      </c>
      <c r="P175" s="362">
        <f>IF(AO175=301,"",AO175)</f>
        <v>222</v>
      </c>
      <c r="Q175" s="362" t="str">
        <f>IF(AP175=0,"",AP175)</f>
        <v/>
      </c>
      <c r="R175" s="362">
        <f>IF(AQ175=301,"",AQ175)</f>
        <v>170</v>
      </c>
      <c r="S175" s="362" t="str">
        <f>IF(AR175=0,"",AR175)</f>
        <v/>
      </c>
      <c r="T175" s="362">
        <f>IF(AS175=301,"",AS175)</f>
        <v>203</v>
      </c>
      <c r="U175" s="362" t="str">
        <f>IF(AT175=0,"",AT175)</f>
        <v/>
      </c>
      <c r="V175" s="364"/>
      <c r="W175" s="364"/>
      <c r="AA175" s="91" t="s">
        <v>0</v>
      </c>
      <c r="AB175" s="92"/>
      <c r="AC175" s="368">
        <f>ABS(INDEX(AC:AC,MATCH(AC172,$AA:$AA,0)+5)+INDEX(AC:AC,MATCH(AC172,$AA:$AA,0)+6)+INDEX(AC:AC,MATCH(AC172,$AA:$AA,0)+7))</f>
        <v>160</v>
      </c>
      <c r="AD175" s="369"/>
      <c r="AE175" s="368">
        <f>ABS(INDEX(AE:AE,MATCH(AE172,$AA:$AA,0)+5)+INDEX(AE:AE,MATCH(AE172,$AA:$AA,0)+6)+INDEX(AE:AE,MATCH(AE172,$AA:$AA,0)+7))</f>
        <v>160</v>
      </c>
      <c r="AF175" s="369"/>
      <c r="AG175" s="368">
        <f>ABS(INDEX(AG:AG,MATCH(AG172,$AA:$AA,0)+5)+INDEX(AG:AG,MATCH(AG172,$AA:$AA,0)+6)+INDEX(AG:AG,MATCH(AG172,$AA:$AA,0)+7))</f>
        <v>205</v>
      </c>
      <c r="AH175" s="369"/>
      <c r="AI175" s="368">
        <f>ABS(INDEX(AI:AI,MATCH(AI172,$AA:$AA,0)+5)+INDEX(AI:AI,MATCH(AI172,$AA:$AA,0)+6)+INDEX(AI:AI,MATCH(AI172,$AA:$AA,0)+7))</f>
        <v>221</v>
      </c>
      <c r="AJ175" s="369"/>
      <c r="AK175" s="368">
        <f>ABS(INDEX(AK:AK,MATCH(AK172,$AA:$AA,0)+5)+INDEX(AK:AK,MATCH(AK172,$AA:$AA,0)+6)+INDEX(AK:AK,MATCH(AK172,$AA:$AA,0)+7))</f>
        <v>192</v>
      </c>
      <c r="AL175" s="369"/>
      <c r="AM175" s="368">
        <f>ABS(INDEX(AM:AM,MATCH(AM172,$AA:$AA,0)+5)+INDEX(AM:AM,MATCH(AM172,$AA:$AA,0)+6)+INDEX(AM:AM,MATCH(AM172,$AA:$AA,0)+7))</f>
        <v>204</v>
      </c>
      <c r="AN175" s="369"/>
      <c r="AO175" s="368">
        <f>ABS(INDEX(AO:AO,MATCH(AO172,$AA:$AA,0)+5)+INDEX(AO:AO,MATCH(AO172,$AA:$AA,0)+6)+INDEX(AO:AO,MATCH(AO172,$AA:$AA,0)+7))</f>
        <v>222</v>
      </c>
      <c r="AP175" s="369"/>
      <c r="AQ175" s="368">
        <f>ABS(INDEX(AQ:AQ,MATCH(AQ172,$AA:$AA,0)+5)+INDEX(AQ:AQ,MATCH(AQ172,$AA:$AA,0)+6)+INDEX(AQ:AQ,MATCH(AQ172,$AA:$AA,0)+7))</f>
        <v>170</v>
      </c>
      <c r="AR175" s="369"/>
      <c r="AS175" s="368">
        <f>ABS(INDEX(AS:AS,MATCH(AS172,$AA:$AA,0)+5)+INDEX(AS:AS,MATCH(AS172,$AA:$AA,0)+6)+INDEX(AS:AS,MATCH(AS172,$AA:$AA,0)+7))</f>
        <v>203</v>
      </c>
      <c r="AT175" s="369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4" t="str">
        <f t="shared" si="204"/>
        <v>Spieler 2</v>
      </c>
      <c r="C176" s="375" t="str">
        <f t="shared" si="204"/>
        <v/>
      </c>
      <c r="D176" s="362">
        <f>IF(AC176=301,"",AC176)</f>
        <v>145</v>
      </c>
      <c r="E176" s="362" t="str">
        <f>IF(AD176=0,"",AD176)</f>
        <v/>
      </c>
      <c r="F176" s="362">
        <f>IF(AE176=301,"",AE176)</f>
        <v>164</v>
      </c>
      <c r="G176" s="362" t="str">
        <f>IF(AF176=0,"",AF176)</f>
        <v/>
      </c>
      <c r="H176" s="362">
        <f>IF(AG176=301,"",AG176)</f>
        <v>134</v>
      </c>
      <c r="I176" s="362" t="str">
        <f>IF(AH176=0,"",AH176)</f>
        <v/>
      </c>
      <c r="J176" s="362">
        <f>IF(AI176=301,"",AI176)</f>
        <v>191</v>
      </c>
      <c r="K176" s="362" t="str">
        <f>IF(AJ176=0,"",AJ176)</f>
        <v/>
      </c>
      <c r="L176" s="362">
        <f>IF(AK176=301,"",AK176)</f>
        <v>171</v>
      </c>
      <c r="M176" s="362" t="str">
        <f>IF(AL176=0,"",AL176)</f>
        <v/>
      </c>
      <c r="N176" s="362">
        <f>IF(AM176=301,"",AM176)</f>
        <v>212</v>
      </c>
      <c r="O176" s="362" t="str">
        <f>IF(AN176=0,"",AN176)</f>
        <v/>
      </c>
      <c r="P176" s="362">
        <f>IF(AO176=301,"",AO176)</f>
        <v>172</v>
      </c>
      <c r="Q176" s="362" t="str">
        <f>IF(AP176=0,"",AP176)</f>
        <v/>
      </c>
      <c r="R176" s="362">
        <f>IF(AQ176=301,"",AQ176)</f>
        <v>128</v>
      </c>
      <c r="S176" s="362" t="str">
        <f>IF(AR176=0,"",AR176)</f>
        <v/>
      </c>
      <c r="T176" s="362">
        <f>IF(AS176=301,"",AS176)</f>
        <v>124</v>
      </c>
      <c r="U176" s="362" t="str">
        <f>IF(AT176=0,"",AT176)</f>
        <v/>
      </c>
      <c r="V176" s="364"/>
      <c r="W176" s="364"/>
      <c r="AA176" s="91" t="s">
        <v>2</v>
      </c>
      <c r="AB176" s="92"/>
      <c r="AC176" s="366">
        <f>ABS(INDEX(AC:AC,MATCH(AC172,$AA:$AA,0)+8)+INDEX(AC:AC,MATCH(AC172,$AA:$AA,0)+9)+INDEX(AC:AC,MATCH(AC172,$AA:$AA,0)+10))</f>
        <v>145</v>
      </c>
      <c r="AD176" s="367"/>
      <c r="AE176" s="366">
        <f>ABS(INDEX(AE:AE,MATCH(AE172,$AA:$AA,0)+8)+INDEX(AE:AE,MATCH(AE172,$AA:$AA,0)+9)+INDEX(AE:AE,MATCH(AE172,$AA:$AA,0)+10))</f>
        <v>164</v>
      </c>
      <c r="AF176" s="367"/>
      <c r="AG176" s="366">
        <f>ABS(INDEX(AG:AG,MATCH(AG172,$AA:$AA,0)+8)+INDEX(AG:AG,MATCH(AG172,$AA:$AA,0)+9)+INDEX(AG:AG,MATCH(AG172,$AA:$AA,0)+10))</f>
        <v>134</v>
      </c>
      <c r="AH176" s="367"/>
      <c r="AI176" s="366">
        <f>ABS(INDEX(AI:AI,MATCH(AI172,$AA:$AA,0)+8)+INDEX(AI:AI,MATCH(AI172,$AA:$AA,0)+9)+INDEX(AI:AI,MATCH(AI172,$AA:$AA,0)+10))</f>
        <v>191</v>
      </c>
      <c r="AJ176" s="367"/>
      <c r="AK176" s="366">
        <f>ABS(INDEX(AK:AK,MATCH(AK172,$AA:$AA,0)+8)+INDEX(AK:AK,MATCH(AK172,$AA:$AA,0)+9)+INDEX(AK:AK,MATCH(AK172,$AA:$AA,0)+10))</f>
        <v>171</v>
      </c>
      <c r="AL176" s="367"/>
      <c r="AM176" s="366">
        <f>ABS(INDEX(AM:AM,MATCH(AM172,$AA:$AA,0)+8)+INDEX(AM:AM,MATCH(AM172,$AA:$AA,0)+9)+INDEX(AM:AM,MATCH(AM172,$AA:$AA,0)+10))</f>
        <v>212</v>
      </c>
      <c r="AN176" s="367"/>
      <c r="AO176" s="366">
        <f>ABS(INDEX(AO:AO,MATCH(AO172,$AA:$AA,0)+8)+INDEX(AO:AO,MATCH(AO172,$AA:$AA,0)+9)+INDEX(AO:AO,MATCH(AO172,$AA:$AA,0)+10))</f>
        <v>172</v>
      </c>
      <c r="AP176" s="367"/>
      <c r="AQ176" s="366">
        <f>ABS(INDEX(AQ:AQ,MATCH(AQ172,$AA:$AA,0)+8)+INDEX(AQ:AQ,MATCH(AQ172,$AA:$AA,0)+9)+INDEX(AQ:AQ,MATCH(AQ172,$AA:$AA,0)+10))</f>
        <v>128</v>
      </c>
      <c r="AR176" s="367"/>
      <c r="AS176" s="366">
        <f>ABS(INDEX(AS:AS,MATCH(AS172,$AA:$AA,0)+8)+INDEX(AS:AS,MATCH(AS172,$AA:$AA,0)+9)+INDEX(AS:AS,MATCH(AS172,$AA:$AA,0)+10))</f>
        <v>124</v>
      </c>
      <c r="AT176" s="367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4" t="str">
        <f t="shared" si="204"/>
        <v>Spieler 3</v>
      </c>
      <c r="C177" s="375" t="str">
        <f t="shared" si="204"/>
        <v/>
      </c>
      <c r="D177" s="362">
        <f>IF(AC177=301,"",AC177)</f>
        <v>205</v>
      </c>
      <c r="E177" s="362" t="str">
        <f>IF(AD177=0,"",AD177)</f>
        <v/>
      </c>
      <c r="F177" s="362">
        <f>IF(AE177=301,"",AE177)</f>
        <v>181</v>
      </c>
      <c r="G177" s="362" t="str">
        <f>IF(AF177=0,"",AF177)</f>
        <v/>
      </c>
      <c r="H177" s="362">
        <f>IF(AG177=301,"",AG177)</f>
        <v>161</v>
      </c>
      <c r="I177" s="362" t="str">
        <f>IF(AH177=0,"",AH177)</f>
        <v/>
      </c>
      <c r="J177" s="362">
        <f>IF(AI177=301,"",AI177)</f>
        <v>170</v>
      </c>
      <c r="K177" s="362" t="str">
        <f>IF(AJ177=0,"",AJ177)</f>
        <v/>
      </c>
      <c r="L177" s="362">
        <f>IF(AK177=301,"",AK177)</f>
        <v>180</v>
      </c>
      <c r="M177" s="362" t="str">
        <f>IF(AL177=0,"",AL177)</f>
        <v/>
      </c>
      <c r="N177" s="362">
        <f>IF(AM177=301,"",AM177)</f>
        <v>182</v>
      </c>
      <c r="O177" s="362" t="str">
        <f>IF(AN177=0,"",AN177)</f>
        <v/>
      </c>
      <c r="P177" s="362">
        <f>IF(AO177=301,"",AO177)</f>
        <v>171</v>
      </c>
      <c r="Q177" s="362" t="str">
        <f>IF(AP177=0,"",AP177)</f>
        <v/>
      </c>
      <c r="R177" s="362">
        <f>IF(AQ177=301,"",AQ177)</f>
        <v>131</v>
      </c>
      <c r="S177" s="362" t="str">
        <f>IF(AR177=0,"",AR177)</f>
        <v/>
      </c>
      <c r="T177" s="362">
        <f>IF(AS177=301,"",AS177)</f>
        <v>167</v>
      </c>
      <c r="U177" s="362" t="str">
        <f>IF(AT177=0,"",AT177)</f>
        <v/>
      </c>
      <c r="V177" s="364"/>
      <c r="W177" s="364"/>
      <c r="AA177" s="91" t="s">
        <v>3</v>
      </c>
      <c r="AB177" s="92"/>
      <c r="AC177" s="366">
        <f>ABS(INDEX(AC:AC,MATCH(AC172,$AA:$AA,0)+11)+INDEX(AC:AC,MATCH(AC172,$AA:$AA,0)+12)+INDEX(AC:AC,MATCH(AC172,$AA:$AA,0)+13))</f>
        <v>205</v>
      </c>
      <c r="AD177" s="367"/>
      <c r="AE177" s="366">
        <f>ABS(INDEX(AE:AE,MATCH(AE172,$AA:$AA,0)+11)+INDEX(AE:AE,MATCH(AE172,$AA:$AA,0)+12)+INDEX(AE:AE,MATCH(AE172,$AA:$AA,0)+13))</f>
        <v>181</v>
      </c>
      <c r="AF177" s="367"/>
      <c r="AG177" s="366">
        <f>ABS(INDEX(AG:AG,MATCH(AG172,$AA:$AA,0)+11)+INDEX(AG:AG,MATCH(AG172,$AA:$AA,0)+12)+INDEX(AG:AG,MATCH(AG172,$AA:$AA,0)+13))</f>
        <v>161</v>
      </c>
      <c r="AH177" s="367"/>
      <c r="AI177" s="366">
        <f>ABS(INDEX(AI:AI,MATCH(AI172,$AA:$AA,0)+11)+INDEX(AI:AI,MATCH(AI172,$AA:$AA,0)+12)+INDEX(AI:AI,MATCH(AI172,$AA:$AA,0)+13))</f>
        <v>170</v>
      </c>
      <c r="AJ177" s="367"/>
      <c r="AK177" s="366">
        <f>ABS(INDEX(AK:AK,MATCH(AK172,$AA:$AA,0)+11)+INDEX(AK:AK,MATCH(AK172,$AA:$AA,0)+12)+INDEX(AK:AK,MATCH(AK172,$AA:$AA,0)+13))</f>
        <v>180</v>
      </c>
      <c r="AL177" s="367"/>
      <c r="AM177" s="366">
        <f>ABS(INDEX(AM:AM,MATCH(AM172,$AA:$AA,0)+11)+INDEX(AM:AM,MATCH(AM172,$AA:$AA,0)+12)+INDEX(AM:AM,MATCH(AM172,$AA:$AA,0)+13))</f>
        <v>182</v>
      </c>
      <c r="AN177" s="367"/>
      <c r="AO177" s="366">
        <f>ABS(INDEX(AO:AO,MATCH(AO172,$AA:$AA,0)+11)+INDEX(AO:AO,MATCH(AO172,$AA:$AA,0)+12)+INDEX(AO:AO,MATCH(AO172,$AA:$AA,0)+13))</f>
        <v>171</v>
      </c>
      <c r="AP177" s="367"/>
      <c r="AQ177" s="366">
        <f>ABS(INDEX(AQ:AQ,MATCH(AQ172,$AA:$AA,0)+11)+INDEX(AQ:AQ,MATCH(AQ172,$AA:$AA,0)+12)+INDEX(AQ:AQ,MATCH(AQ172,$AA:$AA,0)+13))</f>
        <v>131</v>
      </c>
      <c r="AR177" s="367"/>
      <c r="AS177" s="366">
        <f>ABS(INDEX(AS:AS,MATCH(AS172,$AA:$AA,0)+11)+INDEX(AS:AS,MATCH(AS172,$AA:$AA,0)+12)+INDEX(AS:AS,MATCH(AS172,$AA:$AA,0)+13))</f>
        <v>167</v>
      </c>
      <c r="AT177" s="367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4" t="str">
        <f t="shared" si="204"/>
        <v>Spieler 4</v>
      </c>
      <c r="C178" s="375" t="str">
        <f t="shared" si="204"/>
        <v/>
      </c>
      <c r="D178" s="362">
        <f>IF(AC178=301,"",AC178)</f>
        <v>136</v>
      </c>
      <c r="E178" s="362" t="str">
        <f>IF(AD178=0,"",AD178)</f>
        <v/>
      </c>
      <c r="F178" s="362">
        <f>IF(AE178=301,"",AE178)</f>
        <v>159</v>
      </c>
      <c r="G178" s="362" t="str">
        <f>IF(AF178=0,"",AF178)</f>
        <v/>
      </c>
      <c r="H178" s="362">
        <f>IF(AG178=301,"",AG178)</f>
        <v>169</v>
      </c>
      <c r="I178" s="362" t="str">
        <f>IF(AH178=0,"",AH178)</f>
        <v/>
      </c>
      <c r="J178" s="362">
        <f>IF(AI178=301,"",AI178)</f>
        <v>185</v>
      </c>
      <c r="K178" s="362" t="str">
        <f>IF(AJ178=0,"",AJ178)</f>
        <v/>
      </c>
      <c r="L178" s="362">
        <f>IF(AK178=301,"",AK178)</f>
        <v>214</v>
      </c>
      <c r="M178" s="362" t="str">
        <f>IF(AL178=0,"",AL178)</f>
        <v/>
      </c>
      <c r="N178" s="362">
        <f>IF(AM178=301,"",AM178)</f>
        <v>168</v>
      </c>
      <c r="O178" s="362" t="str">
        <f>IF(AN178=0,"",AN178)</f>
        <v/>
      </c>
      <c r="P178" s="362">
        <f>IF(AO178=301,"",AO178)</f>
        <v>205</v>
      </c>
      <c r="Q178" s="362" t="str">
        <f>IF(AP178=0,"",AP178)</f>
        <v/>
      </c>
      <c r="R178" s="362">
        <f>IF(AQ178=301,"",AQ178)</f>
        <v>174</v>
      </c>
      <c r="S178" s="362" t="str">
        <f>IF(AR178=0,"",AR178)</f>
        <v/>
      </c>
      <c r="T178" s="362">
        <f>IF(AS178=301,"",AS178)</f>
        <v>147</v>
      </c>
      <c r="U178" s="362" t="str">
        <f>IF(AT178=0,"",AT178)</f>
        <v/>
      </c>
      <c r="V178" s="364"/>
      <c r="W178" s="364"/>
      <c r="AA178" s="91" t="s">
        <v>11</v>
      </c>
      <c r="AB178" s="92"/>
      <c r="AC178" s="366">
        <f>ABS(INDEX(AC:AC,MATCH(AC172,$AA:$AA,0)+14)+INDEX(AC:AC,MATCH(AC172,$AA:$AA,0)+15)+INDEX(AC:AC,MATCH(AC172,$AA:$AA,0)+16))</f>
        <v>136</v>
      </c>
      <c r="AD178" s="367"/>
      <c r="AE178" s="366">
        <f>ABS(INDEX(AE:AE,MATCH(AE172,$AA:$AA,0)+14)+INDEX(AE:AE,MATCH(AE172,$AA:$AA,0)+15)+INDEX(AE:AE,MATCH(AE172,$AA:$AA,0)+16))</f>
        <v>159</v>
      </c>
      <c r="AF178" s="367"/>
      <c r="AG178" s="366">
        <f>ABS(INDEX(AG:AG,MATCH(AG172,$AA:$AA,0)+14)+INDEX(AG:AG,MATCH(AG172,$AA:$AA,0)+15)+INDEX(AG:AG,MATCH(AG172,$AA:$AA,0)+16))</f>
        <v>169</v>
      </c>
      <c r="AH178" s="367"/>
      <c r="AI178" s="366">
        <f>ABS(INDEX(AI:AI,MATCH(AI172,$AA:$AA,0)+14)+INDEX(AI:AI,MATCH(AI172,$AA:$AA,0)+15)+INDEX(AI:AI,MATCH(AI172,$AA:$AA,0)+16))</f>
        <v>185</v>
      </c>
      <c r="AJ178" s="367"/>
      <c r="AK178" s="366">
        <f>ABS(INDEX(AK:AK,MATCH(AK172,$AA:$AA,0)+14)+INDEX(AK:AK,MATCH(AK172,$AA:$AA,0)+15)+INDEX(AK:AK,MATCH(AK172,$AA:$AA,0)+16))</f>
        <v>214</v>
      </c>
      <c r="AL178" s="367"/>
      <c r="AM178" s="366">
        <f>ABS(INDEX(AM:AM,MATCH(AM172,$AA:$AA,0)+14)+INDEX(AM:AM,MATCH(AM172,$AA:$AA,0)+15)+INDEX(AM:AM,MATCH(AM172,$AA:$AA,0)+16))</f>
        <v>168</v>
      </c>
      <c r="AN178" s="367"/>
      <c r="AO178" s="366">
        <f>ABS(INDEX(AO:AO,MATCH(AO172,$AA:$AA,0)+14)+INDEX(AO:AO,MATCH(AO172,$AA:$AA,0)+15)+INDEX(AO:AO,MATCH(AO172,$AA:$AA,0)+16))</f>
        <v>205</v>
      </c>
      <c r="AP178" s="367"/>
      <c r="AQ178" s="366">
        <f>ABS(INDEX(AQ:AQ,MATCH(AQ172,$AA:$AA,0)+14)+INDEX(AQ:AQ,MATCH(AQ172,$AA:$AA,0)+15)+INDEX(AQ:AQ,MATCH(AQ172,$AA:$AA,0)+16))</f>
        <v>174</v>
      </c>
      <c r="AR178" s="367"/>
      <c r="AS178" s="366">
        <f>ABS(INDEX(AS:AS,MATCH(AS172,$AA:$AA,0)+14)+INDEX(AS:AS,MATCH(AS172,$AA:$AA,0)+15)+INDEX(AS:AS,MATCH(AS172,$AA:$AA,0)+16))</f>
        <v>147</v>
      </c>
      <c r="AT178" s="367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6" t="str">
        <f t="shared" si="204"/>
        <v>Gesamt</v>
      </c>
      <c r="C179" s="347" t="str">
        <f t="shared" si="204"/>
        <v/>
      </c>
      <c r="D179" s="365">
        <f>IF(AC179=1505,"",AC179)</f>
        <v>646</v>
      </c>
      <c r="E179" s="365" t="str">
        <f>IF(AD179=0,"",AD179)</f>
        <v/>
      </c>
      <c r="F179" s="365">
        <f>IF(AE179=1505,"",AE179)</f>
        <v>664</v>
      </c>
      <c r="G179" s="365" t="str">
        <f>IF(AF179=0,"",AF179)</f>
        <v/>
      </c>
      <c r="H179" s="365">
        <f>IF(AG179=1505,"",AG179)</f>
        <v>669</v>
      </c>
      <c r="I179" s="365" t="str">
        <f>IF(AH179=0,"",AH179)</f>
        <v/>
      </c>
      <c r="J179" s="365">
        <f>IF(AI179=1505,"",AI179)</f>
        <v>767</v>
      </c>
      <c r="K179" s="365" t="str">
        <f>IF(AJ179=0,"",AJ179)</f>
        <v/>
      </c>
      <c r="L179" s="365">
        <f>IF(AK179=1505,"",AK179)</f>
        <v>757</v>
      </c>
      <c r="M179" s="365" t="str">
        <f>IF(AL179=0,"",AL179)</f>
        <v/>
      </c>
      <c r="N179" s="365">
        <f>IF(AM179=1505,"",AM179)</f>
        <v>766</v>
      </c>
      <c r="O179" s="365" t="str">
        <f>IF(AN179=0,"",AN179)</f>
        <v/>
      </c>
      <c r="P179" s="365">
        <f>IF(AO179=1505,"",AO179)</f>
        <v>770</v>
      </c>
      <c r="Q179" s="365" t="str">
        <f>IF(AP179=0,"",AP179)</f>
        <v/>
      </c>
      <c r="R179" s="365">
        <f>IF(AQ179=1505,"",AQ179)</f>
        <v>603</v>
      </c>
      <c r="S179" s="365" t="str">
        <f>IF(AR179=0,"",AR179)</f>
        <v/>
      </c>
      <c r="T179" s="365">
        <f>IF(AS179=1505,"",AS179)</f>
        <v>641</v>
      </c>
      <c r="U179" s="365" t="str">
        <f>IF(AT179=0,"",AT179)</f>
        <v/>
      </c>
      <c r="V179" s="301"/>
      <c r="W179" s="301"/>
      <c r="AA179" s="93" t="s">
        <v>1799</v>
      </c>
      <c r="AB179" s="94"/>
      <c r="AC179" s="346">
        <f>SUM(AC175:AC178)</f>
        <v>646</v>
      </c>
      <c r="AD179" s="347"/>
      <c r="AE179" s="346">
        <f>SUM(AE175:AE178)</f>
        <v>664</v>
      </c>
      <c r="AF179" s="347"/>
      <c r="AG179" s="346">
        <f>SUM(AG175:AG178)</f>
        <v>669</v>
      </c>
      <c r="AH179" s="347"/>
      <c r="AI179" s="346">
        <f>SUM(AI175:AI178)</f>
        <v>767</v>
      </c>
      <c r="AJ179" s="347"/>
      <c r="AK179" s="346">
        <f>SUM(AK175:AK178)</f>
        <v>757</v>
      </c>
      <c r="AL179" s="347"/>
      <c r="AM179" s="346">
        <f>SUM(AM175:AM178)</f>
        <v>766</v>
      </c>
      <c r="AN179" s="347"/>
      <c r="AO179" s="346">
        <f>SUM(AO175:AO178)</f>
        <v>770</v>
      </c>
      <c r="AP179" s="347"/>
      <c r="AQ179" s="346">
        <f>SUM(AQ175:AQ178)</f>
        <v>603</v>
      </c>
      <c r="AR179" s="347"/>
      <c r="AS179" s="346">
        <f>SUM(AS175:AS178)</f>
        <v>641</v>
      </c>
      <c r="AT179" s="347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5" t="str">
        <f>AE181</f>
        <v>Bayernliga Herren</v>
      </c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48"/>
      <c r="S181" s="49" t="s">
        <v>1794</v>
      </c>
      <c r="T181" s="50"/>
      <c r="U181" s="341" t="str">
        <f>AT181</f>
        <v>15.02./16.02.</v>
      </c>
      <c r="V181" s="342"/>
      <c r="W181" s="343"/>
      <c r="X181" s="372"/>
      <c r="Y181" s="373"/>
      <c r="Z181" s="373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41" t="str">
        <f>VLOOKUP(AS182,Spielorte!$A$1:$C$6,2)</f>
        <v>15.02./16.02.</v>
      </c>
      <c r="AU181" s="342"/>
      <c r="AV181" s="34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4" t="str">
        <f>AE182</f>
        <v>Regensburg Super Bowl</v>
      </c>
      <c r="G182" s="344"/>
      <c r="H182" s="344"/>
      <c r="I182" s="344"/>
      <c r="J182" s="344"/>
      <c r="K182" s="344"/>
      <c r="L182" s="344"/>
      <c r="M182" s="344"/>
      <c r="N182" s="344"/>
      <c r="O182" s="344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1</v>
      </c>
      <c r="AE184" s="65" t="s">
        <v>10</v>
      </c>
      <c r="AF184" s="44">
        <f>VLOOKUP(AA182,Schlüssel!$A$5:$DZ$14,74)</f>
        <v>7</v>
      </c>
      <c r="AG184" s="65" t="s">
        <v>10</v>
      </c>
      <c r="AH184" s="44">
        <f>VLOOKUP(AA182,Schlüssel!$A$5:$DZ$14,75)</f>
        <v>6</v>
      </c>
      <c r="AI184" s="65" t="s">
        <v>10</v>
      </c>
      <c r="AJ184" s="44">
        <f>VLOOKUP(AA182,Schlüssel!$A$5:$DZ$14,76)</f>
        <v>3</v>
      </c>
      <c r="AK184" s="65" t="s">
        <v>10</v>
      </c>
      <c r="AL184" s="44">
        <f>VLOOKUP(AA182,Schlüssel!$A$5:$DZ$14,77)</f>
        <v>2</v>
      </c>
      <c r="AM184" s="65" t="s">
        <v>10</v>
      </c>
      <c r="AN184" s="44">
        <f>VLOOKUP(AA182,Schlüssel!$A$5:$DZ$14,78)</f>
        <v>9</v>
      </c>
      <c r="AO184" s="65" t="s">
        <v>10</v>
      </c>
      <c r="AP184" s="44">
        <f>VLOOKUP(AA182,Schlüssel!$A$5:$DZ$14,79)</f>
        <v>5</v>
      </c>
      <c r="AQ184" s="65" t="s">
        <v>10</v>
      </c>
      <c r="AR184" s="44">
        <f>VLOOKUP(AA182,Schlüssel!$A$5:$DZ$14,80)</f>
        <v>4</v>
      </c>
      <c r="AS184" s="65" t="s">
        <v>10</v>
      </c>
      <c r="AT184" s="44">
        <f>VLOOKUP(AA182,Schlüssel!$A$5:$DZ$14,81)</f>
        <v>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6" t="s">
        <v>1800</v>
      </c>
      <c r="E185" s="347"/>
      <c r="F185" s="346" t="s">
        <v>1801</v>
      </c>
      <c r="G185" s="347"/>
      <c r="H185" s="346" t="s">
        <v>1802</v>
      </c>
      <c r="I185" s="347"/>
      <c r="J185" s="346" t="s">
        <v>1803</v>
      </c>
      <c r="K185" s="347"/>
      <c r="L185" s="346" t="s">
        <v>1804</v>
      </c>
      <c r="M185" s="347"/>
      <c r="N185" s="346" t="s">
        <v>1805</v>
      </c>
      <c r="O185" s="347"/>
      <c r="P185" s="346" t="s">
        <v>1806</v>
      </c>
      <c r="Q185" s="347"/>
      <c r="R185" s="346" t="s">
        <v>1807</v>
      </c>
      <c r="S185" s="347"/>
      <c r="T185" s="346" t="s">
        <v>1808</v>
      </c>
      <c r="U185" s="347"/>
      <c r="V185" s="354" t="s">
        <v>1799</v>
      </c>
      <c r="W185" s="355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6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148</v>
      </c>
      <c r="E187" s="348">
        <f>IF(AD187="","",AD187)</f>
        <v>0</v>
      </c>
      <c r="F187" s="75">
        <f t="shared" ref="F187:F200" si="205">IF(AE187=0,"",AE187)</f>
        <v>161</v>
      </c>
      <c r="G187" s="348">
        <f>IF(AF187="","",AF187)</f>
        <v>0</v>
      </c>
      <c r="H187" s="75">
        <f t="shared" ref="H187:H200" si="206">IF(AG187=0,"",AG187)</f>
        <v>152</v>
      </c>
      <c r="I187" s="348">
        <f>IF(AH187="","",AH187)</f>
        <v>0</v>
      </c>
      <c r="J187" s="75">
        <f t="shared" ref="J187:J200" si="207">IF(AI187=0,"",AI187)</f>
        <v>120</v>
      </c>
      <c r="K187" s="348">
        <f>IF(AJ187="","",AJ187)</f>
        <v>0</v>
      </c>
      <c r="L187" s="75">
        <f t="shared" ref="L187:L200" si="208">IF(AK187=0,"",AK187)</f>
        <v>182</v>
      </c>
      <c r="M187" s="348">
        <f>IF(AL187="","",AL187)</f>
        <v>1</v>
      </c>
      <c r="N187" s="75">
        <f>IF(AM187=0,"",AM187)</f>
        <v>190</v>
      </c>
      <c r="O187" s="348">
        <f>IF(AN187="","",AN187)</f>
        <v>0</v>
      </c>
      <c r="P187" s="75">
        <f t="shared" ref="P187:P200" si="209">IF(AO187=0,"",AO187)</f>
        <v>174</v>
      </c>
      <c r="Q187" s="348">
        <f>IF(AP187="","",AP187)</f>
        <v>1</v>
      </c>
      <c r="R187" s="75">
        <f t="shared" ref="R187:R200" si="210">IF(AQ187=0,"",AQ187)</f>
        <v>170</v>
      </c>
      <c r="S187" s="348">
        <f>IF(AR187="","",AR187)</f>
        <v>0</v>
      </c>
      <c r="T187" s="75">
        <f t="shared" ref="T187:T200" si="211">IF(AS187=0,"",AS187)</f>
        <v>159</v>
      </c>
      <c r="U187" s="348">
        <f>IF(AT187="","",AT187)</f>
        <v>0</v>
      </c>
      <c r="V187" s="75">
        <f t="shared" ref="V187:V200" si="212">IF(AU187=0,"",AU187)</f>
        <v>1456</v>
      </c>
      <c r="W187" s="348">
        <f>IF(AV187="","",AV187)</f>
        <v>2</v>
      </c>
      <c r="Z187" s="351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148</v>
      </c>
      <c r="AD187" s="109">
        <f>IF(SUM(AC187:AC189)+AC205=0,0,IF(SUM(AC187:AC189)=AC205,0.5,IF(SUM(AC187:AC189)&gt;AC205,1,0)))</f>
        <v>0</v>
      </c>
      <c r="AE187" s="185">
        <v>161</v>
      </c>
      <c r="AF187" s="109">
        <f>IF(SUM(AE187:AE189)+AE205=0,0,IF(SUM(AE187:AE189)=AE205,0.5,IF(SUM(AE187:AE189)&gt;AE205,1,0)))</f>
        <v>0</v>
      </c>
      <c r="AG187" s="185">
        <v>152</v>
      </c>
      <c r="AH187" s="109">
        <f>IF(SUM(AG187:AG189)+AG205=0,0,IF(SUM(AG187:AG189)=AG205,0.5,IF(SUM(AG187:AG189)&gt;AG205,1,0)))</f>
        <v>0</v>
      </c>
      <c r="AI187" s="185">
        <v>120</v>
      </c>
      <c r="AJ187" s="109">
        <f>IF(SUM(AI187:AI189)+AI205=0,0,IF(SUM(AI187:AI189)=AI205,0.5,IF(SUM(AI187:AI189)&gt;AI205,1,0)))</f>
        <v>0</v>
      </c>
      <c r="AK187" s="185">
        <v>182</v>
      </c>
      <c r="AL187" s="109">
        <f>IF(SUM(AK187:AK189)+AK205=0,0,IF(SUM(AK187:AK189)=AK205,0.5,IF(SUM(AK187:AK189)&gt;AK205,1,0)))</f>
        <v>1</v>
      </c>
      <c r="AM187" s="185">
        <v>190</v>
      </c>
      <c r="AN187" s="109">
        <f>IF(SUM(AM187:AM189)+AM205=0,0,IF(SUM(AM187:AM189)=AM205,0.5,IF(SUM(AM187:AM189)&gt;AM205,1,0)))</f>
        <v>0</v>
      </c>
      <c r="AO187" s="185">
        <v>174</v>
      </c>
      <c r="AP187" s="109">
        <f>IF(SUM(AO187:AO189)+AO205=0,0,IF(SUM(AO187:AO189)=AO205,0.5,IF(SUM(AO187:AO189)&gt;AO205,1,0)))</f>
        <v>1</v>
      </c>
      <c r="AQ187" s="185">
        <v>170</v>
      </c>
      <c r="AR187" s="109">
        <f>IF(SUM(AQ187:AQ189)+AQ205=0,0,IF(SUM(AQ187:AQ189)=AQ205,0.5,IF(SUM(AQ187:AQ189)&gt;AQ205,1,0)))</f>
        <v>0</v>
      </c>
      <c r="AS187" s="185">
        <v>159</v>
      </c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1456</v>
      </c>
      <c r="AV187" s="111">
        <f>SUM(AD187+AF187+AH187+AJ187+AL187+AN187+AP187+AR187+AT187)</f>
        <v>2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1456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148</v>
      </c>
      <c r="BI187" s="215">
        <f t="shared" ref="BI187:BI198" si="215">IF(AE187=0,"",AE187)</f>
        <v>161</v>
      </c>
      <c r="BJ187" s="215">
        <f t="shared" ref="BJ187:BJ198" si="216">IF(AG187=0,"",AG187)</f>
        <v>152</v>
      </c>
      <c r="BK187" s="215">
        <f t="shared" ref="BK187:BK198" si="217">IF(AI187=0,"",AI187)</f>
        <v>120</v>
      </c>
      <c r="BL187" s="215">
        <f t="shared" ref="BL187:BL198" si="218">IF(AK187=0,"",AK187)</f>
        <v>182</v>
      </c>
      <c r="BM187" s="215">
        <f t="shared" ref="BM187:BM198" si="219">IF(AM187=0,"",AM187)</f>
        <v>190</v>
      </c>
      <c r="BN187" s="215">
        <f t="shared" ref="BN187:BN198" si="220">IF(AO187=0,"",AO187)</f>
        <v>174</v>
      </c>
      <c r="BO187" s="215">
        <f t="shared" ref="BO187:BO198" si="221">IF(AQ187=0,"",AQ187)</f>
        <v>170</v>
      </c>
      <c r="BP187" s="215">
        <f t="shared" ref="BP187:BP198" si="222">IF(AS187=0,"",AS187)</f>
        <v>159</v>
      </c>
      <c r="BQ187" s="216"/>
      <c r="BR187" s="214"/>
      <c r="BS187" s="215">
        <f>MAX(BH187:BP187)</f>
        <v>190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1456</v>
      </c>
      <c r="BX187" s="215">
        <f>IF(COUNTIF(BH187:BP187,"&gt;0")&lt;Spielorte!$A$23,0,BE187/Spielorte!$A$23)</f>
        <v>161.77777777777777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77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9"/>
      <c r="F188" s="78" t="str">
        <f t="shared" si="205"/>
        <v/>
      </c>
      <c r="G188" s="349"/>
      <c r="H188" s="78" t="str">
        <f t="shared" si="206"/>
        <v/>
      </c>
      <c r="I188" s="349"/>
      <c r="J188" s="78" t="str">
        <f t="shared" si="207"/>
        <v/>
      </c>
      <c r="K188" s="349"/>
      <c r="L188" s="78" t="str">
        <f t="shared" si="208"/>
        <v/>
      </c>
      <c r="M188" s="349"/>
      <c r="N188" s="78" t="str">
        <f t="shared" ref="N188:N200" si="225">IF(AM188=0,"",AM188)</f>
        <v/>
      </c>
      <c r="O188" s="349"/>
      <c r="P188" s="78" t="str">
        <f t="shared" si="209"/>
        <v/>
      </c>
      <c r="Q188" s="349"/>
      <c r="R188" s="78" t="str">
        <f t="shared" si="210"/>
        <v/>
      </c>
      <c r="S188" s="349"/>
      <c r="T188" s="78" t="str">
        <f t="shared" si="211"/>
        <v/>
      </c>
      <c r="U188" s="349"/>
      <c r="V188" s="78" t="str">
        <f t="shared" si="212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Schanzer Ingolstadt 1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8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0"/>
      <c r="F189" s="69" t="str">
        <f t="shared" si="205"/>
        <v/>
      </c>
      <c r="G189" s="350"/>
      <c r="H189" s="69" t="str">
        <f t="shared" si="206"/>
        <v/>
      </c>
      <c r="I189" s="350"/>
      <c r="J189" s="69" t="str">
        <f t="shared" si="207"/>
        <v/>
      </c>
      <c r="K189" s="350"/>
      <c r="L189" s="69" t="str">
        <f t="shared" si="208"/>
        <v/>
      </c>
      <c r="M189" s="350"/>
      <c r="N189" s="69" t="str">
        <f t="shared" si="225"/>
        <v/>
      </c>
      <c r="O189" s="350"/>
      <c r="P189" s="69" t="str">
        <f t="shared" si="209"/>
        <v/>
      </c>
      <c r="Q189" s="350"/>
      <c r="R189" s="69" t="str">
        <f t="shared" si="210"/>
        <v/>
      </c>
      <c r="S189" s="350"/>
      <c r="T189" s="69" t="str">
        <f t="shared" si="211"/>
        <v/>
      </c>
      <c r="U189" s="350"/>
      <c r="V189" s="69" t="str">
        <f t="shared" si="212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Schanzer Ingolstadt 1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76" t="s">
        <v>2</v>
      </c>
      <c r="B190" s="73" t="str">
        <f t="shared" si="224"/>
        <v>Hartl, Thomas</v>
      </c>
      <c r="C190" s="74">
        <f t="shared" si="224"/>
        <v>38411</v>
      </c>
      <c r="D190" s="75">
        <f t="shared" si="224"/>
        <v>161</v>
      </c>
      <c r="E190" s="348">
        <f>IF(AD190="","",AD190)</f>
        <v>1</v>
      </c>
      <c r="F190" s="75">
        <f t="shared" si="205"/>
        <v>150</v>
      </c>
      <c r="G190" s="348">
        <f>IF(AF190="","",AF190)</f>
        <v>0</v>
      </c>
      <c r="H190" s="75">
        <f t="shared" si="206"/>
        <v>137</v>
      </c>
      <c r="I190" s="348">
        <f>IF(AH190="","",AH190)</f>
        <v>0</v>
      </c>
      <c r="J190" s="75">
        <f t="shared" si="207"/>
        <v>167</v>
      </c>
      <c r="K190" s="348">
        <f>IF(AJ190="","",AJ190)</f>
        <v>0</v>
      </c>
      <c r="L190" s="75">
        <f t="shared" si="208"/>
        <v>136</v>
      </c>
      <c r="M190" s="348">
        <f>IF(AL190="","",AL190)</f>
        <v>0</v>
      </c>
      <c r="N190" s="75">
        <f t="shared" si="225"/>
        <v>192</v>
      </c>
      <c r="O190" s="348">
        <f>IF(AN190="","",AN190)</f>
        <v>0</v>
      </c>
      <c r="P190" s="75">
        <f t="shared" si="209"/>
        <v>203</v>
      </c>
      <c r="Q190" s="348">
        <f>IF(AP190="","",AP190)</f>
        <v>1</v>
      </c>
      <c r="R190" s="75">
        <f t="shared" si="210"/>
        <v>128</v>
      </c>
      <c r="S190" s="348">
        <f>IF(AR190="","",AR190)</f>
        <v>0</v>
      </c>
      <c r="T190" s="75">
        <f t="shared" si="211"/>
        <v>124</v>
      </c>
      <c r="U190" s="348">
        <f>IF(AT190="","",AT190)</f>
        <v>0</v>
      </c>
      <c r="V190" s="75">
        <f t="shared" si="212"/>
        <v>1398</v>
      </c>
      <c r="W190" s="348">
        <f>IF(AV190="","",AV190)</f>
        <v>2</v>
      </c>
      <c r="Z190" s="351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161</v>
      </c>
      <c r="AD190" s="109">
        <f>IF(SUM(AC190:AC192)+AC206=0,0,IF(SUM(AC190:AC192)=AC206,0.5,IF(SUM(AC190:AC192)&gt;AC206,1,0)))</f>
        <v>1</v>
      </c>
      <c r="AE190" s="188">
        <v>150</v>
      </c>
      <c r="AF190" s="109">
        <f>IF(SUM(AE190:AE192)+AE206=0,0,IF(SUM(AE190:AE192)=AE206,0.5,IF(SUM(AE190:AE192)&gt;AE206,1,0)))</f>
        <v>0</v>
      </c>
      <c r="AG190" s="188">
        <v>137</v>
      </c>
      <c r="AH190" s="109">
        <f>IF(SUM(AG190:AG192)+AG206=0,0,IF(SUM(AG190:AG192)=AG206,0.5,IF(SUM(AG190:AG192)&gt;AG206,1,0)))</f>
        <v>0</v>
      </c>
      <c r="AI190" s="188">
        <v>167</v>
      </c>
      <c r="AJ190" s="109">
        <f>IF(SUM(AI190:AI192)+AI206=0,0,IF(SUM(AI190:AI192)=AI206,0.5,IF(SUM(AI190:AI192)&gt;AI206,1,0)))</f>
        <v>0</v>
      </c>
      <c r="AK190" s="188">
        <v>136</v>
      </c>
      <c r="AL190" s="109">
        <f>IF(SUM(AK190:AK192)+AK206=0,0,IF(SUM(AK190:AK192)=AK206,0.5,IF(SUM(AK190:AK192)&gt;AK206,1,0)))</f>
        <v>0</v>
      </c>
      <c r="AM190" s="188">
        <v>192</v>
      </c>
      <c r="AN190" s="109">
        <f>IF(SUM(AM190:AM192)+AM206=0,0,IF(SUM(AM190:AM192)=AM206,0.5,IF(SUM(AM190:AM192)&gt;AM206,1,0)))</f>
        <v>0</v>
      </c>
      <c r="AO190" s="188">
        <v>203</v>
      </c>
      <c r="AP190" s="109">
        <f>IF(SUM(AO190:AO192)+AO206=0,0,IF(SUM(AO190:AO192)=AO206,0.5,IF(SUM(AO190:AO192)&gt;AO206,1,0)))</f>
        <v>1</v>
      </c>
      <c r="AQ190" s="188">
        <v>128</v>
      </c>
      <c r="AR190" s="109">
        <f>IF(SUM(AQ190:AQ192)+AQ206=0,0,IF(SUM(AQ190:AQ192)=AQ206,0.5,IF(SUM(AQ190:AQ192)&gt;AQ206,1,0)))</f>
        <v>0</v>
      </c>
      <c r="AS190" s="188">
        <v>124</v>
      </c>
      <c r="AT190" s="109">
        <f>IF(SUM(AS190:AS192)+AS206=0,0,IF(SUM(AS190:AS192)=AS206,0.5,IF(SUM(AS190:AS192)&gt;AS206,1,0)))</f>
        <v>0</v>
      </c>
      <c r="AU190" s="110">
        <f t="shared" si="213"/>
        <v>1398</v>
      </c>
      <c r="AV190" s="111">
        <f>SUM(AD190+AF190+AH190+AJ190+AL190+AN190+AP190+AR190+AT190)</f>
        <v>2</v>
      </c>
      <c r="AW190" s="101"/>
      <c r="AX190" s="102"/>
      <c r="AZ190" s="63"/>
      <c r="BA190" s="212"/>
      <c r="BB190" s="213"/>
      <c r="BC190" s="214"/>
      <c r="BD190" s="217">
        <f t="shared" si="226"/>
        <v>38411</v>
      </c>
      <c r="BE190" s="213">
        <f t="shared" si="227"/>
        <v>1398</v>
      </c>
      <c r="BF190" s="215">
        <f t="shared" si="228"/>
        <v>9</v>
      </c>
      <c r="BG190" s="215">
        <f t="shared" si="229"/>
        <v>9</v>
      </c>
      <c r="BH190" s="215">
        <f t="shared" si="214"/>
        <v>161</v>
      </c>
      <c r="BI190" s="215">
        <f t="shared" si="215"/>
        <v>150</v>
      </c>
      <c r="BJ190" s="215">
        <f t="shared" si="216"/>
        <v>137</v>
      </c>
      <c r="BK190" s="215">
        <f t="shared" si="217"/>
        <v>167</v>
      </c>
      <c r="BL190" s="215">
        <f t="shared" si="218"/>
        <v>136</v>
      </c>
      <c r="BM190" s="215">
        <f t="shared" si="219"/>
        <v>192</v>
      </c>
      <c r="BN190" s="215">
        <f t="shared" si="220"/>
        <v>203</v>
      </c>
      <c r="BO190" s="215">
        <f t="shared" si="221"/>
        <v>128</v>
      </c>
      <c r="BP190" s="215">
        <f t="shared" si="222"/>
        <v>124</v>
      </c>
      <c r="BQ190" s="216"/>
      <c r="BR190" s="214"/>
      <c r="BS190" s="215">
        <f t="shared" si="230"/>
        <v>203</v>
      </c>
      <c r="BT190" s="215">
        <f t="shared" si="231"/>
        <v>0</v>
      </c>
      <c r="BU190" s="215" t="str">
        <f t="shared" si="232"/>
        <v>Schanzer Ingolstadt 1</v>
      </c>
      <c r="BV190" s="214">
        <f t="shared" si="233"/>
        <v>2</v>
      </c>
      <c r="BW190" s="215">
        <f t="shared" si="234"/>
        <v>1398</v>
      </c>
      <c r="BX190" s="215">
        <f>IF(COUNTIF(BH190:BP190,"&gt;0")&lt;Spielorte!$A$23,0,BE190/Spielorte!$A$23)</f>
        <v>155.33333333333334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77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9"/>
      <c r="F191" s="78" t="str">
        <f t="shared" si="205"/>
        <v/>
      </c>
      <c r="G191" s="349"/>
      <c r="H191" s="78" t="str">
        <f t="shared" si="206"/>
        <v/>
      </c>
      <c r="I191" s="349"/>
      <c r="J191" s="78" t="str">
        <f t="shared" si="207"/>
        <v/>
      </c>
      <c r="K191" s="349"/>
      <c r="L191" s="78" t="str">
        <f t="shared" si="208"/>
        <v/>
      </c>
      <c r="M191" s="349"/>
      <c r="N191" s="78" t="str">
        <f t="shared" si="225"/>
        <v/>
      </c>
      <c r="O191" s="349"/>
      <c r="P191" s="78" t="str">
        <f t="shared" si="209"/>
        <v/>
      </c>
      <c r="Q191" s="349"/>
      <c r="R191" s="78" t="str">
        <f t="shared" si="210"/>
        <v/>
      </c>
      <c r="S191" s="349"/>
      <c r="T191" s="78" t="str">
        <f t="shared" si="211"/>
        <v/>
      </c>
      <c r="U191" s="349"/>
      <c r="V191" s="78" t="str">
        <f t="shared" si="212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Schanzer Ingolstadt 1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8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0"/>
      <c r="F192" s="69" t="str">
        <f t="shared" si="205"/>
        <v/>
      </c>
      <c r="G192" s="350"/>
      <c r="H192" s="69" t="str">
        <f t="shared" si="206"/>
        <v/>
      </c>
      <c r="I192" s="350"/>
      <c r="J192" s="69" t="str">
        <f t="shared" si="207"/>
        <v/>
      </c>
      <c r="K192" s="350"/>
      <c r="L192" s="69" t="str">
        <f t="shared" si="208"/>
        <v/>
      </c>
      <c r="M192" s="350"/>
      <c r="N192" s="69" t="str">
        <f t="shared" si="225"/>
        <v/>
      </c>
      <c r="O192" s="350"/>
      <c r="P192" s="69" t="str">
        <f t="shared" si="209"/>
        <v/>
      </c>
      <c r="Q192" s="350"/>
      <c r="R192" s="69" t="str">
        <f t="shared" si="210"/>
        <v/>
      </c>
      <c r="S192" s="350"/>
      <c r="T192" s="69" t="str">
        <f t="shared" si="211"/>
        <v/>
      </c>
      <c r="U192" s="350"/>
      <c r="V192" s="69" t="str">
        <f t="shared" si="212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Schanzer Ingolstadt 1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76" t="s">
        <v>3</v>
      </c>
      <c r="B193" s="73" t="str">
        <f t="shared" si="224"/>
        <v>Schütze, Oliver</v>
      </c>
      <c r="C193" s="74">
        <f t="shared" si="224"/>
        <v>38550</v>
      </c>
      <c r="D193" s="75">
        <f t="shared" si="224"/>
        <v>149</v>
      </c>
      <c r="E193" s="348">
        <f>IF(AD193="","",AD193)</f>
        <v>0</v>
      </c>
      <c r="F193" s="75">
        <f t="shared" si="205"/>
        <v>202</v>
      </c>
      <c r="G193" s="348">
        <f>IF(AF193="","",AF193)</f>
        <v>1</v>
      </c>
      <c r="H193" s="75">
        <f t="shared" si="206"/>
        <v>157</v>
      </c>
      <c r="I193" s="348">
        <f>IF(AH193="","",AH193)</f>
        <v>0</v>
      </c>
      <c r="J193" s="75">
        <f t="shared" si="207"/>
        <v>170</v>
      </c>
      <c r="K193" s="348">
        <f>IF(AJ193="","",AJ193)</f>
        <v>0</v>
      </c>
      <c r="L193" s="75">
        <f t="shared" si="208"/>
        <v>153</v>
      </c>
      <c r="M193" s="348">
        <f>IF(AL193="","",AL193)</f>
        <v>1</v>
      </c>
      <c r="N193" s="75">
        <f t="shared" si="225"/>
        <v>219</v>
      </c>
      <c r="O193" s="348">
        <f>IF(AN193="","",AN193)</f>
        <v>1</v>
      </c>
      <c r="P193" s="75">
        <f t="shared" si="209"/>
        <v>156</v>
      </c>
      <c r="Q193" s="348">
        <f>IF(AP193="","",AP193)</f>
        <v>0</v>
      </c>
      <c r="R193" s="75">
        <f t="shared" si="210"/>
        <v>131</v>
      </c>
      <c r="S193" s="348">
        <f>IF(AR193="","",AR193)</f>
        <v>0</v>
      </c>
      <c r="T193" s="75">
        <f t="shared" si="211"/>
        <v>268</v>
      </c>
      <c r="U193" s="348">
        <f>IF(AT193="","",AT193)</f>
        <v>1</v>
      </c>
      <c r="V193" s="75">
        <f t="shared" si="212"/>
        <v>1605</v>
      </c>
      <c r="W193" s="348">
        <f>IF(AV193="","",AV193)</f>
        <v>4</v>
      </c>
      <c r="Z193" s="351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149</v>
      </c>
      <c r="AD193" s="109">
        <f>IF(SUM(AC193:AC195)+AC207=0,0,IF(SUM(AC193:AC195)=AC207,0.5,IF(SUM(AC193:AC195)&gt;AC207,1,0)))</f>
        <v>0</v>
      </c>
      <c r="AE193" s="188">
        <v>202</v>
      </c>
      <c r="AF193" s="109">
        <f>IF(SUM(AE193:AE195)+AE207=0,0,IF(SUM(AE193:AE195)=AE207,0.5,IF(SUM(AE193:AE195)&gt;AE207,1,0)))</f>
        <v>1</v>
      </c>
      <c r="AG193" s="188">
        <v>157</v>
      </c>
      <c r="AH193" s="109">
        <f>IF(SUM(AG193:AG195)+AG207=0,0,IF(SUM(AG193:AG195)=AG207,0.5,IF(SUM(AG193:AG195)&gt;AG207,1,0)))</f>
        <v>0</v>
      </c>
      <c r="AI193" s="188">
        <v>170</v>
      </c>
      <c r="AJ193" s="109">
        <f>IF(SUM(AI193:AI195)+AI207=0,0,IF(SUM(AI193:AI195)=AI207,0.5,IF(SUM(AI193:AI195)&gt;AI207,1,0)))</f>
        <v>0</v>
      </c>
      <c r="AK193" s="188">
        <v>153</v>
      </c>
      <c r="AL193" s="109">
        <f>IF(SUM(AK193:AK195)+AK207=0,0,IF(SUM(AK193:AK195)=AK207,0.5,IF(SUM(AK193:AK195)&gt;AK207,1,0)))</f>
        <v>1</v>
      </c>
      <c r="AM193" s="188">
        <v>219</v>
      </c>
      <c r="AN193" s="109">
        <f>IF(SUM(AM193:AM195)+AM207=0,0,IF(SUM(AM193:AM195)=AM207,0.5,IF(SUM(AM193:AM195)&gt;AM207,1,0)))</f>
        <v>1</v>
      </c>
      <c r="AO193" s="188">
        <v>156</v>
      </c>
      <c r="AP193" s="109">
        <f>IF(SUM(AO193:AO195)+AO207=0,0,IF(SUM(AO193:AO195)=AO207,0.5,IF(SUM(AO193:AO195)&gt;AO207,1,0)))</f>
        <v>0</v>
      </c>
      <c r="AQ193" s="188">
        <v>131</v>
      </c>
      <c r="AR193" s="109">
        <f>IF(SUM(AQ193:AQ195)+AQ207=0,0,IF(SUM(AQ193:AQ195)=AQ207,0.5,IF(SUM(AQ193:AQ195)&gt;AQ207,1,0)))</f>
        <v>0</v>
      </c>
      <c r="AS193" s="188">
        <v>268</v>
      </c>
      <c r="AT193" s="109">
        <f>IF(SUM(AS193:AS195)+AS207=0,0,IF(SUM(AS193:AS195)=AS207,0.5,IF(SUM(AS193:AS195)&gt;AS207,1,0)))</f>
        <v>1</v>
      </c>
      <c r="AU193" s="110">
        <f t="shared" si="213"/>
        <v>1605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26"/>
        <v>38550</v>
      </c>
      <c r="BE193" s="213">
        <f t="shared" si="227"/>
        <v>1605</v>
      </c>
      <c r="BF193" s="215">
        <f t="shared" si="228"/>
        <v>9</v>
      </c>
      <c r="BG193" s="215">
        <f t="shared" si="229"/>
        <v>9</v>
      </c>
      <c r="BH193" s="215">
        <f t="shared" si="214"/>
        <v>149</v>
      </c>
      <c r="BI193" s="215">
        <f t="shared" si="215"/>
        <v>202</v>
      </c>
      <c r="BJ193" s="215">
        <f t="shared" si="216"/>
        <v>157</v>
      </c>
      <c r="BK193" s="215">
        <f t="shared" si="217"/>
        <v>170</v>
      </c>
      <c r="BL193" s="215">
        <f t="shared" si="218"/>
        <v>153</v>
      </c>
      <c r="BM193" s="215">
        <f t="shared" si="219"/>
        <v>219</v>
      </c>
      <c r="BN193" s="215">
        <f t="shared" si="220"/>
        <v>156</v>
      </c>
      <c r="BO193" s="215">
        <f t="shared" si="221"/>
        <v>131</v>
      </c>
      <c r="BP193" s="215">
        <f t="shared" si="222"/>
        <v>268</v>
      </c>
      <c r="BQ193" s="216"/>
      <c r="BR193" s="214"/>
      <c r="BS193" s="215">
        <f t="shared" si="230"/>
        <v>268</v>
      </c>
      <c r="BT193" s="215">
        <f t="shared" si="231"/>
        <v>268.00000019300001</v>
      </c>
      <c r="BU193" s="215" t="str">
        <f t="shared" si="232"/>
        <v>Schanzer Ingolstadt 1</v>
      </c>
      <c r="BV193" s="214">
        <f t="shared" si="233"/>
        <v>1</v>
      </c>
      <c r="BW193" s="215">
        <f t="shared" si="234"/>
        <v>1605</v>
      </c>
      <c r="BX193" s="215">
        <f>IF(COUNTIF(BH193:BP193,"&gt;0")&lt;Spielorte!$A$23,0,BE193/Spielorte!$A$23)</f>
        <v>178.33333333333334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77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9"/>
      <c r="F194" s="78" t="str">
        <f t="shared" si="205"/>
        <v/>
      </c>
      <c r="G194" s="349"/>
      <c r="H194" s="78" t="str">
        <f t="shared" si="206"/>
        <v/>
      </c>
      <c r="I194" s="349"/>
      <c r="J194" s="78" t="str">
        <f t="shared" si="207"/>
        <v/>
      </c>
      <c r="K194" s="349"/>
      <c r="L194" s="78" t="str">
        <f t="shared" si="208"/>
        <v/>
      </c>
      <c r="M194" s="349"/>
      <c r="N194" s="78" t="str">
        <f t="shared" si="225"/>
        <v/>
      </c>
      <c r="O194" s="349"/>
      <c r="P194" s="78" t="str">
        <f t="shared" si="209"/>
        <v/>
      </c>
      <c r="Q194" s="349"/>
      <c r="R194" s="78" t="str">
        <f t="shared" si="210"/>
        <v/>
      </c>
      <c r="S194" s="349"/>
      <c r="T194" s="78" t="str">
        <f t="shared" si="211"/>
        <v/>
      </c>
      <c r="U194" s="349"/>
      <c r="V194" s="78" t="str">
        <f t="shared" si="212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Schanzer Ingolstadt 1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8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0"/>
      <c r="F195" s="69" t="str">
        <f t="shared" si="205"/>
        <v/>
      </c>
      <c r="G195" s="350"/>
      <c r="H195" s="69" t="str">
        <f t="shared" si="206"/>
        <v/>
      </c>
      <c r="I195" s="350"/>
      <c r="J195" s="69" t="str">
        <f t="shared" si="207"/>
        <v/>
      </c>
      <c r="K195" s="350"/>
      <c r="L195" s="69" t="str">
        <f t="shared" si="208"/>
        <v/>
      </c>
      <c r="M195" s="350"/>
      <c r="N195" s="69" t="str">
        <f t="shared" si="225"/>
        <v/>
      </c>
      <c r="O195" s="350"/>
      <c r="P195" s="69" t="str">
        <f t="shared" si="209"/>
        <v/>
      </c>
      <c r="Q195" s="350"/>
      <c r="R195" s="69" t="str">
        <f t="shared" si="210"/>
        <v/>
      </c>
      <c r="S195" s="350"/>
      <c r="T195" s="69" t="str">
        <f t="shared" si="211"/>
        <v/>
      </c>
      <c r="U195" s="350"/>
      <c r="V195" s="69" t="str">
        <f t="shared" si="212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Schanzer Ingolstadt 1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76" t="s">
        <v>11</v>
      </c>
      <c r="B196" s="73" t="str">
        <f>IF(AA196=0,"",AA196)</f>
        <v>Spielvogel, Jochen</v>
      </c>
      <c r="C196" s="74">
        <f t="shared" si="224"/>
        <v>7348</v>
      </c>
      <c r="D196" s="75">
        <f t="shared" si="224"/>
        <v>185</v>
      </c>
      <c r="E196" s="348">
        <f>IF(AD196="","",AD196)</f>
        <v>1</v>
      </c>
      <c r="F196" s="75">
        <f t="shared" si="205"/>
        <v>234</v>
      </c>
      <c r="G196" s="348">
        <f>IF(AF196="","",AF196)</f>
        <v>1</v>
      </c>
      <c r="H196" s="75">
        <f t="shared" si="206"/>
        <v>202</v>
      </c>
      <c r="I196" s="348">
        <f>IF(AH196="","",AH196)</f>
        <v>0</v>
      </c>
      <c r="J196" s="75">
        <f t="shared" si="207"/>
        <v>180</v>
      </c>
      <c r="K196" s="348">
        <f>IF(AJ196="","",AJ196)</f>
        <v>1</v>
      </c>
      <c r="L196" s="75">
        <f t="shared" si="208"/>
        <v>128</v>
      </c>
      <c r="M196" s="348">
        <f>IF(AL196="","",AL196)</f>
        <v>0</v>
      </c>
      <c r="N196" s="75">
        <f t="shared" si="225"/>
        <v>147</v>
      </c>
      <c r="O196" s="348">
        <f>IF(AN196="","",AN196)</f>
        <v>0</v>
      </c>
      <c r="P196" s="75">
        <f t="shared" si="209"/>
        <v>216</v>
      </c>
      <c r="Q196" s="348">
        <f>IF(AP196="","",AP196)</f>
        <v>1</v>
      </c>
      <c r="R196" s="75">
        <f t="shared" si="210"/>
        <v>174</v>
      </c>
      <c r="S196" s="348">
        <f>IF(AR196="","",AR196)</f>
        <v>1</v>
      </c>
      <c r="T196" s="75">
        <f t="shared" si="211"/>
        <v>197</v>
      </c>
      <c r="U196" s="348">
        <f>IF(AT196="","",AT196)</f>
        <v>0</v>
      </c>
      <c r="V196" s="75">
        <f t="shared" si="212"/>
        <v>1663</v>
      </c>
      <c r="W196" s="348">
        <f>IF(AV196="","",AV196)</f>
        <v>5</v>
      </c>
      <c r="Z196" s="351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185</v>
      </c>
      <c r="AD196" s="109">
        <f>IF(SUM(AC196:AC198)+AC208=0,0,IF(SUM(AC196:AC198)=AC208,0.5,IF(SUM(AC196:AC198)&gt;AC208,1,0)))</f>
        <v>1</v>
      </c>
      <c r="AE196" s="188">
        <v>234</v>
      </c>
      <c r="AF196" s="109">
        <f>IF(SUM(AE196:AE198)+AE208=0,0,IF(SUM(AE196:AE198)=AE208,0.5,IF(SUM(AE196:AE198)&gt;AE208,1,0)))</f>
        <v>1</v>
      </c>
      <c r="AG196" s="188">
        <v>202</v>
      </c>
      <c r="AH196" s="109">
        <f>IF(SUM(AG196:AG198)+AG208=0,0,IF(SUM(AG196:AG198)=AG208,0.5,IF(SUM(AG196:AG198)&gt;AG208,1,0)))</f>
        <v>0</v>
      </c>
      <c r="AI196" s="188">
        <v>180</v>
      </c>
      <c r="AJ196" s="109">
        <f>IF(SUM(AI196:AI198)+AI208=0,0,IF(SUM(AI196:AI198)=AI208,0.5,IF(SUM(AI196:AI198)&gt;AI208,1,0)))</f>
        <v>1</v>
      </c>
      <c r="AK196" s="188">
        <v>128</v>
      </c>
      <c r="AL196" s="109">
        <f>IF(SUM(AK196:AK198)+AK208=0,0,IF(SUM(AK196:AK198)=AK208,0.5,IF(SUM(AK196:AK198)&gt;AK208,1,0)))</f>
        <v>0</v>
      </c>
      <c r="AM196" s="188">
        <v>147</v>
      </c>
      <c r="AN196" s="109">
        <f>IF(SUM(AM196:AM198)+AM208=0,0,IF(SUM(AM196:AM198)=AM208,0.5,IF(SUM(AM196:AM198)&gt;AM208,1,0)))</f>
        <v>0</v>
      </c>
      <c r="AO196" s="188">
        <v>216</v>
      </c>
      <c r="AP196" s="109">
        <f>IF(SUM(AO196:AO198)+AO208=0,0,IF(SUM(AO196:AO198)=AO208,0.5,IF(SUM(AO196:AO198)&gt;AO208,1,0)))</f>
        <v>1</v>
      </c>
      <c r="AQ196" s="188">
        <v>174</v>
      </c>
      <c r="AR196" s="109">
        <f>IF(SUM(AQ196:AQ198)+AQ208=0,0,IF(SUM(AQ196:AQ198)=AQ208,0.5,IF(SUM(AQ196:AQ198)&gt;AQ208,1,0)))</f>
        <v>1</v>
      </c>
      <c r="AS196" s="188">
        <v>197</v>
      </c>
      <c r="AT196" s="109">
        <f>IF(SUM(AS196:AS198)+AS208=0,0,IF(SUM(AS196:AS198)=AS208,0.5,IF(SUM(AS196:AS198)&gt;AS208,1,0)))</f>
        <v>0</v>
      </c>
      <c r="AU196" s="110">
        <f t="shared" si="213"/>
        <v>1663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26"/>
        <v>7348</v>
      </c>
      <c r="BE196" s="213">
        <f t="shared" si="227"/>
        <v>1663</v>
      </c>
      <c r="BF196" s="215">
        <f t="shared" si="228"/>
        <v>9</v>
      </c>
      <c r="BG196" s="215">
        <f t="shared" si="229"/>
        <v>9</v>
      </c>
      <c r="BH196" s="215">
        <f t="shared" si="214"/>
        <v>185</v>
      </c>
      <c r="BI196" s="215">
        <f t="shared" si="215"/>
        <v>234</v>
      </c>
      <c r="BJ196" s="215">
        <f t="shared" si="216"/>
        <v>202</v>
      </c>
      <c r="BK196" s="215">
        <f t="shared" si="217"/>
        <v>180</v>
      </c>
      <c r="BL196" s="215">
        <f t="shared" si="218"/>
        <v>128</v>
      </c>
      <c r="BM196" s="215">
        <f t="shared" si="219"/>
        <v>147</v>
      </c>
      <c r="BN196" s="215">
        <f t="shared" si="220"/>
        <v>216</v>
      </c>
      <c r="BO196" s="215">
        <f t="shared" si="221"/>
        <v>174</v>
      </c>
      <c r="BP196" s="215">
        <f t="shared" si="222"/>
        <v>197</v>
      </c>
      <c r="BQ196" s="216"/>
      <c r="BR196" s="214"/>
      <c r="BS196" s="215">
        <f t="shared" si="230"/>
        <v>234</v>
      </c>
      <c r="BT196" s="215">
        <f t="shared" si="231"/>
        <v>0</v>
      </c>
      <c r="BU196" s="215" t="str">
        <f t="shared" si="232"/>
        <v>Schanzer Ingolstadt 1</v>
      </c>
      <c r="BV196" s="214">
        <f t="shared" si="233"/>
        <v>2</v>
      </c>
      <c r="BW196" s="215">
        <f t="shared" si="234"/>
        <v>1663</v>
      </c>
      <c r="BX196" s="215">
        <f>IF(COUNTIF(BH196:BP196,"&gt;0")&lt;Spielorte!$A$23,0,BE196/Spielorte!$A$23)</f>
        <v>184.77777777777777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77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9"/>
      <c r="F197" s="78" t="str">
        <f t="shared" si="205"/>
        <v/>
      </c>
      <c r="G197" s="349"/>
      <c r="H197" s="78" t="str">
        <f t="shared" si="206"/>
        <v/>
      </c>
      <c r="I197" s="349"/>
      <c r="J197" s="78" t="str">
        <f t="shared" si="207"/>
        <v/>
      </c>
      <c r="K197" s="349"/>
      <c r="L197" s="78" t="str">
        <f t="shared" si="208"/>
        <v/>
      </c>
      <c r="M197" s="349"/>
      <c r="N197" s="78" t="str">
        <f t="shared" si="225"/>
        <v/>
      </c>
      <c r="O197" s="349"/>
      <c r="P197" s="78" t="str">
        <f t="shared" si="209"/>
        <v/>
      </c>
      <c r="Q197" s="349"/>
      <c r="R197" s="78" t="str">
        <f t="shared" si="210"/>
        <v/>
      </c>
      <c r="S197" s="349"/>
      <c r="T197" s="78" t="str">
        <f t="shared" si="211"/>
        <v/>
      </c>
      <c r="U197" s="349"/>
      <c r="V197" s="78" t="str">
        <f t="shared" si="212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Schanzer Ingolstadt 1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8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0"/>
      <c r="F198" s="69" t="str">
        <f t="shared" si="205"/>
        <v/>
      </c>
      <c r="G198" s="350"/>
      <c r="H198" s="69" t="str">
        <f t="shared" si="206"/>
        <v/>
      </c>
      <c r="I198" s="350"/>
      <c r="J198" s="69" t="str">
        <f t="shared" si="207"/>
        <v/>
      </c>
      <c r="K198" s="350"/>
      <c r="L198" s="69" t="str">
        <f t="shared" si="208"/>
        <v/>
      </c>
      <c r="M198" s="350"/>
      <c r="N198" s="69" t="str">
        <f t="shared" si="225"/>
        <v/>
      </c>
      <c r="O198" s="350"/>
      <c r="P198" s="69" t="str">
        <f t="shared" si="209"/>
        <v/>
      </c>
      <c r="Q198" s="350"/>
      <c r="R198" s="69" t="str">
        <f t="shared" si="210"/>
        <v/>
      </c>
      <c r="S198" s="350"/>
      <c r="T198" s="69" t="str">
        <f t="shared" si="211"/>
        <v/>
      </c>
      <c r="U198" s="350"/>
      <c r="V198" s="69" t="str">
        <f t="shared" si="212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Schanzer Ingolstadt 1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643</v>
      </c>
      <c r="E199" s="84">
        <f>IF(AD199="","",AD199)</f>
        <v>0</v>
      </c>
      <c r="F199" s="83">
        <f t="shared" si="205"/>
        <v>747</v>
      </c>
      <c r="G199" s="84">
        <f>IF(AF199="","",AF199)</f>
        <v>0</v>
      </c>
      <c r="H199" s="83">
        <f t="shared" si="206"/>
        <v>648</v>
      </c>
      <c r="I199" s="84">
        <f>IF(AH199="","",AH199)</f>
        <v>0</v>
      </c>
      <c r="J199" s="83">
        <f t="shared" si="207"/>
        <v>637</v>
      </c>
      <c r="K199" s="84">
        <f>IF(AJ199="","",AJ199)</f>
        <v>0</v>
      </c>
      <c r="L199" s="83">
        <f t="shared" si="208"/>
        <v>599</v>
      </c>
      <c r="M199" s="84">
        <f>IF(AL199="","",AL199)</f>
        <v>0</v>
      </c>
      <c r="N199" s="83">
        <f t="shared" si="225"/>
        <v>748</v>
      </c>
      <c r="O199" s="84">
        <f>IF(AN199="","",AN199)</f>
        <v>0</v>
      </c>
      <c r="P199" s="83">
        <f t="shared" si="209"/>
        <v>749</v>
      </c>
      <c r="Q199" s="84">
        <f>IF(AP199="","",AP199)</f>
        <v>2</v>
      </c>
      <c r="R199" s="83">
        <f t="shared" si="210"/>
        <v>603</v>
      </c>
      <c r="S199" s="84">
        <f>IF(AR199="","",AR199)</f>
        <v>0</v>
      </c>
      <c r="T199" s="83">
        <f t="shared" si="211"/>
        <v>748</v>
      </c>
      <c r="U199" s="84">
        <f>IF(AT199="","",AT199)</f>
        <v>2</v>
      </c>
      <c r="V199" s="83">
        <f t="shared" si="212"/>
        <v>6122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643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747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648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637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599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748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749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603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748</v>
      </c>
      <c r="AT199" s="121">
        <f>IF(AS199+AS209=0,0,IF(AS199=AS209,1,IF(AS199&gt;AS209,2,0)))</f>
        <v>2</v>
      </c>
      <c r="AU199" s="122">
        <f>SUM(AC199+AE199+AG199+AI199+AK199+AM199+AO199+AQ199+AS199)</f>
        <v>6122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2</v>
      </c>
      <c r="F200" s="86" t="str">
        <f t="shared" si="205"/>
        <v/>
      </c>
      <c r="G200" s="87">
        <f>IF(AF200="","",AF200)</f>
        <v>2</v>
      </c>
      <c r="H200" s="86" t="str">
        <f t="shared" si="206"/>
        <v/>
      </c>
      <c r="I200" s="87">
        <f>IF(AH200="","",AH200)</f>
        <v>0</v>
      </c>
      <c r="J200" s="86" t="str">
        <f t="shared" si="207"/>
        <v/>
      </c>
      <c r="K200" s="87">
        <f>IF(AJ200="","",AJ200)</f>
        <v>1</v>
      </c>
      <c r="L200" s="86" t="str">
        <f t="shared" si="208"/>
        <v/>
      </c>
      <c r="M200" s="87">
        <f>IF(AL200="","",AL200)</f>
        <v>2</v>
      </c>
      <c r="N200" s="86" t="str">
        <f t="shared" si="225"/>
        <v/>
      </c>
      <c r="O200" s="87">
        <f>IF(AN200="","",AN200)</f>
        <v>1</v>
      </c>
      <c r="P200" s="86" t="str">
        <f t="shared" si="209"/>
        <v/>
      </c>
      <c r="Q200" s="87">
        <f>IF(AP200="","",AP200)</f>
        <v>5</v>
      </c>
      <c r="R200" s="86" t="str">
        <f t="shared" si="210"/>
        <v/>
      </c>
      <c r="S200" s="87">
        <f>IF(AR200="","",AR200)</f>
        <v>1</v>
      </c>
      <c r="T200" s="86" t="str">
        <f t="shared" si="211"/>
        <v/>
      </c>
      <c r="U200" s="87">
        <f>IF(AT200="","",AT200)</f>
        <v>3</v>
      </c>
      <c r="V200" s="86" t="str">
        <f t="shared" si="212"/>
        <v/>
      </c>
      <c r="W200" s="87">
        <f>IF(AV200="","",AV200)</f>
        <v>17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2</v>
      </c>
      <c r="AG200" s="86"/>
      <c r="AH200" s="124">
        <f>SUM(AH187:AH199)</f>
        <v>0</v>
      </c>
      <c r="AI200" s="86"/>
      <c r="AJ200" s="124">
        <f>SUM(AJ187:AJ199)</f>
        <v>1</v>
      </c>
      <c r="AK200" s="86"/>
      <c r="AL200" s="124">
        <f>SUM(AL187:AL199)</f>
        <v>2</v>
      </c>
      <c r="AM200" s="86"/>
      <c r="AN200" s="124">
        <f>SUM(AN187:AN199)</f>
        <v>1</v>
      </c>
      <c r="AO200" s="86"/>
      <c r="AP200" s="124">
        <f>SUM(AP187:AP199)</f>
        <v>5</v>
      </c>
      <c r="AQ200" s="86"/>
      <c r="AR200" s="124">
        <f>SUM(AR187:AR199)</f>
        <v>1</v>
      </c>
      <c r="AS200" s="86"/>
      <c r="AT200" s="124">
        <f>SUM(AT187:AT199)</f>
        <v>3</v>
      </c>
      <c r="AU200" s="86"/>
      <c r="AV200" s="125">
        <f>SUM(AV187:AV199)</f>
        <v>17</v>
      </c>
      <c r="AW200" s="101"/>
      <c r="AX200" s="102"/>
      <c r="BA200" s="212">
        <f>+AV200</f>
        <v>17</v>
      </c>
      <c r="BB200" s="213">
        <f>+AU199</f>
        <v>6122</v>
      </c>
      <c r="BC200" s="214">
        <f>+AA182</f>
        <v>7</v>
      </c>
      <c r="BF200" s="215">
        <f>SUM(BF181:BF199)</f>
        <v>36</v>
      </c>
      <c r="BQ200" s="212">
        <f>+BB200/1000000+BA200</f>
        <v>17.006122000000001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6">
        <f t="shared" si="236"/>
        <v>5</v>
      </c>
      <c r="E202" s="356" t="str">
        <f t="shared" si="236"/>
        <v/>
      </c>
      <c r="F202" s="356">
        <f t="shared" si="236"/>
        <v>8</v>
      </c>
      <c r="G202" s="356" t="str">
        <f t="shared" si="236"/>
        <v/>
      </c>
      <c r="H202" s="356">
        <f t="shared" si="236"/>
        <v>1</v>
      </c>
      <c r="I202" s="356" t="str">
        <f t="shared" si="236"/>
        <v/>
      </c>
      <c r="J202" s="356">
        <f t="shared" si="236"/>
        <v>3</v>
      </c>
      <c r="K202" s="356" t="str">
        <f t="shared" si="236"/>
        <v/>
      </c>
      <c r="L202" s="356">
        <f t="shared" ref="L202:U204" si="237">IF(AK202=0,"",AK202)</f>
        <v>2</v>
      </c>
      <c r="M202" s="356" t="str">
        <f t="shared" si="237"/>
        <v/>
      </c>
      <c r="N202" s="356">
        <f t="shared" si="237"/>
        <v>4</v>
      </c>
      <c r="O202" s="356" t="str">
        <f t="shared" si="237"/>
        <v/>
      </c>
      <c r="P202" s="356">
        <f t="shared" si="237"/>
        <v>10</v>
      </c>
      <c r="Q202" s="356" t="str">
        <f t="shared" si="237"/>
        <v/>
      </c>
      <c r="R202" s="356">
        <f t="shared" si="237"/>
        <v>6</v>
      </c>
      <c r="S202" s="356" t="str">
        <f t="shared" si="237"/>
        <v/>
      </c>
      <c r="T202" s="356">
        <f t="shared" si="237"/>
        <v>9</v>
      </c>
      <c r="U202" s="356" t="str">
        <f t="shared" si="237"/>
        <v/>
      </c>
      <c r="V202" s="357"/>
      <c r="W202" s="357"/>
      <c r="AA202" s="88" t="s">
        <v>1797</v>
      </c>
      <c r="AB202" s="89" t="s">
        <v>1798</v>
      </c>
      <c r="AC202" s="370">
        <f>VLOOKUP($AA182,Schlüssel!$A$5:$DG$14,63)</f>
        <v>5</v>
      </c>
      <c r="AD202" s="371"/>
      <c r="AE202" s="370">
        <f>VLOOKUP($AA182,Schlüssel!$A$5:$EK$14,64)</f>
        <v>8</v>
      </c>
      <c r="AF202" s="371"/>
      <c r="AG202" s="370">
        <f>VLOOKUP($AA182,Schlüssel!$A$5:$EK$14,65)</f>
        <v>1</v>
      </c>
      <c r="AH202" s="371"/>
      <c r="AI202" s="370">
        <f>VLOOKUP($AA182,Schlüssel!$A$5:$EK$14,66)</f>
        <v>3</v>
      </c>
      <c r="AJ202" s="371"/>
      <c r="AK202" s="370">
        <f>VLOOKUP($AA182,Schlüssel!$A$5:$EK$14,67)</f>
        <v>2</v>
      </c>
      <c r="AL202" s="371"/>
      <c r="AM202" s="370">
        <f>VLOOKUP($AA182,Schlüssel!$A$5:$EK$14,68)</f>
        <v>4</v>
      </c>
      <c r="AN202" s="371"/>
      <c r="AO202" s="370">
        <f>VLOOKUP($AA182,Schlüssel!$A$5:$EK$14,69)</f>
        <v>10</v>
      </c>
      <c r="AP202" s="371"/>
      <c r="AQ202" s="370">
        <f>VLOOKUP($AA182,Schlüssel!$A$5:$EK$14,70)</f>
        <v>6</v>
      </c>
      <c r="AR202" s="371"/>
      <c r="AS202" s="370">
        <f>VLOOKUP($AA182,Schlüssel!$A$5:$EK$14,71)</f>
        <v>9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58" t="str">
        <f t="shared" si="236"/>
        <v>RW Lichtenhof Stein 1</v>
      </c>
      <c r="E203" s="359" t="str">
        <f t="shared" si="236"/>
        <v/>
      </c>
      <c r="F203" s="358" t="str">
        <f t="shared" si="236"/>
        <v>BC EMAX Unterföhring 2</v>
      </c>
      <c r="G203" s="359" t="str">
        <f t="shared" si="236"/>
        <v/>
      </c>
      <c r="H203" s="358" t="str">
        <f t="shared" si="236"/>
        <v>BC Comet Nürnberg</v>
      </c>
      <c r="I203" s="359" t="str">
        <f t="shared" si="236"/>
        <v/>
      </c>
      <c r="J203" s="358" t="str">
        <f t="shared" si="236"/>
        <v>BK München 3</v>
      </c>
      <c r="K203" s="359" t="str">
        <f t="shared" si="236"/>
        <v/>
      </c>
      <c r="L203" s="358" t="str">
        <f t="shared" si="237"/>
        <v>Bajuwaren München 1</v>
      </c>
      <c r="M203" s="359" t="str">
        <f t="shared" si="237"/>
        <v/>
      </c>
      <c r="N203" s="358" t="str">
        <f t="shared" si="237"/>
        <v>SG DJK Rimpar</v>
      </c>
      <c r="O203" s="359" t="str">
        <f t="shared" si="237"/>
        <v/>
      </c>
      <c r="P203" s="358" t="str">
        <f t="shared" si="237"/>
        <v>High Roller Rosenheim 1</v>
      </c>
      <c r="Q203" s="359" t="str">
        <f t="shared" si="237"/>
        <v/>
      </c>
      <c r="R203" s="358" t="str">
        <f t="shared" si="237"/>
        <v>SG Rottendorf 1</v>
      </c>
      <c r="S203" s="359" t="str">
        <f t="shared" si="237"/>
        <v/>
      </c>
      <c r="T203" s="358" t="str">
        <f t="shared" si="237"/>
        <v>Bowlinghaus Bamberg 1</v>
      </c>
      <c r="U203" s="359" t="str">
        <f t="shared" si="237"/>
        <v/>
      </c>
      <c r="V203" s="363"/>
      <c r="W203" s="363"/>
      <c r="AA203" s="90"/>
      <c r="AB203" s="86"/>
      <c r="AC203" s="358" t="str">
        <f>VLOOKUP(AC202,Schlüssel!$A$5:$K$14,2)</f>
        <v>RW Lichtenhof Stein 1</v>
      </c>
      <c r="AD203" s="359"/>
      <c r="AE203" s="358" t="str">
        <f>VLOOKUP(AE202,Schlüssel!$A$5:$K$14,2)</f>
        <v>BC EMAX Unterföhring 2</v>
      </c>
      <c r="AF203" s="359"/>
      <c r="AG203" s="358" t="str">
        <f>VLOOKUP(AG202,Schlüssel!$A$5:$K$14,2)</f>
        <v>BC Comet Nürnberg</v>
      </c>
      <c r="AH203" s="359"/>
      <c r="AI203" s="358" t="str">
        <f>VLOOKUP(AI202,Schlüssel!$A$5:$K$14,2)</f>
        <v>BK München 3</v>
      </c>
      <c r="AJ203" s="359"/>
      <c r="AK203" s="358" t="str">
        <f>VLOOKUP(AK202,Schlüssel!$A$5:$K$14,2)</f>
        <v>Bajuwaren München 1</v>
      </c>
      <c r="AL203" s="359"/>
      <c r="AM203" s="358" t="str">
        <f>VLOOKUP(AM202,Schlüssel!$A$5:$K$14,2)</f>
        <v>SG DJK Rimpar</v>
      </c>
      <c r="AN203" s="359"/>
      <c r="AO203" s="358" t="str">
        <f>VLOOKUP(AO202,Schlüssel!$A$5:$K$14,2)</f>
        <v>High Roller Rosenheim 1</v>
      </c>
      <c r="AP203" s="359"/>
      <c r="AQ203" s="358" t="str">
        <f>VLOOKUP(AQ202,Schlüssel!$A$5:$K$14,2)</f>
        <v>SG Rottendorf 1</v>
      </c>
      <c r="AR203" s="359"/>
      <c r="AS203" s="358" t="str">
        <f>VLOOKUP(AS202,Schlüssel!$A$5:$K$14,2)</f>
        <v>Bowlinghaus Bamberg 1</v>
      </c>
      <c r="AT203" s="359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60" t="str">
        <f t="shared" si="236"/>
        <v/>
      </c>
      <c r="E204" s="360" t="str">
        <f t="shared" si="236"/>
        <v/>
      </c>
      <c r="F204" s="360" t="str">
        <f t="shared" si="236"/>
        <v/>
      </c>
      <c r="G204" s="360" t="str">
        <f t="shared" si="236"/>
        <v/>
      </c>
      <c r="H204" s="360" t="str">
        <f t="shared" si="236"/>
        <v/>
      </c>
      <c r="I204" s="360" t="str">
        <f t="shared" si="236"/>
        <v/>
      </c>
      <c r="J204" s="360" t="str">
        <f t="shared" si="236"/>
        <v/>
      </c>
      <c r="K204" s="360" t="str">
        <f t="shared" si="236"/>
        <v/>
      </c>
      <c r="L204" s="360" t="str">
        <f t="shared" si="237"/>
        <v/>
      </c>
      <c r="M204" s="360" t="str">
        <f t="shared" si="237"/>
        <v/>
      </c>
      <c r="N204" s="360" t="str">
        <f t="shared" si="237"/>
        <v/>
      </c>
      <c r="O204" s="360" t="str">
        <f t="shared" si="237"/>
        <v/>
      </c>
      <c r="P204" s="360" t="str">
        <f t="shared" si="237"/>
        <v/>
      </c>
      <c r="Q204" s="360" t="str">
        <f t="shared" si="237"/>
        <v/>
      </c>
      <c r="R204" s="360" t="str">
        <f t="shared" si="237"/>
        <v/>
      </c>
      <c r="S204" s="360" t="str">
        <f t="shared" si="237"/>
        <v/>
      </c>
      <c r="T204" s="360" t="str">
        <f t="shared" si="237"/>
        <v/>
      </c>
      <c r="U204" s="361" t="str">
        <f t="shared" si="237"/>
        <v/>
      </c>
      <c r="V204" s="298"/>
      <c r="W204" s="298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4" t="str">
        <f t="shared" ref="B205:C209" si="238">IF(AA205=0,"",AA205)</f>
        <v>Spieler 1</v>
      </c>
      <c r="C205" s="375" t="str">
        <f t="shared" si="238"/>
        <v/>
      </c>
      <c r="D205" s="362">
        <f>IF(AC205=301,"",AC205)</f>
        <v>215</v>
      </c>
      <c r="E205" s="362" t="str">
        <f>IF(AD205=0,"",AD205)</f>
        <v/>
      </c>
      <c r="F205" s="362">
        <f>IF(AE205=301,"",AE205)</f>
        <v>214</v>
      </c>
      <c r="G205" s="362" t="str">
        <f>IF(AF205=0,"",AF205)</f>
        <v/>
      </c>
      <c r="H205" s="362">
        <f>IF(AG205=301,"",AG205)</f>
        <v>164</v>
      </c>
      <c r="I205" s="362" t="str">
        <f>IF(AH205=0,"",AH205)</f>
        <v/>
      </c>
      <c r="J205" s="362">
        <f>IF(AI205=301,"",AI205)</f>
        <v>246</v>
      </c>
      <c r="K205" s="362" t="str">
        <f>IF(AJ205=0,"",AJ205)</f>
        <v/>
      </c>
      <c r="L205" s="362">
        <f>IF(AK205=301,"",AK205)</f>
        <v>180</v>
      </c>
      <c r="M205" s="362" t="str">
        <f>IF(AL205=0,"",AL205)</f>
        <v/>
      </c>
      <c r="N205" s="362">
        <f>IF(AM205=301,"",AM205)</f>
        <v>246</v>
      </c>
      <c r="O205" s="362" t="str">
        <f>IF(AN205=0,"",AN205)</f>
        <v/>
      </c>
      <c r="P205" s="362">
        <f>IF(AO205=301,"",AO205)</f>
        <v>172</v>
      </c>
      <c r="Q205" s="362" t="str">
        <f>IF(AP205=0,"",AP205)</f>
        <v/>
      </c>
      <c r="R205" s="362">
        <f>IF(AQ205=301,"",AQ205)</f>
        <v>180</v>
      </c>
      <c r="S205" s="362" t="str">
        <f>IF(AR205=0,"",AR205)</f>
        <v/>
      </c>
      <c r="T205" s="362">
        <f>IF(AS205=301,"",AS205)</f>
        <v>171</v>
      </c>
      <c r="U205" s="362" t="str">
        <f>IF(AT205=0,"",AT205)</f>
        <v/>
      </c>
      <c r="V205" s="364"/>
      <c r="W205" s="364"/>
      <c r="AA205" s="91" t="s">
        <v>0</v>
      </c>
      <c r="AB205" s="92"/>
      <c r="AC205" s="368">
        <f>ABS(INDEX(AC:AC,MATCH(AC202,$AA:$AA,0)+5)+INDEX(AC:AC,MATCH(AC202,$AA:$AA,0)+6)+INDEX(AC:AC,MATCH(AC202,$AA:$AA,0)+7))</f>
        <v>215</v>
      </c>
      <c r="AD205" s="369"/>
      <c r="AE205" s="368">
        <f>ABS(INDEX(AE:AE,MATCH(AE202,$AA:$AA,0)+5)+INDEX(AE:AE,MATCH(AE202,$AA:$AA,0)+6)+INDEX(AE:AE,MATCH(AE202,$AA:$AA,0)+7))</f>
        <v>214</v>
      </c>
      <c r="AF205" s="369"/>
      <c r="AG205" s="368">
        <f>ABS(INDEX(AG:AG,MATCH(AG202,$AA:$AA,0)+5)+INDEX(AG:AG,MATCH(AG202,$AA:$AA,0)+6)+INDEX(AG:AG,MATCH(AG202,$AA:$AA,0)+7))</f>
        <v>164</v>
      </c>
      <c r="AH205" s="369"/>
      <c r="AI205" s="368">
        <f>ABS(INDEX(AI:AI,MATCH(AI202,$AA:$AA,0)+5)+INDEX(AI:AI,MATCH(AI202,$AA:$AA,0)+6)+INDEX(AI:AI,MATCH(AI202,$AA:$AA,0)+7))</f>
        <v>246</v>
      </c>
      <c r="AJ205" s="369"/>
      <c r="AK205" s="368">
        <f>ABS(INDEX(AK:AK,MATCH(AK202,$AA:$AA,0)+5)+INDEX(AK:AK,MATCH(AK202,$AA:$AA,0)+6)+INDEX(AK:AK,MATCH(AK202,$AA:$AA,0)+7))</f>
        <v>180</v>
      </c>
      <c r="AL205" s="369"/>
      <c r="AM205" s="368">
        <f>ABS(INDEX(AM:AM,MATCH(AM202,$AA:$AA,0)+5)+INDEX(AM:AM,MATCH(AM202,$AA:$AA,0)+6)+INDEX(AM:AM,MATCH(AM202,$AA:$AA,0)+7))</f>
        <v>246</v>
      </c>
      <c r="AN205" s="369"/>
      <c r="AO205" s="368">
        <f>ABS(INDEX(AO:AO,MATCH(AO202,$AA:$AA,0)+5)+INDEX(AO:AO,MATCH(AO202,$AA:$AA,0)+6)+INDEX(AO:AO,MATCH(AO202,$AA:$AA,0)+7))</f>
        <v>172</v>
      </c>
      <c r="AP205" s="369"/>
      <c r="AQ205" s="368">
        <f>ABS(INDEX(AQ:AQ,MATCH(AQ202,$AA:$AA,0)+5)+INDEX(AQ:AQ,MATCH(AQ202,$AA:$AA,0)+6)+INDEX(AQ:AQ,MATCH(AQ202,$AA:$AA,0)+7))</f>
        <v>180</v>
      </c>
      <c r="AR205" s="369"/>
      <c r="AS205" s="368">
        <f>ABS(INDEX(AS:AS,MATCH(AS202,$AA:$AA,0)+5)+INDEX(AS:AS,MATCH(AS202,$AA:$AA,0)+6)+INDEX(AS:AS,MATCH(AS202,$AA:$AA,0)+7))</f>
        <v>171</v>
      </c>
      <c r="AT205" s="369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4" t="str">
        <f t="shared" si="238"/>
        <v>Spieler 2</v>
      </c>
      <c r="C206" s="375" t="str">
        <f t="shared" si="238"/>
        <v/>
      </c>
      <c r="D206" s="362">
        <f>IF(AC206=301,"",AC206)</f>
        <v>156</v>
      </c>
      <c r="E206" s="362" t="str">
        <f>IF(AD206=0,"",AD206)</f>
        <v/>
      </c>
      <c r="F206" s="362">
        <f>IF(AE206=301,"",AE206)</f>
        <v>181</v>
      </c>
      <c r="G206" s="362" t="str">
        <f>IF(AF206=0,"",AF206)</f>
        <v/>
      </c>
      <c r="H206" s="362">
        <f>IF(AG206=301,"",AG206)</f>
        <v>175</v>
      </c>
      <c r="I206" s="362" t="str">
        <f>IF(AH206=0,"",AH206)</f>
        <v/>
      </c>
      <c r="J206" s="362">
        <f>IF(AI206=301,"",AI206)</f>
        <v>231</v>
      </c>
      <c r="K206" s="362" t="str">
        <f>IF(AJ206=0,"",AJ206)</f>
        <v/>
      </c>
      <c r="L206" s="362">
        <f>IF(AK206=301,"",AK206)</f>
        <v>184</v>
      </c>
      <c r="M206" s="362" t="str">
        <f>IF(AL206=0,"",AL206)</f>
        <v/>
      </c>
      <c r="N206" s="362">
        <f>IF(AM206=301,"",AM206)</f>
        <v>254</v>
      </c>
      <c r="O206" s="362" t="str">
        <f>IF(AN206=0,"",AN206)</f>
        <v/>
      </c>
      <c r="P206" s="362">
        <f>IF(AO206=301,"",AO206)</f>
        <v>149</v>
      </c>
      <c r="Q206" s="362" t="str">
        <f>IF(AP206=0,"",AP206)</f>
        <v/>
      </c>
      <c r="R206" s="362">
        <f>IF(AQ206=301,"",AQ206)</f>
        <v>165</v>
      </c>
      <c r="S206" s="362" t="str">
        <f>IF(AR206=0,"",AR206)</f>
        <v/>
      </c>
      <c r="T206" s="362">
        <f>IF(AS206=301,"",AS206)</f>
        <v>168</v>
      </c>
      <c r="U206" s="362" t="str">
        <f>IF(AT206=0,"",AT206)</f>
        <v/>
      </c>
      <c r="V206" s="364"/>
      <c r="W206" s="364"/>
      <c r="AA206" s="91" t="s">
        <v>2</v>
      </c>
      <c r="AB206" s="92"/>
      <c r="AC206" s="366">
        <f>ABS(INDEX(AC:AC,MATCH(AC202,$AA:$AA,0)+8)+INDEX(AC:AC,MATCH(AC202,$AA:$AA,0)+9)+INDEX(AC:AC,MATCH(AC202,$AA:$AA,0)+10))</f>
        <v>156</v>
      </c>
      <c r="AD206" s="367"/>
      <c r="AE206" s="366">
        <f>ABS(INDEX(AE:AE,MATCH(AE202,$AA:$AA,0)+8)+INDEX(AE:AE,MATCH(AE202,$AA:$AA,0)+9)+INDEX(AE:AE,MATCH(AE202,$AA:$AA,0)+10))</f>
        <v>181</v>
      </c>
      <c r="AF206" s="367"/>
      <c r="AG206" s="366">
        <f>ABS(INDEX(AG:AG,MATCH(AG202,$AA:$AA,0)+8)+INDEX(AG:AG,MATCH(AG202,$AA:$AA,0)+9)+INDEX(AG:AG,MATCH(AG202,$AA:$AA,0)+10))</f>
        <v>175</v>
      </c>
      <c r="AH206" s="367"/>
      <c r="AI206" s="366">
        <f>ABS(INDEX(AI:AI,MATCH(AI202,$AA:$AA,0)+8)+INDEX(AI:AI,MATCH(AI202,$AA:$AA,0)+9)+INDEX(AI:AI,MATCH(AI202,$AA:$AA,0)+10))</f>
        <v>231</v>
      </c>
      <c r="AJ206" s="367"/>
      <c r="AK206" s="366">
        <f>ABS(INDEX(AK:AK,MATCH(AK202,$AA:$AA,0)+8)+INDEX(AK:AK,MATCH(AK202,$AA:$AA,0)+9)+INDEX(AK:AK,MATCH(AK202,$AA:$AA,0)+10))</f>
        <v>184</v>
      </c>
      <c r="AL206" s="367"/>
      <c r="AM206" s="366">
        <f>ABS(INDEX(AM:AM,MATCH(AM202,$AA:$AA,0)+8)+INDEX(AM:AM,MATCH(AM202,$AA:$AA,0)+9)+INDEX(AM:AM,MATCH(AM202,$AA:$AA,0)+10))</f>
        <v>254</v>
      </c>
      <c r="AN206" s="367"/>
      <c r="AO206" s="366">
        <f>ABS(INDEX(AO:AO,MATCH(AO202,$AA:$AA,0)+8)+INDEX(AO:AO,MATCH(AO202,$AA:$AA,0)+9)+INDEX(AO:AO,MATCH(AO202,$AA:$AA,0)+10))</f>
        <v>149</v>
      </c>
      <c r="AP206" s="367"/>
      <c r="AQ206" s="366">
        <f>ABS(INDEX(AQ:AQ,MATCH(AQ202,$AA:$AA,0)+8)+INDEX(AQ:AQ,MATCH(AQ202,$AA:$AA,0)+9)+INDEX(AQ:AQ,MATCH(AQ202,$AA:$AA,0)+10))</f>
        <v>165</v>
      </c>
      <c r="AR206" s="367"/>
      <c r="AS206" s="366">
        <f>ABS(INDEX(AS:AS,MATCH(AS202,$AA:$AA,0)+8)+INDEX(AS:AS,MATCH(AS202,$AA:$AA,0)+9)+INDEX(AS:AS,MATCH(AS202,$AA:$AA,0)+10))</f>
        <v>168</v>
      </c>
      <c r="AT206" s="367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4" t="str">
        <f t="shared" si="238"/>
        <v>Spieler 3</v>
      </c>
      <c r="C207" s="375" t="str">
        <f t="shared" si="238"/>
        <v/>
      </c>
      <c r="D207" s="362">
        <f>IF(AC207=301,"",AC207)</f>
        <v>215</v>
      </c>
      <c r="E207" s="362" t="str">
        <f>IF(AD207=0,"",AD207)</f>
        <v/>
      </c>
      <c r="F207" s="362">
        <f>IF(AE207=301,"",AE207)</f>
        <v>158</v>
      </c>
      <c r="G207" s="362" t="str">
        <f>IF(AF207=0,"",AF207)</f>
        <v/>
      </c>
      <c r="H207" s="362">
        <f>IF(AG207=301,"",AG207)</f>
        <v>201</v>
      </c>
      <c r="I207" s="362" t="str">
        <f>IF(AH207=0,"",AH207)</f>
        <v/>
      </c>
      <c r="J207" s="362">
        <f>IF(AI207=301,"",AI207)</f>
        <v>177</v>
      </c>
      <c r="K207" s="362" t="str">
        <f>IF(AJ207=0,"",AJ207)</f>
        <v/>
      </c>
      <c r="L207" s="362">
        <f>IF(AK207=301,"",AK207)</f>
        <v>124</v>
      </c>
      <c r="M207" s="362" t="str">
        <f>IF(AL207=0,"",AL207)</f>
        <v/>
      </c>
      <c r="N207" s="362">
        <f>IF(AM207=301,"",AM207)</f>
        <v>196</v>
      </c>
      <c r="O207" s="362" t="str">
        <f>IF(AN207=0,"",AN207)</f>
        <v/>
      </c>
      <c r="P207" s="362">
        <f>IF(AO207=301,"",AO207)</f>
        <v>177</v>
      </c>
      <c r="Q207" s="362" t="str">
        <f>IF(AP207=0,"",AP207)</f>
        <v/>
      </c>
      <c r="R207" s="362">
        <f>IF(AQ207=301,"",AQ207)</f>
        <v>221</v>
      </c>
      <c r="S207" s="362" t="str">
        <f>IF(AR207=0,"",AR207)</f>
        <v/>
      </c>
      <c r="T207" s="362">
        <f>IF(AS207=301,"",AS207)</f>
        <v>178</v>
      </c>
      <c r="U207" s="362" t="str">
        <f>IF(AT207=0,"",AT207)</f>
        <v/>
      </c>
      <c r="V207" s="364"/>
      <c r="W207" s="364"/>
      <c r="AA207" s="91" t="s">
        <v>3</v>
      </c>
      <c r="AB207" s="92"/>
      <c r="AC207" s="366">
        <f>ABS(INDEX(AC:AC,MATCH(AC202,$AA:$AA,0)+11)+INDEX(AC:AC,MATCH(AC202,$AA:$AA,0)+12)+INDEX(AC:AC,MATCH(AC202,$AA:$AA,0)+13))</f>
        <v>215</v>
      </c>
      <c r="AD207" s="367"/>
      <c r="AE207" s="366">
        <f>ABS(INDEX(AE:AE,MATCH(AE202,$AA:$AA,0)+11)+INDEX(AE:AE,MATCH(AE202,$AA:$AA,0)+12)+INDEX(AE:AE,MATCH(AE202,$AA:$AA,0)+13))</f>
        <v>158</v>
      </c>
      <c r="AF207" s="367"/>
      <c r="AG207" s="366">
        <f>ABS(INDEX(AG:AG,MATCH(AG202,$AA:$AA,0)+11)+INDEX(AG:AG,MATCH(AG202,$AA:$AA,0)+12)+INDEX(AG:AG,MATCH(AG202,$AA:$AA,0)+13))</f>
        <v>201</v>
      </c>
      <c r="AH207" s="367"/>
      <c r="AI207" s="366">
        <f>ABS(INDEX(AI:AI,MATCH(AI202,$AA:$AA,0)+11)+INDEX(AI:AI,MATCH(AI202,$AA:$AA,0)+12)+INDEX(AI:AI,MATCH(AI202,$AA:$AA,0)+13))</f>
        <v>177</v>
      </c>
      <c r="AJ207" s="367"/>
      <c r="AK207" s="366">
        <f>ABS(INDEX(AK:AK,MATCH(AK202,$AA:$AA,0)+11)+INDEX(AK:AK,MATCH(AK202,$AA:$AA,0)+12)+INDEX(AK:AK,MATCH(AK202,$AA:$AA,0)+13))</f>
        <v>124</v>
      </c>
      <c r="AL207" s="367"/>
      <c r="AM207" s="366">
        <f>ABS(INDEX(AM:AM,MATCH(AM202,$AA:$AA,0)+11)+INDEX(AM:AM,MATCH(AM202,$AA:$AA,0)+12)+INDEX(AM:AM,MATCH(AM202,$AA:$AA,0)+13))</f>
        <v>196</v>
      </c>
      <c r="AN207" s="367"/>
      <c r="AO207" s="366">
        <f>ABS(INDEX(AO:AO,MATCH(AO202,$AA:$AA,0)+11)+INDEX(AO:AO,MATCH(AO202,$AA:$AA,0)+12)+INDEX(AO:AO,MATCH(AO202,$AA:$AA,0)+13))</f>
        <v>177</v>
      </c>
      <c r="AP207" s="367"/>
      <c r="AQ207" s="366">
        <f>ABS(INDEX(AQ:AQ,MATCH(AQ202,$AA:$AA,0)+11)+INDEX(AQ:AQ,MATCH(AQ202,$AA:$AA,0)+12)+INDEX(AQ:AQ,MATCH(AQ202,$AA:$AA,0)+13))</f>
        <v>221</v>
      </c>
      <c r="AR207" s="367"/>
      <c r="AS207" s="366">
        <f>ABS(INDEX(AS:AS,MATCH(AS202,$AA:$AA,0)+11)+INDEX(AS:AS,MATCH(AS202,$AA:$AA,0)+12)+INDEX(AS:AS,MATCH(AS202,$AA:$AA,0)+13))</f>
        <v>178</v>
      </c>
      <c r="AT207" s="367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4" t="str">
        <f t="shared" si="238"/>
        <v>Spieler 4</v>
      </c>
      <c r="C208" s="375" t="str">
        <f t="shared" si="238"/>
        <v/>
      </c>
      <c r="D208" s="362">
        <f>IF(AC208=301,"",AC208)</f>
        <v>159</v>
      </c>
      <c r="E208" s="362" t="str">
        <f>IF(AD208=0,"",AD208)</f>
        <v/>
      </c>
      <c r="F208" s="362">
        <f>IF(AE208=301,"",AE208)</f>
        <v>221</v>
      </c>
      <c r="G208" s="362" t="str">
        <f>IF(AF208=0,"",AF208)</f>
        <v/>
      </c>
      <c r="H208" s="362">
        <f>IF(AG208=301,"",AG208)</f>
        <v>206</v>
      </c>
      <c r="I208" s="362" t="str">
        <f>IF(AH208=0,"",AH208)</f>
        <v/>
      </c>
      <c r="J208" s="362">
        <f>IF(AI208=301,"",AI208)</f>
        <v>178</v>
      </c>
      <c r="K208" s="362" t="str">
        <f>IF(AJ208=0,"",AJ208)</f>
        <v/>
      </c>
      <c r="L208" s="362">
        <f>IF(AK208=301,"",AK208)</f>
        <v>161</v>
      </c>
      <c r="M208" s="362" t="str">
        <f>IF(AL208=0,"",AL208)</f>
        <v/>
      </c>
      <c r="N208" s="362">
        <f>IF(AM208=301,"",AM208)</f>
        <v>219</v>
      </c>
      <c r="O208" s="362" t="str">
        <f>IF(AN208=0,"",AN208)</f>
        <v/>
      </c>
      <c r="P208" s="362">
        <f>IF(AO208=301,"",AO208)</f>
        <v>172</v>
      </c>
      <c r="Q208" s="362" t="str">
        <f>IF(AP208=0,"",AP208)</f>
        <v/>
      </c>
      <c r="R208" s="362">
        <f>IF(AQ208=301,"",AQ208)</f>
        <v>162</v>
      </c>
      <c r="S208" s="362" t="str">
        <f>IF(AR208=0,"",AR208)</f>
        <v/>
      </c>
      <c r="T208" s="362">
        <f>IF(AS208=301,"",AS208)</f>
        <v>202</v>
      </c>
      <c r="U208" s="362" t="str">
        <f>IF(AT208=0,"",AT208)</f>
        <v/>
      </c>
      <c r="V208" s="364"/>
      <c r="W208" s="364"/>
      <c r="AA208" s="91" t="s">
        <v>11</v>
      </c>
      <c r="AB208" s="92"/>
      <c r="AC208" s="366">
        <f>ABS(INDEX(AC:AC,MATCH(AC202,$AA:$AA,0)+14)+INDEX(AC:AC,MATCH(AC202,$AA:$AA,0)+15)+INDEX(AC:AC,MATCH(AC202,$AA:$AA,0)+16))</f>
        <v>159</v>
      </c>
      <c r="AD208" s="367"/>
      <c r="AE208" s="366">
        <f>ABS(INDEX(AE:AE,MATCH(AE202,$AA:$AA,0)+14)+INDEX(AE:AE,MATCH(AE202,$AA:$AA,0)+15)+INDEX(AE:AE,MATCH(AE202,$AA:$AA,0)+16))</f>
        <v>221</v>
      </c>
      <c r="AF208" s="367"/>
      <c r="AG208" s="366">
        <f>ABS(INDEX(AG:AG,MATCH(AG202,$AA:$AA,0)+14)+INDEX(AG:AG,MATCH(AG202,$AA:$AA,0)+15)+INDEX(AG:AG,MATCH(AG202,$AA:$AA,0)+16))</f>
        <v>206</v>
      </c>
      <c r="AH208" s="367"/>
      <c r="AI208" s="366">
        <f>ABS(INDEX(AI:AI,MATCH(AI202,$AA:$AA,0)+14)+INDEX(AI:AI,MATCH(AI202,$AA:$AA,0)+15)+INDEX(AI:AI,MATCH(AI202,$AA:$AA,0)+16))</f>
        <v>178</v>
      </c>
      <c r="AJ208" s="367"/>
      <c r="AK208" s="366">
        <f>ABS(INDEX(AK:AK,MATCH(AK202,$AA:$AA,0)+14)+INDEX(AK:AK,MATCH(AK202,$AA:$AA,0)+15)+INDEX(AK:AK,MATCH(AK202,$AA:$AA,0)+16))</f>
        <v>161</v>
      </c>
      <c r="AL208" s="367"/>
      <c r="AM208" s="366">
        <f>ABS(INDEX(AM:AM,MATCH(AM202,$AA:$AA,0)+14)+INDEX(AM:AM,MATCH(AM202,$AA:$AA,0)+15)+INDEX(AM:AM,MATCH(AM202,$AA:$AA,0)+16))</f>
        <v>219</v>
      </c>
      <c r="AN208" s="367"/>
      <c r="AO208" s="366">
        <f>ABS(INDEX(AO:AO,MATCH(AO202,$AA:$AA,0)+14)+INDEX(AO:AO,MATCH(AO202,$AA:$AA,0)+15)+INDEX(AO:AO,MATCH(AO202,$AA:$AA,0)+16))</f>
        <v>172</v>
      </c>
      <c r="AP208" s="367"/>
      <c r="AQ208" s="366">
        <f>ABS(INDEX(AQ:AQ,MATCH(AQ202,$AA:$AA,0)+14)+INDEX(AQ:AQ,MATCH(AQ202,$AA:$AA,0)+15)+INDEX(AQ:AQ,MATCH(AQ202,$AA:$AA,0)+16))</f>
        <v>162</v>
      </c>
      <c r="AR208" s="367"/>
      <c r="AS208" s="366">
        <f>ABS(INDEX(AS:AS,MATCH(AS202,$AA:$AA,0)+14)+INDEX(AS:AS,MATCH(AS202,$AA:$AA,0)+15)+INDEX(AS:AS,MATCH(AS202,$AA:$AA,0)+16))</f>
        <v>202</v>
      </c>
      <c r="AT208" s="367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6" t="str">
        <f t="shared" si="238"/>
        <v>Gesamt</v>
      </c>
      <c r="C209" s="347" t="str">
        <f t="shared" si="238"/>
        <v/>
      </c>
      <c r="D209" s="365">
        <f>IF(AC209=1505,"",AC209)</f>
        <v>745</v>
      </c>
      <c r="E209" s="365" t="str">
        <f>IF(AD209=0,"",AD209)</f>
        <v/>
      </c>
      <c r="F209" s="365">
        <f>IF(AE209=1505,"",AE209)</f>
        <v>774</v>
      </c>
      <c r="G209" s="365" t="str">
        <f>IF(AF209=0,"",AF209)</f>
        <v/>
      </c>
      <c r="H209" s="365">
        <f>IF(AG209=1505,"",AG209)</f>
        <v>746</v>
      </c>
      <c r="I209" s="365" t="str">
        <f>IF(AH209=0,"",AH209)</f>
        <v/>
      </c>
      <c r="J209" s="365">
        <f>IF(AI209=1505,"",AI209)</f>
        <v>832</v>
      </c>
      <c r="K209" s="365" t="str">
        <f>IF(AJ209=0,"",AJ209)</f>
        <v/>
      </c>
      <c r="L209" s="365">
        <f>IF(AK209=1505,"",AK209)</f>
        <v>649</v>
      </c>
      <c r="M209" s="365" t="str">
        <f>IF(AL209=0,"",AL209)</f>
        <v/>
      </c>
      <c r="N209" s="365">
        <f>IF(AM209=1505,"",AM209)</f>
        <v>915</v>
      </c>
      <c r="O209" s="365" t="str">
        <f>IF(AN209=0,"",AN209)</f>
        <v/>
      </c>
      <c r="P209" s="365">
        <f>IF(AO209=1505,"",AO209)</f>
        <v>670</v>
      </c>
      <c r="Q209" s="365" t="str">
        <f>IF(AP209=0,"",AP209)</f>
        <v/>
      </c>
      <c r="R209" s="365">
        <f>IF(AQ209=1505,"",AQ209)</f>
        <v>728</v>
      </c>
      <c r="S209" s="365" t="str">
        <f>IF(AR209=0,"",AR209)</f>
        <v/>
      </c>
      <c r="T209" s="365">
        <f>IF(AS209=1505,"",AS209)</f>
        <v>719</v>
      </c>
      <c r="U209" s="365" t="str">
        <f>IF(AT209=0,"",AT209)</f>
        <v/>
      </c>
      <c r="V209" s="301"/>
      <c r="W209" s="301"/>
      <c r="AA209" s="93" t="s">
        <v>1799</v>
      </c>
      <c r="AB209" s="94"/>
      <c r="AC209" s="346">
        <f>SUM(AC205:AC208)</f>
        <v>745</v>
      </c>
      <c r="AD209" s="347"/>
      <c r="AE209" s="346">
        <f>SUM(AE205:AE208)</f>
        <v>774</v>
      </c>
      <c r="AF209" s="347"/>
      <c r="AG209" s="346">
        <f>SUM(AG205:AG208)</f>
        <v>746</v>
      </c>
      <c r="AH209" s="347"/>
      <c r="AI209" s="346">
        <f>SUM(AI205:AI208)</f>
        <v>832</v>
      </c>
      <c r="AJ209" s="347"/>
      <c r="AK209" s="346">
        <f>SUM(AK205:AK208)</f>
        <v>649</v>
      </c>
      <c r="AL209" s="347"/>
      <c r="AM209" s="346">
        <f>SUM(AM205:AM208)</f>
        <v>915</v>
      </c>
      <c r="AN209" s="347"/>
      <c r="AO209" s="346">
        <f>SUM(AO205:AO208)</f>
        <v>670</v>
      </c>
      <c r="AP209" s="347"/>
      <c r="AQ209" s="346">
        <f>SUM(AQ205:AQ208)</f>
        <v>728</v>
      </c>
      <c r="AR209" s="347"/>
      <c r="AS209" s="346">
        <f>SUM(AS205:AS208)</f>
        <v>719</v>
      </c>
      <c r="AT209" s="347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5" t="str">
        <f>AE211</f>
        <v>Bayernliga Herren</v>
      </c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48"/>
      <c r="S211" s="49" t="s">
        <v>1794</v>
      </c>
      <c r="T211" s="50"/>
      <c r="U211" s="341" t="str">
        <f>AT211</f>
        <v>15.02./16.02.</v>
      </c>
      <c r="V211" s="342"/>
      <c r="W211" s="343"/>
      <c r="X211" s="372"/>
      <c r="Y211" s="373"/>
      <c r="Z211" s="373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41" t="str">
        <f>VLOOKUP(AS212,Spielorte!$A$1:$C$6,2)</f>
        <v>15.02./16.02.</v>
      </c>
      <c r="AU211" s="342"/>
      <c r="AV211" s="34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4" t="str">
        <f>AE212</f>
        <v>Regensburg Super Bowl</v>
      </c>
      <c r="G212" s="344"/>
      <c r="H212" s="344"/>
      <c r="I212" s="344"/>
      <c r="J212" s="344"/>
      <c r="K212" s="344"/>
      <c r="L212" s="344"/>
      <c r="M212" s="344"/>
      <c r="N212" s="344"/>
      <c r="O212" s="344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4</v>
      </c>
      <c r="AE214" s="65" t="s">
        <v>10</v>
      </c>
      <c r="AF214" s="44">
        <f>VLOOKUP(AA212,Schlüssel!$A$5:$DZ$14,74)</f>
        <v>8</v>
      </c>
      <c r="AG214" s="65" t="s">
        <v>10</v>
      </c>
      <c r="AH214" s="44">
        <f>VLOOKUP(AA212,Schlüssel!$A$5:$DZ$14,75)</f>
        <v>9</v>
      </c>
      <c r="AI214" s="65" t="s">
        <v>10</v>
      </c>
      <c r="AJ214" s="44">
        <f>VLOOKUP(AA212,Schlüssel!$A$5:$DZ$14,76)</f>
        <v>2</v>
      </c>
      <c r="AK214" s="65" t="s">
        <v>10</v>
      </c>
      <c r="AL214" s="44">
        <f>VLOOKUP(AA212,Schlüssel!$A$5:$DZ$14,77)</f>
        <v>5</v>
      </c>
      <c r="AM214" s="65" t="s">
        <v>10</v>
      </c>
      <c r="AN214" s="44">
        <f>VLOOKUP(AA212,Schlüssel!$A$5:$DZ$14,78)</f>
        <v>7</v>
      </c>
      <c r="AO214" s="65" t="s">
        <v>10</v>
      </c>
      <c r="AP214" s="44">
        <f>VLOOKUP(AA212,Schlüssel!$A$5:$DZ$14,79)</f>
        <v>1</v>
      </c>
      <c r="AQ214" s="65" t="s">
        <v>10</v>
      </c>
      <c r="AR214" s="44">
        <f>VLOOKUP(AA212,Schlüssel!$A$5:$DZ$14,80)</f>
        <v>10</v>
      </c>
      <c r="AS214" s="65" t="s">
        <v>10</v>
      </c>
      <c r="AT214" s="44">
        <f>VLOOKUP(AA212,Schlüssel!$A$5:$DZ$14,81)</f>
        <v>6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6" t="s">
        <v>1800</v>
      </c>
      <c r="E215" s="347"/>
      <c r="F215" s="346" t="s">
        <v>1801</v>
      </c>
      <c r="G215" s="347"/>
      <c r="H215" s="346" t="s">
        <v>1802</v>
      </c>
      <c r="I215" s="347"/>
      <c r="J215" s="346" t="s">
        <v>1803</v>
      </c>
      <c r="K215" s="347"/>
      <c r="L215" s="346" t="s">
        <v>1804</v>
      </c>
      <c r="M215" s="347"/>
      <c r="N215" s="346" t="s">
        <v>1805</v>
      </c>
      <c r="O215" s="347"/>
      <c r="P215" s="346" t="s">
        <v>1806</v>
      </c>
      <c r="Q215" s="347"/>
      <c r="R215" s="346" t="s">
        <v>1807</v>
      </c>
      <c r="S215" s="347"/>
      <c r="T215" s="346" t="s">
        <v>1808</v>
      </c>
      <c r="U215" s="347"/>
      <c r="V215" s="354" t="s">
        <v>1799</v>
      </c>
      <c r="W215" s="355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6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226</v>
      </c>
      <c r="E217" s="348">
        <f>IF(AD217="","",AD217)</f>
        <v>1</v>
      </c>
      <c r="F217" s="75">
        <f t="shared" ref="F217:F230" si="239">IF(AE217=0,"",AE217)</f>
        <v>214</v>
      </c>
      <c r="G217" s="348">
        <f>IF(AF217="","",AF217)</f>
        <v>1</v>
      </c>
      <c r="H217" s="75">
        <f t="shared" ref="H217:H230" si="240">IF(AG217=0,"",AG217)</f>
        <v>205</v>
      </c>
      <c r="I217" s="348">
        <f>IF(AH217="","",AH217)</f>
        <v>1</v>
      </c>
      <c r="J217" s="75">
        <f t="shared" ref="J217:J230" si="241">IF(AI217=0,"",AI217)</f>
        <v>164</v>
      </c>
      <c r="K217" s="348">
        <f>IF(AJ217="","",AJ217)</f>
        <v>1</v>
      </c>
      <c r="L217" s="75">
        <f t="shared" ref="L217:L230" si="242">IF(AK217=0,"",AK217)</f>
        <v>194</v>
      </c>
      <c r="M217" s="348">
        <f>IF(AL217="","",AL217)</f>
        <v>1</v>
      </c>
      <c r="N217" s="75">
        <f>IF(AM217=0,"",AM217)</f>
        <v>153</v>
      </c>
      <c r="O217" s="348">
        <f>IF(AN217="","",AN217)</f>
        <v>1</v>
      </c>
      <c r="P217" s="75">
        <f t="shared" ref="P217:P230" si="243">IF(AO217=0,"",AO217)</f>
        <v>166</v>
      </c>
      <c r="Q217" s="348">
        <f>IF(AP217="","",AP217)</f>
        <v>0</v>
      </c>
      <c r="R217" s="75" t="str">
        <f t="shared" ref="R217:R230" si="244">IF(AQ217=0,"",AQ217)</f>
        <v/>
      </c>
      <c r="S217" s="348">
        <f>IF(AR217="","",AR217)</f>
        <v>0</v>
      </c>
      <c r="T217" s="75" t="str">
        <f t="shared" ref="T217:T230" si="245">IF(AS217=0,"",AS217)</f>
        <v/>
      </c>
      <c r="U217" s="348">
        <f>IF(AT217="","",AT217)</f>
        <v>0</v>
      </c>
      <c r="V217" s="75">
        <f t="shared" ref="V217:V230" si="246">IF(AU217=0,"",AU217)</f>
        <v>1322</v>
      </c>
      <c r="W217" s="348">
        <f>IF(AV217="","",AV217)</f>
        <v>6</v>
      </c>
      <c r="Z217" s="351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226</v>
      </c>
      <c r="AD217" s="109">
        <f>IF(SUM(AC217:AC219)+AC235=0,0,IF(SUM(AC217:AC219)=AC235,0.5,IF(SUM(AC217:AC219)&gt;AC235,1,0)))</f>
        <v>1</v>
      </c>
      <c r="AE217" s="185">
        <v>214</v>
      </c>
      <c r="AF217" s="109">
        <f>IF(SUM(AE217:AE219)+AE235=0,0,IF(SUM(AE217:AE219)=AE235,0.5,IF(SUM(AE217:AE219)&gt;AE235,1,0)))</f>
        <v>1</v>
      </c>
      <c r="AG217" s="185">
        <v>205</v>
      </c>
      <c r="AH217" s="109">
        <f>IF(SUM(AG217:AG219)+AG235=0,0,IF(SUM(AG217:AG219)=AG235,0.5,IF(SUM(AG217:AG219)&gt;AG235,1,0)))</f>
        <v>1</v>
      </c>
      <c r="AI217" s="185">
        <v>164</v>
      </c>
      <c r="AJ217" s="109">
        <f>IF(SUM(AI217:AI219)+AI235=0,0,IF(SUM(AI217:AI219)=AI235,0.5,IF(SUM(AI217:AI219)&gt;AI235,1,0)))</f>
        <v>1</v>
      </c>
      <c r="AK217" s="185">
        <v>194</v>
      </c>
      <c r="AL217" s="109">
        <f>IF(SUM(AK217:AK219)+AK235=0,0,IF(SUM(AK217:AK219)=AK235,0.5,IF(SUM(AK217:AK219)&gt;AK235,1,0)))</f>
        <v>1</v>
      </c>
      <c r="AM217" s="185">
        <v>153</v>
      </c>
      <c r="AN217" s="109">
        <f>IF(SUM(AM217:AM219)+AM235=0,0,IF(SUM(AM217:AM219)=AM235,0.5,IF(SUM(AM217:AM219)&gt;AM235,1,0)))</f>
        <v>1</v>
      </c>
      <c r="AO217" s="185">
        <v>166</v>
      </c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1322</v>
      </c>
      <c r="AV217" s="111">
        <f>SUM(AD217+AF217+AH217+AJ217+AL217+AN217+AP217+AR217+AT217)</f>
        <v>6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1322</v>
      </c>
      <c r="BF217" s="215">
        <f>COUNT(BH217:BP217)</f>
        <v>7</v>
      </c>
      <c r="BG217" s="215">
        <f>COUNTIF(BH217:BP217,"&gt;0")</f>
        <v>7</v>
      </c>
      <c r="BH217" s="215">
        <f t="shared" ref="BH217:BH228" si="248">IF(AC217=0,"",AC217)</f>
        <v>226</v>
      </c>
      <c r="BI217" s="215">
        <f t="shared" ref="BI217:BI228" si="249">IF(AE217=0,"",AE217)</f>
        <v>214</v>
      </c>
      <c r="BJ217" s="215">
        <f t="shared" ref="BJ217:BJ228" si="250">IF(AG217=0,"",AG217)</f>
        <v>205</v>
      </c>
      <c r="BK217" s="215">
        <f t="shared" ref="BK217:BK228" si="251">IF(AI217=0,"",AI217)</f>
        <v>164</v>
      </c>
      <c r="BL217" s="215">
        <f t="shared" ref="BL217:BL228" si="252">IF(AK217=0,"",AK217)</f>
        <v>194</v>
      </c>
      <c r="BM217" s="215">
        <f t="shared" ref="BM217:BM228" si="253">IF(AM217=0,"",AM217)</f>
        <v>153</v>
      </c>
      <c r="BN217" s="215">
        <f t="shared" ref="BN217:BN228" si="254">IF(AO217=0,"",AO217)</f>
        <v>166</v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226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1322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77"/>
      <c r="B218" s="76" t="str">
        <f t="shared" ref="B218:D230" si="258">IF(AA218=0,"",AA218)</f>
        <v>Blasits, Ernst</v>
      </c>
      <c r="C218" s="77">
        <f t="shared" si="258"/>
        <v>25554</v>
      </c>
      <c r="D218" s="78" t="str">
        <f t="shared" si="258"/>
        <v/>
      </c>
      <c r="E218" s="349"/>
      <c r="F218" s="78" t="str">
        <f t="shared" si="239"/>
        <v/>
      </c>
      <c r="G218" s="349"/>
      <c r="H218" s="78" t="str">
        <f t="shared" si="240"/>
        <v/>
      </c>
      <c r="I218" s="349"/>
      <c r="J218" s="78" t="str">
        <f t="shared" si="241"/>
        <v/>
      </c>
      <c r="K218" s="349"/>
      <c r="L218" s="78" t="str">
        <f t="shared" si="242"/>
        <v/>
      </c>
      <c r="M218" s="349"/>
      <c r="N218" s="78" t="str">
        <f t="shared" ref="N218:N230" si="259">IF(AM218=0,"",AM218)</f>
        <v/>
      </c>
      <c r="O218" s="349"/>
      <c r="P218" s="78" t="str">
        <f t="shared" si="243"/>
        <v/>
      </c>
      <c r="Q218" s="349"/>
      <c r="R218" s="78" t="str">
        <f t="shared" si="244"/>
        <v/>
      </c>
      <c r="S218" s="349"/>
      <c r="T218" s="78" t="str">
        <f t="shared" si="245"/>
        <v/>
      </c>
      <c r="U218" s="349"/>
      <c r="V218" s="78" t="str">
        <f t="shared" si="246"/>
        <v/>
      </c>
      <c r="W218" s="349"/>
      <c r="Z218" s="352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289">
        <v>0</v>
      </c>
      <c r="AR218" s="112"/>
      <c r="AS218" s="289">
        <v>0</v>
      </c>
      <c r="AT218" s="112"/>
      <c r="AU218" s="113">
        <f t="shared" si="247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25554</v>
      </c>
      <c r="BE218" s="213">
        <f t="shared" ref="BE218:BE228" si="261">+AU218</f>
        <v>0</v>
      </c>
      <c r="BF218" s="215">
        <f t="shared" ref="BF218:BF228" si="262">COUNT(BH218:BP218)</f>
        <v>0</v>
      </c>
      <c r="BG218" s="215">
        <f t="shared" ref="BG218:BG228" si="263">COUNTIF(BH218:BP218,"&gt;0")</f>
        <v>0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 t="str">
        <f t="shared" si="254"/>
        <v/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0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BC EMAX Unterföhring 2</v>
      </c>
      <c r="BV218" s="214">
        <f t="shared" ref="BV218:BV228" si="267">RANK(BT218,BT:BT)</f>
        <v>2</v>
      </c>
      <c r="BW218" s="215">
        <f t="shared" ref="BW218:BW228" si="26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8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0"/>
      <c r="F219" s="69" t="str">
        <f t="shared" si="239"/>
        <v/>
      </c>
      <c r="G219" s="350"/>
      <c r="H219" s="69" t="str">
        <f t="shared" si="240"/>
        <v/>
      </c>
      <c r="I219" s="350"/>
      <c r="J219" s="69" t="str">
        <f t="shared" si="241"/>
        <v/>
      </c>
      <c r="K219" s="350"/>
      <c r="L219" s="69" t="str">
        <f t="shared" si="242"/>
        <v/>
      </c>
      <c r="M219" s="350"/>
      <c r="N219" s="69" t="str">
        <f t="shared" si="259"/>
        <v/>
      </c>
      <c r="O219" s="350"/>
      <c r="P219" s="69" t="str">
        <f t="shared" si="243"/>
        <v/>
      </c>
      <c r="Q219" s="350"/>
      <c r="R219" s="69" t="str">
        <f t="shared" si="244"/>
        <v/>
      </c>
      <c r="S219" s="350"/>
      <c r="T219" s="69" t="str">
        <f t="shared" si="245"/>
        <v/>
      </c>
      <c r="U219" s="350"/>
      <c r="V219" s="69" t="str">
        <f t="shared" si="246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BC EMAX Unterföhring 2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76" t="s">
        <v>2</v>
      </c>
      <c r="B220" s="73" t="str">
        <f t="shared" si="258"/>
        <v>Wegenast, Robert</v>
      </c>
      <c r="C220" s="74">
        <f t="shared" si="258"/>
        <v>25325</v>
      </c>
      <c r="D220" s="75">
        <f t="shared" si="258"/>
        <v>194</v>
      </c>
      <c r="E220" s="348">
        <f>IF(AD220="","",AD220)</f>
        <v>1</v>
      </c>
      <c r="F220" s="75">
        <f t="shared" si="239"/>
        <v>181</v>
      </c>
      <c r="G220" s="348">
        <f>IF(AF220="","",AF220)</f>
        <v>1</v>
      </c>
      <c r="H220" s="75" t="str">
        <f t="shared" si="240"/>
        <v/>
      </c>
      <c r="I220" s="348">
        <f>IF(AH220="","",AH220)</f>
        <v>0</v>
      </c>
      <c r="J220" s="75" t="str">
        <f t="shared" si="241"/>
        <v/>
      </c>
      <c r="K220" s="348">
        <f>IF(AJ220="","",AJ220)</f>
        <v>0</v>
      </c>
      <c r="L220" s="75">
        <f t="shared" si="242"/>
        <v>200</v>
      </c>
      <c r="M220" s="348">
        <f>IF(AL220="","",AL220)</f>
        <v>1</v>
      </c>
      <c r="N220" s="75">
        <f t="shared" si="259"/>
        <v>155</v>
      </c>
      <c r="O220" s="348">
        <f>IF(AN220="","",AN220)</f>
        <v>0</v>
      </c>
      <c r="P220" s="75">
        <f t="shared" si="243"/>
        <v>144</v>
      </c>
      <c r="Q220" s="348">
        <f>IF(AP220="","",AP220)</f>
        <v>0</v>
      </c>
      <c r="R220" s="75" t="str">
        <f t="shared" si="244"/>
        <v/>
      </c>
      <c r="S220" s="348">
        <f>IF(AR220="","",AR220)</f>
        <v>0</v>
      </c>
      <c r="T220" s="75" t="str">
        <f t="shared" si="245"/>
        <v/>
      </c>
      <c r="U220" s="348">
        <f>IF(AT220="","",AT220)</f>
        <v>1</v>
      </c>
      <c r="V220" s="75">
        <f t="shared" si="246"/>
        <v>874</v>
      </c>
      <c r="W220" s="348">
        <f>IF(AV220="","",AV220)</f>
        <v>4</v>
      </c>
      <c r="Z220" s="351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194</v>
      </c>
      <c r="AD220" s="109">
        <f>IF(SUM(AC220:AC222)+AC236=0,0,IF(SUM(AC220:AC222)=AC236,0.5,IF(SUM(AC220:AC222)&gt;AC236,1,0)))</f>
        <v>1</v>
      </c>
      <c r="AE220" s="188">
        <v>181</v>
      </c>
      <c r="AF220" s="109">
        <f>IF(SUM(AE220:AE222)+AE236=0,0,IF(SUM(AE220:AE222)=AE236,0.5,IF(SUM(AE220:AE222)&gt;AE236,1,0)))</f>
        <v>1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>
        <v>200</v>
      </c>
      <c r="AL220" s="109">
        <f>IF(SUM(AK220:AK222)+AK236=0,0,IF(SUM(AK220:AK222)=AK236,0.5,IF(SUM(AK220:AK222)&gt;AK236,1,0)))</f>
        <v>1</v>
      </c>
      <c r="AM220" s="188">
        <v>155</v>
      </c>
      <c r="AN220" s="109">
        <f>IF(SUM(AM220:AM222)+AM236=0,0,IF(SUM(AM220:AM222)=AM236,0.5,IF(SUM(AM220:AM222)&gt;AM236,1,0)))</f>
        <v>0</v>
      </c>
      <c r="AO220" s="188">
        <v>144</v>
      </c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1</v>
      </c>
      <c r="AU220" s="110">
        <f t="shared" si="247"/>
        <v>874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60"/>
        <v>25325</v>
      </c>
      <c r="BE220" s="213">
        <f t="shared" si="261"/>
        <v>874</v>
      </c>
      <c r="BF220" s="215">
        <f t="shared" si="262"/>
        <v>5</v>
      </c>
      <c r="BG220" s="215">
        <f t="shared" si="263"/>
        <v>5</v>
      </c>
      <c r="BH220" s="215">
        <f t="shared" si="248"/>
        <v>194</v>
      </c>
      <c r="BI220" s="215">
        <f t="shared" si="249"/>
        <v>181</v>
      </c>
      <c r="BJ220" s="215" t="str">
        <f t="shared" si="250"/>
        <v/>
      </c>
      <c r="BK220" s="215" t="str">
        <f t="shared" si="251"/>
        <v/>
      </c>
      <c r="BL220" s="215">
        <f t="shared" si="252"/>
        <v>200</v>
      </c>
      <c r="BM220" s="215">
        <f t="shared" si="253"/>
        <v>155</v>
      </c>
      <c r="BN220" s="215">
        <f t="shared" si="254"/>
        <v>144</v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200</v>
      </c>
      <c r="BT220" s="215">
        <f t="shared" si="265"/>
        <v>0</v>
      </c>
      <c r="BU220" s="215" t="str">
        <f t="shared" si="266"/>
        <v>BC EMAX Unterföhring 2</v>
      </c>
      <c r="BV220" s="214">
        <f t="shared" si="267"/>
        <v>2</v>
      </c>
      <c r="BW220" s="215">
        <f t="shared" si="268"/>
        <v>874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77"/>
      <c r="B221" s="76" t="str">
        <f t="shared" si="258"/>
        <v>Richter, Benjamin</v>
      </c>
      <c r="C221" s="77">
        <f t="shared" si="258"/>
        <v>41008</v>
      </c>
      <c r="D221" s="78" t="str">
        <f t="shared" si="258"/>
        <v/>
      </c>
      <c r="E221" s="349"/>
      <c r="F221" s="78" t="str">
        <f t="shared" si="239"/>
        <v/>
      </c>
      <c r="G221" s="349"/>
      <c r="H221" s="78">
        <f t="shared" si="240"/>
        <v>134</v>
      </c>
      <c r="I221" s="349"/>
      <c r="J221" s="78">
        <f t="shared" si="241"/>
        <v>169</v>
      </c>
      <c r="K221" s="349"/>
      <c r="L221" s="78" t="str">
        <f t="shared" si="242"/>
        <v/>
      </c>
      <c r="M221" s="349"/>
      <c r="N221" s="78" t="str">
        <f t="shared" si="259"/>
        <v/>
      </c>
      <c r="O221" s="349"/>
      <c r="P221" s="78" t="str">
        <f t="shared" si="243"/>
        <v/>
      </c>
      <c r="Q221" s="349"/>
      <c r="R221" s="78">
        <f t="shared" si="244"/>
        <v>175</v>
      </c>
      <c r="S221" s="349"/>
      <c r="T221" s="78">
        <f t="shared" si="245"/>
        <v>226</v>
      </c>
      <c r="U221" s="349"/>
      <c r="V221" s="78">
        <f t="shared" si="246"/>
        <v>704</v>
      </c>
      <c r="W221" s="349"/>
      <c r="Z221" s="352"/>
      <c r="AA221" s="108" t="str">
        <f>IF(AB221=0,"",VLOOKUP(AB221,Starter!$A$1:$D$199,2,FALSE))</f>
        <v>Richter, Benjamin</v>
      </c>
      <c r="AB221" s="98">
        <v>41008</v>
      </c>
      <c r="AC221" s="186"/>
      <c r="AD221" s="112"/>
      <c r="AE221" s="186"/>
      <c r="AF221" s="112"/>
      <c r="AG221" s="186">
        <v>134</v>
      </c>
      <c r="AH221" s="112"/>
      <c r="AI221" s="186">
        <v>169</v>
      </c>
      <c r="AJ221" s="112"/>
      <c r="AK221" s="186"/>
      <c r="AL221" s="112"/>
      <c r="AM221" s="186"/>
      <c r="AN221" s="112"/>
      <c r="AO221" s="190"/>
      <c r="AP221" s="112"/>
      <c r="AQ221" s="290">
        <v>175</v>
      </c>
      <c r="AR221" s="112"/>
      <c r="AS221" s="290">
        <v>226</v>
      </c>
      <c r="AT221" s="112"/>
      <c r="AU221" s="113">
        <f t="shared" si="247"/>
        <v>704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41008</v>
      </c>
      <c r="BE221" s="213">
        <f t="shared" si="261"/>
        <v>704</v>
      </c>
      <c r="BF221" s="215">
        <f t="shared" si="262"/>
        <v>4</v>
      </c>
      <c r="BG221" s="215">
        <f t="shared" si="263"/>
        <v>4</v>
      </c>
      <c r="BH221" s="215" t="str">
        <f t="shared" si="248"/>
        <v/>
      </c>
      <c r="BI221" s="215" t="str">
        <f t="shared" si="249"/>
        <v/>
      </c>
      <c r="BJ221" s="215">
        <f t="shared" si="250"/>
        <v>134</v>
      </c>
      <c r="BK221" s="215">
        <f t="shared" si="251"/>
        <v>169</v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>
        <f t="shared" si="255"/>
        <v>175</v>
      </c>
      <c r="BP221" s="215">
        <f t="shared" si="256"/>
        <v>226</v>
      </c>
      <c r="BQ221" s="216"/>
      <c r="BR221" s="214"/>
      <c r="BS221" s="215">
        <f t="shared" si="264"/>
        <v>226</v>
      </c>
      <c r="BT221" s="215">
        <f t="shared" si="265"/>
        <v>0</v>
      </c>
      <c r="BU221" s="215" t="str">
        <f t="shared" si="266"/>
        <v>BC EMAX Unterföhring 2</v>
      </c>
      <c r="BV221" s="214">
        <f t="shared" si="267"/>
        <v>2</v>
      </c>
      <c r="BW221" s="215">
        <f t="shared" si="268"/>
        <v>704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8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50"/>
      <c r="F222" s="69" t="str">
        <f t="shared" si="239"/>
        <v/>
      </c>
      <c r="G222" s="350"/>
      <c r="H222" s="69" t="str">
        <f t="shared" si="240"/>
        <v/>
      </c>
      <c r="I222" s="350"/>
      <c r="J222" s="69" t="str">
        <f t="shared" si="241"/>
        <v/>
      </c>
      <c r="K222" s="350"/>
      <c r="L222" s="69" t="str">
        <f t="shared" si="242"/>
        <v/>
      </c>
      <c r="M222" s="350"/>
      <c r="N222" s="69" t="str">
        <f t="shared" si="259"/>
        <v/>
      </c>
      <c r="O222" s="350"/>
      <c r="P222" s="69" t="str">
        <f t="shared" si="243"/>
        <v/>
      </c>
      <c r="Q222" s="350"/>
      <c r="R222" s="69" t="str">
        <f t="shared" si="244"/>
        <v/>
      </c>
      <c r="S222" s="350"/>
      <c r="T222" s="69" t="str">
        <f t="shared" si="245"/>
        <v/>
      </c>
      <c r="U222" s="350"/>
      <c r="V222" s="69" t="str">
        <f t="shared" si="246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BC EMAX Unterföhring 2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76" t="s">
        <v>3</v>
      </c>
      <c r="B223" s="73" t="str">
        <f t="shared" si="258"/>
        <v>Pirzer, Robert</v>
      </c>
      <c r="C223" s="74">
        <f t="shared" si="258"/>
        <v>7428</v>
      </c>
      <c r="D223" s="75">
        <f t="shared" si="258"/>
        <v>184</v>
      </c>
      <c r="E223" s="348">
        <f>IF(AD223="","",AD223)</f>
        <v>0</v>
      </c>
      <c r="F223" s="75">
        <f t="shared" si="239"/>
        <v>158</v>
      </c>
      <c r="G223" s="348">
        <f>IF(AF223="","",AF223)</f>
        <v>0</v>
      </c>
      <c r="H223" s="75" t="str">
        <f t="shared" si="240"/>
        <v/>
      </c>
      <c r="I223" s="348">
        <f>IF(AH223="","",AH223)</f>
        <v>1</v>
      </c>
      <c r="J223" s="75" t="str">
        <f t="shared" si="241"/>
        <v/>
      </c>
      <c r="K223" s="348">
        <f>IF(AJ223="","",AJ223)</f>
        <v>0</v>
      </c>
      <c r="L223" s="75">
        <f t="shared" si="242"/>
        <v>213</v>
      </c>
      <c r="M223" s="348">
        <f>IF(AL223="","",AL223)</f>
        <v>0</v>
      </c>
      <c r="N223" s="75">
        <f t="shared" si="259"/>
        <v>245</v>
      </c>
      <c r="O223" s="348">
        <f>IF(AN223="","",AN223)</f>
        <v>1</v>
      </c>
      <c r="P223" s="75">
        <f t="shared" si="243"/>
        <v>172</v>
      </c>
      <c r="Q223" s="348">
        <f>IF(AP223="","",AP223)</f>
        <v>0</v>
      </c>
      <c r="R223" s="75">
        <f t="shared" si="244"/>
        <v>254</v>
      </c>
      <c r="S223" s="348">
        <f>IF(AR223="","",AR223)</f>
        <v>1</v>
      </c>
      <c r="T223" s="75">
        <f t="shared" si="245"/>
        <v>188</v>
      </c>
      <c r="U223" s="348">
        <f>IF(AT223="","",AT223)</f>
        <v>1</v>
      </c>
      <c r="V223" s="75">
        <f t="shared" si="246"/>
        <v>1414</v>
      </c>
      <c r="W223" s="348">
        <f>IF(AV223="","",AV223)</f>
        <v>4</v>
      </c>
      <c r="Z223" s="351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184</v>
      </c>
      <c r="AD223" s="109">
        <f>IF(SUM(AC223:AC225)+AC237=0,0,IF(SUM(AC223:AC225)=AC237,0.5,IF(SUM(AC223:AC225)&gt;AC237,1,0)))</f>
        <v>0</v>
      </c>
      <c r="AE223" s="188">
        <v>158</v>
      </c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1</v>
      </c>
      <c r="AI223" s="188"/>
      <c r="AJ223" s="109">
        <f>IF(SUM(AI223:AI225)+AI237=0,0,IF(SUM(AI223:AI225)=AI237,0.5,IF(SUM(AI223:AI225)&gt;AI237,1,0)))</f>
        <v>0</v>
      </c>
      <c r="AK223" s="188">
        <v>213</v>
      </c>
      <c r="AL223" s="109">
        <f>IF(SUM(AK223:AK225)+AK237=0,0,IF(SUM(AK223:AK225)=AK237,0.5,IF(SUM(AK223:AK225)&gt;AK237,1,0)))</f>
        <v>0</v>
      </c>
      <c r="AM223" s="188">
        <v>245</v>
      </c>
      <c r="AN223" s="109">
        <f>IF(SUM(AM223:AM225)+AM237=0,0,IF(SUM(AM223:AM225)=AM237,0.5,IF(SUM(AM223:AM225)&gt;AM237,1,0)))</f>
        <v>1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254</v>
      </c>
      <c r="AR223" s="109">
        <f>IF(SUM(AQ223:AQ225)+AQ237=0,0,IF(SUM(AQ223:AQ225)=AQ237,0.5,IF(SUM(AQ223:AQ225)&gt;AQ237,1,0)))</f>
        <v>1</v>
      </c>
      <c r="AS223" s="188">
        <v>188</v>
      </c>
      <c r="AT223" s="109">
        <f>IF(SUM(AS223:AS225)+AS237=0,0,IF(SUM(AS223:AS225)=AS237,0.5,IF(SUM(AS223:AS225)&gt;AS237,1,0)))</f>
        <v>1</v>
      </c>
      <c r="AU223" s="110">
        <f t="shared" si="247"/>
        <v>1414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0"/>
        <v>7428</v>
      </c>
      <c r="BE223" s="213">
        <f t="shared" si="261"/>
        <v>1414</v>
      </c>
      <c r="BF223" s="215">
        <f t="shared" si="262"/>
        <v>7</v>
      </c>
      <c r="BG223" s="215">
        <f t="shared" si="263"/>
        <v>7</v>
      </c>
      <c r="BH223" s="215">
        <f t="shared" si="248"/>
        <v>184</v>
      </c>
      <c r="BI223" s="215">
        <f t="shared" si="249"/>
        <v>158</v>
      </c>
      <c r="BJ223" s="215" t="str">
        <f t="shared" si="250"/>
        <v/>
      </c>
      <c r="BK223" s="215" t="str">
        <f t="shared" si="251"/>
        <v/>
      </c>
      <c r="BL223" s="215">
        <f t="shared" si="252"/>
        <v>213</v>
      </c>
      <c r="BM223" s="215">
        <f t="shared" si="253"/>
        <v>245</v>
      </c>
      <c r="BN223" s="215">
        <f t="shared" si="254"/>
        <v>172</v>
      </c>
      <c r="BO223" s="215">
        <f t="shared" si="255"/>
        <v>254</v>
      </c>
      <c r="BP223" s="215">
        <f t="shared" si="256"/>
        <v>188</v>
      </c>
      <c r="BQ223" s="216"/>
      <c r="BR223" s="214"/>
      <c r="BS223" s="215">
        <f t="shared" si="264"/>
        <v>254</v>
      </c>
      <c r="BT223" s="215">
        <f t="shared" si="265"/>
        <v>0</v>
      </c>
      <c r="BU223" s="215" t="str">
        <f t="shared" si="266"/>
        <v>BC EMAX Unterföhring 2</v>
      </c>
      <c r="BV223" s="214">
        <f t="shared" si="267"/>
        <v>2</v>
      </c>
      <c r="BW223" s="215">
        <f t="shared" si="268"/>
        <v>1414</v>
      </c>
      <c r="BX223" s="215">
        <f>IF(COUNTIF(BH223:BP223,"&gt;0")&lt;Spielorte!$A$23,0,BE223/Spielorte!$A$23)</f>
        <v>0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77"/>
      <c r="B224" s="76" t="str">
        <f t="shared" si="258"/>
        <v>Denz, Günter</v>
      </c>
      <c r="C224" s="77">
        <f t="shared" si="258"/>
        <v>16398</v>
      </c>
      <c r="D224" s="78" t="str">
        <f t="shared" si="258"/>
        <v/>
      </c>
      <c r="E224" s="349"/>
      <c r="F224" s="78" t="str">
        <f t="shared" si="239"/>
        <v/>
      </c>
      <c r="G224" s="349"/>
      <c r="H224" s="78">
        <f t="shared" si="240"/>
        <v>161</v>
      </c>
      <c r="I224" s="349"/>
      <c r="J224" s="78">
        <f t="shared" si="241"/>
        <v>148</v>
      </c>
      <c r="K224" s="349"/>
      <c r="L224" s="78" t="str">
        <f t="shared" si="242"/>
        <v/>
      </c>
      <c r="M224" s="349"/>
      <c r="N224" s="78" t="str">
        <f t="shared" si="259"/>
        <v/>
      </c>
      <c r="O224" s="349"/>
      <c r="P224" s="78" t="str">
        <f t="shared" si="243"/>
        <v/>
      </c>
      <c r="Q224" s="349"/>
      <c r="R224" s="78" t="str">
        <f t="shared" si="244"/>
        <v/>
      </c>
      <c r="S224" s="349"/>
      <c r="T224" s="78" t="str">
        <f t="shared" si="245"/>
        <v/>
      </c>
      <c r="U224" s="349"/>
      <c r="V224" s="78">
        <f t="shared" si="246"/>
        <v>309</v>
      </c>
      <c r="W224" s="349"/>
      <c r="Z224" s="352"/>
      <c r="AA224" s="108" t="str">
        <f>IF(AB224=0,"",VLOOKUP(AB224,Starter!$A$1:$D$199,2,FALSE))</f>
        <v>Denz, Günter</v>
      </c>
      <c r="AB224" s="98">
        <v>16398</v>
      </c>
      <c r="AC224" s="186"/>
      <c r="AD224" s="112"/>
      <c r="AE224" s="186"/>
      <c r="AF224" s="112"/>
      <c r="AG224" s="186">
        <v>161</v>
      </c>
      <c r="AH224" s="112"/>
      <c r="AI224" s="186">
        <v>148</v>
      </c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309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16398</v>
      </c>
      <c r="BE224" s="213">
        <f t="shared" si="261"/>
        <v>309</v>
      </c>
      <c r="BF224" s="215">
        <f t="shared" si="262"/>
        <v>2</v>
      </c>
      <c r="BG224" s="215">
        <f t="shared" si="263"/>
        <v>2</v>
      </c>
      <c r="BH224" s="215" t="str">
        <f t="shared" si="248"/>
        <v/>
      </c>
      <c r="BI224" s="215" t="str">
        <f t="shared" si="249"/>
        <v/>
      </c>
      <c r="BJ224" s="215">
        <f t="shared" si="250"/>
        <v>161</v>
      </c>
      <c r="BK224" s="215">
        <f t="shared" si="251"/>
        <v>148</v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161</v>
      </c>
      <c r="BT224" s="215">
        <f t="shared" si="265"/>
        <v>0</v>
      </c>
      <c r="BU224" s="215" t="str">
        <f t="shared" si="266"/>
        <v>BC EMAX Unterföhring 2</v>
      </c>
      <c r="BV224" s="214">
        <f t="shared" si="267"/>
        <v>2</v>
      </c>
      <c r="BW224" s="215">
        <f t="shared" si="268"/>
        <v>309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8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0"/>
      <c r="F225" s="69" t="str">
        <f t="shared" si="239"/>
        <v/>
      </c>
      <c r="G225" s="350"/>
      <c r="H225" s="69" t="str">
        <f t="shared" si="240"/>
        <v/>
      </c>
      <c r="I225" s="350"/>
      <c r="J225" s="69" t="str">
        <f t="shared" si="241"/>
        <v/>
      </c>
      <c r="K225" s="350"/>
      <c r="L225" s="69" t="str">
        <f t="shared" si="242"/>
        <v/>
      </c>
      <c r="M225" s="350"/>
      <c r="N225" s="69" t="str">
        <f t="shared" si="259"/>
        <v/>
      </c>
      <c r="O225" s="350"/>
      <c r="P225" s="69" t="str">
        <f t="shared" si="243"/>
        <v/>
      </c>
      <c r="Q225" s="350"/>
      <c r="R225" s="69" t="str">
        <f t="shared" si="244"/>
        <v/>
      </c>
      <c r="S225" s="350"/>
      <c r="T225" s="69" t="str">
        <f t="shared" si="245"/>
        <v/>
      </c>
      <c r="U225" s="350"/>
      <c r="V225" s="69" t="str">
        <f t="shared" si="246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BC EMAX Unterföhring 2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76" t="s">
        <v>11</v>
      </c>
      <c r="B226" s="73" t="str">
        <f>IF(AA226=0,"",AA226)</f>
        <v>Probst, Marco</v>
      </c>
      <c r="C226" s="74">
        <f t="shared" si="258"/>
        <v>7602</v>
      </c>
      <c r="D226" s="75">
        <f t="shared" si="258"/>
        <v>216</v>
      </c>
      <c r="E226" s="348">
        <f>IF(AD226="","",AD226)</f>
        <v>0</v>
      </c>
      <c r="F226" s="75">
        <f t="shared" si="239"/>
        <v>221</v>
      </c>
      <c r="G226" s="348">
        <f>IF(AF226="","",AF226)</f>
        <v>0</v>
      </c>
      <c r="H226" s="75">
        <f t="shared" si="240"/>
        <v>169</v>
      </c>
      <c r="I226" s="348">
        <f>IF(AH226="","",AH226)</f>
        <v>0</v>
      </c>
      <c r="J226" s="75">
        <f t="shared" si="241"/>
        <v>181</v>
      </c>
      <c r="K226" s="348">
        <f>IF(AJ226="","",AJ226)</f>
        <v>1</v>
      </c>
      <c r="L226" s="75">
        <f t="shared" si="242"/>
        <v>243</v>
      </c>
      <c r="M226" s="348">
        <f>IF(AL226="","",AL226)</f>
        <v>1</v>
      </c>
      <c r="N226" s="75">
        <f t="shared" si="259"/>
        <v>182</v>
      </c>
      <c r="O226" s="348">
        <f>IF(AN226="","",AN226)</f>
        <v>0</v>
      </c>
      <c r="P226" s="75">
        <f t="shared" si="243"/>
        <v>164</v>
      </c>
      <c r="Q226" s="348">
        <f>IF(AP226="","",AP226)</f>
        <v>0</v>
      </c>
      <c r="R226" s="75">
        <f t="shared" si="244"/>
        <v>266</v>
      </c>
      <c r="S226" s="348">
        <f>IF(AR226="","",AR226)</f>
        <v>1</v>
      </c>
      <c r="T226" s="75">
        <f t="shared" si="245"/>
        <v>152</v>
      </c>
      <c r="U226" s="348">
        <f>IF(AT226="","",AT226)</f>
        <v>0</v>
      </c>
      <c r="V226" s="75">
        <f t="shared" si="246"/>
        <v>1794</v>
      </c>
      <c r="W226" s="348">
        <f>IF(AV226="","",AV226)</f>
        <v>3</v>
      </c>
      <c r="Z226" s="351" t="s">
        <v>11</v>
      </c>
      <c r="AA226" s="108" t="str">
        <f>IF(AB226=0,"",VLOOKUP(AB226,Starter!$A$1:$D$199,2,FALSE))</f>
        <v>Probst, Marco</v>
      </c>
      <c r="AB226" s="99">
        <v>7602</v>
      </c>
      <c r="AC226" s="188">
        <v>216</v>
      </c>
      <c r="AD226" s="109">
        <f>IF(SUM(AC226:AC228)+AC238=0,0,IF(SUM(AC226:AC228)=AC238,0.5,IF(SUM(AC226:AC228)&gt;AC238,1,0)))</f>
        <v>0</v>
      </c>
      <c r="AE226" s="188">
        <v>221</v>
      </c>
      <c r="AF226" s="109">
        <f>IF(SUM(AE226:AE228)+AE238=0,0,IF(SUM(AE226:AE228)=AE238,0.5,IF(SUM(AE226:AE228)&gt;AE238,1,0)))</f>
        <v>0</v>
      </c>
      <c r="AG226" s="188">
        <v>169</v>
      </c>
      <c r="AH226" s="109">
        <f>IF(SUM(AG226:AG228)+AG238=0,0,IF(SUM(AG226:AG228)=AG238,0.5,IF(SUM(AG226:AG228)&gt;AG238,1,0)))</f>
        <v>0</v>
      </c>
      <c r="AI226" s="188">
        <v>181</v>
      </c>
      <c r="AJ226" s="109">
        <f>IF(SUM(AI226:AI228)+AI238=0,0,IF(SUM(AI226:AI228)=AI238,0.5,IF(SUM(AI226:AI228)&gt;AI238,1,0)))</f>
        <v>1</v>
      </c>
      <c r="AK226" s="188">
        <v>243</v>
      </c>
      <c r="AL226" s="109">
        <f>IF(SUM(AK226:AK228)+AK238=0,0,IF(SUM(AK226:AK228)=AK238,0.5,IF(SUM(AK226:AK228)&gt;AK238,1,0)))</f>
        <v>1</v>
      </c>
      <c r="AM226" s="188">
        <v>182</v>
      </c>
      <c r="AN226" s="109">
        <f>IF(SUM(AM226:AM228)+AM238=0,0,IF(SUM(AM226:AM228)=AM238,0.5,IF(SUM(AM226:AM228)&gt;AM238,1,0)))</f>
        <v>0</v>
      </c>
      <c r="AO226" s="188">
        <v>164</v>
      </c>
      <c r="AP226" s="109">
        <f>IF(SUM(AO226:AO228)+AO238=0,0,IF(SUM(AO226:AO228)=AO238,0.5,IF(SUM(AO226:AO228)&gt;AO238,1,0)))</f>
        <v>0</v>
      </c>
      <c r="AQ226" s="188">
        <v>266</v>
      </c>
      <c r="AR226" s="109">
        <f>IF(SUM(AQ226:AQ228)+AQ238=0,0,IF(SUM(AQ226:AQ228)=AQ238,0.5,IF(SUM(AQ226:AQ228)&gt;AQ238,1,0)))</f>
        <v>1</v>
      </c>
      <c r="AS226" s="188">
        <v>152</v>
      </c>
      <c r="AT226" s="109">
        <f>IF(SUM(AS226:AS228)+AS238=0,0,IF(SUM(AS226:AS228)=AS238,0.5,IF(SUM(AS226:AS228)&gt;AS238,1,0)))</f>
        <v>0</v>
      </c>
      <c r="AU226" s="110">
        <f t="shared" si="247"/>
        <v>1794</v>
      </c>
      <c r="AV226" s="111">
        <f>SUM(AD226+AF226+AH226+AJ226+AL226+AN226+AP226+AR226+AT226)</f>
        <v>3</v>
      </c>
      <c r="AW226" s="101"/>
      <c r="AX226" s="102"/>
      <c r="AZ226" s="63"/>
      <c r="BA226" s="212"/>
      <c r="BB226" s="213"/>
      <c r="BC226" s="214"/>
      <c r="BD226" s="217">
        <f t="shared" si="260"/>
        <v>7602</v>
      </c>
      <c r="BE226" s="213">
        <f t="shared" si="261"/>
        <v>1794</v>
      </c>
      <c r="BF226" s="215">
        <f t="shared" si="262"/>
        <v>9</v>
      </c>
      <c r="BG226" s="215">
        <f t="shared" si="263"/>
        <v>9</v>
      </c>
      <c r="BH226" s="215">
        <f t="shared" si="248"/>
        <v>216</v>
      </c>
      <c r="BI226" s="215">
        <f t="shared" si="249"/>
        <v>221</v>
      </c>
      <c r="BJ226" s="215">
        <f t="shared" si="250"/>
        <v>169</v>
      </c>
      <c r="BK226" s="215">
        <f t="shared" si="251"/>
        <v>181</v>
      </c>
      <c r="BL226" s="215">
        <f t="shared" si="252"/>
        <v>243</v>
      </c>
      <c r="BM226" s="215">
        <f t="shared" si="253"/>
        <v>182</v>
      </c>
      <c r="BN226" s="215">
        <f t="shared" si="254"/>
        <v>164</v>
      </c>
      <c r="BO226" s="215">
        <f t="shared" si="255"/>
        <v>266</v>
      </c>
      <c r="BP226" s="215">
        <f t="shared" si="256"/>
        <v>152</v>
      </c>
      <c r="BQ226" s="216"/>
      <c r="BR226" s="214"/>
      <c r="BS226" s="215">
        <f t="shared" si="264"/>
        <v>266</v>
      </c>
      <c r="BT226" s="215">
        <f t="shared" si="265"/>
        <v>0</v>
      </c>
      <c r="BU226" s="215" t="str">
        <f t="shared" si="266"/>
        <v>BC EMAX Unterföhring 2</v>
      </c>
      <c r="BV226" s="214">
        <f t="shared" si="267"/>
        <v>2</v>
      </c>
      <c r="BW226" s="215">
        <f t="shared" si="268"/>
        <v>1794</v>
      </c>
      <c r="BX226" s="215">
        <f>IF(COUNTIF(BH226:BP226,"&gt;0")&lt;Spielorte!$A$23,0,BE226/Spielorte!$A$23)</f>
        <v>199.33333333333334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77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49"/>
      <c r="F227" s="78" t="str">
        <f t="shared" si="239"/>
        <v/>
      </c>
      <c r="G227" s="349"/>
      <c r="H227" s="78" t="str">
        <f t="shared" si="240"/>
        <v/>
      </c>
      <c r="I227" s="349"/>
      <c r="J227" s="78" t="str">
        <f t="shared" si="241"/>
        <v/>
      </c>
      <c r="K227" s="349"/>
      <c r="L227" s="78" t="str">
        <f t="shared" si="242"/>
        <v/>
      </c>
      <c r="M227" s="349"/>
      <c r="N227" s="78" t="str">
        <f t="shared" si="259"/>
        <v/>
      </c>
      <c r="O227" s="349"/>
      <c r="P227" s="78" t="str">
        <f t="shared" si="243"/>
        <v/>
      </c>
      <c r="Q227" s="349"/>
      <c r="R227" s="78" t="str">
        <f t="shared" si="244"/>
        <v/>
      </c>
      <c r="S227" s="349"/>
      <c r="T227" s="78" t="str">
        <f t="shared" si="245"/>
        <v/>
      </c>
      <c r="U227" s="349"/>
      <c r="V227" s="78" t="str">
        <f t="shared" si="246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0</v>
      </c>
      <c r="BU227" s="215" t="str">
        <f t="shared" si="266"/>
        <v>BC EMAX Unterföhring 2</v>
      </c>
      <c r="BV227" s="214">
        <f t="shared" si="267"/>
        <v>2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8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50"/>
      <c r="F228" s="69" t="str">
        <f t="shared" si="239"/>
        <v/>
      </c>
      <c r="G228" s="350"/>
      <c r="H228" s="69" t="str">
        <f t="shared" si="240"/>
        <v/>
      </c>
      <c r="I228" s="350"/>
      <c r="J228" s="69" t="str">
        <f t="shared" si="241"/>
        <v/>
      </c>
      <c r="K228" s="350"/>
      <c r="L228" s="69" t="str">
        <f t="shared" si="242"/>
        <v/>
      </c>
      <c r="M228" s="350"/>
      <c r="N228" s="69" t="str">
        <f t="shared" si="259"/>
        <v/>
      </c>
      <c r="O228" s="350"/>
      <c r="P228" s="69" t="str">
        <f t="shared" si="243"/>
        <v/>
      </c>
      <c r="Q228" s="350"/>
      <c r="R228" s="69" t="str">
        <f t="shared" si="244"/>
        <v/>
      </c>
      <c r="S228" s="350"/>
      <c r="T228" s="69" t="str">
        <f t="shared" si="245"/>
        <v/>
      </c>
      <c r="U228" s="350"/>
      <c r="V228" s="69" t="str">
        <f t="shared" si="246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BC EMAX Unterföhring 2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820</v>
      </c>
      <c r="E229" s="84">
        <f>IF(AD229="","",AD229)</f>
        <v>2</v>
      </c>
      <c r="F229" s="83">
        <f t="shared" si="239"/>
        <v>774</v>
      </c>
      <c r="G229" s="84">
        <f>IF(AF229="","",AF229)</f>
        <v>2</v>
      </c>
      <c r="H229" s="83">
        <f t="shared" si="240"/>
        <v>669</v>
      </c>
      <c r="I229" s="84">
        <f>IF(AH229="","",AH229)</f>
        <v>2</v>
      </c>
      <c r="J229" s="83">
        <f t="shared" si="241"/>
        <v>662</v>
      </c>
      <c r="K229" s="84">
        <f>IF(AJ229="","",AJ229)</f>
        <v>0</v>
      </c>
      <c r="L229" s="83">
        <f t="shared" si="242"/>
        <v>850</v>
      </c>
      <c r="M229" s="84">
        <f>IF(AL229="","",AL229)</f>
        <v>2</v>
      </c>
      <c r="N229" s="83">
        <f t="shared" si="259"/>
        <v>735</v>
      </c>
      <c r="O229" s="84">
        <f>IF(AN229="","",AN229)</f>
        <v>2</v>
      </c>
      <c r="P229" s="83">
        <f t="shared" si="243"/>
        <v>646</v>
      </c>
      <c r="Q229" s="84">
        <f>IF(AP229="","",AP229)</f>
        <v>0</v>
      </c>
      <c r="R229" s="83">
        <f t="shared" si="244"/>
        <v>695</v>
      </c>
      <c r="S229" s="84">
        <f>IF(AR229="","",AR229)</f>
        <v>0</v>
      </c>
      <c r="T229" s="83">
        <f t="shared" si="245"/>
        <v>566</v>
      </c>
      <c r="U229" s="84">
        <f>IF(AT229="","",AT229)</f>
        <v>0</v>
      </c>
      <c r="V229" s="83">
        <f t="shared" si="246"/>
        <v>6417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820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774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669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662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850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735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646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695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566</v>
      </c>
      <c r="AT229" s="121">
        <f>IF(AS229+AS239=0,0,IF(AS229=AS239,1,IF(AS229&gt;AS239,2,0)))</f>
        <v>0</v>
      </c>
      <c r="AU229" s="122">
        <f>SUM(AC229+AE229+AG229+AI229+AK229+AM229+AO229+AQ229+AS229)</f>
        <v>6417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4</v>
      </c>
      <c r="F230" s="86" t="str">
        <f t="shared" si="239"/>
        <v/>
      </c>
      <c r="G230" s="87">
        <f>IF(AF230="","",AF230)</f>
        <v>4</v>
      </c>
      <c r="H230" s="86" t="str">
        <f t="shared" si="240"/>
        <v/>
      </c>
      <c r="I230" s="87">
        <f>IF(AH230="","",AH230)</f>
        <v>4</v>
      </c>
      <c r="J230" s="86" t="str">
        <f t="shared" si="241"/>
        <v/>
      </c>
      <c r="K230" s="87">
        <f>IF(AJ230="","",AJ230)</f>
        <v>2</v>
      </c>
      <c r="L230" s="86" t="str">
        <f t="shared" si="242"/>
        <v/>
      </c>
      <c r="M230" s="87">
        <f>IF(AL230="","",AL230)</f>
        <v>5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0</v>
      </c>
      <c r="R230" s="86" t="str">
        <f t="shared" si="244"/>
        <v/>
      </c>
      <c r="S230" s="87">
        <f>IF(AR230="","",AR230)</f>
        <v>2</v>
      </c>
      <c r="T230" s="86" t="str">
        <f t="shared" si="245"/>
        <v/>
      </c>
      <c r="U230" s="87">
        <f>IF(AT230="","",AT230)</f>
        <v>2</v>
      </c>
      <c r="V230" s="86" t="str">
        <f t="shared" si="246"/>
        <v/>
      </c>
      <c r="W230" s="87">
        <f>IF(AV230="","",AV230)</f>
        <v>27</v>
      </c>
      <c r="AA230" s="85" t="s">
        <v>1814</v>
      </c>
      <c r="AB230" s="86"/>
      <c r="AC230" s="86"/>
      <c r="AD230" s="124">
        <f>SUM(AD217:AD229)</f>
        <v>4</v>
      </c>
      <c r="AE230" s="86"/>
      <c r="AF230" s="124">
        <f>SUM(AF217:AF229)</f>
        <v>4</v>
      </c>
      <c r="AG230" s="86"/>
      <c r="AH230" s="124">
        <f>SUM(AH217:AH229)</f>
        <v>4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0</v>
      </c>
      <c r="AQ230" s="86"/>
      <c r="AR230" s="124">
        <f>SUM(AR217:AR229)</f>
        <v>2</v>
      </c>
      <c r="AS230" s="86"/>
      <c r="AT230" s="124">
        <f>SUM(AT217:AT229)</f>
        <v>2</v>
      </c>
      <c r="AU230" s="86"/>
      <c r="AV230" s="125">
        <f>SUM(AV217:AV229)</f>
        <v>27</v>
      </c>
      <c r="AW230" s="101"/>
      <c r="AX230" s="102"/>
      <c r="BA230" s="212">
        <f>+AV230</f>
        <v>27</v>
      </c>
      <c r="BB230" s="213">
        <f>+AU229</f>
        <v>6417</v>
      </c>
      <c r="BC230" s="214">
        <f>+AA212</f>
        <v>8</v>
      </c>
      <c r="BF230" s="215">
        <f>SUM(BF211:BF229)</f>
        <v>34</v>
      </c>
      <c r="BQ230" s="212">
        <f>+BB230/1000000+BA230</f>
        <v>27.006416999999999</v>
      </c>
      <c r="BR230" s="214">
        <f>RANK(BQ230,BQ:BQ)</f>
        <v>5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6">
        <f t="shared" si="270"/>
        <v>3</v>
      </c>
      <c r="E232" s="356" t="str">
        <f t="shared" si="270"/>
        <v/>
      </c>
      <c r="F232" s="356">
        <f t="shared" si="270"/>
        <v>7</v>
      </c>
      <c r="G232" s="356" t="str">
        <f t="shared" si="270"/>
        <v/>
      </c>
      <c r="H232" s="356">
        <f t="shared" si="270"/>
        <v>6</v>
      </c>
      <c r="I232" s="356" t="str">
        <f t="shared" si="270"/>
        <v/>
      </c>
      <c r="J232" s="356">
        <f t="shared" si="270"/>
        <v>5</v>
      </c>
      <c r="K232" s="356" t="str">
        <f t="shared" si="270"/>
        <v/>
      </c>
      <c r="L232" s="356">
        <f t="shared" ref="L232:U234" si="271">IF(AK232=0,"",AK232)</f>
        <v>4</v>
      </c>
      <c r="M232" s="356" t="str">
        <f t="shared" si="271"/>
        <v/>
      </c>
      <c r="N232" s="356">
        <f t="shared" si="271"/>
        <v>10</v>
      </c>
      <c r="O232" s="356" t="str">
        <f t="shared" si="271"/>
        <v/>
      </c>
      <c r="P232" s="356">
        <f t="shared" si="271"/>
        <v>1</v>
      </c>
      <c r="Q232" s="356" t="str">
        <f t="shared" si="271"/>
        <v/>
      </c>
      <c r="R232" s="356">
        <f t="shared" si="271"/>
        <v>9</v>
      </c>
      <c r="S232" s="356" t="str">
        <f t="shared" si="271"/>
        <v/>
      </c>
      <c r="T232" s="356">
        <f t="shared" si="271"/>
        <v>2</v>
      </c>
      <c r="U232" s="356" t="str">
        <f t="shared" si="271"/>
        <v/>
      </c>
      <c r="V232" s="357"/>
      <c r="W232" s="357"/>
      <c r="AA232" s="88" t="s">
        <v>1797</v>
      </c>
      <c r="AB232" s="89" t="s">
        <v>1798</v>
      </c>
      <c r="AC232" s="370">
        <f>VLOOKUP($AA212,Schlüssel!$A$5:$DG$14,63)</f>
        <v>3</v>
      </c>
      <c r="AD232" s="371"/>
      <c r="AE232" s="370">
        <f>VLOOKUP($AA212,Schlüssel!$A$5:$EK$14,64)</f>
        <v>7</v>
      </c>
      <c r="AF232" s="371"/>
      <c r="AG232" s="370">
        <f>VLOOKUP($AA212,Schlüssel!$A$5:$EK$14,65)</f>
        <v>6</v>
      </c>
      <c r="AH232" s="371"/>
      <c r="AI232" s="370">
        <f>VLOOKUP($AA212,Schlüssel!$A$5:$EK$14,66)</f>
        <v>5</v>
      </c>
      <c r="AJ232" s="371"/>
      <c r="AK232" s="370">
        <f>VLOOKUP($AA212,Schlüssel!$A$5:$EK$14,67)</f>
        <v>4</v>
      </c>
      <c r="AL232" s="371"/>
      <c r="AM232" s="370">
        <f>VLOOKUP($AA212,Schlüssel!$A$5:$EK$14,68)</f>
        <v>10</v>
      </c>
      <c r="AN232" s="371"/>
      <c r="AO232" s="370">
        <f>VLOOKUP($AA212,Schlüssel!$A$5:$EK$14,69)</f>
        <v>1</v>
      </c>
      <c r="AP232" s="371"/>
      <c r="AQ232" s="370">
        <f>VLOOKUP($AA212,Schlüssel!$A$5:$EK$14,70)</f>
        <v>9</v>
      </c>
      <c r="AR232" s="371"/>
      <c r="AS232" s="370">
        <f>VLOOKUP($AA212,Schlüssel!$A$5:$EK$14,71)</f>
        <v>2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58" t="str">
        <f t="shared" si="270"/>
        <v>BK München 3</v>
      </c>
      <c r="E233" s="359" t="str">
        <f t="shared" si="270"/>
        <v/>
      </c>
      <c r="F233" s="358" t="str">
        <f t="shared" si="270"/>
        <v>Schanzer Ingolstadt 1</v>
      </c>
      <c r="G233" s="359" t="str">
        <f t="shared" si="270"/>
        <v/>
      </c>
      <c r="H233" s="358" t="str">
        <f t="shared" si="270"/>
        <v>SG Rottendorf 1</v>
      </c>
      <c r="I233" s="359" t="str">
        <f t="shared" si="270"/>
        <v/>
      </c>
      <c r="J233" s="358" t="str">
        <f t="shared" si="270"/>
        <v>RW Lichtenhof Stein 1</v>
      </c>
      <c r="K233" s="359" t="str">
        <f t="shared" si="270"/>
        <v/>
      </c>
      <c r="L233" s="358" t="str">
        <f t="shared" si="271"/>
        <v>SG DJK Rimpar</v>
      </c>
      <c r="M233" s="359" t="str">
        <f t="shared" si="271"/>
        <v/>
      </c>
      <c r="N233" s="358" t="str">
        <f t="shared" si="271"/>
        <v>High Roller Rosenheim 1</v>
      </c>
      <c r="O233" s="359" t="str">
        <f t="shared" si="271"/>
        <v/>
      </c>
      <c r="P233" s="358" t="str">
        <f t="shared" si="271"/>
        <v>BC Comet Nürnberg</v>
      </c>
      <c r="Q233" s="359" t="str">
        <f t="shared" si="271"/>
        <v/>
      </c>
      <c r="R233" s="358" t="str">
        <f t="shared" si="271"/>
        <v>Bowlinghaus Bamberg 1</v>
      </c>
      <c r="S233" s="359" t="str">
        <f t="shared" si="271"/>
        <v/>
      </c>
      <c r="T233" s="358" t="str">
        <f t="shared" si="271"/>
        <v>Bajuwaren München 1</v>
      </c>
      <c r="U233" s="359" t="str">
        <f t="shared" si="271"/>
        <v/>
      </c>
      <c r="V233" s="363"/>
      <c r="W233" s="363"/>
      <c r="AA233" s="90"/>
      <c r="AB233" s="86"/>
      <c r="AC233" s="358" t="str">
        <f>VLOOKUP(AC232,Schlüssel!$A$5:$K$14,2)</f>
        <v>BK München 3</v>
      </c>
      <c r="AD233" s="359"/>
      <c r="AE233" s="358" t="str">
        <f>VLOOKUP(AE232,Schlüssel!$A$5:$K$14,2)</f>
        <v>Schanzer Ingolstadt 1</v>
      </c>
      <c r="AF233" s="359"/>
      <c r="AG233" s="358" t="str">
        <f>VLOOKUP(AG232,Schlüssel!$A$5:$K$14,2)</f>
        <v>SG Rottendorf 1</v>
      </c>
      <c r="AH233" s="359"/>
      <c r="AI233" s="358" t="str">
        <f>VLOOKUP(AI232,Schlüssel!$A$5:$K$14,2)</f>
        <v>RW Lichtenhof Stein 1</v>
      </c>
      <c r="AJ233" s="359"/>
      <c r="AK233" s="358" t="str">
        <f>VLOOKUP(AK232,Schlüssel!$A$5:$K$14,2)</f>
        <v>SG DJK Rimpar</v>
      </c>
      <c r="AL233" s="359"/>
      <c r="AM233" s="358" t="str">
        <f>VLOOKUP(AM232,Schlüssel!$A$5:$K$14,2)</f>
        <v>High Roller Rosenheim 1</v>
      </c>
      <c r="AN233" s="359"/>
      <c r="AO233" s="358" t="str">
        <f>VLOOKUP(AO232,Schlüssel!$A$5:$K$14,2)</f>
        <v>BC Comet Nürnberg</v>
      </c>
      <c r="AP233" s="359"/>
      <c r="AQ233" s="358" t="str">
        <f>VLOOKUP(AQ232,Schlüssel!$A$5:$K$14,2)</f>
        <v>Bowlinghaus Bamberg 1</v>
      </c>
      <c r="AR233" s="359"/>
      <c r="AS233" s="358" t="str">
        <f>VLOOKUP(AS232,Schlüssel!$A$5:$K$14,2)</f>
        <v>Bajuwaren München 1</v>
      </c>
      <c r="AT233" s="359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60" t="str">
        <f t="shared" si="270"/>
        <v/>
      </c>
      <c r="E234" s="360" t="str">
        <f t="shared" si="270"/>
        <v/>
      </c>
      <c r="F234" s="360" t="str">
        <f t="shared" si="270"/>
        <v/>
      </c>
      <c r="G234" s="360" t="str">
        <f t="shared" si="270"/>
        <v/>
      </c>
      <c r="H234" s="360" t="str">
        <f t="shared" si="270"/>
        <v/>
      </c>
      <c r="I234" s="360" t="str">
        <f t="shared" si="270"/>
        <v/>
      </c>
      <c r="J234" s="360" t="str">
        <f t="shared" si="270"/>
        <v/>
      </c>
      <c r="K234" s="360" t="str">
        <f t="shared" si="270"/>
        <v/>
      </c>
      <c r="L234" s="360" t="str">
        <f t="shared" si="271"/>
        <v/>
      </c>
      <c r="M234" s="360" t="str">
        <f t="shared" si="271"/>
        <v/>
      </c>
      <c r="N234" s="360" t="str">
        <f t="shared" si="271"/>
        <v/>
      </c>
      <c r="O234" s="360" t="str">
        <f t="shared" si="271"/>
        <v/>
      </c>
      <c r="P234" s="360" t="str">
        <f t="shared" si="271"/>
        <v/>
      </c>
      <c r="Q234" s="360" t="str">
        <f t="shared" si="271"/>
        <v/>
      </c>
      <c r="R234" s="360" t="str">
        <f t="shared" si="271"/>
        <v/>
      </c>
      <c r="S234" s="360" t="str">
        <f t="shared" si="271"/>
        <v/>
      </c>
      <c r="T234" s="360" t="str">
        <f t="shared" si="271"/>
        <v/>
      </c>
      <c r="U234" s="361" t="str">
        <f t="shared" si="271"/>
        <v/>
      </c>
      <c r="V234" s="298"/>
      <c r="W234" s="298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4" t="str">
        <f t="shared" ref="B235:C239" si="272">IF(AA235=0,"",AA235)</f>
        <v>Spieler 1</v>
      </c>
      <c r="C235" s="375" t="str">
        <f t="shared" si="272"/>
        <v/>
      </c>
      <c r="D235" s="362">
        <f>IF(AC235=301,"",AC235)</f>
        <v>190</v>
      </c>
      <c r="E235" s="362" t="str">
        <f>IF(AD235=0,"",AD235)</f>
        <v/>
      </c>
      <c r="F235" s="362">
        <f>IF(AE235=301,"",AE235)</f>
        <v>161</v>
      </c>
      <c r="G235" s="362" t="str">
        <f>IF(AF235=0,"",AF235)</f>
        <v/>
      </c>
      <c r="H235" s="362">
        <f>IF(AG235=301,"",AG235)</f>
        <v>158</v>
      </c>
      <c r="I235" s="362" t="str">
        <f>IF(AH235=0,"",AH235)</f>
        <v/>
      </c>
      <c r="J235" s="362">
        <f>IF(AI235=301,"",AI235)</f>
        <v>141</v>
      </c>
      <c r="K235" s="362" t="str">
        <f>IF(AJ235=0,"",AJ235)</f>
        <v/>
      </c>
      <c r="L235" s="362">
        <f>IF(AK235=301,"",AK235)</f>
        <v>192</v>
      </c>
      <c r="M235" s="362" t="str">
        <f>IF(AL235=0,"",AL235)</f>
        <v/>
      </c>
      <c r="N235" s="362">
        <f>IF(AM235=301,"",AM235)</f>
        <v>130</v>
      </c>
      <c r="O235" s="362" t="str">
        <f>IF(AN235=0,"",AN235)</f>
        <v/>
      </c>
      <c r="P235" s="362">
        <f>IF(AO235=301,"",AO235)</f>
        <v>172</v>
      </c>
      <c r="Q235" s="362" t="str">
        <f>IF(AP235=0,"",AP235)</f>
        <v/>
      </c>
      <c r="R235" s="362">
        <f>IF(AQ235=301,"",AQ235)</f>
        <v>182</v>
      </c>
      <c r="S235" s="362" t="str">
        <f>IF(AR235=0,"",AR235)</f>
        <v/>
      </c>
      <c r="T235" s="362">
        <f>IF(AS235=301,"",AS235)</f>
        <v>143</v>
      </c>
      <c r="U235" s="362" t="str">
        <f>IF(AT235=0,"",AT235)</f>
        <v/>
      </c>
      <c r="V235" s="364"/>
      <c r="W235" s="364"/>
      <c r="AA235" s="91" t="s">
        <v>0</v>
      </c>
      <c r="AB235" s="92"/>
      <c r="AC235" s="368">
        <f>ABS(INDEX(AC:AC,MATCH(AC232,$AA:$AA,0)+5)+INDEX(AC:AC,MATCH(AC232,$AA:$AA,0)+6)+INDEX(AC:AC,MATCH(AC232,$AA:$AA,0)+7))</f>
        <v>190</v>
      </c>
      <c r="AD235" s="369"/>
      <c r="AE235" s="368">
        <f>ABS(INDEX(AE:AE,MATCH(AE232,$AA:$AA,0)+5)+INDEX(AE:AE,MATCH(AE232,$AA:$AA,0)+6)+INDEX(AE:AE,MATCH(AE232,$AA:$AA,0)+7))</f>
        <v>161</v>
      </c>
      <c r="AF235" s="369"/>
      <c r="AG235" s="368">
        <f>ABS(INDEX(AG:AG,MATCH(AG232,$AA:$AA,0)+5)+INDEX(AG:AG,MATCH(AG232,$AA:$AA,0)+6)+INDEX(AG:AG,MATCH(AG232,$AA:$AA,0)+7))</f>
        <v>158</v>
      </c>
      <c r="AH235" s="369"/>
      <c r="AI235" s="368">
        <f>ABS(INDEX(AI:AI,MATCH(AI232,$AA:$AA,0)+5)+INDEX(AI:AI,MATCH(AI232,$AA:$AA,0)+6)+INDEX(AI:AI,MATCH(AI232,$AA:$AA,0)+7))</f>
        <v>141</v>
      </c>
      <c r="AJ235" s="369"/>
      <c r="AK235" s="368">
        <f>ABS(INDEX(AK:AK,MATCH(AK232,$AA:$AA,0)+5)+INDEX(AK:AK,MATCH(AK232,$AA:$AA,0)+6)+INDEX(AK:AK,MATCH(AK232,$AA:$AA,0)+7))</f>
        <v>192</v>
      </c>
      <c r="AL235" s="369"/>
      <c r="AM235" s="368">
        <f>ABS(INDEX(AM:AM,MATCH(AM232,$AA:$AA,0)+5)+INDEX(AM:AM,MATCH(AM232,$AA:$AA,0)+6)+INDEX(AM:AM,MATCH(AM232,$AA:$AA,0)+7))</f>
        <v>130</v>
      </c>
      <c r="AN235" s="369"/>
      <c r="AO235" s="368">
        <f>ABS(INDEX(AO:AO,MATCH(AO232,$AA:$AA,0)+5)+INDEX(AO:AO,MATCH(AO232,$AA:$AA,0)+6)+INDEX(AO:AO,MATCH(AO232,$AA:$AA,0)+7))</f>
        <v>172</v>
      </c>
      <c r="AP235" s="369"/>
      <c r="AQ235" s="368">
        <f>ABS(INDEX(AQ:AQ,MATCH(AQ232,$AA:$AA,0)+5)+INDEX(AQ:AQ,MATCH(AQ232,$AA:$AA,0)+6)+INDEX(AQ:AQ,MATCH(AQ232,$AA:$AA,0)+7))</f>
        <v>182</v>
      </c>
      <c r="AR235" s="369"/>
      <c r="AS235" s="368">
        <f>ABS(INDEX(AS:AS,MATCH(AS232,$AA:$AA,0)+5)+INDEX(AS:AS,MATCH(AS232,$AA:$AA,0)+6)+INDEX(AS:AS,MATCH(AS232,$AA:$AA,0)+7))</f>
        <v>143</v>
      </c>
      <c r="AT235" s="369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4" t="str">
        <f t="shared" si="272"/>
        <v>Spieler 2</v>
      </c>
      <c r="C236" s="375" t="str">
        <f t="shared" si="272"/>
        <v/>
      </c>
      <c r="D236" s="362">
        <f>IF(AC236=301,"",AC236)</f>
        <v>153</v>
      </c>
      <c r="E236" s="362" t="str">
        <f>IF(AD236=0,"",AD236)</f>
        <v/>
      </c>
      <c r="F236" s="362">
        <f>IF(AE236=301,"",AE236)</f>
        <v>150</v>
      </c>
      <c r="G236" s="362" t="str">
        <f>IF(AF236=0,"",AF236)</f>
        <v/>
      </c>
      <c r="H236" s="362">
        <f>IF(AG236=301,"",AG236)</f>
        <v>158</v>
      </c>
      <c r="I236" s="362" t="str">
        <f>IF(AH236=0,"",AH236)</f>
        <v/>
      </c>
      <c r="J236" s="362">
        <f>IF(AI236=301,"",AI236)</f>
        <v>191</v>
      </c>
      <c r="K236" s="362" t="str">
        <f>IF(AJ236=0,"",AJ236)</f>
        <v/>
      </c>
      <c r="L236" s="362">
        <f>IF(AK236=301,"",AK236)</f>
        <v>191</v>
      </c>
      <c r="M236" s="362" t="str">
        <f>IF(AL236=0,"",AL236)</f>
        <v/>
      </c>
      <c r="N236" s="362">
        <f>IF(AM236=301,"",AM236)</f>
        <v>247</v>
      </c>
      <c r="O236" s="362" t="str">
        <f>IF(AN236=0,"",AN236)</f>
        <v/>
      </c>
      <c r="P236" s="362">
        <f>IF(AO236=301,"",AO236)</f>
        <v>204</v>
      </c>
      <c r="Q236" s="362" t="str">
        <f>IF(AP236=0,"",AP236)</f>
        <v/>
      </c>
      <c r="R236" s="362">
        <f>IF(AQ236=301,"",AQ236)</f>
        <v>197</v>
      </c>
      <c r="S236" s="362" t="str">
        <f>IF(AR236=0,"",AR236)</f>
        <v/>
      </c>
      <c r="T236" s="362">
        <f>IF(AS236=301,"",AS236)</f>
        <v>148</v>
      </c>
      <c r="U236" s="362" t="str">
        <f>IF(AT236=0,"",AT236)</f>
        <v/>
      </c>
      <c r="V236" s="364"/>
      <c r="W236" s="364"/>
      <c r="AA236" s="91" t="s">
        <v>2</v>
      </c>
      <c r="AB236" s="92"/>
      <c r="AC236" s="366">
        <f>ABS(INDEX(AC:AC,MATCH(AC232,$AA:$AA,0)+8)+INDEX(AC:AC,MATCH(AC232,$AA:$AA,0)+9)+INDEX(AC:AC,MATCH(AC232,$AA:$AA,0)+10))</f>
        <v>153</v>
      </c>
      <c r="AD236" s="367"/>
      <c r="AE236" s="366">
        <f>ABS(INDEX(AE:AE,MATCH(AE232,$AA:$AA,0)+8)+INDEX(AE:AE,MATCH(AE232,$AA:$AA,0)+9)+INDEX(AE:AE,MATCH(AE232,$AA:$AA,0)+10))</f>
        <v>150</v>
      </c>
      <c r="AF236" s="367"/>
      <c r="AG236" s="366">
        <f>ABS(INDEX(AG:AG,MATCH(AG232,$AA:$AA,0)+8)+INDEX(AG:AG,MATCH(AG232,$AA:$AA,0)+9)+INDEX(AG:AG,MATCH(AG232,$AA:$AA,0)+10))</f>
        <v>158</v>
      </c>
      <c r="AH236" s="367"/>
      <c r="AI236" s="366">
        <f>ABS(INDEX(AI:AI,MATCH(AI232,$AA:$AA,0)+8)+INDEX(AI:AI,MATCH(AI232,$AA:$AA,0)+9)+INDEX(AI:AI,MATCH(AI232,$AA:$AA,0)+10))</f>
        <v>191</v>
      </c>
      <c r="AJ236" s="367"/>
      <c r="AK236" s="366">
        <f>ABS(INDEX(AK:AK,MATCH(AK232,$AA:$AA,0)+8)+INDEX(AK:AK,MATCH(AK232,$AA:$AA,0)+9)+INDEX(AK:AK,MATCH(AK232,$AA:$AA,0)+10))</f>
        <v>191</v>
      </c>
      <c r="AL236" s="367"/>
      <c r="AM236" s="366">
        <f>ABS(INDEX(AM:AM,MATCH(AM232,$AA:$AA,0)+8)+INDEX(AM:AM,MATCH(AM232,$AA:$AA,0)+9)+INDEX(AM:AM,MATCH(AM232,$AA:$AA,0)+10))</f>
        <v>247</v>
      </c>
      <c r="AN236" s="367"/>
      <c r="AO236" s="366">
        <f>ABS(INDEX(AO:AO,MATCH(AO232,$AA:$AA,0)+8)+INDEX(AO:AO,MATCH(AO232,$AA:$AA,0)+9)+INDEX(AO:AO,MATCH(AO232,$AA:$AA,0)+10))</f>
        <v>204</v>
      </c>
      <c r="AP236" s="367"/>
      <c r="AQ236" s="366">
        <f>ABS(INDEX(AQ:AQ,MATCH(AQ232,$AA:$AA,0)+8)+INDEX(AQ:AQ,MATCH(AQ232,$AA:$AA,0)+9)+INDEX(AQ:AQ,MATCH(AQ232,$AA:$AA,0)+10))</f>
        <v>197</v>
      </c>
      <c r="AR236" s="367"/>
      <c r="AS236" s="366">
        <f>ABS(INDEX(AS:AS,MATCH(AS232,$AA:$AA,0)+8)+INDEX(AS:AS,MATCH(AS232,$AA:$AA,0)+9)+INDEX(AS:AS,MATCH(AS232,$AA:$AA,0)+10))</f>
        <v>148</v>
      </c>
      <c r="AT236" s="367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4" t="str">
        <f t="shared" si="272"/>
        <v>Spieler 3</v>
      </c>
      <c r="C237" s="375" t="str">
        <f t="shared" si="272"/>
        <v/>
      </c>
      <c r="D237" s="362">
        <f>IF(AC237=301,"",AC237)</f>
        <v>209</v>
      </c>
      <c r="E237" s="362" t="str">
        <f>IF(AD237=0,"",AD237)</f>
        <v/>
      </c>
      <c r="F237" s="362">
        <f>IF(AE237=301,"",AE237)</f>
        <v>202</v>
      </c>
      <c r="G237" s="362" t="str">
        <f>IF(AF237=0,"",AF237)</f>
        <v/>
      </c>
      <c r="H237" s="362">
        <f>IF(AG237=301,"",AG237)</f>
        <v>152</v>
      </c>
      <c r="I237" s="362" t="str">
        <f>IF(AH237=0,"",AH237)</f>
        <v/>
      </c>
      <c r="J237" s="362">
        <f>IF(AI237=301,"",AI237)</f>
        <v>201</v>
      </c>
      <c r="K237" s="362" t="str">
        <f>IF(AJ237=0,"",AJ237)</f>
        <v/>
      </c>
      <c r="L237" s="362">
        <f>IF(AK237=301,"",AK237)</f>
        <v>222</v>
      </c>
      <c r="M237" s="362" t="str">
        <f>IF(AL237=0,"",AL237)</f>
        <v/>
      </c>
      <c r="N237" s="362">
        <f>IF(AM237=301,"",AM237)</f>
        <v>132</v>
      </c>
      <c r="O237" s="362" t="str">
        <f>IF(AN237=0,"",AN237)</f>
        <v/>
      </c>
      <c r="P237" s="362">
        <f>IF(AO237=301,"",AO237)</f>
        <v>199</v>
      </c>
      <c r="Q237" s="362" t="str">
        <f>IF(AP237=0,"",AP237)</f>
        <v/>
      </c>
      <c r="R237" s="362">
        <f>IF(AQ237=301,"",AQ237)</f>
        <v>153</v>
      </c>
      <c r="S237" s="362" t="str">
        <f>IF(AR237=0,"",AR237)</f>
        <v/>
      </c>
      <c r="T237" s="362">
        <f>IF(AS237=301,"",AS237)</f>
        <v>166</v>
      </c>
      <c r="U237" s="362" t="str">
        <f>IF(AT237=0,"",AT237)</f>
        <v/>
      </c>
      <c r="V237" s="364"/>
      <c r="W237" s="364"/>
      <c r="AA237" s="91" t="s">
        <v>3</v>
      </c>
      <c r="AB237" s="92"/>
      <c r="AC237" s="366">
        <f>ABS(INDEX(AC:AC,MATCH(AC232,$AA:$AA,0)+11)+INDEX(AC:AC,MATCH(AC232,$AA:$AA,0)+12)+INDEX(AC:AC,MATCH(AC232,$AA:$AA,0)+13))</f>
        <v>209</v>
      </c>
      <c r="AD237" s="367"/>
      <c r="AE237" s="366">
        <f>ABS(INDEX(AE:AE,MATCH(AE232,$AA:$AA,0)+11)+INDEX(AE:AE,MATCH(AE232,$AA:$AA,0)+12)+INDEX(AE:AE,MATCH(AE232,$AA:$AA,0)+13))</f>
        <v>202</v>
      </c>
      <c r="AF237" s="367"/>
      <c r="AG237" s="366">
        <f>ABS(INDEX(AG:AG,MATCH(AG232,$AA:$AA,0)+11)+INDEX(AG:AG,MATCH(AG232,$AA:$AA,0)+12)+INDEX(AG:AG,MATCH(AG232,$AA:$AA,0)+13))</f>
        <v>152</v>
      </c>
      <c r="AH237" s="367"/>
      <c r="AI237" s="366">
        <f>ABS(INDEX(AI:AI,MATCH(AI232,$AA:$AA,0)+11)+INDEX(AI:AI,MATCH(AI232,$AA:$AA,0)+12)+INDEX(AI:AI,MATCH(AI232,$AA:$AA,0)+13))</f>
        <v>201</v>
      </c>
      <c r="AJ237" s="367"/>
      <c r="AK237" s="366">
        <f>ABS(INDEX(AK:AK,MATCH(AK232,$AA:$AA,0)+11)+INDEX(AK:AK,MATCH(AK232,$AA:$AA,0)+12)+INDEX(AK:AK,MATCH(AK232,$AA:$AA,0)+13))</f>
        <v>222</v>
      </c>
      <c r="AL237" s="367"/>
      <c r="AM237" s="366">
        <f>ABS(INDEX(AM:AM,MATCH(AM232,$AA:$AA,0)+11)+INDEX(AM:AM,MATCH(AM232,$AA:$AA,0)+12)+INDEX(AM:AM,MATCH(AM232,$AA:$AA,0)+13))</f>
        <v>132</v>
      </c>
      <c r="AN237" s="367"/>
      <c r="AO237" s="366">
        <f>ABS(INDEX(AO:AO,MATCH(AO232,$AA:$AA,0)+11)+INDEX(AO:AO,MATCH(AO232,$AA:$AA,0)+12)+INDEX(AO:AO,MATCH(AO232,$AA:$AA,0)+13))</f>
        <v>199</v>
      </c>
      <c r="AP237" s="367"/>
      <c r="AQ237" s="366">
        <f>ABS(INDEX(AQ:AQ,MATCH(AQ232,$AA:$AA,0)+11)+INDEX(AQ:AQ,MATCH(AQ232,$AA:$AA,0)+12)+INDEX(AQ:AQ,MATCH(AQ232,$AA:$AA,0)+13))</f>
        <v>153</v>
      </c>
      <c r="AR237" s="367"/>
      <c r="AS237" s="366">
        <f>ABS(INDEX(AS:AS,MATCH(AS232,$AA:$AA,0)+11)+INDEX(AS:AS,MATCH(AS232,$AA:$AA,0)+12)+INDEX(AS:AS,MATCH(AS232,$AA:$AA,0)+13))</f>
        <v>166</v>
      </c>
      <c r="AT237" s="367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4" t="str">
        <f t="shared" si="272"/>
        <v>Spieler 4</v>
      </c>
      <c r="C238" s="375" t="str">
        <f t="shared" si="272"/>
        <v/>
      </c>
      <c r="D238" s="362">
        <f>IF(AC238=301,"",AC238)</f>
        <v>246</v>
      </c>
      <c r="E238" s="362" t="str">
        <f>IF(AD238=0,"",AD238)</f>
        <v/>
      </c>
      <c r="F238" s="362">
        <f>IF(AE238=301,"",AE238)</f>
        <v>234</v>
      </c>
      <c r="G238" s="362" t="str">
        <f>IF(AF238=0,"",AF238)</f>
        <v/>
      </c>
      <c r="H238" s="362">
        <f>IF(AG238=301,"",AG238)</f>
        <v>190</v>
      </c>
      <c r="I238" s="362" t="str">
        <f>IF(AH238=0,"",AH238)</f>
        <v/>
      </c>
      <c r="J238" s="362">
        <f>IF(AI238=301,"",AI238)</f>
        <v>174</v>
      </c>
      <c r="K238" s="362" t="str">
        <f>IF(AJ238=0,"",AJ238)</f>
        <v/>
      </c>
      <c r="L238" s="362">
        <f>IF(AK238=301,"",AK238)</f>
        <v>186</v>
      </c>
      <c r="M238" s="362" t="str">
        <f>IF(AL238=0,"",AL238)</f>
        <v/>
      </c>
      <c r="N238" s="362">
        <f>IF(AM238=301,"",AM238)</f>
        <v>187</v>
      </c>
      <c r="O238" s="362" t="str">
        <f>IF(AN238=0,"",AN238)</f>
        <v/>
      </c>
      <c r="P238" s="362">
        <f>IF(AO238=301,"",AO238)</f>
        <v>193</v>
      </c>
      <c r="Q238" s="362" t="str">
        <f>IF(AP238=0,"",AP238)</f>
        <v/>
      </c>
      <c r="R238" s="362">
        <f>IF(AQ238=301,"",AQ238)</f>
        <v>201</v>
      </c>
      <c r="S238" s="362" t="str">
        <f>IF(AR238=0,"",AR238)</f>
        <v/>
      </c>
      <c r="T238" s="362">
        <f>IF(AS238=301,"",AS238)</f>
        <v>176</v>
      </c>
      <c r="U238" s="362" t="str">
        <f>IF(AT238=0,"",AT238)</f>
        <v/>
      </c>
      <c r="V238" s="364"/>
      <c r="W238" s="364"/>
      <c r="AA238" s="91" t="s">
        <v>11</v>
      </c>
      <c r="AB238" s="92"/>
      <c r="AC238" s="366">
        <f>ABS(INDEX(AC:AC,MATCH(AC232,$AA:$AA,0)+14)+INDEX(AC:AC,MATCH(AC232,$AA:$AA,0)+15)+INDEX(AC:AC,MATCH(AC232,$AA:$AA,0)+16))</f>
        <v>246</v>
      </c>
      <c r="AD238" s="367"/>
      <c r="AE238" s="366">
        <f>ABS(INDEX(AE:AE,MATCH(AE232,$AA:$AA,0)+14)+INDEX(AE:AE,MATCH(AE232,$AA:$AA,0)+15)+INDEX(AE:AE,MATCH(AE232,$AA:$AA,0)+16))</f>
        <v>234</v>
      </c>
      <c r="AF238" s="367"/>
      <c r="AG238" s="366">
        <f>ABS(INDEX(AG:AG,MATCH(AG232,$AA:$AA,0)+14)+INDEX(AG:AG,MATCH(AG232,$AA:$AA,0)+15)+INDEX(AG:AG,MATCH(AG232,$AA:$AA,0)+16))</f>
        <v>190</v>
      </c>
      <c r="AH238" s="367"/>
      <c r="AI238" s="366">
        <f>ABS(INDEX(AI:AI,MATCH(AI232,$AA:$AA,0)+14)+INDEX(AI:AI,MATCH(AI232,$AA:$AA,0)+15)+INDEX(AI:AI,MATCH(AI232,$AA:$AA,0)+16))</f>
        <v>174</v>
      </c>
      <c r="AJ238" s="367"/>
      <c r="AK238" s="366">
        <f>ABS(INDEX(AK:AK,MATCH(AK232,$AA:$AA,0)+14)+INDEX(AK:AK,MATCH(AK232,$AA:$AA,0)+15)+INDEX(AK:AK,MATCH(AK232,$AA:$AA,0)+16))</f>
        <v>186</v>
      </c>
      <c r="AL238" s="367"/>
      <c r="AM238" s="366">
        <f>ABS(INDEX(AM:AM,MATCH(AM232,$AA:$AA,0)+14)+INDEX(AM:AM,MATCH(AM232,$AA:$AA,0)+15)+INDEX(AM:AM,MATCH(AM232,$AA:$AA,0)+16))</f>
        <v>187</v>
      </c>
      <c r="AN238" s="367"/>
      <c r="AO238" s="366">
        <f>ABS(INDEX(AO:AO,MATCH(AO232,$AA:$AA,0)+14)+INDEX(AO:AO,MATCH(AO232,$AA:$AA,0)+15)+INDEX(AO:AO,MATCH(AO232,$AA:$AA,0)+16))</f>
        <v>193</v>
      </c>
      <c r="AP238" s="367"/>
      <c r="AQ238" s="366">
        <f>ABS(INDEX(AQ:AQ,MATCH(AQ232,$AA:$AA,0)+14)+INDEX(AQ:AQ,MATCH(AQ232,$AA:$AA,0)+15)+INDEX(AQ:AQ,MATCH(AQ232,$AA:$AA,0)+16))</f>
        <v>201</v>
      </c>
      <c r="AR238" s="367"/>
      <c r="AS238" s="366">
        <f>ABS(INDEX(AS:AS,MATCH(AS232,$AA:$AA,0)+14)+INDEX(AS:AS,MATCH(AS232,$AA:$AA,0)+15)+INDEX(AS:AS,MATCH(AS232,$AA:$AA,0)+16))</f>
        <v>176</v>
      </c>
      <c r="AT238" s="367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6" t="str">
        <f t="shared" si="272"/>
        <v>Gesamt</v>
      </c>
      <c r="C239" s="347" t="str">
        <f t="shared" si="272"/>
        <v/>
      </c>
      <c r="D239" s="365">
        <f>IF(AC239=1505,"",AC239)</f>
        <v>798</v>
      </c>
      <c r="E239" s="365" t="str">
        <f>IF(AD239=0,"",AD239)</f>
        <v/>
      </c>
      <c r="F239" s="365">
        <f>IF(AE239=1505,"",AE239)</f>
        <v>747</v>
      </c>
      <c r="G239" s="365" t="str">
        <f>IF(AF239=0,"",AF239)</f>
        <v/>
      </c>
      <c r="H239" s="365">
        <f>IF(AG239=1505,"",AG239)</f>
        <v>658</v>
      </c>
      <c r="I239" s="365" t="str">
        <f>IF(AH239=0,"",AH239)</f>
        <v/>
      </c>
      <c r="J239" s="365">
        <f>IF(AI239=1505,"",AI239)</f>
        <v>707</v>
      </c>
      <c r="K239" s="365" t="str">
        <f>IF(AJ239=0,"",AJ239)</f>
        <v/>
      </c>
      <c r="L239" s="365">
        <f>IF(AK239=1505,"",AK239)</f>
        <v>791</v>
      </c>
      <c r="M239" s="365" t="str">
        <f>IF(AL239=0,"",AL239)</f>
        <v/>
      </c>
      <c r="N239" s="365">
        <f>IF(AM239=1505,"",AM239)</f>
        <v>696</v>
      </c>
      <c r="O239" s="365" t="str">
        <f>IF(AN239=0,"",AN239)</f>
        <v/>
      </c>
      <c r="P239" s="365">
        <f>IF(AO239=1505,"",AO239)</f>
        <v>768</v>
      </c>
      <c r="Q239" s="365" t="str">
        <f>IF(AP239=0,"",AP239)</f>
        <v/>
      </c>
      <c r="R239" s="365">
        <f>IF(AQ239=1505,"",AQ239)</f>
        <v>733</v>
      </c>
      <c r="S239" s="365" t="str">
        <f>IF(AR239=0,"",AR239)</f>
        <v/>
      </c>
      <c r="T239" s="365">
        <f>IF(AS239=1505,"",AS239)</f>
        <v>633</v>
      </c>
      <c r="U239" s="365" t="str">
        <f>IF(AT239=0,"",AT239)</f>
        <v/>
      </c>
      <c r="V239" s="301"/>
      <c r="W239" s="301"/>
      <c r="AA239" s="93" t="s">
        <v>1799</v>
      </c>
      <c r="AB239" s="94"/>
      <c r="AC239" s="346">
        <f>SUM(AC235:AC238)</f>
        <v>798</v>
      </c>
      <c r="AD239" s="347"/>
      <c r="AE239" s="346">
        <f>SUM(AE235:AE238)</f>
        <v>747</v>
      </c>
      <c r="AF239" s="347"/>
      <c r="AG239" s="346">
        <f>SUM(AG235:AG238)</f>
        <v>658</v>
      </c>
      <c r="AH239" s="347"/>
      <c r="AI239" s="346">
        <f>SUM(AI235:AI238)</f>
        <v>707</v>
      </c>
      <c r="AJ239" s="347"/>
      <c r="AK239" s="346">
        <f>SUM(AK235:AK238)</f>
        <v>791</v>
      </c>
      <c r="AL239" s="347"/>
      <c r="AM239" s="346">
        <f>SUM(AM235:AM238)</f>
        <v>696</v>
      </c>
      <c r="AN239" s="347"/>
      <c r="AO239" s="346">
        <f>SUM(AO235:AO238)</f>
        <v>768</v>
      </c>
      <c r="AP239" s="347"/>
      <c r="AQ239" s="346">
        <f>SUM(AQ235:AQ238)</f>
        <v>733</v>
      </c>
      <c r="AR239" s="347"/>
      <c r="AS239" s="346">
        <f>SUM(AS235:AS238)</f>
        <v>633</v>
      </c>
      <c r="AT239" s="347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5" t="str">
        <f>AE241</f>
        <v>Bayernliga Herren</v>
      </c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48"/>
      <c r="S241" s="49" t="s">
        <v>1794</v>
      </c>
      <c r="T241" s="50"/>
      <c r="U241" s="341" t="str">
        <f>AT241</f>
        <v>15.02./16.02.</v>
      </c>
      <c r="V241" s="342"/>
      <c r="W241" s="343"/>
      <c r="X241" s="372"/>
      <c r="Y241" s="373"/>
      <c r="Z241" s="373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41" t="str">
        <f>VLOOKUP(AS242,Spielorte!$A$1:$C$6,2)</f>
        <v>15.02./16.02.</v>
      </c>
      <c r="AU241" s="342"/>
      <c r="AV241" s="34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4" t="str">
        <f>AE242</f>
        <v>Regensburg Super Bowl</v>
      </c>
      <c r="G242" s="344"/>
      <c r="H242" s="344"/>
      <c r="I242" s="344"/>
      <c r="J242" s="344"/>
      <c r="K242" s="344"/>
      <c r="L242" s="344"/>
      <c r="M242" s="344"/>
      <c r="N242" s="344"/>
      <c r="O242" s="344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5</v>
      </c>
      <c r="AE244" s="65" t="s">
        <v>10</v>
      </c>
      <c r="AF244" s="44">
        <f>VLOOKUP(AA242,Schlüssel!$A$5:$DZ$14,74)</f>
        <v>2</v>
      </c>
      <c r="AG244" s="65" t="s">
        <v>10</v>
      </c>
      <c r="AH244" s="44">
        <f>VLOOKUP(AA242,Schlüssel!$A$5:$DZ$14,75)</f>
        <v>3</v>
      </c>
      <c r="AI244" s="65" t="s">
        <v>10</v>
      </c>
      <c r="AJ244" s="44">
        <f>VLOOKUP(AA242,Schlüssel!$A$5:$DZ$14,76)</f>
        <v>8</v>
      </c>
      <c r="AK244" s="65" t="s">
        <v>10</v>
      </c>
      <c r="AL244" s="44">
        <f>VLOOKUP(AA242,Schlüssel!$A$5:$DZ$14,77)</f>
        <v>10</v>
      </c>
      <c r="AM244" s="65" t="s">
        <v>10</v>
      </c>
      <c r="AN244" s="44">
        <f>VLOOKUP(AA242,Schlüssel!$A$5:$DZ$14,78)</f>
        <v>6</v>
      </c>
      <c r="AO244" s="65" t="s">
        <v>10</v>
      </c>
      <c r="AP244" s="44">
        <f>VLOOKUP(AA242,Schlüssel!$A$5:$DZ$14,79)</f>
        <v>4</v>
      </c>
      <c r="AQ244" s="65" t="s">
        <v>10</v>
      </c>
      <c r="AR244" s="44">
        <f>VLOOKUP(AA242,Schlüssel!$A$5:$DZ$14,80)</f>
        <v>9</v>
      </c>
      <c r="AS244" s="65" t="s">
        <v>10</v>
      </c>
      <c r="AT244" s="44">
        <f>VLOOKUP(AA242,Schlüssel!$A$5:$DZ$14,81)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6" t="s">
        <v>1800</v>
      </c>
      <c r="E245" s="347"/>
      <c r="F245" s="346" t="s">
        <v>1801</v>
      </c>
      <c r="G245" s="347"/>
      <c r="H245" s="346" t="s">
        <v>1802</v>
      </c>
      <c r="I245" s="347"/>
      <c r="J245" s="346" t="s">
        <v>1803</v>
      </c>
      <c r="K245" s="347"/>
      <c r="L245" s="346" t="s">
        <v>1804</v>
      </c>
      <c r="M245" s="347"/>
      <c r="N245" s="346" t="s">
        <v>1805</v>
      </c>
      <c r="O245" s="347"/>
      <c r="P245" s="346" t="s">
        <v>1806</v>
      </c>
      <c r="Q245" s="347"/>
      <c r="R245" s="346" t="s">
        <v>1807</v>
      </c>
      <c r="S245" s="347"/>
      <c r="T245" s="346" t="s">
        <v>1808</v>
      </c>
      <c r="U245" s="347"/>
      <c r="V245" s="354" t="s">
        <v>1799</v>
      </c>
      <c r="W245" s="355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6" t="s">
        <v>0</v>
      </c>
      <c r="B247" s="73" t="str">
        <f>IF(AA247=0,"",AA247)</f>
        <v>Nolan, Jonathan</v>
      </c>
      <c r="C247" s="74">
        <f>IF(AB247=0,"",AB247)</f>
        <v>16873</v>
      </c>
      <c r="D247" s="75">
        <f>IF(AC247=0,"",AC247)</f>
        <v>160</v>
      </c>
      <c r="E247" s="348">
        <f>IF(AD247="","",AD247)</f>
        <v>1</v>
      </c>
      <c r="F247" s="75">
        <f t="shared" ref="F247:F260" si="273">IF(AE247=0,"",AE247)</f>
        <v>195</v>
      </c>
      <c r="G247" s="348">
        <f>IF(AF247="","",AF247)</f>
        <v>0</v>
      </c>
      <c r="H247" s="75">
        <f t="shared" ref="H247:H260" si="274">IF(AG247=0,"",AG247)</f>
        <v>180</v>
      </c>
      <c r="I247" s="348">
        <f>IF(AH247="","",AH247)</f>
        <v>0</v>
      </c>
      <c r="J247" s="75">
        <f t="shared" ref="J247:J260" si="275">IF(AI247=0,"",AI247)</f>
        <v>201</v>
      </c>
      <c r="K247" s="348">
        <f>IF(AJ247="","",AJ247)</f>
        <v>1</v>
      </c>
      <c r="L247" s="75">
        <f t="shared" ref="L247:L260" si="276">IF(AK247=0,"",AK247)</f>
        <v>190</v>
      </c>
      <c r="M247" s="348">
        <f>IF(AL247="","",AL247)</f>
        <v>0</v>
      </c>
      <c r="N247" s="75">
        <f>IF(AM247=0,"",AM247)</f>
        <v>160</v>
      </c>
      <c r="O247" s="348">
        <f>IF(AN247="","",AN247)</f>
        <v>0</v>
      </c>
      <c r="P247" s="75">
        <f t="shared" ref="P247:P260" si="277">IF(AO247=0,"",AO247)</f>
        <v>169</v>
      </c>
      <c r="Q247" s="348">
        <f>IF(AP247="","",AP247)</f>
        <v>0</v>
      </c>
      <c r="R247" s="75">
        <f t="shared" ref="R247:R260" si="278">IF(AQ247=0,"",AQ247)</f>
        <v>182</v>
      </c>
      <c r="S247" s="348">
        <f>IF(AR247="","",AR247)</f>
        <v>1</v>
      </c>
      <c r="T247" s="75">
        <f t="shared" ref="T247:T260" si="279">IF(AS247=0,"",AS247)</f>
        <v>171</v>
      </c>
      <c r="U247" s="348">
        <f>IF(AT247="","",AT247)</f>
        <v>1</v>
      </c>
      <c r="V247" s="75">
        <f t="shared" ref="V247:V260" si="280">IF(AU247=0,"",AU247)</f>
        <v>1608</v>
      </c>
      <c r="W247" s="348">
        <f>IF(AV247="","",AV247)</f>
        <v>4</v>
      </c>
      <c r="Z247" s="351" t="s">
        <v>0</v>
      </c>
      <c r="AA247" s="108" t="str">
        <f>IF(AB247=0,"",VLOOKUP(AB247,Starter!$A$1:$D$199,2,FALSE))</f>
        <v>Nolan, Jonathan</v>
      </c>
      <c r="AB247" s="99">
        <v>16873</v>
      </c>
      <c r="AC247" s="185">
        <v>160</v>
      </c>
      <c r="AD247" s="109">
        <f>IF(SUM(AC247:AC249)+AC265=0,0,IF(SUM(AC247:AC249)=AC265,0.5,IF(SUM(AC247:AC249)&gt;AC265,1,0)))</f>
        <v>1</v>
      </c>
      <c r="AE247" s="185">
        <v>195</v>
      </c>
      <c r="AF247" s="109">
        <f>IF(SUM(AE247:AE249)+AE265=0,0,IF(SUM(AE247:AE249)=AE265,0.5,IF(SUM(AE247:AE249)&gt;AE265,1,0)))</f>
        <v>0</v>
      </c>
      <c r="AG247" s="185">
        <v>180</v>
      </c>
      <c r="AH247" s="109">
        <f>IF(SUM(AG247:AG249)+AG265=0,0,IF(SUM(AG247:AG249)=AG265,0.5,IF(SUM(AG247:AG249)&gt;AG265,1,0)))</f>
        <v>0</v>
      </c>
      <c r="AI247" s="185">
        <v>201</v>
      </c>
      <c r="AJ247" s="109">
        <f>IF(SUM(AI247:AI249)+AI265=0,0,IF(SUM(AI247:AI249)=AI265,0.5,IF(SUM(AI247:AI249)&gt;AI265,1,0)))</f>
        <v>1</v>
      </c>
      <c r="AK247" s="185">
        <v>190</v>
      </c>
      <c r="AL247" s="109">
        <f>IF(SUM(AK247:AK249)+AK265=0,0,IF(SUM(AK247:AK249)=AK265,0.5,IF(SUM(AK247:AK249)&gt;AK265,1,0)))</f>
        <v>0</v>
      </c>
      <c r="AM247" s="185">
        <v>160</v>
      </c>
      <c r="AN247" s="109">
        <f>IF(SUM(AM247:AM249)+AM265=0,0,IF(SUM(AM247:AM249)=AM265,0.5,IF(SUM(AM247:AM249)&gt;AM265,1,0)))</f>
        <v>0</v>
      </c>
      <c r="AO247" s="185">
        <v>169</v>
      </c>
      <c r="AP247" s="109">
        <f>IF(SUM(AO247:AO249)+AO265=0,0,IF(SUM(AO247:AO249)=AO265,0.5,IF(SUM(AO247:AO249)&gt;AO265,1,0)))</f>
        <v>0</v>
      </c>
      <c r="AQ247" s="185">
        <v>182</v>
      </c>
      <c r="AR247" s="109">
        <f>IF(SUM(AQ247:AQ249)+AQ265=0,0,IF(SUM(AQ247:AQ249)=AQ265,0.5,IF(SUM(AQ247:AQ249)&gt;AQ265,1,0)))</f>
        <v>1</v>
      </c>
      <c r="AS247" s="185">
        <v>171</v>
      </c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1608</v>
      </c>
      <c r="AV247" s="111">
        <f>SUM(AD247+AF247+AH247+AJ247+AL247+AN247+AP247+AR247+AT247)</f>
        <v>4</v>
      </c>
      <c r="AW247" s="101"/>
      <c r="AX247" s="102"/>
      <c r="AZ247" s="63"/>
      <c r="BA247" s="212"/>
      <c r="BB247" s="213"/>
      <c r="BC247" s="214"/>
      <c r="BD247" s="217">
        <f>+AB247</f>
        <v>16873</v>
      </c>
      <c r="BE247" s="213">
        <f>+AU247</f>
        <v>1608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160</v>
      </c>
      <c r="BI247" s="215">
        <f t="shared" ref="BI247:BI258" si="283">IF(AE247=0,"",AE247)</f>
        <v>195</v>
      </c>
      <c r="BJ247" s="215">
        <f t="shared" ref="BJ247:BJ258" si="284">IF(AG247=0,"",AG247)</f>
        <v>180</v>
      </c>
      <c r="BK247" s="215">
        <f t="shared" ref="BK247:BK258" si="285">IF(AI247=0,"",AI247)</f>
        <v>201</v>
      </c>
      <c r="BL247" s="215">
        <f t="shared" ref="BL247:BL258" si="286">IF(AK247=0,"",AK247)</f>
        <v>190</v>
      </c>
      <c r="BM247" s="215">
        <f t="shared" ref="BM247:BM258" si="287">IF(AM247=0,"",AM247)</f>
        <v>160</v>
      </c>
      <c r="BN247" s="215">
        <f t="shared" ref="BN247:BN258" si="288">IF(AO247=0,"",AO247)</f>
        <v>169</v>
      </c>
      <c r="BO247" s="215">
        <f t="shared" ref="BO247:BO258" si="289">IF(AQ247=0,"",AQ247)</f>
        <v>182</v>
      </c>
      <c r="BP247" s="215">
        <f t="shared" ref="BP247:BP258" si="290">IF(AS247=0,"",AS247)</f>
        <v>171</v>
      </c>
      <c r="BQ247" s="216"/>
      <c r="BR247" s="214"/>
      <c r="BS247" s="215">
        <f>MAX(BH247:BP247)</f>
        <v>201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1608</v>
      </c>
      <c r="BX247" s="215">
        <f>IF(COUNTIF(BH247:BP247,"&gt;0")&lt;Spielorte!$A$23,0,BE247/Spielorte!$A$23)</f>
        <v>178.66666666666666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77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9"/>
      <c r="F248" s="78" t="str">
        <f t="shared" si="273"/>
        <v/>
      </c>
      <c r="G248" s="349"/>
      <c r="H248" s="78" t="str">
        <f t="shared" si="274"/>
        <v/>
      </c>
      <c r="I248" s="349"/>
      <c r="J248" s="78" t="str">
        <f t="shared" si="275"/>
        <v/>
      </c>
      <c r="K248" s="349"/>
      <c r="L248" s="78" t="str">
        <f t="shared" si="276"/>
        <v/>
      </c>
      <c r="M248" s="349"/>
      <c r="N248" s="78" t="str">
        <f t="shared" ref="N248:N260" si="293">IF(AM248=0,"",AM248)</f>
        <v/>
      </c>
      <c r="O248" s="349"/>
      <c r="P248" s="78" t="str">
        <f t="shared" si="277"/>
        <v/>
      </c>
      <c r="Q248" s="349"/>
      <c r="R248" s="78" t="str">
        <f t="shared" si="278"/>
        <v/>
      </c>
      <c r="S248" s="349"/>
      <c r="T248" s="78" t="str">
        <f t="shared" si="279"/>
        <v/>
      </c>
      <c r="U248" s="349"/>
      <c r="V248" s="78" t="str">
        <f t="shared" si="280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Bowlinghaus Bamberg 1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8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0"/>
      <c r="F249" s="69" t="str">
        <f t="shared" si="273"/>
        <v/>
      </c>
      <c r="G249" s="350"/>
      <c r="H249" s="69" t="str">
        <f t="shared" si="274"/>
        <v/>
      </c>
      <c r="I249" s="350"/>
      <c r="J249" s="69" t="str">
        <f t="shared" si="275"/>
        <v/>
      </c>
      <c r="K249" s="350"/>
      <c r="L249" s="69" t="str">
        <f t="shared" si="276"/>
        <v/>
      </c>
      <c r="M249" s="350"/>
      <c r="N249" s="69" t="str">
        <f t="shared" si="293"/>
        <v/>
      </c>
      <c r="O249" s="350"/>
      <c r="P249" s="69" t="str">
        <f t="shared" si="277"/>
        <v/>
      </c>
      <c r="Q249" s="350"/>
      <c r="R249" s="69" t="str">
        <f t="shared" si="278"/>
        <v/>
      </c>
      <c r="S249" s="350"/>
      <c r="T249" s="69" t="str">
        <f t="shared" si="279"/>
        <v/>
      </c>
      <c r="U249" s="350"/>
      <c r="V249" s="69" t="str">
        <f t="shared" si="280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Bowlinghaus Bamberg 1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76" t="s">
        <v>2</v>
      </c>
      <c r="B250" s="73" t="str">
        <f t="shared" si="292"/>
        <v>Nikoleit, Thomas</v>
      </c>
      <c r="C250" s="74">
        <f t="shared" si="292"/>
        <v>25516</v>
      </c>
      <c r="D250" s="75">
        <f t="shared" si="292"/>
        <v>145</v>
      </c>
      <c r="E250" s="348">
        <f>IF(AD250="","",AD250)</f>
        <v>0</v>
      </c>
      <c r="F250" s="75" t="str">
        <f t="shared" si="273"/>
        <v/>
      </c>
      <c r="G250" s="348">
        <f>IF(AF250="","",AF250)</f>
        <v>0</v>
      </c>
      <c r="H250" s="75" t="str">
        <f t="shared" si="274"/>
        <v/>
      </c>
      <c r="I250" s="348">
        <f>IF(AH250="","",AH250)</f>
        <v>0</v>
      </c>
      <c r="J250" s="75" t="str">
        <f t="shared" si="275"/>
        <v/>
      </c>
      <c r="K250" s="348">
        <f>IF(AJ250="","",AJ250)</f>
        <v>1</v>
      </c>
      <c r="L250" s="75" t="str">
        <f t="shared" si="276"/>
        <v/>
      </c>
      <c r="M250" s="348">
        <f>IF(AL250="","",AL250)</f>
        <v>0</v>
      </c>
      <c r="N250" s="75" t="str">
        <f t="shared" si="293"/>
        <v/>
      </c>
      <c r="O250" s="348">
        <f>IF(AN250="","",AN250)</f>
        <v>1</v>
      </c>
      <c r="P250" s="75" t="str">
        <f t="shared" si="277"/>
        <v/>
      </c>
      <c r="Q250" s="348">
        <f>IF(AP250="","",AP250)</f>
        <v>1</v>
      </c>
      <c r="R250" s="75">
        <f t="shared" si="278"/>
        <v>197</v>
      </c>
      <c r="S250" s="348">
        <f>IF(AR250="","",AR250)</f>
        <v>1</v>
      </c>
      <c r="T250" s="75">
        <f t="shared" si="279"/>
        <v>168</v>
      </c>
      <c r="U250" s="348">
        <f>IF(AT250="","",AT250)</f>
        <v>1</v>
      </c>
      <c r="V250" s="75">
        <f t="shared" si="280"/>
        <v>510</v>
      </c>
      <c r="W250" s="348">
        <f>IF(AV250="","",AV250)</f>
        <v>5</v>
      </c>
      <c r="Z250" s="351" t="s">
        <v>2</v>
      </c>
      <c r="AA250" s="108" t="str">
        <f>IF(AB250=0,"",VLOOKUP(AB250,Starter!$A$1:$D$199,2,FALSE))</f>
        <v>Nikoleit, Thomas</v>
      </c>
      <c r="AB250" s="99">
        <v>25516</v>
      </c>
      <c r="AC250" s="188">
        <v>145</v>
      </c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1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1</v>
      </c>
      <c r="AO250" s="188"/>
      <c r="AP250" s="109">
        <f>IF(SUM(AO250:AO252)+AO266=0,0,IF(SUM(AO250:AO252)=AO266,0.5,IF(SUM(AO250:AO252)&gt;AO266,1,0)))</f>
        <v>1</v>
      </c>
      <c r="AQ250" s="188">
        <v>197</v>
      </c>
      <c r="AR250" s="109">
        <f>IF(SUM(AQ250:AQ252)+AQ266=0,0,IF(SUM(AQ250:AQ252)=AQ266,0.5,IF(SUM(AQ250:AQ252)&gt;AQ266,1,0)))</f>
        <v>1</v>
      </c>
      <c r="AS250" s="188">
        <v>168</v>
      </c>
      <c r="AT250" s="109">
        <f>IF(SUM(AS250:AS252)+AS266=0,0,IF(SUM(AS250:AS252)=AS266,0.5,IF(SUM(AS250:AS252)&gt;AS266,1,0)))</f>
        <v>1</v>
      </c>
      <c r="AU250" s="110">
        <f t="shared" si="281"/>
        <v>510</v>
      </c>
      <c r="AV250" s="111">
        <f>SUM(AD250+AF250+AH250+AJ250+AL250+AN250+AP250+AR250+AT250)</f>
        <v>5</v>
      </c>
      <c r="AW250" s="101"/>
      <c r="AX250" s="102"/>
      <c r="AZ250" s="63"/>
      <c r="BA250" s="212"/>
      <c r="BB250" s="213"/>
      <c r="BC250" s="214"/>
      <c r="BD250" s="217">
        <f t="shared" si="294"/>
        <v>25516</v>
      </c>
      <c r="BE250" s="213">
        <f t="shared" si="295"/>
        <v>510</v>
      </c>
      <c r="BF250" s="215">
        <f t="shared" si="296"/>
        <v>3</v>
      </c>
      <c r="BG250" s="215">
        <f t="shared" si="297"/>
        <v>3</v>
      </c>
      <c r="BH250" s="215">
        <f t="shared" si="282"/>
        <v>145</v>
      </c>
      <c r="BI250" s="215" t="str">
        <f t="shared" si="283"/>
        <v/>
      </c>
      <c r="BJ250" s="215" t="str">
        <f t="shared" si="284"/>
        <v/>
      </c>
      <c r="BK250" s="215" t="str">
        <f t="shared" si="285"/>
        <v/>
      </c>
      <c r="BL250" s="215" t="str">
        <f t="shared" si="286"/>
        <v/>
      </c>
      <c r="BM250" s="215" t="str">
        <f t="shared" si="287"/>
        <v/>
      </c>
      <c r="BN250" s="215" t="str">
        <f t="shared" si="288"/>
        <v/>
      </c>
      <c r="BO250" s="215">
        <f t="shared" si="289"/>
        <v>197</v>
      </c>
      <c r="BP250" s="215">
        <f t="shared" si="290"/>
        <v>168</v>
      </c>
      <c r="BQ250" s="216"/>
      <c r="BR250" s="214"/>
      <c r="BS250" s="215">
        <f t="shared" si="298"/>
        <v>197</v>
      </c>
      <c r="BT250" s="215">
        <f t="shared" si="299"/>
        <v>0</v>
      </c>
      <c r="BU250" s="215" t="str">
        <f t="shared" si="300"/>
        <v>Bowlinghaus Bamberg 1</v>
      </c>
      <c r="BV250" s="214">
        <f t="shared" si="301"/>
        <v>2</v>
      </c>
      <c r="BW250" s="215">
        <f t="shared" si="302"/>
        <v>510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77"/>
      <c r="B251" s="76" t="str">
        <f t="shared" si="292"/>
        <v>Röhlig, Jörg</v>
      </c>
      <c r="C251" s="77">
        <f t="shared" si="292"/>
        <v>38041</v>
      </c>
      <c r="D251" s="78" t="str">
        <f t="shared" si="292"/>
        <v/>
      </c>
      <c r="E251" s="349"/>
      <c r="F251" s="78">
        <f t="shared" si="273"/>
        <v>148</v>
      </c>
      <c r="G251" s="349"/>
      <c r="H251" s="78">
        <f t="shared" si="274"/>
        <v>178</v>
      </c>
      <c r="I251" s="349"/>
      <c r="J251" s="78">
        <f t="shared" si="275"/>
        <v>192</v>
      </c>
      <c r="K251" s="349"/>
      <c r="L251" s="78">
        <f t="shared" si="276"/>
        <v>172</v>
      </c>
      <c r="M251" s="349"/>
      <c r="N251" s="78">
        <f t="shared" si="293"/>
        <v>179</v>
      </c>
      <c r="O251" s="349"/>
      <c r="P251" s="78">
        <f t="shared" si="277"/>
        <v>172</v>
      </c>
      <c r="Q251" s="349"/>
      <c r="R251" s="78" t="str">
        <f t="shared" si="278"/>
        <v/>
      </c>
      <c r="S251" s="349"/>
      <c r="T251" s="78" t="str">
        <f t="shared" si="279"/>
        <v/>
      </c>
      <c r="U251" s="349"/>
      <c r="V251" s="78">
        <f t="shared" si="280"/>
        <v>1041</v>
      </c>
      <c r="W251" s="349"/>
      <c r="Z251" s="352"/>
      <c r="AA251" s="108" t="str">
        <f>IF(AB251=0,"",VLOOKUP(AB251,Starter!$A$1:$D$199,2,FALSE))</f>
        <v>Röhlig, Jörg</v>
      </c>
      <c r="AB251" s="98">
        <v>38041</v>
      </c>
      <c r="AC251" s="186"/>
      <c r="AD251" s="112"/>
      <c r="AE251" s="186">
        <v>148</v>
      </c>
      <c r="AF251" s="112"/>
      <c r="AG251" s="186">
        <v>178</v>
      </c>
      <c r="AH251" s="112"/>
      <c r="AI251" s="186">
        <v>192</v>
      </c>
      <c r="AJ251" s="112"/>
      <c r="AK251" s="186">
        <v>172</v>
      </c>
      <c r="AL251" s="112"/>
      <c r="AM251" s="186">
        <v>179</v>
      </c>
      <c r="AN251" s="112"/>
      <c r="AO251" s="190">
        <v>172</v>
      </c>
      <c r="AP251" s="112"/>
      <c r="AQ251" s="190"/>
      <c r="AR251" s="112"/>
      <c r="AS251" s="190"/>
      <c r="AT251" s="112"/>
      <c r="AU251" s="113">
        <f t="shared" si="281"/>
        <v>1041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38041</v>
      </c>
      <c r="BE251" s="213">
        <f t="shared" si="295"/>
        <v>1041</v>
      </c>
      <c r="BF251" s="215">
        <f t="shared" si="296"/>
        <v>6</v>
      </c>
      <c r="BG251" s="215">
        <f t="shared" si="297"/>
        <v>6</v>
      </c>
      <c r="BH251" s="215" t="str">
        <f t="shared" si="282"/>
        <v/>
      </c>
      <c r="BI251" s="215">
        <f t="shared" si="283"/>
        <v>148</v>
      </c>
      <c r="BJ251" s="215">
        <f t="shared" si="284"/>
        <v>178</v>
      </c>
      <c r="BK251" s="215">
        <f t="shared" si="285"/>
        <v>192</v>
      </c>
      <c r="BL251" s="215">
        <f t="shared" si="286"/>
        <v>172</v>
      </c>
      <c r="BM251" s="215">
        <f t="shared" si="287"/>
        <v>179</v>
      </c>
      <c r="BN251" s="215">
        <f t="shared" si="288"/>
        <v>172</v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192</v>
      </c>
      <c r="BT251" s="215">
        <f t="shared" si="299"/>
        <v>0</v>
      </c>
      <c r="BU251" s="215" t="str">
        <f t="shared" si="300"/>
        <v>Bowlinghaus Bamberg 1</v>
      </c>
      <c r="BV251" s="214">
        <f t="shared" si="301"/>
        <v>2</v>
      </c>
      <c r="BW251" s="215">
        <f t="shared" si="302"/>
        <v>1041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8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0"/>
      <c r="F252" s="69" t="str">
        <f t="shared" si="273"/>
        <v/>
      </c>
      <c r="G252" s="350"/>
      <c r="H252" s="69" t="str">
        <f t="shared" si="274"/>
        <v/>
      </c>
      <c r="I252" s="350"/>
      <c r="J252" s="69" t="str">
        <f t="shared" si="275"/>
        <v/>
      </c>
      <c r="K252" s="350"/>
      <c r="L252" s="69" t="str">
        <f t="shared" si="276"/>
        <v/>
      </c>
      <c r="M252" s="350"/>
      <c r="N252" s="69" t="str">
        <f t="shared" si="293"/>
        <v/>
      </c>
      <c r="O252" s="350"/>
      <c r="P252" s="69" t="str">
        <f t="shared" si="277"/>
        <v/>
      </c>
      <c r="Q252" s="350"/>
      <c r="R252" s="69" t="str">
        <f t="shared" si="278"/>
        <v/>
      </c>
      <c r="S252" s="350"/>
      <c r="T252" s="69" t="str">
        <f t="shared" si="279"/>
        <v/>
      </c>
      <c r="U252" s="350"/>
      <c r="V252" s="69" t="str">
        <f t="shared" si="280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Bowlinghaus Bamberg 1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76" t="s">
        <v>3</v>
      </c>
      <c r="B253" s="73" t="str">
        <f t="shared" si="292"/>
        <v>Badum, Daniel</v>
      </c>
      <c r="C253" s="74">
        <f t="shared" si="292"/>
        <v>38043</v>
      </c>
      <c r="D253" s="75">
        <f t="shared" si="292"/>
        <v>205</v>
      </c>
      <c r="E253" s="348">
        <f>IF(AD253="","",AD253)</f>
        <v>0.5</v>
      </c>
      <c r="F253" s="75">
        <f t="shared" si="273"/>
        <v>215</v>
      </c>
      <c r="G253" s="348">
        <f>IF(AF253="","",AF253)</f>
        <v>1</v>
      </c>
      <c r="H253" s="75">
        <f t="shared" si="274"/>
        <v>171</v>
      </c>
      <c r="I253" s="348">
        <f>IF(AH253="","",AH253)</f>
        <v>0</v>
      </c>
      <c r="J253" s="75">
        <f t="shared" si="275"/>
        <v>170</v>
      </c>
      <c r="K253" s="348">
        <f>IF(AJ253="","",AJ253)</f>
        <v>0</v>
      </c>
      <c r="L253" s="75">
        <f t="shared" si="276"/>
        <v>171</v>
      </c>
      <c r="M253" s="348">
        <f>IF(AL253="","",AL253)</f>
        <v>0</v>
      </c>
      <c r="N253" s="75">
        <f t="shared" si="293"/>
        <v>184</v>
      </c>
      <c r="O253" s="348">
        <f>IF(AN253="","",AN253)</f>
        <v>0</v>
      </c>
      <c r="P253" s="75">
        <f t="shared" si="277"/>
        <v>225</v>
      </c>
      <c r="Q253" s="348">
        <f>IF(AP253="","",AP253)</f>
        <v>0</v>
      </c>
      <c r="R253" s="75">
        <f t="shared" si="278"/>
        <v>153</v>
      </c>
      <c r="S253" s="348">
        <f>IF(AR253="","",AR253)</f>
        <v>0</v>
      </c>
      <c r="T253" s="75">
        <f t="shared" si="279"/>
        <v>178</v>
      </c>
      <c r="U253" s="348">
        <f>IF(AT253="","",AT253)</f>
        <v>0</v>
      </c>
      <c r="V253" s="75">
        <f t="shared" si="280"/>
        <v>1672</v>
      </c>
      <c r="W253" s="348">
        <f>IF(AV253="","",AV253)</f>
        <v>1.5</v>
      </c>
      <c r="Z253" s="351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205</v>
      </c>
      <c r="AD253" s="109">
        <f>IF(SUM(AC253:AC255)+AC267=0,0,IF(SUM(AC253:AC255)=AC267,0.5,IF(SUM(AC253:AC255)&gt;AC267,1,0)))</f>
        <v>0.5</v>
      </c>
      <c r="AE253" s="188">
        <v>215</v>
      </c>
      <c r="AF253" s="109">
        <f>IF(SUM(AE253:AE255)+AE267=0,0,IF(SUM(AE253:AE255)=AE267,0.5,IF(SUM(AE253:AE255)&gt;AE267,1,0)))</f>
        <v>1</v>
      </c>
      <c r="AG253" s="188">
        <v>171</v>
      </c>
      <c r="AH253" s="109">
        <f>IF(SUM(AG253:AG255)+AG267=0,0,IF(SUM(AG253:AG255)=AG267,0.5,IF(SUM(AG253:AG255)&gt;AG267,1,0)))</f>
        <v>0</v>
      </c>
      <c r="AI253" s="188">
        <v>170</v>
      </c>
      <c r="AJ253" s="109">
        <f>IF(SUM(AI253:AI255)+AI267=0,0,IF(SUM(AI253:AI255)=AI267,0.5,IF(SUM(AI253:AI255)&gt;AI267,1,0)))</f>
        <v>0</v>
      </c>
      <c r="AK253" s="188">
        <v>171</v>
      </c>
      <c r="AL253" s="109">
        <f>IF(SUM(AK253:AK255)+AK267=0,0,IF(SUM(AK253:AK255)=AK267,0.5,IF(SUM(AK253:AK255)&gt;AK267,1,0)))</f>
        <v>0</v>
      </c>
      <c r="AM253" s="188">
        <v>184</v>
      </c>
      <c r="AN253" s="109">
        <f>IF(SUM(AM253:AM255)+AM267=0,0,IF(SUM(AM253:AM255)=AM267,0.5,IF(SUM(AM253:AM255)&gt;AM267,1,0)))</f>
        <v>0</v>
      </c>
      <c r="AO253" s="188">
        <v>225</v>
      </c>
      <c r="AP253" s="109">
        <f>IF(SUM(AO253:AO255)+AO267=0,0,IF(SUM(AO253:AO255)=AO267,0.5,IF(SUM(AO253:AO255)&gt;AO267,1,0)))</f>
        <v>0</v>
      </c>
      <c r="AQ253" s="188">
        <v>153</v>
      </c>
      <c r="AR253" s="109">
        <f>IF(SUM(AQ253:AQ255)+AQ267=0,0,IF(SUM(AQ253:AQ255)=AQ267,0.5,IF(SUM(AQ253:AQ255)&gt;AQ267,1,0)))</f>
        <v>0</v>
      </c>
      <c r="AS253" s="188">
        <v>178</v>
      </c>
      <c r="AT253" s="109">
        <f>IF(SUM(AS253:AS255)+AS267=0,0,IF(SUM(AS253:AS255)=AS267,0.5,IF(SUM(AS253:AS255)&gt;AS267,1,0)))</f>
        <v>0</v>
      </c>
      <c r="AU253" s="110">
        <f t="shared" si="281"/>
        <v>1672</v>
      </c>
      <c r="AV253" s="111">
        <f>SUM(AD253+AF253+AH253+AJ253+AL253+AN253+AP253+AR253+AT253)</f>
        <v>1.5</v>
      </c>
      <c r="AW253" s="101"/>
      <c r="AX253" s="102"/>
      <c r="AZ253" s="63"/>
      <c r="BA253" s="212"/>
      <c r="BB253" s="213"/>
      <c r="BC253" s="214"/>
      <c r="BD253" s="217">
        <f t="shared" si="294"/>
        <v>38043</v>
      </c>
      <c r="BE253" s="213">
        <f t="shared" si="295"/>
        <v>1672</v>
      </c>
      <c r="BF253" s="215">
        <f t="shared" si="296"/>
        <v>9</v>
      </c>
      <c r="BG253" s="215">
        <f t="shared" si="297"/>
        <v>9</v>
      </c>
      <c r="BH253" s="215">
        <f t="shared" si="282"/>
        <v>205</v>
      </c>
      <c r="BI253" s="215">
        <f t="shared" si="283"/>
        <v>215</v>
      </c>
      <c r="BJ253" s="215">
        <f t="shared" si="284"/>
        <v>171</v>
      </c>
      <c r="BK253" s="215">
        <f t="shared" si="285"/>
        <v>170</v>
      </c>
      <c r="BL253" s="215">
        <f t="shared" si="286"/>
        <v>171</v>
      </c>
      <c r="BM253" s="215">
        <f t="shared" si="287"/>
        <v>184</v>
      </c>
      <c r="BN253" s="215">
        <f t="shared" si="288"/>
        <v>225</v>
      </c>
      <c r="BO253" s="215">
        <f t="shared" si="289"/>
        <v>153</v>
      </c>
      <c r="BP253" s="215">
        <f t="shared" si="290"/>
        <v>178</v>
      </c>
      <c r="BQ253" s="216"/>
      <c r="BR253" s="214"/>
      <c r="BS253" s="215">
        <f t="shared" si="298"/>
        <v>225</v>
      </c>
      <c r="BT253" s="215">
        <f t="shared" si="299"/>
        <v>0</v>
      </c>
      <c r="BU253" s="215" t="str">
        <f t="shared" si="300"/>
        <v>Bowlinghaus Bamberg 1</v>
      </c>
      <c r="BV253" s="214">
        <f t="shared" si="301"/>
        <v>2</v>
      </c>
      <c r="BW253" s="215">
        <f t="shared" si="302"/>
        <v>1672</v>
      </c>
      <c r="BX253" s="215">
        <f>IF(COUNTIF(BH253:BP253,"&gt;0")&lt;Spielorte!$A$23,0,BE253/Spielorte!$A$23)</f>
        <v>185.77777777777777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77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49"/>
      <c r="F254" s="78" t="str">
        <f t="shared" si="273"/>
        <v/>
      </c>
      <c r="G254" s="349"/>
      <c r="H254" s="78" t="str">
        <f t="shared" si="274"/>
        <v/>
      </c>
      <c r="I254" s="349"/>
      <c r="J254" s="78" t="str">
        <f t="shared" si="275"/>
        <v/>
      </c>
      <c r="K254" s="349"/>
      <c r="L254" s="78" t="str">
        <f t="shared" si="276"/>
        <v/>
      </c>
      <c r="M254" s="349"/>
      <c r="N254" s="78" t="str">
        <f t="shared" si="293"/>
        <v/>
      </c>
      <c r="O254" s="349"/>
      <c r="P254" s="78" t="str">
        <f t="shared" si="277"/>
        <v/>
      </c>
      <c r="Q254" s="349"/>
      <c r="R254" s="78" t="str">
        <f t="shared" si="278"/>
        <v/>
      </c>
      <c r="S254" s="349"/>
      <c r="T254" s="78" t="str">
        <f t="shared" si="279"/>
        <v/>
      </c>
      <c r="U254" s="349"/>
      <c r="V254" s="78" t="str">
        <f t="shared" si="280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0</v>
      </c>
      <c r="BU254" s="215" t="str">
        <f t="shared" si="300"/>
        <v>Bowlinghaus Bamberg 1</v>
      </c>
      <c r="BV254" s="214">
        <f t="shared" si="301"/>
        <v>2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8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0"/>
      <c r="F255" s="69" t="str">
        <f t="shared" si="273"/>
        <v/>
      </c>
      <c r="G255" s="350"/>
      <c r="H255" s="69" t="str">
        <f t="shared" si="274"/>
        <v/>
      </c>
      <c r="I255" s="350"/>
      <c r="J255" s="69" t="str">
        <f t="shared" si="275"/>
        <v/>
      </c>
      <c r="K255" s="350"/>
      <c r="L255" s="69" t="str">
        <f t="shared" si="276"/>
        <v/>
      </c>
      <c r="M255" s="350"/>
      <c r="N255" s="69" t="str">
        <f t="shared" si="293"/>
        <v/>
      </c>
      <c r="O255" s="350"/>
      <c r="P255" s="69" t="str">
        <f t="shared" si="277"/>
        <v/>
      </c>
      <c r="Q255" s="350"/>
      <c r="R255" s="69" t="str">
        <f t="shared" si="278"/>
        <v/>
      </c>
      <c r="S255" s="350"/>
      <c r="T255" s="69" t="str">
        <f t="shared" si="279"/>
        <v/>
      </c>
      <c r="U255" s="350"/>
      <c r="V255" s="69" t="str">
        <f t="shared" si="280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Bowlinghaus Bamberg 1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76" t="s">
        <v>11</v>
      </c>
      <c r="B256" s="73" t="str">
        <f>IF(AA256=0,"",AA256)</f>
        <v>Renner, Alexander</v>
      </c>
      <c r="C256" s="74">
        <f t="shared" si="292"/>
        <v>16251</v>
      </c>
      <c r="D256" s="75">
        <f t="shared" si="292"/>
        <v>136</v>
      </c>
      <c r="E256" s="348">
        <f>IF(AD256="","",AD256)</f>
        <v>0</v>
      </c>
      <c r="F256" s="75">
        <f t="shared" si="273"/>
        <v>258</v>
      </c>
      <c r="G256" s="348">
        <f>IF(AF256="","",AF256)</f>
        <v>1</v>
      </c>
      <c r="H256" s="75">
        <f t="shared" si="274"/>
        <v>200</v>
      </c>
      <c r="I256" s="348">
        <f>IF(AH256="","",AH256)</f>
        <v>1</v>
      </c>
      <c r="J256" s="75">
        <f t="shared" si="275"/>
        <v>162</v>
      </c>
      <c r="K256" s="348">
        <f>IF(AJ256="","",AJ256)</f>
        <v>0</v>
      </c>
      <c r="L256" s="75">
        <f t="shared" si="276"/>
        <v>182</v>
      </c>
      <c r="M256" s="348">
        <f>IF(AL256="","",AL256)</f>
        <v>1</v>
      </c>
      <c r="N256" s="75">
        <f t="shared" si="293"/>
        <v>170</v>
      </c>
      <c r="O256" s="348">
        <f>IF(AN256="","",AN256)</f>
        <v>0</v>
      </c>
      <c r="P256" s="75">
        <f t="shared" si="277"/>
        <v>173</v>
      </c>
      <c r="Q256" s="348">
        <f>IF(AP256="","",AP256)</f>
        <v>0</v>
      </c>
      <c r="R256" s="75">
        <f t="shared" si="278"/>
        <v>201</v>
      </c>
      <c r="S256" s="348">
        <f>IF(AR256="","",AR256)</f>
        <v>0</v>
      </c>
      <c r="T256" s="75">
        <f t="shared" si="279"/>
        <v>202</v>
      </c>
      <c r="U256" s="348">
        <f>IF(AT256="","",AT256)</f>
        <v>1</v>
      </c>
      <c r="V256" s="75">
        <f t="shared" si="280"/>
        <v>1684</v>
      </c>
      <c r="W256" s="348">
        <f>IF(AV256="","",AV256)</f>
        <v>4</v>
      </c>
      <c r="Z256" s="351" t="s">
        <v>11</v>
      </c>
      <c r="AA256" s="108" t="str">
        <f>IF(AB256=0,"",VLOOKUP(AB256,Starter!$A$1:$D$199,2,FALSE))</f>
        <v>Renner, Alexander</v>
      </c>
      <c r="AB256" s="99">
        <v>16251</v>
      </c>
      <c r="AC256" s="188">
        <v>136</v>
      </c>
      <c r="AD256" s="109">
        <f>IF(SUM(AC256:AC258)+AC268=0,0,IF(SUM(AC256:AC258)=AC268,0.5,IF(SUM(AC256:AC258)&gt;AC268,1,0)))</f>
        <v>0</v>
      </c>
      <c r="AE256" s="188">
        <v>258</v>
      </c>
      <c r="AF256" s="109">
        <f>IF(SUM(AE256:AE258)+AE268=0,0,IF(SUM(AE256:AE258)=AE268,0.5,IF(SUM(AE256:AE258)&gt;AE268,1,0)))</f>
        <v>1</v>
      </c>
      <c r="AG256" s="188">
        <v>200</v>
      </c>
      <c r="AH256" s="109">
        <f>IF(SUM(AG256:AG258)+AG268=0,0,IF(SUM(AG256:AG258)=AG268,0.5,IF(SUM(AG256:AG258)&gt;AG268,1,0)))</f>
        <v>1</v>
      </c>
      <c r="AI256" s="188">
        <v>162</v>
      </c>
      <c r="AJ256" s="109">
        <f>IF(SUM(AI256:AI258)+AI268=0,0,IF(SUM(AI256:AI258)=AI268,0.5,IF(SUM(AI256:AI258)&gt;AI268,1,0)))</f>
        <v>0</v>
      </c>
      <c r="AK256" s="188">
        <v>182</v>
      </c>
      <c r="AL256" s="109">
        <f>IF(SUM(AK256:AK258)+AK268=0,0,IF(SUM(AK256:AK258)=AK268,0.5,IF(SUM(AK256:AK258)&gt;AK268,1,0)))</f>
        <v>1</v>
      </c>
      <c r="AM256" s="188">
        <v>170</v>
      </c>
      <c r="AN256" s="109">
        <f>IF(SUM(AM256:AM258)+AM268=0,0,IF(SUM(AM256:AM258)=AM268,0.5,IF(SUM(AM256:AM258)&gt;AM268,1,0)))</f>
        <v>0</v>
      </c>
      <c r="AO256" s="188">
        <v>173</v>
      </c>
      <c r="AP256" s="109">
        <f>IF(SUM(AO256:AO258)+AO268=0,0,IF(SUM(AO256:AO258)=AO268,0.5,IF(SUM(AO256:AO258)&gt;AO268,1,0)))</f>
        <v>0</v>
      </c>
      <c r="AQ256" s="188">
        <v>201</v>
      </c>
      <c r="AR256" s="109">
        <f>IF(SUM(AQ256:AQ258)+AQ268=0,0,IF(SUM(AQ256:AQ258)=AQ268,0.5,IF(SUM(AQ256:AQ258)&gt;AQ268,1,0)))</f>
        <v>0</v>
      </c>
      <c r="AS256" s="188">
        <v>202</v>
      </c>
      <c r="AT256" s="109">
        <f>IF(SUM(AS256:AS258)+AS268=0,0,IF(SUM(AS256:AS258)=AS268,0.5,IF(SUM(AS256:AS258)&gt;AS268,1,0)))</f>
        <v>1</v>
      </c>
      <c r="AU256" s="110">
        <f t="shared" si="281"/>
        <v>1684</v>
      </c>
      <c r="AV256" s="111">
        <f>SUM(AD256+AF256+AH256+AJ256+AL256+AN256+AP256+AR256+AT256)</f>
        <v>4</v>
      </c>
      <c r="AW256" s="101"/>
      <c r="AX256" s="102"/>
      <c r="AZ256" s="63"/>
      <c r="BA256" s="212"/>
      <c r="BB256" s="213"/>
      <c r="BC256" s="214"/>
      <c r="BD256" s="217">
        <f t="shared" si="294"/>
        <v>16251</v>
      </c>
      <c r="BE256" s="213">
        <f t="shared" si="295"/>
        <v>1684</v>
      </c>
      <c r="BF256" s="215">
        <f t="shared" si="296"/>
        <v>9</v>
      </c>
      <c r="BG256" s="215">
        <f t="shared" si="297"/>
        <v>9</v>
      </c>
      <c r="BH256" s="215">
        <f t="shared" si="282"/>
        <v>136</v>
      </c>
      <c r="BI256" s="215">
        <f t="shared" si="283"/>
        <v>258</v>
      </c>
      <c r="BJ256" s="215">
        <f t="shared" si="284"/>
        <v>200</v>
      </c>
      <c r="BK256" s="215">
        <f t="shared" si="285"/>
        <v>162</v>
      </c>
      <c r="BL256" s="215">
        <f t="shared" si="286"/>
        <v>182</v>
      </c>
      <c r="BM256" s="215">
        <f t="shared" si="287"/>
        <v>170</v>
      </c>
      <c r="BN256" s="215">
        <f t="shared" si="288"/>
        <v>173</v>
      </c>
      <c r="BO256" s="215">
        <f t="shared" si="289"/>
        <v>201</v>
      </c>
      <c r="BP256" s="215">
        <f t="shared" si="290"/>
        <v>202</v>
      </c>
      <c r="BQ256" s="216"/>
      <c r="BR256" s="214"/>
      <c r="BS256" s="215">
        <f t="shared" si="298"/>
        <v>258</v>
      </c>
      <c r="BT256" s="215">
        <f t="shared" si="299"/>
        <v>0</v>
      </c>
      <c r="BU256" s="215" t="str">
        <f t="shared" si="300"/>
        <v>Bowlinghaus Bamberg 1</v>
      </c>
      <c r="BV256" s="214">
        <f t="shared" si="301"/>
        <v>2</v>
      </c>
      <c r="BW256" s="215">
        <f t="shared" si="302"/>
        <v>1684</v>
      </c>
      <c r="BX256" s="215">
        <f>IF(COUNTIF(BH256:BP256,"&gt;0")&lt;Spielorte!$A$23,0,BE256/Spielorte!$A$23)</f>
        <v>187.11111111111111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77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9"/>
      <c r="F257" s="78" t="str">
        <f t="shared" si="273"/>
        <v/>
      </c>
      <c r="G257" s="349"/>
      <c r="H257" s="78" t="str">
        <f t="shared" si="274"/>
        <v/>
      </c>
      <c r="I257" s="349"/>
      <c r="J257" s="78" t="str">
        <f t="shared" si="275"/>
        <v/>
      </c>
      <c r="K257" s="349"/>
      <c r="L257" s="78" t="str">
        <f t="shared" si="276"/>
        <v/>
      </c>
      <c r="M257" s="349"/>
      <c r="N257" s="78" t="str">
        <f t="shared" si="293"/>
        <v/>
      </c>
      <c r="O257" s="349"/>
      <c r="P257" s="78" t="str">
        <f t="shared" si="277"/>
        <v/>
      </c>
      <c r="Q257" s="349"/>
      <c r="R257" s="78" t="str">
        <f t="shared" si="278"/>
        <v/>
      </c>
      <c r="S257" s="349"/>
      <c r="T257" s="78" t="str">
        <f t="shared" si="279"/>
        <v/>
      </c>
      <c r="U257" s="349"/>
      <c r="V257" s="78" t="str">
        <f t="shared" si="280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Bowlinghaus Bamberg 1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8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0"/>
      <c r="F258" s="69" t="str">
        <f t="shared" si="273"/>
        <v/>
      </c>
      <c r="G258" s="350"/>
      <c r="H258" s="69" t="str">
        <f t="shared" si="274"/>
        <v/>
      </c>
      <c r="I258" s="350"/>
      <c r="J258" s="69" t="str">
        <f t="shared" si="275"/>
        <v/>
      </c>
      <c r="K258" s="350"/>
      <c r="L258" s="69" t="str">
        <f t="shared" si="276"/>
        <v/>
      </c>
      <c r="M258" s="350"/>
      <c r="N258" s="69" t="str">
        <f t="shared" si="293"/>
        <v/>
      </c>
      <c r="O258" s="350"/>
      <c r="P258" s="69" t="str">
        <f t="shared" si="277"/>
        <v/>
      </c>
      <c r="Q258" s="350"/>
      <c r="R258" s="69" t="str">
        <f t="shared" si="278"/>
        <v/>
      </c>
      <c r="S258" s="350"/>
      <c r="T258" s="69" t="str">
        <f t="shared" si="279"/>
        <v/>
      </c>
      <c r="U258" s="350"/>
      <c r="V258" s="69" t="str">
        <f t="shared" si="280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Bowlinghaus Bamberg 1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646</v>
      </c>
      <c r="E259" s="84">
        <f>IF(AD259="","",AD259)</f>
        <v>0</v>
      </c>
      <c r="F259" s="83">
        <f t="shared" si="273"/>
        <v>816</v>
      </c>
      <c r="G259" s="84">
        <f>IF(AF259="","",AF259)</f>
        <v>0</v>
      </c>
      <c r="H259" s="83">
        <f t="shared" si="274"/>
        <v>729</v>
      </c>
      <c r="I259" s="84">
        <f>IF(AH259="","",AH259)</f>
        <v>0</v>
      </c>
      <c r="J259" s="83">
        <f t="shared" si="275"/>
        <v>725</v>
      </c>
      <c r="K259" s="84">
        <f>IF(AJ259="","",AJ259)</f>
        <v>2</v>
      </c>
      <c r="L259" s="83">
        <f t="shared" si="276"/>
        <v>715</v>
      </c>
      <c r="M259" s="84">
        <f>IF(AL259="","",AL259)</f>
        <v>0</v>
      </c>
      <c r="N259" s="83">
        <f t="shared" si="293"/>
        <v>693</v>
      </c>
      <c r="O259" s="84">
        <f>IF(AN259="","",AN259)</f>
        <v>0</v>
      </c>
      <c r="P259" s="83">
        <f t="shared" si="277"/>
        <v>739</v>
      </c>
      <c r="Q259" s="84">
        <f>IF(AP259="","",AP259)</f>
        <v>0</v>
      </c>
      <c r="R259" s="83">
        <f t="shared" si="278"/>
        <v>733</v>
      </c>
      <c r="S259" s="84">
        <f>IF(AR259="","",AR259)</f>
        <v>2</v>
      </c>
      <c r="T259" s="83">
        <f t="shared" si="279"/>
        <v>719</v>
      </c>
      <c r="U259" s="84">
        <f>IF(AT259="","",AT259)</f>
        <v>0</v>
      </c>
      <c r="V259" s="83">
        <f t="shared" si="280"/>
        <v>6515</v>
      </c>
      <c r="W259" s="84">
        <f>IF(AV259="","",AV259)</f>
        <v>4</v>
      </c>
      <c r="AA259" s="81" t="s">
        <v>1799</v>
      </c>
      <c r="AB259" s="120"/>
      <c r="AC259" s="211">
        <f>ABS(SUM(AC247:AC249))+ABS(SUM(AC250:AC252))+ABS(SUM(AC253:AC255))+ABS(SUM(AC256:AC258))</f>
        <v>646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816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729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725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715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693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739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733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719</v>
      </c>
      <c r="AT259" s="121">
        <f>IF(AS259+AS269=0,0,IF(AS259=AS269,1,IF(AS259&gt;AS269,2,0)))</f>
        <v>0</v>
      </c>
      <c r="AU259" s="122">
        <f>SUM(AC259+AE259+AG259+AI259+AK259+AM259+AO259+AQ259+AS259)</f>
        <v>6515</v>
      </c>
      <c r="AV259" s="123">
        <f>SUM(AD259+AF259+AH259+AJ259+AL259+AN259+AP259+AR259+AT259)</f>
        <v>4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1.5</v>
      </c>
      <c r="F260" s="86" t="str">
        <f t="shared" si="273"/>
        <v/>
      </c>
      <c r="G260" s="87">
        <f>IF(AF260="","",AF260)</f>
        <v>2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4</v>
      </c>
      <c r="L260" s="86" t="str">
        <f t="shared" si="276"/>
        <v/>
      </c>
      <c r="M260" s="87">
        <f>IF(AL260="","",AL260)</f>
        <v>1</v>
      </c>
      <c r="N260" s="86" t="str">
        <f t="shared" si="293"/>
        <v/>
      </c>
      <c r="O260" s="87">
        <f>IF(AN260="","",AN260)</f>
        <v>1</v>
      </c>
      <c r="P260" s="86" t="str">
        <f t="shared" si="277"/>
        <v/>
      </c>
      <c r="Q260" s="87">
        <f>IF(AP260="","",AP260)</f>
        <v>1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3</v>
      </c>
      <c r="V260" s="86" t="str">
        <f t="shared" si="280"/>
        <v/>
      </c>
      <c r="W260" s="87">
        <f>IF(AV260="","",AV260)</f>
        <v>18.5</v>
      </c>
      <c r="AA260" s="85" t="s">
        <v>1814</v>
      </c>
      <c r="AB260" s="86"/>
      <c r="AC260" s="86"/>
      <c r="AD260" s="124">
        <f>SUM(AD247:AD259)</f>
        <v>1.5</v>
      </c>
      <c r="AE260" s="86"/>
      <c r="AF260" s="124">
        <f>SUM(AF247:AF259)</f>
        <v>2</v>
      </c>
      <c r="AG260" s="86"/>
      <c r="AH260" s="124">
        <f>SUM(AH247:AH259)</f>
        <v>1</v>
      </c>
      <c r="AI260" s="86"/>
      <c r="AJ260" s="124">
        <f>SUM(AJ247:AJ259)</f>
        <v>4</v>
      </c>
      <c r="AK260" s="86"/>
      <c r="AL260" s="124">
        <f>SUM(AL247:AL259)</f>
        <v>1</v>
      </c>
      <c r="AM260" s="86"/>
      <c r="AN260" s="124">
        <f>SUM(AN247:AN259)</f>
        <v>1</v>
      </c>
      <c r="AO260" s="86"/>
      <c r="AP260" s="124">
        <f>SUM(AP247:AP259)</f>
        <v>1</v>
      </c>
      <c r="AQ260" s="86"/>
      <c r="AR260" s="124">
        <f>SUM(AR247:AR259)</f>
        <v>4</v>
      </c>
      <c r="AS260" s="86"/>
      <c r="AT260" s="124">
        <f>SUM(AT247:AT259)</f>
        <v>3</v>
      </c>
      <c r="AU260" s="86"/>
      <c r="AV260" s="125">
        <f>SUM(AV247:AV259)</f>
        <v>18.5</v>
      </c>
      <c r="AW260" s="101"/>
      <c r="AX260" s="102"/>
      <c r="BA260" s="212">
        <f>+AV260</f>
        <v>18.5</v>
      </c>
      <c r="BB260" s="213">
        <f>+AU259</f>
        <v>6515</v>
      </c>
      <c r="BC260" s="214">
        <f>+AA242</f>
        <v>9</v>
      </c>
      <c r="BF260" s="215">
        <f>SUM(BF241:BF259)</f>
        <v>36</v>
      </c>
      <c r="BQ260" s="212">
        <f>+BB260/1000000+BA260</f>
        <v>18.506515</v>
      </c>
      <c r="BR260" s="214">
        <f>RANK(BQ260,BQ:BQ)</f>
        <v>9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6">
        <f t="shared" si="304"/>
        <v>6</v>
      </c>
      <c r="E262" s="356" t="str">
        <f t="shared" si="304"/>
        <v/>
      </c>
      <c r="F262" s="356">
        <f t="shared" si="304"/>
        <v>1</v>
      </c>
      <c r="G262" s="356" t="str">
        <f t="shared" si="304"/>
        <v/>
      </c>
      <c r="H262" s="356">
        <f t="shared" si="304"/>
        <v>2</v>
      </c>
      <c r="I262" s="356" t="str">
        <f t="shared" si="304"/>
        <v/>
      </c>
      <c r="J262" s="356">
        <f t="shared" si="304"/>
        <v>10</v>
      </c>
      <c r="K262" s="356" t="str">
        <f t="shared" si="304"/>
        <v/>
      </c>
      <c r="L262" s="356">
        <f t="shared" ref="L262:U264" si="305">IF(AK262=0,"",AK262)</f>
        <v>3</v>
      </c>
      <c r="M262" s="356" t="str">
        <f t="shared" si="305"/>
        <v/>
      </c>
      <c r="N262" s="356">
        <f t="shared" si="305"/>
        <v>5</v>
      </c>
      <c r="O262" s="356" t="str">
        <f t="shared" si="305"/>
        <v/>
      </c>
      <c r="P262" s="356">
        <f t="shared" si="305"/>
        <v>4</v>
      </c>
      <c r="Q262" s="356" t="str">
        <f t="shared" si="305"/>
        <v/>
      </c>
      <c r="R262" s="356">
        <f t="shared" si="305"/>
        <v>8</v>
      </c>
      <c r="S262" s="356" t="str">
        <f t="shared" si="305"/>
        <v/>
      </c>
      <c r="T262" s="356">
        <f t="shared" si="305"/>
        <v>7</v>
      </c>
      <c r="U262" s="356" t="str">
        <f t="shared" si="305"/>
        <v/>
      </c>
      <c r="V262" s="357"/>
      <c r="W262" s="357"/>
      <c r="AA262" s="88" t="s">
        <v>1797</v>
      </c>
      <c r="AB262" s="89" t="s">
        <v>1798</v>
      </c>
      <c r="AC262" s="370">
        <f>VLOOKUP($AA242,Schlüssel!$A$5:$DG$14,63)</f>
        <v>6</v>
      </c>
      <c r="AD262" s="371"/>
      <c r="AE262" s="370">
        <f>VLOOKUP($AA242,Schlüssel!$A$5:$EK$14,64)</f>
        <v>1</v>
      </c>
      <c r="AF262" s="371"/>
      <c r="AG262" s="370">
        <f>VLOOKUP($AA242,Schlüssel!$A$5:$EK$14,65)</f>
        <v>2</v>
      </c>
      <c r="AH262" s="371"/>
      <c r="AI262" s="370">
        <f>VLOOKUP($AA242,Schlüssel!$A$5:$EK$14,66)</f>
        <v>10</v>
      </c>
      <c r="AJ262" s="371"/>
      <c r="AK262" s="370">
        <f>VLOOKUP($AA242,Schlüssel!$A$5:$EK$14,67)</f>
        <v>3</v>
      </c>
      <c r="AL262" s="371"/>
      <c r="AM262" s="370">
        <f>VLOOKUP($AA242,Schlüssel!$A$5:$EK$14,68)</f>
        <v>5</v>
      </c>
      <c r="AN262" s="371"/>
      <c r="AO262" s="370">
        <f>VLOOKUP($AA242,Schlüssel!$A$5:$EK$14,69)</f>
        <v>4</v>
      </c>
      <c r="AP262" s="371"/>
      <c r="AQ262" s="370">
        <f>VLOOKUP($AA242,Schlüssel!$A$5:$EK$14,70)</f>
        <v>8</v>
      </c>
      <c r="AR262" s="371"/>
      <c r="AS262" s="370">
        <f>VLOOKUP($AA242,Schlüssel!$A$5:$EK$14,71)</f>
        <v>7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58" t="str">
        <f t="shared" si="304"/>
        <v>SG Rottendorf 1</v>
      </c>
      <c r="E263" s="359" t="str">
        <f t="shared" si="304"/>
        <v/>
      </c>
      <c r="F263" s="358" t="str">
        <f t="shared" si="304"/>
        <v>BC Comet Nürnberg</v>
      </c>
      <c r="G263" s="359" t="str">
        <f t="shared" si="304"/>
        <v/>
      </c>
      <c r="H263" s="358" t="str">
        <f t="shared" si="304"/>
        <v>Bajuwaren München 1</v>
      </c>
      <c r="I263" s="359" t="str">
        <f t="shared" si="304"/>
        <v/>
      </c>
      <c r="J263" s="358" t="str">
        <f t="shared" si="304"/>
        <v>High Roller Rosenheim 1</v>
      </c>
      <c r="K263" s="359" t="str">
        <f t="shared" si="304"/>
        <v/>
      </c>
      <c r="L263" s="358" t="str">
        <f t="shared" si="305"/>
        <v>BK München 3</v>
      </c>
      <c r="M263" s="359" t="str">
        <f t="shared" si="305"/>
        <v/>
      </c>
      <c r="N263" s="358" t="str">
        <f t="shared" si="305"/>
        <v>RW Lichtenhof Stein 1</v>
      </c>
      <c r="O263" s="359" t="str">
        <f t="shared" si="305"/>
        <v/>
      </c>
      <c r="P263" s="358" t="str">
        <f t="shared" si="305"/>
        <v>SG DJK Rimpar</v>
      </c>
      <c r="Q263" s="359" t="str">
        <f t="shared" si="305"/>
        <v/>
      </c>
      <c r="R263" s="358" t="str">
        <f t="shared" si="305"/>
        <v>BC EMAX Unterföhring 2</v>
      </c>
      <c r="S263" s="359" t="str">
        <f t="shared" si="305"/>
        <v/>
      </c>
      <c r="T263" s="358" t="str">
        <f t="shared" si="305"/>
        <v>Schanzer Ingolstadt 1</v>
      </c>
      <c r="U263" s="359" t="str">
        <f t="shared" si="305"/>
        <v/>
      </c>
      <c r="V263" s="363"/>
      <c r="W263" s="363"/>
      <c r="AA263" s="90"/>
      <c r="AB263" s="86"/>
      <c r="AC263" s="358" t="str">
        <f>VLOOKUP(AC262,Schlüssel!$A$5:$K$14,2)</f>
        <v>SG Rottendorf 1</v>
      </c>
      <c r="AD263" s="359"/>
      <c r="AE263" s="358" t="str">
        <f>VLOOKUP(AE262,Schlüssel!$A$5:$K$14,2)</f>
        <v>BC Comet Nürnberg</v>
      </c>
      <c r="AF263" s="359"/>
      <c r="AG263" s="358" t="str">
        <f>VLOOKUP(AG262,Schlüssel!$A$5:$K$14,2)</f>
        <v>Bajuwaren München 1</v>
      </c>
      <c r="AH263" s="359"/>
      <c r="AI263" s="358" t="str">
        <f>VLOOKUP(AI262,Schlüssel!$A$5:$K$14,2)</f>
        <v>High Roller Rosenheim 1</v>
      </c>
      <c r="AJ263" s="359"/>
      <c r="AK263" s="358" t="str">
        <f>VLOOKUP(AK262,Schlüssel!$A$5:$K$14,2)</f>
        <v>BK München 3</v>
      </c>
      <c r="AL263" s="359"/>
      <c r="AM263" s="358" t="str">
        <f>VLOOKUP(AM262,Schlüssel!$A$5:$K$14,2)</f>
        <v>RW Lichtenhof Stein 1</v>
      </c>
      <c r="AN263" s="359"/>
      <c r="AO263" s="358" t="str">
        <f>VLOOKUP(AO262,Schlüssel!$A$5:$K$14,2)</f>
        <v>SG DJK Rimpar</v>
      </c>
      <c r="AP263" s="359"/>
      <c r="AQ263" s="358" t="str">
        <f>VLOOKUP(AQ262,Schlüssel!$A$5:$K$14,2)</f>
        <v>BC EMAX Unterföhring 2</v>
      </c>
      <c r="AR263" s="359"/>
      <c r="AS263" s="358" t="str">
        <f>VLOOKUP(AS262,Schlüssel!$A$5:$K$14,2)</f>
        <v>Schanzer Ingolstadt 1</v>
      </c>
      <c r="AT263" s="359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60" t="str">
        <f t="shared" si="304"/>
        <v/>
      </c>
      <c r="E264" s="360" t="str">
        <f t="shared" si="304"/>
        <v/>
      </c>
      <c r="F264" s="360" t="str">
        <f t="shared" si="304"/>
        <v/>
      </c>
      <c r="G264" s="360" t="str">
        <f t="shared" si="304"/>
        <v/>
      </c>
      <c r="H264" s="360" t="str">
        <f t="shared" si="304"/>
        <v/>
      </c>
      <c r="I264" s="360" t="str">
        <f t="shared" si="304"/>
        <v/>
      </c>
      <c r="J264" s="360" t="str">
        <f t="shared" si="304"/>
        <v/>
      </c>
      <c r="K264" s="360" t="str">
        <f t="shared" si="304"/>
        <v/>
      </c>
      <c r="L264" s="360" t="str">
        <f t="shared" si="305"/>
        <v/>
      </c>
      <c r="M264" s="360" t="str">
        <f t="shared" si="305"/>
        <v/>
      </c>
      <c r="N264" s="360" t="str">
        <f t="shared" si="305"/>
        <v/>
      </c>
      <c r="O264" s="360" t="str">
        <f t="shared" si="305"/>
        <v/>
      </c>
      <c r="P264" s="360" t="str">
        <f t="shared" si="305"/>
        <v/>
      </c>
      <c r="Q264" s="360" t="str">
        <f t="shared" si="305"/>
        <v/>
      </c>
      <c r="R264" s="360" t="str">
        <f t="shared" si="305"/>
        <v/>
      </c>
      <c r="S264" s="360" t="str">
        <f t="shared" si="305"/>
        <v/>
      </c>
      <c r="T264" s="360" t="str">
        <f t="shared" si="305"/>
        <v/>
      </c>
      <c r="U264" s="361" t="str">
        <f t="shared" si="305"/>
        <v/>
      </c>
      <c r="V264" s="298"/>
      <c r="W264" s="298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4" t="str">
        <f t="shared" ref="B265:C269" si="306">IF(AA265=0,"",AA265)</f>
        <v>Spieler 1</v>
      </c>
      <c r="C265" s="375" t="str">
        <f t="shared" si="306"/>
        <v/>
      </c>
      <c r="D265" s="362">
        <f>IF(AC265=301,"",AC265)</f>
        <v>149</v>
      </c>
      <c r="E265" s="362" t="str">
        <f>IF(AD265=0,"",AD265)</f>
        <v/>
      </c>
      <c r="F265" s="362">
        <f>IF(AE265=301,"",AE265)</f>
        <v>231</v>
      </c>
      <c r="G265" s="362" t="str">
        <f>IF(AF265=0,"",AF265)</f>
        <v/>
      </c>
      <c r="H265" s="362">
        <f>IF(AG265=301,"",AG265)</f>
        <v>199</v>
      </c>
      <c r="I265" s="362" t="str">
        <f>IF(AH265=0,"",AH265)</f>
        <v/>
      </c>
      <c r="J265" s="362">
        <f>IF(AI265=301,"",AI265)</f>
        <v>197</v>
      </c>
      <c r="K265" s="362" t="str">
        <f>IF(AJ265=0,"",AJ265)</f>
        <v/>
      </c>
      <c r="L265" s="362">
        <f>IF(AK265=301,"",AK265)</f>
        <v>206</v>
      </c>
      <c r="M265" s="362" t="str">
        <f>IF(AL265=0,"",AL265)</f>
        <v/>
      </c>
      <c r="N265" s="362">
        <f>IF(AM265=301,"",AM265)</f>
        <v>182</v>
      </c>
      <c r="O265" s="362" t="str">
        <f>IF(AN265=0,"",AN265)</f>
        <v/>
      </c>
      <c r="P265" s="362">
        <f>IF(AO265=301,"",AO265)</f>
        <v>221</v>
      </c>
      <c r="Q265" s="362" t="str">
        <f>IF(AP265=0,"",AP265)</f>
        <v/>
      </c>
      <c r="R265" s="362">
        <f>IF(AQ265=301,"",AQ265)</f>
        <v>0</v>
      </c>
      <c r="S265" s="362" t="str">
        <f>IF(AR265=0,"",AR265)</f>
        <v/>
      </c>
      <c r="T265" s="362">
        <f>IF(AS265=301,"",AS265)</f>
        <v>159</v>
      </c>
      <c r="U265" s="362" t="str">
        <f>IF(AT265=0,"",AT265)</f>
        <v/>
      </c>
      <c r="V265" s="364"/>
      <c r="W265" s="364"/>
      <c r="AA265" s="91" t="s">
        <v>0</v>
      </c>
      <c r="AB265" s="92"/>
      <c r="AC265" s="368">
        <f>ABS(INDEX(AC:AC,MATCH(AC262,$AA:$AA,0)+5)+INDEX(AC:AC,MATCH(AC262,$AA:$AA,0)+6)+INDEX(AC:AC,MATCH(AC262,$AA:$AA,0)+7))</f>
        <v>149</v>
      </c>
      <c r="AD265" s="369"/>
      <c r="AE265" s="368">
        <f>ABS(INDEX(AE:AE,MATCH(AE262,$AA:$AA,0)+5)+INDEX(AE:AE,MATCH(AE262,$AA:$AA,0)+6)+INDEX(AE:AE,MATCH(AE262,$AA:$AA,0)+7))</f>
        <v>231</v>
      </c>
      <c r="AF265" s="369"/>
      <c r="AG265" s="368">
        <f>ABS(INDEX(AG:AG,MATCH(AG262,$AA:$AA,0)+5)+INDEX(AG:AG,MATCH(AG262,$AA:$AA,0)+6)+INDEX(AG:AG,MATCH(AG262,$AA:$AA,0)+7))</f>
        <v>199</v>
      </c>
      <c r="AH265" s="369"/>
      <c r="AI265" s="368">
        <f>ABS(INDEX(AI:AI,MATCH(AI262,$AA:$AA,0)+5)+INDEX(AI:AI,MATCH(AI262,$AA:$AA,0)+6)+INDEX(AI:AI,MATCH(AI262,$AA:$AA,0)+7))</f>
        <v>197</v>
      </c>
      <c r="AJ265" s="369"/>
      <c r="AK265" s="368">
        <f>ABS(INDEX(AK:AK,MATCH(AK262,$AA:$AA,0)+5)+INDEX(AK:AK,MATCH(AK262,$AA:$AA,0)+6)+INDEX(AK:AK,MATCH(AK262,$AA:$AA,0)+7))</f>
        <v>206</v>
      </c>
      <c r="AL265" s="369"/>
      <c r="AM265" s="368">
        <f>ABS(INDEX(AM:AM,MATCH(AM262,$AA:$AA,0)+5)+INDEX(AM:AM,MATCH(AM262,$AA:$AA,0)+6)+INDEX(AM:AM,MATCH(AM262,$AA:$AA,0)+7))</f>
        <v>182</v>
      </c>
      <c r="AN265" s="369"/>
      <c r="AO265" s="368">
        <f>ABS(INDEX(AO:AO,MATCH(AO262,$AA:$AA,0)+5)+INDEX(AO:AO,MATCH(AO262,$AA:$AA,0)+6)+INDEX(AO:AO,MATCH(AO262,$AA:$AA,0)+7))</f>
        <v>221</v>
      </c>
      <c r="AP265" s="369"/>
      <c r="AQ265" s="368">
        <f>ABS(INDEX(AQ:AQ,MATCH(AQ262,$AA:$AA,0)+5)+INDEX(AQ:AQ,MATCH(AQ262,$AA:$AA,0)+6)+INDEX(AQ:AQ,MATCH(AQ262,$AA:$AA,0)+7))</f>
        <v>0</v>
      </c>
      <c r="AR265" s="369"/>
      <c r="AS265" s="368">
        <f>ABS(INDEX(AS:AS,MATCH(AS262,$AA:$AA,0)+5)+INDEX(AS:AS,MATCH(AS262,$AA:$AA,0)+6)+INDEX(AS:AS,MATCH(AS262,$AA:$AA,0)+7))</f>
        <v>159</v>
      </c>
      <c r="AT265" s="369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4" t="str">
        <f t="shared" si="306"/>
        <v>Spieler 2</v>
      </c>
      <c r="C266" s="375" t="str">
        <f t="shared" si="306"/>
        <v/>
      </c>
      <c r="D266" s="362">
        <f>IF(AC266=301,"",AC266)</f>
        <v>177</v>
      </c>
      <c r="E266" s="362" t="str">
        <f>IF(AD266=0,"",AD266)</f>
        <v/>
      </c>
      <c r="F266" s="362">
        <f>IF(AE266=301,"",AE266)</f>
        <v>198</v>
      </c>
      <c r="G266" s="362" t="str">
        <f>IF(AF266=0,"",AF266)</f>
        <v/>
      </c>
      <c r="H266" s="362">
        <f>IF(AG266=301,"",AG266)</f>
        <v>242</v>
      </c>
      <c r="I266" s="362" t="str">
        <f>IF(AH266=0,"",AH266)</f>
        <v/>
      </c>
      <c r="J266" s="362">
        <f>IF(AI266=301,"",AI266)</f>
        <v>163</v>
      </c>
      <c r="K266" s="362" t="str">
        <f>IF(AJ266=0,"",AJ266)</f>
        <v/>
      </c>
      <c r="L266" s="362">
        <f>IF(AK266=301,"",AK266)</f>
        <v>217</v>
      </c>
      <c r="M266" s="362" t="str">
        <f>IF(AL266=0,"",AL266)</f>
        <v/>
      </c>
      <c r="N266" s="362">
        <f>IF(AM266=301,"",AM266)</f>
        <v>136</v>
      </c>
      <c r="O266" s="362" t="str">
        <f>IF(AN266=0,"",AN266)</f>
        <v/>
      </c>
      <c r="P266" s="362">
        <f>IF(AO266=301,"",AO266)</f>
        <v>153</v>
      </c>
      <c r="Q266" s="362" t="str">
        <f>IF(AP266=0,"",AP266)</f>
        <v/>
      </c>
      <c r="R266" s="362">
        <f>IF(AQ266=301,"",AQ266)</f>
        <v>175</v>
      </c>
      <c r="S266" s="362" t="str">
        <f>IF(AR266=0,"",AR266)</f>
        <v/>
      </c>
      <c r="T266" s="362">
        <f>IF(AS266=301,"",AS266)</f>
        <v>124</v>
      </c>
      <c r="U266" s="362" t="str">
        <f>IF(AT266=0,"",AT266)</f>
        <v/>
      </c>
      <c r="V266" s="364"/>
      <c r="W266" s="364"/>
      <c r="AA266" s="91" t="s">
        <v>2</v>
      </c>
      <c r="AB266" s="92"/>
      <c r="AC266" s="366">
        <f>ABS(INDEX(AC:AC,MATCH(AC262,$AA:$AA,0)+8)+INDEX(AC:AC,MATCH(AC262,$AA:$AA,0)+9)+INDEX(AC:AC,MATCH(AC262,$AA:$AA,0)+10))</f>
        <v>177</v>
      </c>
      <c r="AD266" s="367"/>
      <c r="AE266" s="366">
        <f>ABS(INDEX(AE:AE,MATCH(AE262,$AA:$AA,0)+8)+INDEX(AE:AE,MATCH(AE262,$AA:$AA,0)+9)+INDEX(AE:AE,MATCH(AE262,$AA:$AA,0)+10))</f>
        <v>198</v>
      </c>
      <c r="AF266" s="367"/>
      <c r="AG266" s="366">
        <f>ABS(INDEX(AG:AG,MATCH(AG262,$AA:$AA,0)+8)+INDEX(AG:AG,MATCH(AG262,$AA:$AA,0)+9)+INDEX(AG:AG,MATCH(AG262,$AA:$AA,0)+10))</f>
        <v>242</v>
      </c>
      <c r="AH266" s="367"/>
      <c r="AI266" s="366">
        <f>ABS(INDEX(AI:AI,MATCH(AI262,$AA:$AA,0)+8)+INDEX(AI:AI,MATCH(AI262,$AA:$AA,0)+9)+INDEX(AI:AI,MATCH(AI262,$AA:$AA,0)+10))</f>
        <v>163</v>
      </c>
      <c r="AJ266" s="367"/>
      <c r="AK266" s="366">
        <f>ABS(INDEX(AK:AK,MATCH(AK262,$AA:$AA,0)+8)+INDEX(AK:AK,MATCH(AK262,$AA:$AA,0)+9)+INDEX(AK:AK,MATCH(AK262,$AA:$AA,0)+10))</f>
        <v>217</v>
      </c>
      <c r="AL266" s="367"/>
      <c r="AM266" s="366">
        <f>ABS(INDEX(AM:AM,MATCH(AM262,$AA:$AA,0)+8)+INDEX(AM:AM,MATCH(AM262,$AA:$AA,0)+9)+INDEX(AM:AM,MATCH(AM262,$AA:$AA,0)+10))</f>
        <v>136</v>
      </c>
      <c r="AN266" s="367"/>
      <c r="AO266" s="366">
        <f>ABS(INDEX(AO:AO,MATCH(AO262,$AA:$AA,0)+8)+INDEX(AO:AO,MATCH(AO262,$AA:$AA,0)+9)+INDEX(AO:AO,MATCH(AO262,$AA:$AA,0)+10))</f>
        <v>153</v>
      </c>
      <c r="AP266" s="367"/>
      <c r="AQ266" s="366">
        <f>ABS(INDEX(AQ:AQ,MATCH(AQ262,$AA:$AA,0)+8)+INDEX(AQ:AQ,MATCH(AQ262,$AA:$AA,0)+9)+INDEX(AQ:AQ,MATCH(AQ262,$AA:$AA,0)+10))</f>
        <v>175</v>
      </c>
      <c r="AR266" s="367"/>
      <c r="AS266" s="366">
        <f>ABS(INDEX(AS:AS,MATCH(AS262,$AA:$AA,0)+8)+INDEX(AS:AS,MATCH(AS262,$AA:$AA,0)+9)+INDEX(AS:AS,MATCH(AS262,$AA:$AA,0)+10))</f>
        <v>124</v>
      </c>
      <c r="AT266" s="367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4" t="str">
        <f t="shared" si="306"/>
        <v>Spieler 3</v>
      </c>
      <c r="C267" s="375" t="str">
        <f t="shared" si="306"/>
        <v/>
      </c>
      <c r="D267" s="362">
        <f>IF(AC267=301,"",AC267)</f>
        <v>205</v>
      </c>
      <c r="E267" s="362" t="str">
        <f>IF(AD267=0,"",AD267)</f>
        <v/>
      </c>
      <c r="F267" s="362">
        <f>IF(AE267=301,"",AE267)</f>
        <v>193</v>
      </c>
      <c r="G267" s="362" t="str">
        <f>IF(AF267=0,"",AF267)</f>
        <v/>
      </c>
      <c r="H267" s="362">
        <f>IF(AG267=301,"",AG267)</f>
        <v>213</v>
      </c>
      <c r="I267" s="362" t="str">
        <f>IF(AH267=0,"",AH267)</f>
        <v/>
      </c>
      <c r="J267" s="362">
        <f>IF(AI267=301,"",AI267)</f>
        <v>174</v>
      </c>
      <c r="K267" s="362" t="str">
        <f>IF(AJ267=0,"",AJ267)</f>
        <v/>
      </c>
      <c r="L267" s="362">
        <f>IF(AK267=301,"",AK267)</f>
        <v>198</v>
      </c>
      <c r="M267" s="362" t="str">
        <f>IF(AL267=0,"",AL267)</f>
        <v/>
      </c>
      <c r="N267" s="362">
        <f>IF(AM267=301,"",AM267)</f>
        <v>204</v>
      </c>
      <c r="O267" s="362" t="str">
        <f>IF(AN267=0,"",AN267)</f>
        <v/>
      </c>
      <c r="P267" s="362">
        <f>IF(AO267=301,"",AO267)</f>
        <v>237</v>
      </c>
      <c r="Q267" s="362" t="str">
        <f>IF(AP267=0,"",AP267)</f>
        <v/>
      </c>
      <c r="R267" s="362">
        <f>IF(AQ267=301,"",AQ267)</f>
        <v>254</v>
      </c>
      <c r="S267" s="362" t="str">
        <f>IF(AR267=0,"",AR267)</f>
        <v/>
      </c>
      <c r="T267" s="362">
        <f>IF(AS267=301,"",AS267)</f>
        <v>268</v>
      </c>
      <c r="U267" s="362" t="str">
        <f>IF(AT267=0,"",AT267)</f>
        <v/>
      </c>
      <c r="V267" s="364"/>
      <c r="W267" s="364"/>
      <c r="AA267" s="91" t="s">
        <v>3</v>
      </c>
      <c r="AB267" s="92"/>
      <c r="AC267" s="366">
        <f>ABS(INDEX(AC:AC,MATCH(AC262,$AA:$AA,0)+11)+INDEX(AC:AC,MATCH(AC262,$AA:$AA,0)+12)+INDEX(AC:AC,MATCH(AC262,$AA:$AA,0)+13))</f>
        <v>205</v>
      </c>
      <c r="AD267" s="367"/>
      <c r="AE267" s="366">
        <f>ABS(INDEX(AE:AE,MATCH(AE262,$AA:$AA,0)+11)+INDEX(AE:AE,MATCH(AE262,$AA:$AA,0)+12)+INDEX(AE:AE,MATCH(AE262,$AA:$AA,0)+13))</f>
        <v>193</v>
      </c>
      <c r="AF267" s="367"/>
      <c r="AG267" s="366">
        <f>ABS(INDEX(AG:AG,MATCH(AG262,$AA:$AA,0)+11)+INDEX(AG:AG,MATCH(AG262,$AA:$AA,0)+12)+INDEX(AG:AG,MATCH(AG262,$AA:$AA,0)+13))</f>
        <v>213</v>
      </c>
      <c r="AH267" s="367"/>
      <c r="AI267" s="366">
        <f>ABS(INDEX(AI:AI,MATCH(AI262,$AA:$AA,0)+11)+INDEX(AI:AI,MATCH(AI262,$AA:$AA,0)+12)+INDEX(AI:AI,MATCH(AI262,$AA:$AA,0)+13))</f>
        <v>174</v>
      </c>
      <c r="AJ267" s="367"/>
      <c r="AK267" s="366">
        <f>ABS(INDEX(AK:AK,MATCH(AK262,$AA:$AA,0)+11)+INDEX(AK:AK,MATCH(AK262,$AA:$AA,0)+12)+INDEX(AK:AK,MATCH(AK262,$AA:$AA,0)+13))</f>
        <v>198</v>
      </c>
      <c r="AL267" s="367"/>
      <c r="AM267" s="366">
        <f>ABS(INDEX(AM:AM,MATCH(AM262,$AA:$AA,0)+11)+INDEX(AM:AM,MATCH(AM262,$AA:$AA,0)+12)+INDEX(AM:AM,MATCH(AM262,$AA:$AA,0)+13))</f>
        <v>204</v>
      </c>
      <c r="AN267" s="367"/>
      <c r="AO267" s="366">
        <f>ABS(INDEX(AO:AO,MATCH(AO262,$AA:$AA,0)+11)+INDEX(AO:AO,MATCH(AO262,$AA:$AA,0)+12)+INDEX(AO:AO,MATCH(AO262,$AA:$AA,0)+13))</f>
        <v>237</v>
      </c>
      <c r="AP267" s="367"/>
      <c r="AQ267" s="366">
        <f>ABS(INDEX(AQ:AQ,MATCH(AQ262,$AA:$AA,0)+11)+INDEX(AQ:AQ,MATCH(AQ262,$AA:$AA,0)+12)+INDEX(AQ:AQ,MATCH(AQ262,$AA:$AA,0)+13))</f>
        <v>254</v>
      </c>
      <c r="AR267" s="367"/>
      <c r="AS267" s="366">
        <f>ABS(INDEX(AS:AS,MATCH(AS262,$AA:$AA,0)+11)+INDEX(AS:AS,MATCH(AS262,$AA:$AA,0)+12)+INDEX(AS:AS,MATCH(AS262,$AA:$AA,0)+13))</f>
        <v>268</v>
      </c>
      <c r="AT267" s="367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4" t="str">
        <f t="shared" si="306"/>
        <v>Spieler 4</v>
      </c>
      <c r="C268" s="375" t="str">
        <f t="shared" si="306"/>
        <v/>
      </c>
      <c r="D268" s="362">
        <f>IF(AC268=301,"",AC268)</f>
        <v>152</v>
      </c>
      <c r="E268" s="362" t="str">
        <f>IF(AD268=0,"",AD268)</f>
        <v/>
      </c>
      <c r="F268" s="362">
        <f>IF(AE268=301,"",AE268)</f>
        <v>212</v>
      </c>
      <c r="G268" s="362" t="str">
        <f>IF(AF268=0,"",AF268)</f>
        <v/>
      </c>
      <c r="H268" s="362">
        <f>IF(AG268=301,"",AG268)</f>
        <v>181</v>
      </c>
      <c r="I268" s="362" t="str">
        <f>IF(AH268=0,"",AH268)</f>
        <v/>
      </c>
      <c r="J268" s="362">
        <f>IF(AI268=301,"",AI268)</f>
        <v>170</v>
      </c>
      <c r="K268" s="362" t="str">
        <f>IF(AJ268=0,"",AJ268)</f>
        <v/>
      </c>
      <c r="L268" s="362">
        <f>IF(AK268=301,"",AK268)</f>
        <v>151</v>
      </c>
      <c r="M268" s="362" t="str">
        <f>IF(AL268=0,"",AL268)</f>
        <v/>
      </c>
      <c r="N268" s="362">
        <f>IF(AM268=301,"",AM268)</f>
        <v>218</v>
      </c>
      <c r="O268" s="362" t="str">
        <f>IF(AN268=0,"",AN268)</f>
        <v/>
      </c>
      <c r="P268" s="362">
        <f>IF(AO268=301,"",AO268)</f>
        <v>234</v>
      </c>
      <c r="Q268" s="362" t="str">
        <f>IF(AP268=0,"",AP268)</f>
        <v/>
      </c>
      <c r="R268" s="362">
        <f>IF(AQ268=301,"",AQ268)</f>
        <v>266</v>
      </c>
      <c r="S268" s="362" t="str">
        <f>IF(AR268=0,"",AR268)</f>
        <v/>
      </c>
      <c r="T268" s="362">
        <f>IF(AS268=301,"",AS268)</f>
        <v>197</v>
      </c>
      <c r="U268" s="362" t="str">
        <f>IF(AT268=0,"",AT268)</f>
        <v/>
      </c>
      <c r="V268" s="364"/>
      <c r="W268" s="364"/>
      <c r="AA268" s="91" t="s">
        <v>11</v>
      </c>
      <c r="AB268" s="92"/>
      <c r="AC268" s="366">
        <f>ABS(INDEX(AC:AC,MATCH(AC262,$AA:$AA,0)+14)+INDEX(AC:AC,MATCH(AC262,$AA:$AA,0)+15)+INDEX(AC:AC,MATCH(AC262,$AA:$AA,0)+16))</f>
        <v>152</v>
      </c>
      <c r="AD268" s="367"/>
      <c r="AE268" s="366">
        <f>ABS(INDEX(AE:AE,MATCH(AE262,$AA:$AA,0)+14)+INDEX(AE:AE,MATCH(AE262,$AA:$AA,0)+15)+INDEX(AE:AE,MATCH(AE262,$AA:$AA,0)+16))</f>
        <v>212</v>
      </c>
      <c r="AF268" s="367"/>
      <c r="AG268" s="366">
        <f>ABS(INDEX(AG:AG,MATCH(AG262,$AA:$AA,0)+14)+INDEX(AG:AG,MATCH(AG262,$AA:$AA,0)+15)+INDEX(AG:AG,MATCH(AG262,$AA:$AA,0)+16))</f>
        <v>181</v>
      </c>
      <c r="AH268" s="367"/>
      <c r="AI268" s="366">
        <f>ABS(INDEX(AI:AI,MATCH(AI262,$AA:$AA,0)+14)+INDEX(AI:AI,MATCH(AI262,$AA:$AA,0)+15)+INDEX(AI:AI,MATCH(AI262,$AA:$AA,0)+16))</f>
        <v>170</v>
      </c>
      <c r="AJ268" s="367"/>
      <c r="AK268" s="366">
        <f>ABS(INDEX(AK:AK,MATCH(AK262,$AA:$AA,0)+14)+INDEX(AK:AK,MATCH(AK262,$AA:$AA,0)+15)+INDEX(AK:AK,MATCH(AK262,$AA:$AA,0)+16))</f>
        <v>151</v>
      </c>
      <c r="AL268" s="367"/>
      <c r="AM268" s="366">
        <f>ABS(INDEX(AM:AM,MATCH(AM262,$AA:$AA,0)+14)+INDEX(AM:AM,MATCH(AM262,$AA:$AA,0)+15)+INDEX(AM:AM,MATCH(AM262,$AA:$AA,0)+16))</f>
        <v>218</v>
      </c>
      <c r="AN268" s="367"/>
      <c r="AO268" s="366">
        <f>ABS(INDEX(AO:AO,MATCH(AO262,$AA:$AA,0)+14)+INDEX(AO:AO,MATCH(AO262,$AA:$AA,0)+15)+INDEX(AO:AO,MATCH(AO262,$AA:$AA,0)+16))</f>
        <v>234</v>
      </c>
      <c r="AP268" s="367"/>
      <c r="AQ268" s="366">
        <f>ABS(INDEX(AQ:AQ,MATCH(AQ262,$AA:$AA,0)+14)+INDEX(AQ:AQ,MATCH(AQ262,$AA:$AA,0)+15)+INDEX(AQ:AQ,MATCH(AQ262,$AA:$AA,0)+16))</f>
        <v>266</v>
      </c>
      <c r="AR268" s="367"/>
      <c r="AS268" s="366">
        <f>ABS(INDEX(AS:AS,MATCH(AS262,$AA:$AA,0)+14)+INDEX(AS:AS,MATCH(AS262,$AA:$AA,0)+15)+INDEX(AS:AS,MATCH(AS262,$AA:$AA,0)+16))</f>
        <v>197</v>
      </c>
      <c r="AT268" s="367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6" t="str">
        <f t="shared" si="306"/>
        <v>Gesamt</v>
      </c>
      <c r="C269" s="347" t="str">
        <f t="shared" si="306"/>
        <v/>
      </c>
      <c r="D269" s="365">
        <f>IF(AC269=1505,"",AC269)</f>
        <v>683</v>
      </c>
      <c r="E269" s="365" t="str">
        <f>IF(AD269=0,"",AD269)</f>
        <v/>
      </c>
      <c r="F269" s="365">
        <f>IF(AE269=1505,"",AE269)</f>
        <v>834</v>
      </c>
      <c r="G269" s="365" t="str">
        <f>IF(AF269=0,"",AF269)</f>
        <v/>
      </c>
      <c r="H269" s="365">
        <f>IF(AG269=1505,"",AG269)</f>
        <v>835</v>
      </c>
      <c r="I269" s="365" t="str">
        <f>IF(AH269=0,"",AH269)</f>
        <v/>
      </c>
      <c r="J269" s="365">
        <f>IF(AI269=1505,"",AI269)</f>
        <v>704</v>
      </c>
      <c r="K269" s="365" t="str">
        <f>IF(AJ269=0,"",AJ269)</f>
        <v/>
      </c>
      <c r="L269" s="365">
        <f>IF(AK269=1505,"",AK269)</f>
        <v>772</v>
      </c>
      <c r="M269" s="365" t="str">
        <f>IF(AL269=0,"",AL269)</f>
        <v/>
      </c>
      <c r="N269" s="365">
        <f>IF(AM269=1505,"",AM269)</f>
        <v>740</v>
      </c>
      <c r="O269" s="365" t="str">
        <f>IF(AN269=0,"",AN269)</f>
        <v/>
      </c>
      <c r="P269" s="365">
        <f>IF(AO269=1505,"",AO269)</f>
        <v>845</v>
      </c>
      <c r="Q269" s="365" t="str">
        <f>IF(AP269=0,"",AP269)</f>
        <v/>
      </c>
      <c r="R269" s="365">
        <f>IF(AQ269=1505,"",AQ269)</f>
        <v>695</v>
      </c>
      <c r="S269" s="365" t="str">
        <f>IF(AR269=0,"",AR269)</f>
        <v/>
      </c>
      <c r="T269" s="365">
        <f>IF(AS269=1505,"",AS269)</f>
        <v>748</v>
      </c>
      <c r="U269" s="365" t="str">
        <f>IF(AT269=0,"",AT269)</f>
        <v/>
      </c>
      <c r="V269" s="301"/>
      <c r="W269" s="301"/>
      <c r="AA269" s="93" t="s">
        <v>1799</v>
      </c>
      <c r="AB269" s="94"/>
      <c r="AC269" s="346">
        <f>SUM(AC265:AC268)</f>
        <v>683</v>
      </c>
      <c r="AD269" s="347"/>
      <c r="AE269" s="346">
        <f>SUM(AE265:AE268)</f>
        <v>834</v>
      </c>
      <c r="AF269" s="347"/>
      <c r="AG269" s="346">
        <f>SUM(AG265:AG268)</f>
        <v>835</v>
      </c>
      <c r="AH269" s="347"/>
      <c r="AI269" s="346">
        <f>SUM(AI265:AI268)</f>
        <v>704</v>
      </c>
      <c r="AJ269" s="347"/>
      <c r="AK269" s="346">
        <f>SUM(AK265:AK268)</f>
        <v>772</v>
      </c>
      <c r="AL269" s="347"/>
      <c r="AM269" s="346">
        <f>SUM(AM265:AM268)</f>
        <v>740</v>
      </c>
      <c r="AN269" s="347"/>
      <c r="AO269" s="346">
        <f>SUM(AO265:AO268)</f>
        <v>845</v>
      </c>
      <c r="AP269" s="347"/>
      <c r="AQ269" s="346">
        <f>SUM(AQ265:AQ268)</f>
        <v>695</v>
      </c>
      <c r="AR269" s="347"/>
      <c r="AS269" s="346">
        <f>SUM(AS265:AS268)</f>
        <v>748</v>
      </c>
      <c r="AT269" s="347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5" t="str">
        <f>AE271</f>
        <v>Bayernliga Herren</v>
      </c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48"/>
      <c r="S271" s="49" t="s">
        <v>1794</v>
      </c>
      <c r="T271" s="50"/>
      <c r="U271" s="341" t="str">
        <f>AT271</f>
        <v>15.02./16.02.</v>
      </c>
      <c r="V271" s="342"/>
      <c r="W271" s="343"/>
      <c r="X271" s="372"/>
      <c r="Y271" s="373"/>
      <c r="Z271" s="373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41" t="str">
        <f>VLOOKUP(AS272,Spielorte!$A$1:$C$6,2)</f>
        <v>15.02./16.02.</v>
      </c>
      <c r="AU271" s="342"/>
      <c r="AV271" s="34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4" t="str">
        <f>AE272</f>
        <v>Regensburg Super Bowl</v>
      </c>
      <c r="G272" s="344"/>
      <c r="H272" s="344"/>
      <c r="I272" s="344"/>
      <c r="J272" s="344"/>
      <c r="K272" s="344"/>
      <c r="L272" s="344"/>
      <c r="M272" s="344"/>
      <c r="N272" s="344"/>
      <c r="O272" s="344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10</v>
      </c>
      <c r="AE274" s="65" t="s">
        <v>10</v>
      </c>
      <c r="AF274" s="44">
        <f>VLOOKUP(AA272,Schlüssel!$A$5:$DZ$14,74)</f>
        <v>3</v>
      </c>
      <c r="AG274" s="65" t="s">
        <v>10</v>
      </c>
      <c r="AH274" s="44">
        <f>VLOOKUP(AA272,Schlüssel!$A$5:$DZ$14,75)</f>
        <v>2</v>
      </c>
      <c r="AI274" s="65" t="s">
        <v>10</v>
      </c>
      <c r="AJ274" s="44">
        <f>VLOOKUP(AA272,Schlüssel!$A$5:$DZ$14,76)</f>
        <v>7</v>
      </c>
      <c r="AK274" s="65" t="s">
        <v>10</v>
      </c>
      <c r="AL274" s="44">
        <f>VLOOKUP(AA272,Schlüssel!$A$5:$DZ$14,77)</f>
        <v>4</v>
      </c>
      <c r="AM274" s="65" t="s">
        <v>10</v>
      </c>
      <c r="AN274" s="44">
        <f>VLOOKUP(AA272,Schlüssel!$A$5:$DZ$14,78)</f>
        <v>8</v>
      </c>
      <c r="AO274" s="65" t="s">
        <v>10</v>
      </c>
      <c r="AP274" s="44">
        <f>VLOOKUP(AA272,Schlüssel!$A$5:$DZ$14,79)</f>
        <v>6</v>
      </c>
      <c r="AQ274" s="65" t="s">
        <v>10</v>
      </c>
      <c r="AR274" s="44">
        <f>VLOOKUP(AA272,Schlüssel!$A$5:$DZ$14,80)</f>
        <v>1</v>
      </c>
      <c r="AS274" s="65" t="s">
        <v>10</v>
      </c>
      <c r="AT274" s="44">
        <f>VLOOKUP(AA272,Schlüssel!$A$5:$DZ$14,81)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6" t="s">
        <v>1800</v>
      </c>
      <c r="E275" s="347"/>
      <c r="F275" s="346" t="s">
        <v>1801</v>
      </c>
      <c r="G275" s="347"/>
      <c r="H275" s="346" t="s">
        <v>1802</v>
      </c>
      <c r="I275" s="347"/>
      <c r="J275" s="346" t="s">
        <v>1803</v>
      </c>
      <c r="K275" s="347"/>
      <c r="L275" s="346" t="s">
        <v>1804</v>
      </c>
      <c r="M275" s="347"/>
      <c r="N275" s="346" t="s">
        <v>1805</v>
      </c>
      <c r="O275" s="347"/>
      <c r="P275" s="346" t="s">
        <v>1806</v>
      </c>
      <c r="Q275" s="347"/>
      <c r="R275" s="346" t="s">
        <v>1807</v>
      </c>
      <c r="S275" s="347"/>
      <c r="T275" s="346" t="s">
        <v>1808</v>
      </c>
      <c r="U275" s="347"/>
      <c r="V275" s="354" t="s">
        <v>1799</v>
      </c>
      <c r="W275" s="355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6" t="s">
        <v>0</v>
      </c>
      <c r="B277" s="73" t="str">
        <f>IF(AA277=0,"",AA277)</f>
        <v>Kabel, Nicolas</v>
      </c>
      <c r="C277" s="74">
        <f>IF(AB277=0,"",AB277)</f>
        <v>38092</v>
      </c>
      <c r="D277" s="75">
        <f>IF(AC277=0,"",AC277)</f>
        <v>153</v>
      </c>
      <c r="E277" s="348">
        <f>IF(AD277="","",AD277)</f>
        <v>0</v>
      </c>
      <c r="F277" s="75">
        <f t="shared" ref="F277:F290" si="307">IF(AE277=0,"",AE277)</f>
        <v>160</v>
      </c>
      <c r="G277" s="348">
        <f>IF(AF277="","",AF277)</f>
        <v>0</v>
      </c>
      <c r="H277" s="75">
        <f t="shared" ref="H277:H290" si="308">IF(AG277=0,"",AG277)</f>
        <v>169</v>
      </c>
      <c r="I277" s="348">
        <f>IF(AH277="","",AH277)</f>
        <v>0</v>
      </c>
      <c r="J277" s="75">
        <f t="shared" ref="J277:J290" si="309">IF(AI277=0,"",AI277)</f>
        <v>197</v>
      </c>
      <c r="K277" s="348">
        <f>IF(AJ277="","",AJ277)</f>
        <v>0</v>
      </c>
      <c r="L277" s="75">
        <f t="shared" ref="L277:L290" si="310">IF(AK277=0,"",AK277)</f>
        <v>142</v>
      </c>
      <c r="M277" s="348">
        <f>IF(AL277="","",AL277)</f>
        <v>0</v>
      </c>
      <c r="N277" s="75">
        <f>IF(AM277=0,"",AM277)</f>
        <v>130</v>
      </c>
      <c r="O277" s="348">
        <f>IF(AN277="","",AN277)</f>
        <v>0</v>
      </c>
      <c r="P277" s="75">
        <f t="shared" ref="P277:P290" si="311">IF(AO277=0,"",AO277)</f>
        <v>172</v>
      </c>
      <c r="Q277" s="348">
        <f>IF(AP277="","",AP277)</f>
        <v>0</v>
      </c>
      <c r="R277" s="75">
        <f t="shared" ref="R277:R290" si="312">IF(AQ277=0,"",AQ277)</f>
        <v>189</v>
      </c>
      <c r="S277" s="348">
        <f>IF(AR277="","",AR277)</f>
        <v>1</v>
      </c>
      <c r="T277" s="75">
        <f t="shared" ref="T277:T290" si="313">IF(AS277=0,"",AS277)</f>
        <v>209</v>
      </c>
      <c r="U277" s="348">
        <f>IF(AT277="","",AT277)</f>
        <v>0</v>
      </c>
      <c r="V277" s="75">
        <f t="shared" ref="V277:V290" si="314">IF(AU277=0,"",AU277)</f>
        <v>1521</v>
      </c>
      <c r="W277" s="348">
        <f>IF(AV277="","",AV277)</f>
        <v>1</v>
      </c>
      <c r="Z277" s="351" t="s">
        <v>0</v>
      </c>
      <c r="AA277" s="108" t="str">
        <f>IF(AB277=0,"",VLOOKUP(AB277,Starter!$A$1:$D$199,2,FALSE))</f>
        <v>Kabel, Nicolas</v>
      </c>
      <c r="AB277" s="99">
        <v>38092</v>
      </c>
      <c r="AC277" s="185">
        <v>153</v>
      </c>
      <c r="AD277" s="109">
        <f>IF(SUM(AC277:AC279)+AC295=0,0,IF(SUM(AC277:AC279)=AC295,0.5,IF(SUM(AC277:AC279)&gt;AC295,1,0)))</f>
        <v>0</v>
      </c>
      <c r="AE277" s="185">
        <v>160</v>
      </c>
      <c r="AF277" s="109">
        <f>IF(SUM(AE277:AE279)+AE295=0,0,IF(SUM(AE277:AE279)=AE295,0.5,IF(SUM(AE277:AE279)&gt;AE295,1,0)))</f>
        <v>0</v>
      </c>
      <c r="AG277" s="185">
        <v>169</v>
      </c>
      <c r="AH277" s="109">
        <f>IF(SUM(AG277:AG279)+AG295=0,0,IF(SUM(AG277:AG279)=AG295,0.5,IF(SUM(AG277:AG279)&gt;AG295,1,0)))</f>
        <v>0</v>
      </c>
      <c r="AI277" s="185">
        <v>197</v>
      </c>
      <c r="AJ277" s="109">
        <f>IF(SUM(AI277:AI279)+AI295=0,0,IF(SUM(AI277:AI279)=AI295,0.5,IF(SUM(AI277:AI279)&gt;AI295,1,0)))</f>
        <v>0</v>
      </c>
      <c r="AK277" s="185">
        <v>142</v>
      </c>
      <c r="AL277" s="109">
        <f>IF(SUM(AK277:AK279)+AK295=0,0,IF(SUM(AK277:AK279)=AK295,0.5,IF(SUM(AK277:AK279)&gt;AK295,1,0)))</f>
        <v>0</v>
      </c>
      <c r="AM277" s="185">
        <v>130</v>
      </c>
      <c r="AN277" s="109">
        <f>IF(SUM(AM277:AM279)+AM295=0,0,IF(SUM(AM277:AM279)=AM295,0.5,IF(SUM(AM277:AM279)&gt;AM295,1,0)))</f>
        <v>0</v>
      </c>
      <c r="AO277" s="185">
        <v>172</v>
      </c>
      <c r="AP277" s="109">
        <f>IF(SUM(AO277:AO279)+AO295=0,0,IF(SUM(AO277:AO279)=AO295,0.5,IF(SUM(AO277:AO279)&gt;AO295,1,0)))</f>
        <v>0</v>
      </c>
      <c r="AQ277" s="185">
        <v>189</v>
      </c>
      <c r="AR277" s="109">
        <f>IF(SUM(AQ277:AQ279)+AQ295=0,0,IF(SUM(AQ277:AQ279)=AQ295,0.5,IF(SUM(AQ277:AQ279)&gt;AQ295,1,0)))</f>
        <v>1</v>
      </c>
      <c r="AS277" s="185">
        <v>209</v>
      </c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1521</v>
      </c>
      <c r="AV277" s="111">
        <f>SUM(AD277+AF277+AH277+AJ277+AL277+AN277+AP277+AR277+AT277)</f>
        <v>1</v>
      </c>
      <c r="AW277" s="101"/>
      <c r="AX277" s="102"/>
      <c r="AZ277" s="63"/>
      <c r="BA277" s="212"/>
      <c r="BB277" s="213"/>
      <c r="BC277" s="214"/>
      <c r="BD277" s="217">
        <f>+AB277</f>
        <v>38092</v>
      </c>
      <c r="BE277" s="213">
        <f>+AU277</f>
        <v>1521</v>
      </c>
      <c r="BF277" s="215">
        <f>COUNT(BH277:BP277)</f>
        <v>9</v>
      </c>
      <c r="BG277" s="215">
        <f>COUNTIF(BH277:BP277,"&gt;0")</f>
        <v>9</v>
      </c>
      <c r="BH277" s="215">
        <f t="shared" ref="BH277:BH288" si="316">IF(AC277=0,"",AC277)</f>
        <v>153</v>
      </c>
      <c r="BI277" s="215">
        <f t="shared" ref="BI277:BI288" si="317">IF(AE277=0,"",AE277)</f>
        <v>160</v>
      </c>
      <c r="BJ277" s="215">
        <f t="shared" ref="BJ277:BJ288" si="318">IF(AG277=0,"",AG277)</f>
        <v>169</v>
      </c>
      <c r="BK277" s="215">
        <f t="shared" ref="BK277:BK288" si="319">IF(AI277=0,"",AI277)</f>
        <v>197</v>
      </c>
      <c r="BL277" s="215">
        <f t="shared" ref="BL277:BL288" si="320">IF(AK277=0,"",AK277)</f>
        <v>142</v>
      </c>
      <c r="BM277" s="215">
        <f t="shared" ref="BM277:BM288" si="321">IF(AM277=0,"",AM277)</f>
        <v>130</v>
      </c>
      <c r="BN277" s="215">
        <f t="shared" ref="BN277:BN288" si="322">IF(AO277=0,"",AO277)</f>
        <v>172</v>
      </c>
      <c r="BO277" s="215">
        <f t="shared" ref="BO277:BO288" si="323">IF(AQ277=0,"",AQ277)</f>
        <v>189</v>
      </c>
      <c r="BP277" s="215">
        <f t="shared" ref="BP277:BP288" si="324">IF(AS277=0,"",AS277)</f>
        <v>209</v>
      </c>
      <c r="BQ277" s="216"/>
      <c r="BR277" s="214"/>
      <c r="BS277" s="215">
        <f>MAX(BH277:BP277)</f>
        <v>209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1521</v>
      </c>
      <c r="BX277" s="215">
        <f>IF(COUNTIF(BH277:BP277,"&gt;0")&lt;Spielorte!$A$23,0,BE277/Spielorte!$A$23)</f>
        <v>169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77"/>
      <c r="B278" s="76" t="str">
        <f t="shared" ref="B278:D290" si="326">IF(AA278=0,"",AA278)</f>
        <v/>
      </c>
      <c r="C278" s="77" t="str">
        <f t="shared" si="326"/>
        <v/>
      </c>
      <c r="D278" s="78" t="str">
        <f t="shared" si="326"/>
        <v/>
      </c>
      <c r="E278" s="349"/>
      <c r="F278" s="78" t="str">
        <f t="shared" si="307"/>
        <v/>
      </c>
      <c r="G278" s="349"/>
      <c r="H278" s="78" t="str">
        <f t="shared" si="308"/>
        <v/>
      </c>
      <c r="I278" s="349"/>
      <c r="J278" s="78" t="str">
        <f t="shared" si="309"/>
        <v/>
      </c>
      <c r="K278" s="349"/>
      <c r="L278" s="78" t="str">
        <f t="shared" si="310"/>
        <v/>
      </c>
      <c r="M278" s="349"/>
      <c r="N278" s="78" t="str">
        <f t="shared" ref="N278:N290" si="327">IF(AM278=0,"",AM278)</f>
        <v/>
      </c>
      <c r="O278" s="349"/>
      <c r="P278" s="78" t="str">
        <f t="shared" si="311"/>
        <v/>
      </c>
      <c r="Q278" s="349"/>
      <c r="R278" s="78" t="str">
        <f t="shared" si="312"/>
        <v/>
      </c>
      <c r="S278" s="349"/>
      <c r="T278" s="78" t="str">
        <f t="shared" si="313"/>
        <v/>
      </c>
      <c r="U278" s="349"/>
      <c r="V278" s="78" t="str">
        <f t="shared" si="314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15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0</v>
      </c>
      <c r="BE278" s="213">
        <f t="shared" ref="BE278:BE288" si="329">+AU278</f>
        <v>0</v>
      </c>
      <c r="BF278" s="215">
        <f t="shared" ref="BF278:BF288" si="330">COUNT(BH278:BP278)</f>
        <v>0</v>
      </c>
      <c r="BG278" s="215">
        <f t="shared" ref="BG278:BG288" si="331">COUNTIF(BH278:BP278,"&gt;0")</f>
        <v>0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 t="str">
        <f t="shared" si="320"/>
        <v/>
      </c>
      <c r="BM278" s="215" t="str">
        <f t="shared" si="321"/>
        <v/>
      </c>
      <c r="BN278" s="215" t="str">
        <f t="shared" si="322"/>
        <v/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0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High Roller Rosenheim 1</v>
      </c>
      <c r="BV278" s="214">
        <f t="shared" ref="BV278:BV288" si="335">RANK(BT278,BT:BT)</f>
        <v>2</v>
      </c>
      <c r="BW278" s="215">
        <f t="shared" ref="BW278:BW288" si="336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8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50"/>
      <c r="F279" s="69" t="str">
        <f t="shared" si="307"/>
        <v/>
      </c>
      <c r="G279" s="350"/>
      <c r="H279" s="69" t="str">
        <f t="shared" si="308"/>
        <v/>
      </c>
      <c r="I279" s="350"/>
      <c r="J279" s="69" t="str">
        <f t="shared" si="309"/>
        <v/>
      </c>
      <c r="K279" s="350"/>
      <c r="L279" s="69" t="str">
        <f t="shared" si="310"/>
        <v/>
      </c>
      <c r="M279" s="350"/>
      <c r="N279" s="69" t="str">
        <f t="shared" si="327"/>
        <v/>
      </c>
      <c r="O279" s="350"/>
      <c r="P279" s="69" t="str">
        <f t="shared" si="311"/>
        <v/>
      </c>
      <c r="Q279" s="350"/>
      <c r="R279" s="69" t="str">
        <f t="shared" si="312"/>
        <v/>
      </c>
      <c r="S279" s="350"/>
      <c r="T279" s="69" t="str">
        <f t="shared" si="313"/>
        <v/>
      </c>
      <c r="U279" s="350"/>
      <c r="V279" s="69" t="str">
        <f t="shared" si="314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High Roller Rosenheim 1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76" t="s">
        <v>2</v>
      </c>
      <c r="B280" s="73" t="str">
        <f t="shared" si="326"/>
        <v>Schwarz, Christian</v>
      </c>
      <c r="C280" s="74">
        <f t="shared" si="326"/>
        <v>25061</v>
      </c>
      <c r="D280" s="75">
        <f t="shared" si="326"/>
        <v>164</v>
      </c>
      <c r="E280" s="348">
        <f>IF(AD280="","",AD280)</f>
        <v>1</v>
      </c>
      <c r="F280" s="75">
        <f t="shared" si="307"/>
        <v>164</v>
      </c>
      <c r="G280" s="348">
        <f>IF(AF280="","",AF280)</f>
        <v>0</v>
      </c>
      <c r="H280" s="75">
        <f t="shared" si="308"/>
        <v>152</v>
      </c>
      <c r="I280" s="348">
        <f>IF(AH280="","",AH280)</f>
        <v>0</v>
      </c>
      <c r="J280" s="75">
        <f t="shared" si="309"/>
        <v>163</v>
      </c>
      <c r="K280" s="348">
        <f>IF(AJ280="","",AJ280)</f>
        <v>0</v>
      </c>
      <c r="L280" s="75">
        <f t="shared" si="310"/>
        <v>202</v>
      </c>
      <c r="M280" s="348">
        <f>IF(AL280="","",AL280)</f>
        <v>1</v>
      </c>
      <c r="N280" s="75">
        <f t="shared" si="327"/>
        <v>247</v>
      </c>
      <c r="O280" s="348">
        <f>IF(AN280="","",AN280)</f>
        <v>1</v>
      </c>
      <c r="P280" s="75">
        <f t="shared" si="311"/>
        <v>149</v>
      </c>
      <c r="Q280" s="348">
        <f>IF(AP280="","",AP280)</f>
        <v>0</v>
      </c>
      <c r="R280" s="75">
        <f t="shared" si="312"/>
        <v>161</v>
      </c>
      <c r="S280" s="348">
        <f>IF(AR280="","",AR280)</f>
        <v>1</v>
      </c>
      <c r="T280" s="75">
        <f t="shared" si="313"/>
        <v>159</v>
      </c>
      <c r="U280" s="348">
        <f>IF(AT280="","",AT280)</f>
        <v>0</v>
      </c>
      <c r="V280" s="75">
        <f t="shared" si="314"/>
        <v>1561</v>
      </c>
      <c r="W280" s="348">
        <f>IF(AV280="","",AV280)</f>
        <v>4</v>
      </c>
      <c r="Z280" s="351" t="s">
        <v>2</v>
      </c>
      <c r="AA280" s="108" t="str">
        <f>IF(AB280=0,"",VLOOKUP(AB280,Starter!$A$1:$D$199,2,FALSE))</f>
        <v>Schwarz, Christian</v>
      </c>
      <c r="AB280" s="99">
        <v>25061</v>
      </c>
      <c r="AC280" s="188">
        <v>164</v>
      </c>
      <c r="AD280" s="109">
        <f>IF(SUM(AC280:AC282)+AC296=0,0,IF(SUM(AC280:AC282)=AC296,0.5,IF(SUM(AC280:AC282)&gt;AC296,1,0)))</f>
        <v>1</v>
      </c>
      <c r="AE280" s="188">
        <v>164</v>
      </c>
      <c r="AF280" s="109">
        <f>IF(SUM(AE280:AE282)+AE296=0,0,IF(SUM(AE280:AE282)=AE296,0.5,IF(SUM(AE280:AE282)&gt;AE296,1,0)))</f>
        <v>0</v>
      </c>
      <c r="AG280" s="188">
        <v>152</v>
      </c>
      <c r="AH280" s="109">
        <f>IF(SUM(AG280:AG282)+AG296=0,0,IF(SUM(AG280:AG282)=AG296,0.5,IF(SUM(AG280:AG282)&gt;AG296,1,0)))</f>
        <v>0</v>
      </c>
      <c r="AI280" s="188">
        <v>163</v>
      </c>
      <c r="AJ280" s="109">
        <f>IF(SUM(AI280:AI282)+AI296=0,0,IF(SUM(AI280:AI282)=AI296,0.5,IF(SUM(AI280:AI282)&gt;AI296,1,0)))</f>
        <v>0</v>
      </c>
      <c r="AK280" s="188">
        <v>202</v>
      </c>
      <c r="AL280" s="109">
        <f>IF(SUM(AK280:AK282)+AK296=0,0,IF(SUM(AK280:AK282)=AK296,0.5,IF(SUM(AK280:AK282)&gt;AK296,1,0)))</f>
        <v>1</v>
      </c>
      <c r="AM280" s="188">
        <v>247</v>
      </c>
      <c r="AN280" s="109">
        <f>IF(SUM(AM280:AM282)+AM296=0,0,IF(SUM(AM280:AM282)=AM296,0.5,IF(SUM(AM280:AM282)&gt;AM296,1,0)))</f>
        <v>1</v>
      </c>
      <c r="AO280" s="188">
        <v>149</v>
      </c>
      <c r="AP280" s="109">
        <f>IF(SUM(AO280:AO282)+AO296=0,0,IF(SUM(AO280:AO282)=AO296,0.5,IF(SUM(AO280:AO282)&gt;AO296,1,0)))</f>
        <v>0</v>
      </c>
      <c r="AQ280" s="188">
        <v>161</v>
      </c>
      <c r="AR280" s="109">
        <f>IF(SUM(AQ280:AQ282)+AQ296=0,0,IF(SUM(AQ280:AQ282)=AQ296,0.5,IF(SUM(AQ280:AQ282)&gt;AQ296,1,0)))</f>
        <v>1</v>
      </c>
      <c r="AS280" s="188">
        <v>159</v>
      </c>
      <c r="AT280" s="109">
        <f>IF(SUM(AS280:AS282)+AS296=0,0,IF(SUM(AS280:AS282)=AS296,0.5,IF(SUM(AS280:AS282)&gt;AS296,1,0)))</f>
        <v>0</v>
      </c>
      <c r="AU280" s="110">
        <f t="shared" si="315"/>
        <v>1561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28"/>
        <v>25061</v>
      </c>
      <c r="BE280" s="213">
        <f t="shared" si="329"/>
        <v>1561</v>
      </c>
      <c r="BF280" s="215">
        <f t="shared" si="330"/>
        <v>9</v>
      </c>
      <c r="BG280" s="215">
        <f t="shared" si="331"/>
        <v>9</v>
      </c>
      <c r="BH280" s="215">
        <f t="shared" si="316"/>
        <v>164</v>
      </c>
      <c r="BI280" s="215">
        <f t="shared" si="317"/>
        <v>164</v>
      </c>
      <c r="BJ280" s="215">
        <f t="shared" si="318"/>
        <v>152</v>
      </c>
      <c r="BK280" s="215">
        <f t="shared" si="319"/>
        <v>163</v>
      </c>
      <c r="BL280" s="215">
        <f t="shared" si="320"/>
        <v>202</v>
      </c>
      <c r="BM280" s="215">
        <f t="shared" si="321"/>
        <v>247</v>
      </c>
      <c r="BN280" s="215">
        <f t="shared" si="322"/>
        <v>149</v>
      </c>
      <c r="BO280" s="215">
        <f t="shared" si="323"/>
        <v>161</v>
      </c>
      <c r="BP280" s="215">
        <f t="shared" si="324"/>
        <v>159</v>
      </c>
      <c r="BQ280" s="216"/>
      <c r="BR280" s="214"/>
      <c r="BS280" s="215">
        <f t="shared" si="332"/>
        <v>247</v>
      </c>
      <c r="BT280" s="215">
        <f t="shared" si="333"/>
        <v>0</v>
      </c>
      <c r="BU280" s="215" t="str">
        <f t="shared" si="334"/>
        <v>High Roller Rosenheim 1</v>
      </c>
      <c r="BV280" s="214">
        <f t="shared" si="335"/>
        <v>2</v>
      </c>
      <c r="BW280" s="215">
        <f t="shared" si="336"/>
        <v>1561</v>
      </c>
      <c r="BX280" s="215">
        <f>IF(COUNTIF(BH280:BP280,"&gt;0")&lt;Spielorte!$A$23,0,BE280/Spielorte!$A$23)</f>
        <v>173.44444444444446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77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49"/>
      <c r="F281" s="78" t="str">
        <f t="shared" si="307"/>
        <v/>
      </c>
      <c r="G281" s="349"/>
      <c r="H281" s="78" t="str">
        <f t="shared" si="308"/>
        <v/>
      </c>
      <c r="I281" s="349"/>
      <c r="J281" s="78" t="str">
        <f t="shared" si="309"/>
        <v/>
      </c>
      <c r="K281" s="349"/>
      <c r="L281" s="78" t="str">
        <f t="shared" si="310"/>
        <v/>
      </c>
      <c r="M281" s="349"/>
      <c r="N281" s="78" t="str">
        <f t="shared" si="327"/>
        <v/>
      </c>
      <c r="O281" s="349"/>
      <c r="P281" s="78" t="str">
        <f t="shared" si="311"/>
        <v/>
      </c>
      <c r="Q281" s="349"/>
      <c r="R281" s="78" t="str">
        <f t="shared" si="312"/>
        <v/>
      </c>
      <c r="S281" s="349"/>
      <c r="T281" s="78" t="str">
        <f t="shared" si="313"/>
        <v/>
      </c>
      <c r="U281" s="349"/>
      <c r="V281" s="78" t="str">
        <f t="shared" si="314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High Roller Rosenheim 1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8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0"/>
      <c r="F282" s="69" t="str">
        <f t="shared" si="307"/>
        <v/>
      </c>
      <c r="G282" s="350"/>
      <c r="H282" s="69" t="str">
        <f t="shared" si="308"/>
        <v/>
      </c>
      <c r="I282" s="350"/>
      <c r="J282" s="69" t="str">
        <f t="shared" si="309"/>
        <v/>
      </c>
      <c r="K282" s="350"/>
      <c r="L282" s="69" t="str">
        <f t="shared" si="310"/>
        <v/>
      </c>
      <c r="M282" s="350"/>
      <c r="N282" s="69" t="str">
        <f t="shared" si="327"/>
        <v/>
      </c>
      <c r="O282" s="350"/>
      <c r="P282" s="69" t="str">
        <f t="shared" si="311"/>
        <v/>
      </c>
      <c r="Q282" s="350"/>
      <c r="R282" s="69" t="str">
        <f t="shared" si="312"/>
        <v/>
      </c>
      <c r="S282" s="350"/>
      <c r="T282" s="69" t="str">
        <f t="shared" si="313"/>
        <v/>
      </c>
      <c r="U282" s="350"/>
      <c r="V282" s="69" t="str">
        <f t="shared" si="314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High Roller Rosenheim 1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76" t="s">
        <v>3</v>
      </c>
      <c r="B283" s="73" t="str">
        <f t="shared" si="326"/>
        <v>Wimmer, Peter</v>
      </c>
      <c r="C283" s="74">
        <f t="shared" si="326"/>
        <v>7425</v>
      </c>
      <c r="D283" s="75">
        <f t="shared" si="326"/>
        <v>180</v>
      </c>
      <c r="E283" s="348">
        <f>IF(AD283="","",AD283)</f>
        <v>1</v>
      </c>
      <c r="F283" s="75">
        <f t="shared" si="307"/>
        <v>181</v>
      </c>
      <c r="G283" s="348">
        <f>IF(AF283="","",AF283)</f>
        <v>0</v>
      </c>
      <c r="H283" s="75" t="str">
        <f t="shared" si="308"/>
        <v/>
      </c>
      <c r="I283" s="348">
        <f>IF(AH283="","",AH283)</f>
        <v>0</v>
      </c>
      <c r="J283" s="75" t="str">
        <f t="shared" si="309"/>
        <v/>
      </c>
      <c r="K283" s="348">
        <f>IF(AJ283="","",AJ283)</f>
        <v>1</v>
      </c>
      <c r="L283" s="75" t="str">
        <f t="shared" si="310"/>
        <v/>
      </c>
      <c r="M283" s="348">
        <f>IF(AL283="","",AL283)</f>
        <v>1</v>
      </c>
      <c r="N283" s="75" t="str">
        <f t="shared" si="327"/>
        <v/>
      </c>
      <c r="O283" s="348">
        <f>IF(AN283="","",AN283)</f>
        <v>0</v>
      </c>
      <c r="P283" s="75">
        <f t="shared" si="311"/>
        <v>177</v>
      </c>
      <c r="Q283" s="348">
        <f>IF(AP283="","",AP283)</f>
        <v>1</v>
      </c>
      <c r="R283" s="75">
        <f t="shared" si="312"/>
        <v>203</v>
      </c>
      <c r="S283" s="348">
        <f>IF(AR283="","",AR283)</f>
        <v>1</v>
      </c>
      <c r="T283" s="75">
        <f t="shared" si="313"/>
        <v>151</v>
      </c>
      <c r="U283" s="348">
        <f>IF(AT283="","",AT283)</f>
        <v>1</v>
      </c>
      <c r="V283" s="75">
        <f t="shared" si="314"/>
        <v>892</v>
      </c>
      <c r="W283" s="348">
        <f>IF(AV283="","",AV283)</f>
        <v>6</v>
      </c>
      <c r="Z283" s="351" t="s">
        <v>3</v>
      </c>
      <c r="AA283" s="108" t="str">
        <f>IF(AB283=0,"",VLOOKUP(AB283,Starter!$A$1:$D$199,2,FALSE))</f>
        <v>Wimmer, Peter</v>
      </c>
      <c r="AB283" s="99">
        <v>7425</v>
      </c>
      <c r="AC283" s="188">
        <v>180</v>
      </c>
      <c r="AD283" s="109">
        <f>IF(SUM(AC283:AC285)+AC297=0,0,IF(SUM(AC283:AC285)=AC297,0.5,IF(SUM(AC283:AC285)&gt;AC297,1,0)))</f>
        <v>1</v>
      </c>
      <c r="AE283" s="188">
        <v>181</v>
      </c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1</v>
      </c>
      <c r="AM283" s="188"/>
      <c r="AN283" s="109">
        <f>IF(SUM(AM283:AM285)+AM297=0,0,IF(SUM(AM283:AM285)=AM297,0.5,IF(SUM(AM283:AM285)&gt;AM297,1,0)))</f>
        <v>0</v>
      </c>
      <c r="AO283" s="188">
        <v>177</v>
      </c>
      <c r="AP283" s="109">
        <f>IF(SUM(AO283:AO285)+AO297=0,0,IF(SUM(AO283:AO285)=AO297,0.5,IF(SUM(AO283:AO285)&gt;AO297,1,0)))</f>
        <v>1</v>
      </c>
      <c r="AQ283" s="188">
        <v>203</v>
      </c>
      <c r="AR283" s="109">
        <f>IF(SUM(AQ283:AQ285)+AQ297=0,0,IF(SUM(AQ283:AQ285)=AQ297,0.5,IF(SUM(AQ283:AQ285)&gt;AQ297,1,0)))</f>
        <v>1</v>
      </c>
      <c r="AS283" s="188">
        <v>151</v>
      </c>
      <c r="AT283" s="109">
        <f>IF(SUM(AS283:AS285)+AS297=0,0,IF(SUM(AS283:AS285)=AS297,0.5,IF(SUM(AS283:AS285)&gt;AS297,1,0)))</f>
        <v>1</v>
      </c>
      <c r="AU283" s="110">
        <f t="shared" si="315"/>
        <v>892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28"/>
        <v>7425</v>
      </c>
      <c r="BE283" s="213">
        <f t="shared" si="329"/>
        <v>892</v>
      </c>
      <c r="BF283" s="215">
        <f t="shared" si="330"/>
        <v>5</v>
      </c>
      <c r="BG283" s="215">
        <f t="shared" si="331"/>
        <v>5</v>
      </c>
      <c r="BH283" s="215">
        <f t="shared" si="316"/>
        <v>180</v>
      </c>
      <c r="BI283" s="215">
        <f t="shared" si="317"/>
        <v>181</v>
      </c>
      <c r="BJ283" s="215" t="str">
        <f t="shared" si="318"/>
        <v/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>
        <f t="shared" si="322"/>
        <v>177</v>
      </c>
      <c r="BO283" s="215">
        <f t="shared" si="323"/>
        <v>203</v>
      </c>
      <c r="BP283" s="215">
        <f t="shared" si="324"/>
        <v>151</v>
      </c>
      <c r="BQ283" s="216"/>
      <c r="BR283" s="214"/>
      <c r="BS283" s="215">
        <f t="shared" si="332"/>
        <v>203</v>
      </c>
      <c r="BT283" s="215">
        <f t="shared" si="333"/>
        <v>0</v>
      </c>
      <c r="BU283" s="215" t="str">
        <f t="shared" si="334"/>
        <v>High Roller Rosenheim 1</v>
      </c>
      <c r="BV283" s="214">
        <f t="shared" si="335"/>
        <v>2</v>
      </c>
      <c r="BW283" s="215">
        <f t="shared" si="336"/>
        <v>892</v>
      </c>
      <c r="BX283" s="215">
        <f>IF(COUNTIF(BH283:BP283,"&gt;0")&lt;Spielorte!$A$23,0,BE283/Spielorte!$A$23)</f>
        <v>0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77"/>
      <c r="B284" s="76" t="str">
        <f t="shared" si="326"/>
        <v>Tavares, S.</v>
      </c>
      <c r="C284" s="77">
        <f t="shared" si="326"/>
        <v>22116</v>
      </c>
      <c r="D284" s="78" t="str">
        <f t="shared" si="326"/>
        <v/>
      </c>
      <c r="E284" s="349"/>
      <c r="F284" s="78" t="str">
        <f t="shared" si="307"/>
        <v/>
      </c>
      <c r="G284" s="349"/>
      <c r="H284" s="78">
        <f t="shared" si="308"/>
        <v>145</v>
      </c>
      <c r="I284" s="349"/>
      <c r="J284" s="78">
        <f t="shared" si="309"/>
        <v>174</v>
      </c>
      <c r="K284" s="349"/>
      <c r="L284" s="78">
        <f t="shared" si="310"/>
        <v>184</v>
      </c>
      <c r="M284" s="349"/>
      <c r="N284" s="78">
        <f t="shared" si="327"/>
        <v>132</v>
      </c>
      <c r="O284" s="349"/>
      <c r="P284" s="78" t="str">
        <f t="shared" si="311"/>
        <v/>
      </c>
      <c r="Q284" s="349"/>
      <c r="R284" s="78" t="str">
        <f t="shared" si="312"/>
        <v/>
      </c>
      <c r="S284" s="349"/>
      <c r="T284" s="78" t="str">
        <f t="shared" si="313"/>
        <v/>
      </c>
      <c r="U284" s="349"/>
      <c r="V284" s="78">
        <f t="shared" si="314"/>
        <v>635</v>
      </c>
      <c r="W284" s="349"/>
      <c r="Z284" s="352"/>
      <c r="AA284" s="108" t="str">
        <f>IF(AB284=0,"",VLOOKUP(AB284,Starter!$A$1:$D$199,2,FALSE))</f>
        <v>Tavares, S.</v>
      </c>
      <c r="AB284" s="98">
        <v>22116</v>
      </c>
      <c r="AC284" s="186"/>
      <c r="AD284" s="112"/>
      <c r="AE284" s="186"/>
      <c r="AF284" s="112"/>
      <c r="AG284" s="186">
        <v>145</v>
      </c>
      <c r="AH284" s="112"/>
      <c r="AI284" s="186">
        <v>174</v>
      </c>
      <c r="AJ284" s="112"/>
      <c r="AK284" s="186">
        <v>184</v>
      </c>
      <c r="AL284" s="112"/>
      <c r="AM284" s="186">
        <v>132</v>
      </c>
      <c r="AN284" s="112"/>
      <c r="AO284" s="186"/>
      <c r="AP284" s="112"/>
      <c r="AQ284" s="186"/>
      <c r="AR284" s="112"/>
      <c r="AS284" s="186"/>
      <c r="AT284" s="112"/>
      <c r="AU284" s="113">
        <f t="shared" si="315"/>
        <v>635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22116</v>
      </c>
      <c r="BE284" s="213">
        <f t="shared" si="329"/>
        <v>635</v>
      </c>
      <c r="BF284" s="215">
        <f t="shared" si="330"/>
        <v>4</v>
      </c>
      <c r="BG284" s="215">
        <f t="shared" si="331"/>
        <v>4</v>
      </c>
      <c r="BH284" s="215" t="str">
        <f t="shared" si="316"/>
        <v/>
      </c>
      <c r="BI284" s="215" t="str">
        <f t="shared" si="317"/>
        <v/>
      </c>
      <c r="BJ284" s="215">
        <f t="shared" si="318"/>
        <v>145</v>
      </c>
      <c r="BK284" s="215">
        <f t="shared" si="319"/>
        <v>174</v>
      </c>
      <c r="BL284" s="215">
        <f t="shared" si="320"/>
        <v>184</v>
      </c>
      <c r="BM284" s="215">
        <f t="shared" si="321"/>
        <v>132</v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184</v>
      </c>
      <c r="BT284" s="215">
        <f t="shared" si="333"/>
        <v>0</v>
      </c>
      <c r="BU284" s="215" t="str">
        <f t="shared" si="334"/>
        <v>High Roller Rosenheim 1</v>
      </c>
      <c r="BV284" s="214">
        <f t="shared" si="335"/>
        <v>2</v>
      </c>
      <c r="BW284" s="215">
        <f t="shared" si="336"/>
        <v>635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8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0"/>
      <c r="F285" s="69" t="str">
        <f t="shared" si="307"/>
        <v/>
      </c>
      <c r="G285" s="350"/>
      <c r="H285" s="69" t="str">
        <f t="shared" si="308"/>
        <v/>
      </c>
      <c r="I285" s="350"/>
      <c r="J285" s="69" t="str">
        <f t="shared" si="309"/>
        <v/>
      </c>
      <c r="K285" s="350"/>
      <c r="L285" s="69" t="str">
        <f t="shared" si="310"/>
        <v/>
      </c>
      <c r="M285" s="350"/>
      <c r="N285" s="69" t="str">
        <f t="shared" si="327"/>
        <v/>
      </c>
      <c r="O285" s="350"/>
      <c r="P285" s="69" t="str">
        <f t="shared" si="311"/>
        <v/>
      </c>
      <c r="Q285" s="350"/>
      <c r="R285" s="69" t="str">
        <f t="shared" si="312"/>
        <v/>
      </c>
      <c r="S285" s="350"/>
      <c r="T285" s="69" t="str">
        <f t="shared" si="313"/>
        <v/>
      </c>
      <c r="U285" s="350"/>
      <c r="V285" s="69" t="str">
        <f t="shared" si="314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High Roller Rosenheim 1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76" t="s">
        <v>11</v>
      </c>
      <c r="B286" s="73" t="str">
        <f>IF(AA286=0,"",AA286)</f>
        <v>Auer, Thomas</v>
      </c>
      <c r="C286" s="74">
        <f t="shared" si="326"/>
        <v>16888</v>
      </c>
      <c r="D286" s="75">
        <f t="shared" si="326"/>
        <v>174</v>
      </c>
      <c r="E286" s="348">
        <f>IF(AD286="","",AD286)</f>
        <v>0</v>
      </c>
      <c r="F286" s="75">
        <f t="shared" si="307"/>
        <v>159</v>
      </c>
      <c r="G286" s="348">
        <f>IF(AF286="","",AF286)</f>
        <v>0</v>
      </c>
      <c r="H286" s="75">
        <f t="shared" si="308"/>
        <v>184</v>
      </c>
      <c r="I286" s="348">
        <f>IF(AH286="","",AH286)</f>
        <v>1</v>
      </c>
      <c r="J286" s="75">
        <f t="shared" si="309"/>
        <v>170</v>
      </c>
      <c r="K286" s="348">
        <f>IF(AJ286="","",AJ286)</f>
        <v>1</v>
      </c>
      <c r="L286" s="75">
        <f t="shared" si="310"/>
        <v>178</v>
      </c>
      <c r="M286" s="348">
        <f>IF(AL286="","",AL286)</f>
        <v>1</v>
      </c>
      <c r="N286" s="75">
        <f t="shared" si="327"/>
        <v>187</v>
      </c>
      <c r="O286" s="348">
        <f>IF(AN286="","",AN286)</f>
        <v>1</v>
      </c>
      <c r="P286" s="75">
        <f t="shared" si="311"/>
        <v>172</v>
      </c>
      <c r="Q286" s="348">
        <f>IF(AP286="","",AP286)</f>
        <v>0</v>
      </c>
      <c r="R286" s="75">
        <f t="shared" si="312"/>
        <v>178</v>
      </c>
      <c r="S286" s="348">
        <f>IF(AR286="","",AR286)</f>
        <v>1</v>
      </c>
      <c r="T286" s="75">
        <f t="shared" si="313"/>
        <v>141</v>
      </c>
      <c r="U286" s="348">
        <f>IF(AT286="","",AT286)</f>
        <v>0</v>
      </c>
      <c r="V286" s="75">
        <f t="shared" si="314"/>
        <v>1543</v>
      </c>
      <c r="W286" s="348">
        <f>IF(AV286="","",AV286)</f>
        <v>5</v>
      </c>
      <c r="Z286" s="351" t="s">
        <v>11</v>
      </c>
      <c r="AA286" s="108" t="str">
        <f>IF(AB286=0,"",VLOOKUP(AB286,Starter!$A$1:$D$199,2,FALSE))</f>
        <v>Auer, Thomas</v>
      </c>
      <c r="AB286" s="99">
        <v>16888</v>
      </c>
      <c r="AC286" s="188">
        <v>174</v>
      </c>
      <c r="AD286" s="109">
        <f>IF(SUM(AC286:AC288)+AC298=0,0,IF(SUM(AC286:AC288)=AC298,0.5,IF(SUM(AC286:AC288)&gt;AC298,1,0)))</f>
        <v>0</v>
      </c>
      <c r="AE286" s="188">
        <v>159</v>
      </c>
      <c r="AF286" s="109">
        <f>IF(SUM(AE286:AE288)+AE298=0,0,IF(SUM(AE286:AE288)=AE298,0.5,IF(SUM(AE286:AE288)&gt;AE298,1,0)))</f>
        <v>0</v>
      </c>
      <c r="AG286" s="188">
        <v>184</v>
      </c>
      <c r="AH286" s="109">
        <f>IF(SUM(AG286:AG288)+AG298=0,0,IF(SUM(AG286:AG288)=AG298,0.5,IF(SUM(AG286:AG288)&gt;AG298,1,0)))</f>
        <v>1</v>
      </c>
      <c r="AI286" s="188">
        <v>170</v>
      </c>
      <c r="AJ286" s="109">
        <f>IF(SUM(AI286:AI288)+AI298=0,0,IF(SUM(AI286:AI288)=AI298,0.5,IF(SUM(AI286:AI288)&gt;AI298,1,0)))</f>
        <v>1</v>
      </c>
      <c r="AK286" s="188">
        <v>178</v>
      </c>
      <c r="AL286" s="109">
        <f>IF(SUM(AK286:AK288)+AK298=0,0,IF(SUM(AK286:AK288)=AK298,0.5,IF(SUM(AK286:AK288)&gt;AK298,1,0)))</f>
        <v>1</v>
      </c>
      <c r="AM286" s="188">
        <v>187</v>
      </c>
      <c r="AN286" s="109">
        <f>IF(SUM(AM286:AM288)+AM298=0,0,IF(SUM(AM286:AM288)=AM298,0.5,IF(SUM(AM286:AM288)&gt;AM298,1,0)))</f>
        <v>1</v>
      </c>
      <c r="AO286" s="188">
        <v>172</v>
      </c>
      <c r="AP286" s="109">
        <f>IF(SUM(AO286:AO288)+AO298=0,0,IF(SUM(AO286:AO288)=AO298,0.5,IF(SUM(AO286:AO288)&gt;AO298,1,0)))</f>
        <v>0</v>
      </c>
      <c r="AQ286" s="188">
        <v>178</v>
      </c>
      <c r="AR286" s="109">
        <f>IF(SUM(AQ286:AQ288)+AQ298=0,0,IF(SUM(AQ286:AQ288)=AQ298,0.5,IF(SUM(AQ286:AQ288)&gt;AQ298,1,0)))</f>
        <v>1</v>
      </c>
      <c r="AS286" s="188">
        <v>141</v>
      </c>
      <c r="AT286" s="109">
        <f>IF(SUM(AS286:AS288)+AS298=0,0,IF(SUM(AS286:AS288)=AS298,0.5,IF(SUM(AS286:AS288)&gt;AS298,1,0)))</f>
        <v>0</v>
      </c>
      <c r="AU286" s="110">
        <f t="shared" si="315"/>
        <v>1543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28"/>
        <v>16888</v>
      </c>
      <c r="BE286" s="213">
        <f t="shared" si="329"/>
        <v>1543</v>
      </c>
      <c r="BF286" s="215">
        <f t="shared" si="330"/>
        <v>9</v>
      </c>
      <c r="BG286" s="215">
        <f t="shared" si="331"/>
        <v>9</v>
      </c>
      <c r="BH286" s="215">
        <f t="shared" si="316"/>
        <v>174</v>
      </c>
      <c r="BI286" s="215">
        <f t="shared" si="317"/>
        <v>159</v>
      </c>
      <c r="BJ286" s="215">
        <f t="shared" si="318"/>
        <v>184</v>
      </c>
      <c r="BK286" s="215">
        <f t="shared" si="319"/>
        <v>170</v>
      </c>
      <c r="BL286" s="215">
        <f t="shared" si="320"/>
        <v>178</v>
      </c>
      <c r="BM286" s="215">
        <f t="shared" si="321"/>
        <v>187</v>
      </c>
      <c r="BN286" s="215">
        <f t="shared" si="322"/>
        <v>172</v>
      </c>
      <c r="BO286" s="215">
        <f t="shared" si="323"/>
        <v>178</v>
      </c>
      <c r="BP286" s="215">
        <f t="shared" si="324"/>
        <v>141</v>
      </c>
      <c r="BQ286" s="216"/>
      <c r="BR286" s="214"/>
      <c r="BS286" s="215">
        <f t="shared" si="332"/>
        <v>187</v>
      </c>
      <c r="BT286" s="215">
        <f t="shared" si="333"/>
        <v>0</v>
      </c>
      <c r="BU286" s="215" t="str">
        <f t="shared" si="334"/>
        <v>High Roller Rosenheim 1</v>
      </c>
      <c r="BV286" s="214">
        <f t="shared" si="335"/>
        <v>2</v>
      </c>
      <c r="BW286" s="215">
        <f t="shared" si="336"/>
        <v>1543</v>
      </c>
      <c r="BX286" s="215">
        <f>IF(COUNTIF(BH286:BP286,"&gt;0")&lt;Spielorte!$A$23,0,BE286/Spielorte!$A$23)</f>
        <v>171.44444444444446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77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9"/>
      <c r="F287" s="78" t="str">
        <f t="shared" si="307"/>
        <v/>
      </c>
      <c r="G287" s="349"/>
      <c r="H287" s="78" t="str">
        <f t="shared" si="308"/>
        <v/>
      </c>
      <c r="I287" s="349"/>
      <c r="J287" s="78" t="str">
        <f t="shared" si="309"/>
        <v/>
      </c>
      <c r="K287" s="349"/>
      <c r="L287" s="78" t="str">
        <f t="shared" si="310"/>
        <v/>
      </c>
      <c r="M287" s="349"/>
      <c r="N287" s="78" t="str">
        <f t="shared" si="327"/>
        <v/>
      </c>
      <c r="O287" s="349"/>
      <c r="P287" s="78" t="str">
        <f t="shared" si="311"/>
        <v/>
      </c>
      <c r="Q287" s="349"/>
      <c r="R287" s="78" t="str">
        <f t="shared" si="312"/>
        <v/>
      </c>
      <c r="S287" s="349"/>
      <c r="T287" s="78" t="str">
        <f t="shared" si="313"/>
        <v/>
      </c>
      <c r="U287" s="349"/>
      <c r="V287" s="78" t="str">
        <f t="shared" si="314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0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8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0"/>
      <c r="F288" s="69" t="str">
        <f t="shared" si="307"/>
        <v/>
      </c>
      <c r="G288" s="350"/>
      <c r="H288" s="69" t="str">
        <f t="shared" si="308"/>
        <v/>
      </c>
      <c r="I288" s="350"/>
      <c r="J288" s="69" t="str">
        <f t="shared" si="309"/>
        <v/>
      </c>
      <c r="K288" s="350"/>
      <c r="L288" s="69" t="str">
        <f t="shared" si="310"/>
        <v/>
      </c>
      <c r="M288" s="350"/>
      <c r="N288" s="69" t="str">
        <f t="shared" si="327"/>
        <v/>
      </c>
      <c r="O288" s="350"/>
      <c r="P288" s="69" t="str">
        <f t="shared" si="311"/>
        <v/>
      </c>
      <c r="Q288" s="350"/>
      <c r="R288" s="69" t="str">
        <f t="shared" si="312"/>
        <v/>
      </c>
      <c r="S288" s="350"/>
      <c r="T288" s="69" t="str">
        <f t="shared" si="313"/>
        <v/>
      </c>
      <c r="U288" s="350"/>
      <c r="V288" s="69" t="str">
        <f t="shared" si="314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High Roller Rosenheim 1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671</v>
      </c>
      <c r="E289" s="84">
        <f>IF(AD289="","",AD289)</f>
        <v>0</v>
      </c>
      <c r="F289" s="83">
        <f t="shared" si="307"/>
        <v>664</v>
      </c>
      <c r="G289" s="84">
        <f>IF(AF289="","",AF289)</f>
        <v>0</v>
      </c>
      <c r="H289" s="83">
        <f t="shared" si="308"/>
        <v>650</v>
      </c>
      <c r="I289" s="84">
        <f>IF(AH289="","",AH289)</f>
        <v>0</v>
      </c>
      <c r="J289" s="83">
        <f t="shared" si="309"/>
        <v>704</v>
      </c>
      <c r="K289" s="84">
        <f>IF(AJ289="","",AJ289)</f>
        <v>0</v>
      </c>
      <c r="L289" s="83">
        <f t="shared" si="310"/>
        <v>706</v>
      </c>
      <c r="M289" s="84">
        <f>IF(AL289="","",AL289)</f>
        <v>2</v>
      </c>
      <c r="N289" s="83">
        <f t="shared" si="327"/>
        <v>696</v>
      </c>
      <c r="O289" s="84">
        <f>IF(AN289="","",AN289)</f>
        <v>0</v>
      </c>
      <c r="P289" s="83">
        <f t="shared" si="311"/>
        <v>670</v>
      </c>
      <c r="Q289" s="84">
        <f>IF(AP289="","",AP289)</f>
        <v>0</v>
      </c>
      <c r="R289" s="83">
        <f t="shared" si="312"/>
        <v>731</v>
      </c>
      <c r="S289" s="84">
        <f>IF(AR289="","",AR289)</f>
        <v>2</v>
      </c>
      <c r="T289" s="83">
        <f t="shared" si="313"/>
        <v>660</v>
      </c>
      <c r="U289" s="84">
        <f>IF(AT289="","",AT289)</f>
        <v>0</v>
      </c>
      <c r="V289" s="83">
        <f t="shared" si="314"/>
        <v>6152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671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664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650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704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706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696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670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731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660</v>
      </c>
      <c r="AT289" s="121">
        <f>IF(AS289+AS299=0,0,IF(AS289=AS299,1,IF(AS289&gt;AS299,2,0)))</f>
        <v>0</v>
      </c>
      <c r="AU289" s="122">
        <f>SUM(AC289+AE289+AG289+AI289+AK289+AM289+AO289+AQ289+AS289)</f>
        <v>6152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2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1</v>
      </c>
      <c r="J290" s="86" t="str">
        <f t="shared" si="309"/>
        <v/>
      </c>
      <c r="K290" s="87">
        <f>IF(AJ290="","",AJ290)</f>
        <v>2</v>
      </c>
      <c r="L290" s="86" t="str">
        <f t="shared" si="310"/>
        <v/>
      </c>
      <c r="M290" s="87">
        <f>IF(AL290="","",AL290)</f>
        <v>5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1</v>
      </c>
      <c r="R290" s="86" t="str">
        <f t="shared" si="312"/>
        <v/>
      </c>
      <c r="S290" s="87">
        <f>IF(AR290="","",AR290)</f>
        <v>6</v>
      </c>
      <c r="T290" s="86" t="str">
        <f t="shared" si="313"/>
        <v/>
      </c>
      <c r="U290" s="87">
        <f>IF(AT290="","",AT290)</f>
        <v>1</v>
      </c>
      <c r="V290" s="86" t="str">
        <f t="shared" si="314"/>
        <v/>
      </c>
      <c r="W290" s="87">
        <f>IF(AV290="","",AV290)</f>
        <v>20</v>
      </c>
      <c r="AA290" s="85" t="s">
        <v>1814</v>
      </c>
      <c r="AB290" s="86"/>
      <c r="AC290" s="86"/>
      <c r="AD290" s="124">
        <f>SUM(AD277:AD289)</f>
        <v>2</v>
      </c>
      <c r="AE290" s="86"/>
      <c r="AF290" s="124">
        <f>SUM(AF277:AF289)</f>
        <v>0</v>
      </c>
      <c r="AG290" s="86"/>
      <c r="AH290" s="124">
        <f>SUM(AH277:AH289)</f>
        <v>1</v>
      </c>
      <c r="AI290" s="86"/>
      <c r="AJ290" s="124">
        <f>SUM(AJ277:AJ289)</f>
        <v>2</v>
      </c>
      <c r="AK290" s="86"/>
      <c r="AL290" s="124">
        <f>SUM(AL277:AL289)</f>
        <v>5</v>
      </c>
      <c r="AM290" s="86"/>
      <c r="AN290" s="124">
        <f>SUM(AN277:AN289)</f>
        <v>2</v>
      </c>
      <c r="AO290" s="86"/>
      <c r="AP290" s="124">
        <f>SUM(AP277:AP289)</f>
        <v>1</v>
      </c>
      <c r="AQ290" s="86"/>
      <c r="AR290" s="124">
        <f>SUM(AR277:AR289)</f>
        <v>6</v>
      </c>
      <c r="AS290" s="86"/>
      <c r="AT290" s="124">
        <f>SUM(AT277:AT289)</f>
        <v>1</v>
      </c>
      <c r="AU290" s="86"/>
      <c r="AV290" s="125">
        <f>SUM(AV277:AV289)</f>
        <v>20</v>
      </c>
      <c r="AW290" s="101"/>
      <c r="AX290" s="102"/>
      <c r="BA290" s="212">
        <f>+AV290</f>
        <v>20</v>
      </c>
      <c r="BB290" s="213">
        <f>+AU289</f>
        <v>6152</v>
      </c>
      <c r="BC290" s="214">
        <f>+AA272</f>
        <v>10</v>
      </c>
      <c r="BF290" s="215">
        <f>SUM(BF271:BF289)</f>
        <v>36</v>
      </c>
      <c r="BQ290" s="212">
        <f>+BB290/1000000+BA290</f>
        <v>20.006152</v>
      </c>
      <c r="BR290" s="214">
        <f>RANK(BQ290,BQ:BQ)</f>
        <v>8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6">
        <f t="shared" si="338"/>
        <v>1</v>
      </c>
      <c r="E292" s="356" t="str">
        <f t="shared" si="338"/>
        <v/>
      </c>
      <c r="F292" s="356">
        <f t="shared" si="338"/>
        <v>6</v>
      </c>
      <c r="G292" s="356" t="str">
        <f t="shared" si="338"/>
        <v/>
      </c>
      <c r="H292" s="356">
        <f t="shared" si="338"/>
        <v>4</v>
      </c>
      <c r="I292" s="356" t="str">
        <f t="shared" si="338"/>
        <v/>
      </c>
      <c r="J292" s="356">
        <f t="shared" si="338"/>
        <v>9</v>
      </c>
      <c r="K292" s="356" t="str">
        <f t="shared" si="338"/>
        <v/>
      </c>
      <c r="L292" s="356">
        <f t="shared" ref="L292:U294" si="339">IF(AK292=0,"",AK292)</f>
        <v>5</v>
      </c>
      <c r="M292" s="356" t="str">
        <f t="shared" si="339"/>
        <v/>
      </c>
      <c r="N292" s="356">
        <f t="shared" si="339"/>
        <v>8</v>
      </c>
      <c r="O292" s="356" t="str">
        <f t="shared" si="339"/>
        <v/>
      </c>
      <c r="P292" s="356">
        <f t="shared" si="339"/>
        <v>7</v>
      </c>
      <c r="Q292" s="356" t="str">
        <f t="shared" si="339"/>
        <v/>
      </c>
      <c r="R292" s="356">
        <f t="shared" si="339"/>
        <v>2</v>
      </c>
      <c r="S292" s="356" t="str">
        <f t="shared" si="339"/>
        <v/>
      </c>
      <c r="T292" s="356">
        <f t="shared" si="339"/>
        <v>3</v>
      </c>
      <c r="U292" s="356" t="str">
        <f t="shared" si="339"/>
        <v/>
      </c>
      <c r="V292" s="357"/>
      <c r="W292" s="357"/>
      <c r="AA292" s="88" t="s">
        <v>1797</v>
      </c>
      <c r="AB292" s="89" t="s">
        <v>1798</v>
      </c>
      <c r="AC292" s="370">
        <f>VLOOKUP($AA272,Schlüssel!$A$5:$DG$14,63)</f>
        <v>1</v>
      </c>
      <c r="AD292" s="371"/>
      <c r="AE292" s="370">
        <f>VLOOKUP($AA272,Schlüssel!$A$5:$EK$14,64)</f>
        <v>6</v>
      </c>
      <c r="AF292" s="371"/>
      <c r="AG292" s="370">
        <f>VLOOKUP($AA272,Schlüssel!$A$5:$EK$14,65)</f>
        <v>4</v>
      </c>
      <c r="AH292" s="371"/>
      <c r="AI292" s="370">
        <f>VLOOKUP($AA272,Schlüssel!$A$5:$EK$14,66)</f>
        <v>9</v>
      </c>
      <c r="AJ292" s="371"/>
      <c r="AK292" s="370">
        <f>VLOOKUP($AA272,Schlüssel!$A$5:$EK$14,67)</f>
        <v>5</v>
      </c>
      <c r="AL292" s="371"/>
      <c r="AM292" s="370">
        <f>VLOOKUP($AA272,Schlüssel!$A$5:$EK$14,68)</f>
        <v>8</v>
      </c>
      <c r="AN292" s="371"/>
      <c r="AO292" s="370">
        <f>VLOOKUP($AA272,Schlüssel!$A$5:$EK$14,69)</f>
        <v>7</v>
      </c>
      <c r="AP292" s="371"/>
      <c r="AQ292" s="370">
        <f>VLOOKUP($AA272,Schlüssel!$A$5:$EK$14,70)</f>
        <v>2</v>
      </c>
      <c r="AR292" s="371"/>
      <c r="AS292" s="370">
        <f>VLOOKUP($AA272,Schlüssel!$A$5:$EK$14,71)</f>
        <v>3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58" t="str">
        <f t="shared" si="338"/>
        <v>BC Comet Nürnberg</v>
      </c>
      <c r="E293" s="359" t="str">
        <f t="shared" si="338"/>
        <v/>
      </c>
      <c r="F293" s="358" t="str">
        <f t="shared" si="338"/>
        <v>SG Rottendorf 1</v>
      </c>
      <c r="G293" s="359" t="str">
        <f t="shared" si="338"/>
        <v/>
      </c>
      <c r="H293" s="358" t="str">
        <f t="shared" si="338"/>
        <v>SG DJK Rimpar</v>
      </c>
      <c r="I293" s="359" t="str">
        <f t="shared" si="338"/>
        <v/>
      </c>
      <c r="J293" s="358" t="str">
        <f t="shared" si="338"/>
        <v>Bowlinghaus Bamberg 1</v>
      </c>
      <c r="K293" s="359" t="str">
        <f t="shared" si="338"/>
        <v/>
      </c>
      <c r="L293" s="358" t="str">
        <f t="shared" si="339"/>
        <v>RW Lichtenhof Stein 1</v>
      </c>
      <c r="M293" s="359" t="str">
        <f t="shared" si="339"/>
        <v/>
      </c>
      <c r="N293" s="358" t="str">
        <f t="shared" si="339"/>
        <v>BC EMAX Unterföhring 2</v>
      </c>
      <c r="O293" s="359" t="str">
        <f t="shared" si="339"/>
        <v/>
      </c>
      <c r="P293" s="358" t="str">
        <f t="shared" si="339"/>
        <v>Schanzer Ingolstadt 1</v>
      </c>
      <c r="Q293" s="359" t="str">
        <f t="shared" si="339"/>
        <v/>
      </c>
      <c r="R293" s="358" t="str">
        <f t="shared" si="339"/>
        <v>Bajuwaren München 1</v>
      </c>
      <c r="S293" s="359" t="str">
        <f t="shared" si="339"/>
        <v/>
      </c>
      <c r="T293" s="358" t="str">
        <f t="shared" si="339"/>
        <v>BK München 3</v>
      </c>
      <c r="U293" s="359" t="str">
        <f t="shared" si="339"/>
        <v/>
      </c>
      <c r="V293" s="363"/>
      <c r="W293" s="363"/>
      <c r="AA293" s="90"/>
      <c r="AB293" s="86"/>
      <c r="AC293" s="358" t="str">
        <f>VLOOKUP(AC292,Schlüssel!$A$5:$K$14,2)</f>
        <v>BC Comet Nürnberg</v>
      </c>
      <c r="AD293" s="359"/>
      <c r="AE293" s="358" t="str">
        <f>VLOOKUP(AE292,Schlüssel!$A$5:$K$14,2)</f>
        <v>SG Rottendorf 1</v>
      </c>
      <c r="AF293" s="359"/>
      <c r="AG293" s="358" t="str">
        <f>VLOOKUP(AG292,Schlüssel!$A$5:$K$14,2)</f>
        <v>SG DJK Rimpar</v>
      </c>
      <c r="AH293" s="359"/>
      <c r="AI293" s="358" t="str">
        <f>VLOOKUP(AI292,Schlüssel!$A$5:$K$14,2)</f>
        <v>Bowlinghaus Bamberg 1</v>
      </c>
      <c r="AJ293" s="359"/>
      <c r="AK293" s="358" t="str">
        <f>VLOOKUP(AK292,Schlüssel!$A$5:$K$14,2)</f>
        <v>RW Lichtenhof Stein 1</v>
      </c>
      <c r="AL293" s="359"/>
      <c r="AM293" s="358" t="str">
        <f>VLOOKUP(AM292,Schlüssel!$A$5:$K$14,2)</f>
        <v>BC EMAX Unterföhring 2</v>
      </c>
      <c r="AN293" s="359"/>
      <c r="AO293" s="358" t="str">
        <f>VLOOKUP(AO292,Schlüssel!$A$5:$K$14,2)</f>
        <v>Schanzer Ingolstadt 1</v>
      </c>
      <c r="AP293" s="359"/>
      <c r="AQ293" s="358" t="str">
        <f>VLOOKUP(AQ292,Schlüssel!$A$5:$K$14,2)</f>
        <v>Bajuwaren München 1</v>
      </c>
      <c r="AR293" s="359"/>
      <c r="AS293" s="358" t="str">
        <f>VLOOKUP(AS292,Schlüssel!$A$5:$K$14,2)</f>
        <v>BK München 3</v>
      </c>
      <c r="AT293" s="359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60" t="str">
        <f t="shared" si="338"/>
        <v/>
      </c>
      <c r="E294" s="360" t="str">
        <f t="shared" si="338"/>
        <v/>
      </c>
      <c r="F294" s="360" t="str">
        <f t="shared" si="338"/>
        <v/>
      </c>
      <c r="G294" s="360" t="str">
        <f t="shared" si="338"/>
        <v/>
      </c>
      <c r="H294" s="360" t="str">
        <f t="shared" si="338"/>
        <v/>
      </c>
      <c r="I294" s="360" t="str">
        <f t="shared" si="338"/>
        <v/>
      </c>
      <c r="J294" s="360" t="str">
        <f t="shared" si="338"/>
        <v/>
      </c>
      <c r="K294" s="360" t="str">
        <f t="shared" si="338"/>
        <v/>
      </c>
      <c r="L294" s="360" t="str">
        <f t="shared" si="339"/>
        <v/>
      </c>
      <c r="M294" s="360" t="str">
        <f t="shared" si="339"/>
        <v/>
      </c>
      <c r="N294" s="360" t="str">
        <f t="shared" si="339"/>
        <v/>
      </c>
      <c r="O294" s="360" t="str">
        <f t="shared" si="339"/>
        <v/>
      </c>
      <c r="P294" s="360" t="str">
        <f t="shared" si="339"/>
        <v/>
      </c>
      <c r="Q294" s="360" t="str">
        <f t="shared" si="339"/>
        <v/>
      </c>
      <c r="R294" s="360" t="str">
        <f t="shared" si="339"/>
        <v/>
      </c>
      <c r="S294" s="360" t="str">
        <f t="shared" si="339"/>
        <v/>
      </c>
      <c r="T294" s="360" t="str">
        <f t="shared" si="339"/>
        <v/>
      </c>
      <c r="U294" s="361" t="str">
        <f t="shared" si="339"/>
        <v/>
      </c>
      <c r="V294" s="298"/>
      <c r="W294" s="298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4" t="str">
        <f t="shared" ref="B295:C299" si="340">IF(AA295=0,"",AA295)</f>
        <v>Spieler 1</v>
      </c>
      <c r="C295" s="375" t="str">
        <f t="shared" si="340"/>
        <v/>
      </c>
      <c r="D295" s="362">
        <f>IF(AC295=301,"",AC295)</f>
        <v>236</v>
      </c>
      <c r="E295" s="362" t="str">
        <f>IF(AD295=0,"",AD295)</f>
        <v/>
      </c>
      <c r="F295" s="362">
        <f>IF(AE295=301,"",AE295)</f>
        <v>168</v>
      </c>
      <c r="G295" s="362" t="str">
        <f>IF(AF295=0,"",AF295)</f>
        <v/>
      </c>
      <c r="H295" s="362">
        <f>IF(AG295=301,"",AG295)</f>
        <v>177</v>
      </c>
      <c r="I295" s="362" t="str">
        <f>IF(AH295=0,"",AH295)</f>
        <v/>
      </c>
      <c r="J295" s="362">
        <f>IF(AI295=301,"",AI295)</f>
        <v>201</v>
      </c>
      <c r="K295" s="362" t="str">
        <f>IF(AJ295=0,"",AJ295)</f>
        <v/>
      </c>
      <c r="L295" s="362">
        <f>IF(AK295=301,"",AK295)</f>
        <v>171</v>
      </c>
      <c r="M295" s="362" t="str">
        <f>IF(AL295=0,"",AL295)</f>
        <v/>
      </c>
      <c r="N295" s="362">
        <f>IF(AM295=301,"",AM295)</f>
        <v>153</v>
      </c>
      <c r="O295" s="362" t="str">
        <f>IF(AN295=0,"",AN295)</f>
        <v/>
      </c>
      <c r="P295" s="362">
        <f>IF(AO295=301,"",AO295)</f>
        <v>174</v>
      </c>
      <c r="Q295" s="362" t="str">
        <f>IF(AP295=0,"",AP295)</f>
        <v/>
      </c>
      <c r="R295" s="362">
        <f>IF(AQ295=301,"",AQ295)</f>
        <v>181</v>
      </c>
      <c r="S295" s="362" t="str">
        <f>IF(AR295=0,"",AR295)</f>
        <v/>
      </c>
      <c r="T295" s="362">
        <f>IF(AS295=301,"",AS295)</f>
        <v>228</v>
      </c>
      <c r="U295" s="362" t="str">
        <f>IF(AT295=0,"",AT295)</f>
        <v/>
      </c>
      <c r="V295" s="364"/>
      <c r="W295" s="364"/>
      <c r="AA295" s="91" t="s">
        <v>0</v>
      </c>
      <c r="AB295" s="92"/>
      <c r="AC295" s="368">
        <f>ABS(INDEX(AC:AC,MATCH(AC292,$AA:$AA,0)+5)+INDEX(AC:AC,MATCH(AC292,$AA:$AA,0)+6)+INDEX(AC:AC,MATCH(AC292,$AA:$AA,0)+7))</f>
        <v>236</v>
      </c>
      <c r="AD295" s="369"/>
      <c r="AE295" s="368">
        <f>ABS(INDEX(AE:AE,MATCH(AE292,$AA:$AA,0)+5)+INDEX(AE:AE,MATCH(AE292,$AA:$AA,0)+6)+INDEX(AE:AE,MATCH(AE292,$AA:$AA,0)+7))</f>
        <v>168</v>
      </c>
      <c r="AF295" s="369"/>
      <c r="AG295" s="368">
        <f>ABS(INDEX(AG:AG,MATCH(AG292,$AA:$AA,0)+5)+INDEX(AG:AG,MATCH(AG292,$AA:$AA,0)+6)+INDEX(AG:AG,MATCH(AG292,$AA:$AA,0)+7))</f>
        <v>177</v>
      </c>
      <c r="AH295" s="369"/>
      <c r="AI295" s="368">
        <f>ABS(INDEX(AI:AI,MATCH(AI292,$AA:$AA,0)+5)+INDEX(AI:AI,MATCH(AI292,$AA:$AA,0)+6)+INDEX(AI:AI,MATCH(AI292,$AA:$AA,0)+7))</f>
        <v>201</v>
      </c>
      <c r="AJ295" s="369"/>
      <c r="AK295" s="368">
        <f>ABS(INDEX(AK:AK,MATCH(AK292,$AA:$AA,0)+5)+INDEX(AK:AK,MATCH(AK292,$AA:$AA,0)+6)+INDEX(AK:AK,MATCH(AK292,$AA:$AA,0)+7))</f>
        <v>171</v>
      </c>
      <c r="AL295" s="369"/>
      <c r="AM295" s="368">
        <f>ABS(INDEX(AM:AM,MATCH(AM292,$AA:$AA,0)+5)+INDEX(AM:AM,MATCH(AM292,$AA:$AA,0)+6)+INDEX(AM:AM,MATCH(AM292,$AA:$AA,0)+7))</f>
        <v>153</v>
      </c>
      <c r="AN295" s="369"/>
      <c r="AO295" s="368">
        <f>ABS(INDEX(AO:AO,MATCH(AO292,$AA:$AA,0)+5)+INDEX(AO:AO,MATCH(AO292,$AA:$AA,0)+6)+INDEX(AO:AO,MATCH(AO292,$AA:$AA,0)+7))</f>
        <v>174</v>
      </c>
      <c r="AP295" s="369"/>
      <c r="AQ295" s="368">
        <f>ABS(INDEX(AQ:AQ,MATCH(AQ292,$AA:$AA,0)+5)+INDEX(AQ:AQ,MATCH(AQ292,$AA:$AA,0)+6)+INDEX(AQ:AQ,MATCH(AQ292,$AA:$AA,0)+7))</f>
        <v>181</v>
      </c>
      <c r="AR295" s="369"/>
      <c r="AS295" s="368">
        <f>ABS(INDEX(AS:AS,MATCH(AS292,$AA:$AA,0)+5)+INDEX(AS:AS,MATCH(AS292,$AA:$AA,0)+6)+INDEX(AS:AS,MATCH(AS292,$AA:$AA,0)+7))</f>
        <v>228</v>
      </c>
      <c r="AT295" s="369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4" t="str">
        <f t="shared" si="340"/>
        <v>Spieler 2</v>
      </c>
      <c r="C296" s="375" t="str">
        <f t="shared" si="340"/>
        <v/>
      </c>
      <c r="D296" s="362">
        <f>IF(AC296=301,"",AC296)</f>
        <v>161</v>
      </c>
      <c r="E296" s="362" t="str">
        <f>IF(AD296=0,"",AD296)</f>
        <v/>
      </c>
      <c r="F296" s="362">
        <f>IF(AE296=301,"",AE296)</f>
        <v>174</v>
      </c>
      <c r="G296" s="362" t="str">
        <f>IF(AF296=0,"",AF296)</f>
        <v/>
      </c>
      <c r="H296" s="362">
        <f>IF(AG296=301,"",AG296)</f>
        <v>215</v>
      </c>
      <c r="I296" s="362" t="str">
        <f>IF(AH296=0,"",AH296)</f>
        <v/>
      </c>
      <c r="J296" s="362">
        <f>IF(AI296=301,"",AI296)</f>
        <v>192</v>
      </c>
      <c r="K296" s="362" t="str">
        <f>IF(AJ296=0,"",AJ296)</f>
        <v/>
      </c>
      <c r="L296" s="362">
        <f>IF(AK296=301,"",AK296)</f>
        <v>136</v>
      </c>
      <c r="M296" s="362" t="str">
        <f>IF(AL296=0,"",AL296)</f>
        <v/>
      </c>
      <c r="N296" s="362">
        <f>IF(AM296=301,"",AM296)</f>
        <v>155</v>
      </c>
      <c r="O296" s="362" t="str">
        <f>IF(AN296=0,"",AN296)</f>
        <v/>
      </c>
      <c r="P296" s="362">
        <f>IF(AO296=301,"",AO296)</f>
        <v>203</v>
      </c>
      <c r="Q296" s="362" t="str">
        <f>IF(AP296=0,"",AP296)</f>
        <v/>
      </c>
      <c r="R296" s="362">
        <f>IF(AQ296=301,"",AQ296)</f>
        <v>134</v>
      </c>
      <c r="S296" s="362" t="str">
        <f>IF(AR296=0,"",AR296)</f>
        <v/>
      </c>
      <c r="T296" s="362">
        <f>IF(AS296=301,"",AS296)</f>
        <v>163</v>
      </c>
      <c r="U296" s="362" t="str">
        <f>IF(AT296=0,"",AT296)</f>
        <v/>
      </c>
      <c r="V296" s="364"/>
      <c r="W296" s="364"/>
      <c r="AA296" s="91" t="s">
        <v>2</v>
      </c>
      <c r="AB296" s="92"/>
      <c r="AC296" s="366">
        <f>ABS(INDEX(AC:AC,MATCH(AC292,$AA:$AA,0)+8)+INDEX(AC:AC,MATCH(AC292,$AA:$AA,0)+9)+INDEX(AC:AC,MATCH(AC292,$AA:$AA,0)+10))</f>
        <v>161</v>
      </c>
      <c r="AD296" s="367"/>
      <c r="AE296" s="366">
        <f>ABS(INDEX(AE:AE,MATCH(AE292,$AA:$AA,0)+8)+INDEX(AE:AE,MATCH(AE292,$AA:$AA,0)+9)+INDEX(AE:AE,MATCH(AE292,$AA:$AA,0)+10))</f>
        <v>174</v>
      </c>
      <c r="AF296" s="367"/>
      <c r="AG296" s="366">
        <f>ABS(INDEX(AG:AG,MATCH(AG292,$AA:$AA,0)+8)+INDEX(AG:AG,MATCH(AG292,$AA:$AA,0)+9)+INDEX(AG:AG,MATCH(AG292,$AA:$AA,0)+10))</f>
        <v>215</v>
      </c>
      <c r="AH296" s="367"/>
      <c r="AI296" s="366">
        <f>ABS(INDEX(AI:AI,MATCH(AI292,$AA:$AA,0)+8)+INDEX(AI:AI,MATCH(AI292,$AA:$AA,0)+9)+INDEX(AI:AI,MATCH(AI292,$AA:$AA,0)+10))</f>
        <v>192</v>
      </c>
      <c r="AJ296" s="367"/>
      <c r="AK296" s="366">
        <f>ABS(INDEX(AK:AK,MATCH(AK292,$AA:$AA,0)+8)+INDEX(AK:AK,MATCH(AK292,$AA:$AA,0)+9)+INDEX(AK:AK,MATCH(AK292,$AA:$AA,0)+10))</f>
        <v>136</v>
      </c>
      <c r="AL296" s="367"/>
      <c r="AM296" s="366">
        <f>ABS(INDEX(AM:AM,MATCH(AM292,$AA:$AA,0)+8)+INDEX(AM:AM,MATCH(AM292,$AA:$AA,0)+9)+INDEX(AM:AM,MATCH(AM292,$AA:$AA,0)+10))</f>
        <v>155</v>
      </c>
      <c r="AN296" s="367"/>
      <c r="AO296" s="366">
        <f>ABS(INDEX(AO:AO,MATCH(AO292,$AA:$AA,0)+8)+INDEX(AO:AO,MATCH(AO292,$AA:$AA,0)+9)+INDEX(AO:AO,MATCH(AO292,$AA:$AA,0)+10))</f>
        <v>203</v>
      </c>
      <c r="AP296" s="367"/>
      <c r="AQ296" s="366">
        <f>ABS(INDEX(AQ:AQ,MATCH(AQ292,$AA:$AA,0)+8)+INDEX(AQ:AQ,MATCH(AQ292,$AA:$AA,0)+9)+INDEX(AQ:AQ,MATCH(AQ292,$AA:$AA,0)+10))</f>
        <v>134</v>
      </c>
      <c r="AR296" s="367"/>
      <c r="AS296" s="366">
        <f>ABS(INDEX(AS:AS,MATCH(AS292,$AA:$AA,0)+8)+INDEX(AS:AS,MATCH(AS292,$AA:$AA,0)+9)+INDEX(AS:AS,MATCH(AS292,$AA:$AA,0)+10))</f>
        <v>163</v>
      </c>
      <c r="AT296" s="367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4" t="str">
        <f t="shared" si="340"/>
        <v>Spieler 3</v>
      </c>
      <c r="C297" s="375" t="str">
        <f t="shared" si="340"/>
        <v/>
      </c>
      <c r="D297" s="362">
        <f>IF(AC297=301,"",AC297)</f>
        <v>173</v>
      </c>
      <c r="E297" s="362" t="str">
        <f>IF(AD297=0,"",AD297)</f>
        <v/>
      </c>
      <c r="F297" s="362">
        <f>IF(AE297=301,"",AE297)</f>
        <v>215</v>
      </c>
      <c r="G297" s="362" t="str">
        <f>IF(AF297=0,"",AF297)</f>
        <v/>
      </c>
      <c r="H297" s="362">
        <f>IF(AG297=301,"",AG297)</f>
        <v>150</v>
      </c>
      <c r="I297" s="362" t="str">
        <f>IF(AH297=0,"",AH297)</f>
        <v/>
      </c>
      <c r="J297" s="362">
        <f>IF(AI297=301,"",AI297)</f>
        <v>170</v>
      </c>
      <c r="K297" s="362" t="str">
        <f>IF(AJ297=0,"",AJ297)</f>
        <v/>
      </c>
      <c r="L297" s="362">
        <f>IF(AK297=301,"",AK297)</f>
        <v>168</v>
      </c>
      <c r="M297" s="362" t="str">
        <f>IF(AL297=0,"",AL297)</f>
        <v/>
      </c>
      <c r="N297" s="362">
        <f>IF(AM297=301,"",AM297)</f>
        <v>245</v>
      </c>
      <c r="O297" s="362" t="str">
        <f>IF(AN297=0,"",AN297)</f>
        <v/>
      </c>
      <c r="P297" s="362">
        <f>IF(AO297=301,"",AO297)</f>
        <v>156</v>
      </c>
      <c r="Q297" s="362" t="str">
        <f>IF(AP297=0,"",AP297)</f>
        <v/>
      </c>
      <c r="R297" s="362">
        <f>IF(AQ297=301,"",AQ297)</f>
        <v>181</v>
      </c>
      <c r="S297" s="362" t="str">
        <f>IF(AR297=0,"",AR297)</f>
        <v/>
      </c>
      <c r="T297" s="362">
        <f>IF(AS297=301,"",AS297)</f>
        <v>128</v>
      </c>
      <c r="U297" s="362" t="str">
        <f>IF(AT297=0,"",AT297)</f>
        <v/>
      </c>
      <c r="V297" s="364"/>
      <c r="W297" s="364"/>
      <c r="AA297" s="91" t="s">
        <v>3</v>
      </c>
      <c r="AB297" s="92"/>
      <c r="AC297" s="366">
        <f>ABS(INDEX(AC:AC,MATCH(AC292,$AA:$AA,0)+11)+INDEX(AC:AC,MATCH(AC292,$AA:$AA,0)+12)+INDEX(AC:AC,MATCH(AC292,$AA:$AA,0)+13))</f>
        <v>173</v>
      </c>
      <c r="AD297" s="367"/>
      <c r="AE297" s="366">
        <f>ABS(INDEX(AE:AE,MATCH(AE292,$AA:$AA,0)+11)+INDEX(AE:AE,MATCH(AE292,$AA:$AA,0)+12)+INDEX(AE:AE,MATCH(AE292,$AA:$AA,0)+13))</f>
        <v>215</v>
      </c>
      <c r="AF297" s="367"/>
      <c r="AG297" s="366">
        <f>ABS(INDEX(AG:AG,MATCH(AG292,$AA:$AA,0)+11)+INDEX(AG:AG,MATCH(AG292,$AA:$AA,0)+12)+INDEX(AG:AG,MATCH(AG292,$AA:$AA,0)+13))</f>
        <v>150</v>
      </c>
      <c r="AH297" s="367"/>
      <c r="AI297" s="366">
        <f>ABS(INDEX(AI:AI,MATCH(AI292,$AA:$AA,0)+11)+INDEX(AI:AI,MATCH(AI292,$AA:$AA,0)+12)+INDEX(AI:AI,MATCH(AI292,$AA:$AA,0)+13))</f>
        <v>170</v>
      </c>
      <c r="AJ297" s="367"/>
      <c r="AK297" s="366">
        <f>ABS(INDEX(AK:AK,MATCH(AK292,$AA:$AA,0)+11)+INDEX(AK:AK,MATCH(AK292,$AA:$AA,0)+12)+INDEX(AK:AK,MATCH(AK292,$AA:$AA,0)+13))</f>
        <v>168</v>
      </c>
      <c r="AL297" s="367"/>
      <c r="AM297" s="366">
        <f>ABS(INDEX(AM:AM,MATCH(AM292,$AA:$AA,0)+11)+INDEX(AM:AM,MATCH(AM292,$AA:$AA,0)+12)+INDEX(AM:AM,MATCH(AM292,$AA:$AA,0)+13))</f>
        <v>245</v>
      </c>
      <c r="AN297" s="367"/>
      <c r="AO297" s="366">
        <f>ABS(INDEX(AO:AO,MATCH(AO292,$AA:$AA,0)+11)+INDEX(AO:AO,MATCH(AO292,$AA:$AA,0)+12)+INDEX(AO:AO,MATCH(AO292,$AA:$AA,0)+13))</f>
        <v>156</v>
      </c>
      <c r="AP297" s="367"/>
      <c r="AQ297" s="366">
        <f>ABS(INDEX(AQ:AQ,MATCH(AQ292,$AA:$AA,0)+11)+INDEX(AQ:AQ,MATCH(AQ292,$AA:$AA,0)+12)+INDEX(AQ:AQ,MATCH(AQ292,$AA:$AA,0)+13))</f>
        <v>181</v>
      </c>
      <c r="AR297" s="367"/>
      <c r="AS297" s="366">
        <f>ABS(INDEX(AS:AS,MATCH(AS292,$AA:$AA,0)+11)+INDEX(AS:AS,MATCH(AS292,$AA:$AA,0)+12)+INDEX(AS:AS,MATCH(AS292,$AA:$AA,0)+13))</f>
        <v>128</v>
      </c>
      <c r="AT297" s="367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4" t="str">
        <f t="shared" si="340"/>
        <v>Spieler 4</v>
      </c>
      <c r="C298" s="375" t="str">
        <f t="shared" si="340"/>
        <v/>
      </c>
      <c r="D298" s="362">
        <f>IF(AC298=301,"",AC298)</f>
        <v>208</v>
      </c>
      <c r="E298" s="362" t="str">
        <f>IF(AD298=0,"",AD298)</f>
        <v/>
      </c>
      <c r="F298" s="362">
        <f>IF(AE298=301,"",AE298)</f>
        <v>232</v>
      </c>
      <c r="G298" s="362" t="str">
        <f>IF(AF298=0,"",AF298)</f>
        <v/>
      </c>
      <c r="H298" s="362">
        <f>IF(AG298=301,"",AG298)</f>
        <v>140</v>
      </c>
      <c r="I298" s="362" t="str">
        <f>IF(AH298=0,"",AH298)</f>
        <v/>
      </c>
      <c r="J298" s="362">
        <f>IF(AI298=301,"",AI298)</f>
        <v>162</v>
      </c>
      <c r="K298" s="362" t="str">
        <f>IF(AJ298=0,"",AJ298)</f>
        <v/>
      </c>
      <c r="L298" s="362">
        <f>IF(AK298=301,"",AK298)</f>
        <v>166</v>
      </c>
      <c r="M298" s="362" t="str">
        <f>IF(AL298=0,"",AL298)</f>
        <v/>
      </c>
      <c r="N298" s="362">
        <f>IF(AM298=301,"",AM298)</f>
        <v>182</v>
      </c>
      <c r="O298" s="362" t="str">
        <f>IF(AN298=0,"",AN298)</f>
        <v/>
      </c>
      <c r="P298" s="362">
        <f>IF(AO298=301,"",AO298)</f>
        <v>216</v>
      </c>
      <c r="Q298" s="362" t="str">
        <f>IF(AP298=0,"",AP298)</f>
        <v/>
      </c>
      <c r="R298" s="362">
        <f>IF(AQ298=301,"",AQ298)</f>
        <v>169</v>
      </c>
      <c r="S298" s="362" t="str">
        <f>IF(AR298=0,"",AR298)</f>
        <v/>
      </c>
      <c r="T298" s="362">
        <f>IF(AS298=301,"",AS298)</f>
        <v>202</v>
      </c>
      <c r="U298" s="362" t="str">
        <f>IF(AT298=0,"",AT298)</f>
        <v/>
      </c>
      <c r="V298" s="364"/>
      <c r="W298" s="364"/>
      <c r="AA298" s="91" t="s">
        <v>11</v>
      </c>
      <c r="AB298" s="92"/>
      <c r="AC298" s="366">
        <f>ABS(INDEX(AC:AC,MATCH(AC292,$AA:$AA,0)+14)+INDEX(AC:AC,MATCH(AC292,$AA:$AA,0)+15)+INDEX(AC:AC,MATCH(AC292,$AA:$AA,0)+16))</f>
        <v>208</v>
      </c>
      <c r="AD298" s="367"/>
      <c r="AE298" s="366">
        <f>ABS(INDEX(AE:AE,MATCH(AE292,$AA:$AA,0)+14)+INDEX(AE:AE,MATCH(AE292,$AA:$AA,0)+15)+INDEX(AE:AE,MATCH(AE292,$AA:$AA,0)+16))</f>
        <v>232</v>
      </c>
      <c r="AF298" s="367"/>
      <c r="AG298" s="366">
        <f>ABS(INDEX(AG:AG,MATCH(AG292,$AA:$AA,0)+14)+INDEX(AG:AG,MATCH(AG292,$AA:$AA,0)+15)+INDEX(AG:AG,MATCH(AG292,$AA:$AA,0)+16))</f>
        <v>140</v>
      </c>
      <c r="AH298" s="367"/>
      <c r="AI298" s="366">
        <f>ABS(INDEX(AI:AI,MATCH(AI292,$AA:$AA,0)+14)+INDEX(AI:AI,MATCH(AI292,$AA:$AA,0)+15)+INDEX(AI:AI,MATCH(AI292,$AA:$AA,0)+16))</f>
        <v>162</v>
      </c>
      <c r="AJ298" s="367"/>
      <c r="AK298" s="366">
        <f>ABS(INDEX(AK:AK,MATCH(AK292,$AA:$AA,0)+14)+INDEX(AK:AK,MATCH(AK292,$AA:$AA,0)+15)+INDEX(AK:AK,MATCH(AK292,$AA:$AA,0)+16))</f>
        <v>166</v>
      </c>
      <c r="AL298" s="367"/>
      <c r="AM298" s="366">
        <f>ABS(INDEX(AM:AM,MATCH(AM292,$AA:$AA,0)+14)+INDEX(AM:AM,MATCH(AM292,$AA:$AA,0)+15)+INDEX(AM:AM,MATCH(AM292,$AA:$AA,0)+16))</f>
        <v>182</v>
      </c>
      <c r="AN298" s="367"/>
      <c r="AO298" s="366">
        <f>ABS(INDEX(AO:AO,MATCH(AO292,$AA:$AA,0)+14)+INDEX(AO:AO,MATCH(AO292,$AA:$AA,0)+15)+INDEX(AO:AO,MATCH(AO292,$AA:$AA,0)+16))</f>
        <v>216</v>
      </c>
      <c r="AP298" s="367"/>
      <c r="AQ298" s="366">
        <f>ABS(INDEX(AQ:AQ,MATCH(AQ292,$AA:$AA,0)+14)+INDEX(AQ:AQ,MATCH(AQ292,$AA:$AA,0)+15)+INDEX(AQ:AQ,MATCH(AQ292,$AA:$AA,0)+16))</f>
        <v>169</v>
      </c>
      <c r="AR298" s="367"/>
      <c r="AS298" s="366">
        <f>ABS(INDEX(AS:AS,MATCH(AS292,$AA:$AA,0)+14)+INDEX(AS:AS,MATCH(AS292,$AA:$AA,0)+15)+INDEX(AS:AS,MATCH(AS292,$AA:$AA,0)+16))</f>
        <v>202</v>
      </c>
      <c r="AT298" s="367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6" t="str">
        <f t="shared" si="340"/>
        <v>Gesamt</v>
      </c>
      <c r="C299" s="347" t="str">
        <f t="shared" si="340"/>
        <v/>
      </c>
      <c r="D299" s="365">
        <f>IF(AC299=1505,"",AC299)</f>
        <v>778</v>
      </c>
      <c r="E299" s="365" t="str">
        <f>IF(AD299=0,"",AD299)</f>
        <v/>
      </c>
      <c r="F299" s="365">
        <f>IF(AE299=1505,"",AE299)</f>
        <v>789</v>
      </c>
      <c r="G299" s="365" t="str">
        <f>IF(AF299=0,"",AF299)</f>
        <v/>
      </c>
      <c r="H299" s="365">
        <f>IF(AG299=1505,"",AG299)</f>
        <v>682</v>
      </c>
      <c r="I299" s="365" t="str">
        <f>IF(AH299=0,"",AH299)</f>
        <v/>
      </c>
      <c r="J299" s="365">
        <f>IF(AI299=1505,"",AI299)</f>
        <v>725</v>
      </c>
      <c r="K299" s="365" t="str">
        <f>IF(AJ299=0,"",AJ299)</f>
        <v/>
      </c>
      <c r="L299" s="365">
        <f>IF(AK299=1505,"",AK299)</f>
        <v>641</v>
      </c>
      <c r="M299" s="365" t="str">
        <f>IF(AL299=0,"",AL299)</f>
        <v/>
      </c>
      <c r="N299" s="365">
        <f>IF(AM299=1505,"",AM299)</f>
        <v>735</v>
      </c>
      <c r="O299" s="365" t="str">
        <f>IF(AN299=0,"",AN299)</f>
        <v/>
      </c>
      <c r="P299" s="365">
        <f>IF(AO299=1505,"",AO299)</f>
        <v>749</v>
      </c>
      <c r="Q299" s="365" t="str">
        <f>IF(AP299=0,"",AP299)</f>
        <v/>
      </c>
      <c r="R299" s="365">
        <f>IF(AQ299=1505,"",AQ299)</f>
        <v>665</v>
      </c>
      <c r="S299" s="365" t="str">
        <f>IF(AR299=0,"",AR299)</f>
        <v/>
      </c>
      <c r="T299" s="365">
        <f>IF(AS299=1505,"",AS299)</f>
        <v>721</v>
      </c>
      <c r="U299" s="365" t="str">
        <f>IF(AT299=0,"",AT299)</f>
        <v/>
      </c>
      <c r="V299" s="301"/>
      <c r="W299" s="301"/>
      <c r="AA299" s="93" t="s">
        <v>1799</v>
      </c>
      <c r="AB299" s="94"/>
      <c r="AC299" s="346">
        <f>SUM(AC295:AC298)</f>
        <v>778</v>
      </c>
      <c r="AD299" s="347"/>
      <c r="AE299" s="346">
        <f>SUM(AE295:AE298)</f>
        <v>789</v>
      </c>
      <c r="AF299" s="347"/>
      <c r="AG299" s="346">
        <f>SUM(AG295:AG298)</f>
        <v>682</v>
      </c>
      <c r="AH299" s="347"/>
      <c r="AI299" s="346">
        <f>SUM(AI295:AI298)</f>
        <v>725</v>
      </c>
      <c r="AJ299" s="347"/>
      <c r="AK299" s="346">
        <f>SUM(AK295:AK298)</f>
        <v>641</v>
      </c>
      <c r="AL299" s="347"/>
      <c r="AM299" s="346">
        <f>SUM(AM295:AM298)</f>
        <v>735</v>
      </c>
      <c r="AN299" s="347"/>
      <c r="AO299" s="346">
        <f>SUM(AO295:AO298)</f>
        <v>749</v>
      </c>
      <c r="AP299" s="347"/>
      <c r="AQ299" s="346">
        <f>SUM(AQ295:AQ298)</f>
        <v>665</v>
      </c>
      <c r="AR299" s="347"/>
      <c r="AS299" s="346">
        <f>SUM(AS295:AS298)</f>
        <v>721</v>
      </c>
      <c r="AT299" s="347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7.7773437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5"/>
      <c r="Y1" s="5"/>
      <c r="AA1" s="215" t="s">
        <v>2080</v>
      </c>
    </row>
    <row r="2" spans="1:31" ht="28.5" customHeight="1" x14ac:dyDescent="0.25">
      <c r="A2" s="386" t="str">
        <f>"Saison "&amp;Spielorte!C18&amp;"     -     Spieltag "&amp;Erfassung4!AS2&amp;"     -     "&amp;Erfassung4!AT1</f>
        <v>Saison 2024/2025     -     Spieltag 4     -     15.02./16.02.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5"/>
      <c r="Y2" s="5"/>
    </row>
    <row r="3" spans="1:31" ht="28.5" customHeight="1" x14ac:dyDescent="0.25">
      <c r="A3" s="386" t="str">
        <f>+Erfassung4!AE2</f>
        <v>Regensburg Super Bowl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9" t="s">
        <v>1816</v>
      </c>
      <c r="B5" s="391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1" t="s">
        <v>1808</v>
      </c>
      <c r="T5" s="380"/>
      <c r="U5" s="379" t="s">
        <v>1799</v>
      </c>
      <c r="V5" s="380"/>
      <c r="W5" s="387" t="s">
        <v>1818</v>
      </c>
    </row>
    <row r="6" spans="1:31" ht="13.8" thickBot="1" x14ac:dyDescent="0.3">
      <c r="A6" s="390"/>
      <c r="B6" s="392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8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INDEX(Erfassung4!$AA:$AA,MATCH($A7,Erfassung4!$BR:$BR,0)-17)</f>
        <v>BC Comet Nürnberg</v>
      </c>
      <c r="C7" s="129">
        <f>INDEX(Erfassung4!AC:AC,MATCH($A7,Erfassung4!$BR:$BR,0)-1)</f>
        <v>778</v>
      </c>
      <c r="D7" s="130">
        <f>INDEX(Erfassung4!AD:AD,MATCH($A7,Erfassung4!$BR:$BR,0))</f>
        <v>4</v>
      </c>
      <c r="E7" s="129">
        <f>INDEX(Erfassung4!AE:AE,MATCH($A7,Erfassung4!$BR:$BR,0)-1)</f>
        <v>834</v>
      </c>
      <c r="F7" s="130">
        <f>INDEX(Erfassung4!AF:AF,MATCH($A7,Erfassung4!$BR:$BR,0))</f>
        <v>4</v>
      </c>
      <c r="G7" s="129">
        <f>INDEX(Erfassung4!AG:AG,MATCH($A7,Erfassung4!$BR:$BR,0)-1)</f>
        <v>746</v>
      </c>
      <c r="H7" s="130">
        <f>INDEX(Erfassung4!AH:AH,MATCH($A7,Erfassung4!$BR:$BR,0))</f>
        <v>6</v>
      </c>
      <c r="I7" s="129">
        <f>INDEX(Erfassung4!AI:AI,MATCH($A7,Erfassung4!$BR:$BR,0)-1)</f>
        <v>765</v>
      </c>
      <c r="J7" s="130">
        <f>INDEX(Erfassung4!AJ:AJ,MATCH($A7,Erfassung4!$BR:$BR,0))</f>
        <v>4</v>
      </c>
      <c r="K7" s="129">
        <f>INDEX(Erfassung4!AK:AK,MATCH($A7,Erfassung4!$BR:$BR,0)-1)</f>
        <v>757</v>
      </c>
      <c r="L7" s="130">
        <f>INDEX(Erfassung4!AL:AL,MATCH($A7,Erfassung4!$BR:$BR,0))</f>
        <v>5</v>
      </c>
      <c r="M7" s="129">
        <f>INDEX(Erfassung4!AM:AM,MATCH($A7,Erfassung4!$BR:$BR,0)-1)</f>
        <v>756</v>
      </c>
      <c r="N7" s="130">
        <f>INDEX(Erfassung4!AN:AN,MATCH($A7,Erfassung4!$BR:$BR,0))</f>
        <v>6</v>
      </c>
      <c r="O7" s="129">
        <f>INDEX(Erfassung4!AO:AO,MATCH($A7,Erfassung4!$BR:$BR,0)-1)</f>
        <v>768</v>
      </c>
      <c r="P7" s="130">
        <f>INDEX(Erfassung4!AP:AP,MATCH($A7,Erfassung4!$BR:$BR,0))</f>
        <v>6</v>
      </c>
      <c r="Q7" s="129">
        <f>INDEX(Erfassung4!AQ:AQ,MATCH($A7,Erfassung4!$BR:$BR,0)-1)</f>
        <v>802</v>
      </c>
      <c r="R7" s="130">
        <f>INDEX(Erfassung4!AR:AR,MATCH($A7,Erfassung4!$BR:$BR,0))</f>
        <v>1</v>
      </c>
      <c r="S7" s="129">
        <f>INDEX(Erfassung4!AS:AS,MATCH($A7,Erfassung4!$BR:$BR,0)-1)</f>
        <v>763</v>
      </c>
      <c r="T7" s="130">
        <f>INDEX(Erfassung4!AT:AT,MATCH($A7,Erfassung4!$BR:$BR,0))</f>
        <v>6</v>
      </c>
      <c r="U7" s="131">
        <f t="shared" ref="U7:V16" si="0">SUM(C7+E7+G7+I7+K7+M7+O7+Q7+S7)</f>
        <v>6969</v>
      </c>
      <c r="V7" s="132">
        <f t="shared" si="0"/>
        <v>42</v>
      </c>
      <c r="W7" s="224">
        <f>IFERROR(U7/INDEX(Erfassung4!BF:BF,MATCH(A7,Erfassung4!BR:BR,0)),0)</f>
        <v>193.58333333333334</v>
      </c>
      <c r="X7" s="25"/>
      <c r="AA7" s="225">
        <f>INDEX(TabGes3!I:I,MATCH($B7,TabGes3!$B:$B,0))+U7</f>
        <v>28608</v>
      </c>
      <c r="AB7" s="225">
        <f>INDEX(TabGes3!J:J,MATCH($B7,TabGes3!$B:$B,0))+V7</f>
        <v>144.5</v>
      </c>
      <c r="AC7" s="215">
        <f t="shared" ref="AC7:AC16" si="1">+AB7+AA7/1000000000</f>
        <v>144.50002860800001</v>
      </c>
      <c r="AD7" s="215">
        <f t="shared" ref="AD7:AD16" si="2">RANK(AC7,AC:AC)</f>
        <v>1</v>
      </c>
      <c r="AE7" s="215">
        <f>INDEX(Tabelle3!AE:AE,MATCH(B7,Tabelle3!B:B,0))+SUMIF(Erfassung4!BU:BU,B7,Erfassung4!BF:BF)</f>
        <v>144</v>
      </c>
    </row>
    <row r="8" spans="1:31" ht="42" customHeight="1" thickBot="1" x14ac:dyDescent="0.3">
      <c r="A8" s="223">
        <v>2</v>
      </c>
      <c r="B8" s="128" t="str">
        <f>INDEX(Erfassung4!$AA:$AA,MATCH($A8,Erfassung4!$BR:$BR,0)-17)</f>
        <v>BK München 3</v>
      </c>
      <c r="C8" s="129">
        <f>INDEX(Erfassung4!AC:AC,MATCH($A8,Erfassung4!$BR:$BR,0)-1)</f>
        <v>798</v>
      </c>
      <c r="D8" s="130">
        <f>INDEX(Erfassung4!AD:AD,MATCH($A8,Erfassung4!$BR:$BR,0))</f>
        <v>2</v>
      </c>
      <c r="E8" s="129">
        <f>INDEX(Erfassung4!AE:AE,MATCH($A8,Erfassung4!$BR:$BR,0)-1)</f>
        <v>830</v>
      </c>
      <c r="F8" s="130">
        <f>INDEX(Erfassung4!AF:AF,MATCH($A8,Erfassung4!$BR:$BR,0))</f>
        <v>2</v>
      </c>
      <c r="G8" s="129">
        <f>INDEX(Erfassung4!AG:AG,MATCH($A8,Erfassung4!$BR:$BR,0)-1)</f>
        <v>818</v>
      </c>
      <c r="H8" s="130">
        <f>INDEX(Erfassung4!AH:AH,MATCH($A8,Erfassung4!$BR:$BR,0))</f>
        <v>6</v>
      </c>
      <c r="I8" s="129">
        <f>INDEX(Erfassung4!AI:AI,MATCH($A8,Erfassung4!$BR:$BR,0)-1)</f>
        <v>832</v>
      </c>
      <c r="J8" s="130">
        <f>INDEX(Erfassung4!AJ:AJ,MATCH($A8,Erfassung4!$BR:$BR,0))</f>
        <v>5</v>
      </c>
      <c r="K8" s="129">
        <f>INDEX(Erfassung4!AK:AK,MATCH($A8,Erfassung4!$BR:$BR,0)-1)</f>
        <v>772</v>
      </c>
      <c r="L8" s="130">
        <f>INDEX(Erfassung4!AL:AL,MATCH($A8,Erfassung4!$BR:$BR,0))</f>
        <v>5</v>
      </c>
      <c r="M8" s="129">
        <f>INDEX(Erfassung4!AM:AM,MATCH($A8,Erfassung4!$BR:$BR,0)-1)</f>
        <v>766</v>
      </c>
      <c r="N8" s="130">
        <f>INDEX(Erfassung4!AN:AN,MATCH($A8,Erfassung4!$BR:$BR,0))</f>
        <v>4.5</v>
      </c>
      <c r="O8" s="129">
        <f>INDEX(Erfassung4!AO:AO,MATCH($A8,Erfassung4!$BR:$BR,0)-1)</f>
        <v>763</v>
      </c>
      <c r="P8" s="130">
        <f>INDEX(Erfassung4!AP:AP,MATCH($A8,Erfassung4!$BR:$BR,0))</f>
        <v>5</v>
      </c>
      <c r="Q8" s="129">
        <f>INDEX(Erfassung4!AQ:AQ,MATCH($A8,Erfassung4!$BR:$BR,0)-1)</f>
        <v>873</v>
      </c>
      <c r="R8" s="130">
        <f>INDEX(Erfassung4!AR:AR,MATCH($A8,Erfassung4!$BR:$BR,0))</f>
        <v>5</v>
      </c>
      <c r="S8" s="129">
        <f>INDEX(Erfassung4!AS:AS,MATCH($A8,Erfassung4!$BR:$BR,0)-1)</f>
        <v>721</v>
      </c>
      <c r="T8" s="130">
        <f>INDEX(Erfassung4!AT:AT,MATCH($A8,Erfassung4!$BR:$BR,0))</f>
        <v>5</v>
      </c>
      <c r="U8" s="131">
        <f t="shared" si="0"/>
        <v>7173</v>
      </c>
      <c r="V8" s="132">
        <f t="shared" si="0"/>
        <v>39.5</v>
      </c>
      <c r="W8" s="224">
        <f>IFERROR(U8/INDEX(Erfassung4!BF:BF,MATCH(A8,Erfassung4!BR:BR,0)),0)</f>
        <v>199.25</v>
      </c>
      <c r="X8" s="25"/>
      <c r="AA8" s="225">
        <f>INDEX(TabGes3!I:I,MATCH($B8,TabGes3!$B:$B,0))+U8</f>
        <v>28607</v>
      </c>
      <c r="AB8" s="225">
        <f>INDEX(TabGes3!J:J,MATCH($B8,TabGes3!$B:$B,0))+V8</f>
        <v>127.5</v>
      </c>
      <c r="AC8" s="215">
        <f t="shared" si="1"/>
        <v>127.500028607</v>
      </c>
      <c r="AD8" s="215">
        <f t="shared" si="2"/>
        <v>3</v>
      </c>
      <c r="AE8" s="215">
        <f>INDEX(Tabelle3!AE:AE,MATCH(B8,Tabelle3!B:B,0))+SUMIF(Erfassung4!BU:BU,B8,Erfassung4!BF:BF)</f>
        <v>144</v>
      </c>
    </row>
    <row r="9" spans="1:31" ht="42" customHeight="1" thickBot="1" x14ac:dyDescent="0.3">
      <c r="A9" s="223">
        <v>3</v>
      </c>
      <c r="B9" s="128" t="str">
        <f>INDEX(Erfassung4!$AA:$AA,MATCH($A9,Erfassung4!$BR:$BR,0)-17)</f>
        <v>SG DJK Rimpar</v>
      </c>
      <c r="C9" s="129">
        <f>INDEX(Erfassung4!AC:AC,MATCH($A9,Erfassung4!$BR:$BR,0)-1)</f>
        <v>720</v>
      </c>
      <c r="D9" s="130">
        <f>INDEX(Erfassung4!AD:AD,MATCH($A9,Erfassung4!$BR:$BR,0))</f>
        <v>5</v>
      </c>
      <c r="E9" s="129">
        <f>INDEX(Erfassung4!AE:AE,MATCH($A9,Erfassung4!$BR:$BR,0)-1)</f>
        <v>873</v>
      </c>
      <c r="F9" s="130">
        <f>INDEX(Erfassung4!AF:AF,MATCH($A9,Erfassung4!$BR:$BR,0))</f>
        <v>4</v>
      </c>
      <c r="G9" s="129">
        <f>INDEX(Erfassung4!AG:AG,MATCH($A9,Erfassung4!$BR:$BR,0)-1)</f>
        <v>682</v>
      </c>
      <c r="H9" s="130">
        <f>INDEX(Erfassung4!AH:AH,MATCH($A9,Erfassung4!$BR:$BR,0))</f>
        <v>5</v>
      </c>
      <c r="I9" s="129">
        <f>INDEX(Erfassung4!AI:AI,MATCH($A9,Erfassung4!$BR:$BR,0)-1)</f>
        <v>747</v>
      </c>
      <c r="J9" s="130">
        <f>INDEX(Erfassung4!AJ:AJ,MATCH($A9,Erfassung4!$BR:$BR,0))</f>
        <v>2</v>
      </c>
      <c r="K9" s="129">
        <f>INDEX(Erfassung4!AK:AK,MATCH($A9,Erfassung4!$BR:$BR,0)-1)</f>
        <v>791</v>
      </c>
      <c r="L9" s="130">
        <f>INDEX(Erfassung4!AL:AL,MATCH($A9,Erfassung4!$BR:$BR,0))</f>
        <v>1</v>
      </c>
      <c r="M9" s="129">
        <f>INDEX(Erfassung4!AM:AM,MATCH($A9,Erfassung4!$BR:$BR,0)-1)</f>
        <v>915</v>
      </c>
      <c r="N9" s="130">
        <f>INDEX(Erfassung4!AN:AN,MATCH($A9,Erfassung4!$BR:$BR,0))</f>
        <v>5</v>
      </c>
      <c r="O9" s="129">
        <f>INDEX(Erfassung4!AO:AO,MATCH($A9,Erfassung4!$BR:$BR,0)-1)</f>
        <v>845</v>
      </c>
      <c r="P9" s="130">
        <f>INDEX(Erfassung4!AP:AP,MATCH($A9,Erfassung4!$BR:$BR,0))</f>
        <v>5</v>
      </c>
      <c r="Q9" s="129">
        <f>INDEX(Erfassung4!AQ:AQ,MATCH($A9,Erfassung4!$BR:$BR,0)-1)</f>
        <v>758</v>
      </c>
      <c r="R9" s="130">
        <f>INDEX(Erfassung4!AR:AR,MATCH($A9,Erfassung4!$BR:$BR,0))</f>
        <v>5</v>
      </c>
      <c r="S9" s="129">
        <f>INDEX(Erfassung4!AS:AS,MATCH($A9,Erfassung4!$BR:$BR,0)-1)</f>
        <v>641</v>
      </c>
      <c r="T9" s="130">
        <f>INDEX(Erfassung4!AT:AT,MATCH($A9,Erfassung4!$BR:$BR,0))</f>
        <v>1</v>
      </c>
      <c r="U9" s="131">
        <f t="shared" si="0"/>
        <v>6972</v>
      </c>
      <c r="V9" s="132">
        <f t="shared" si="0"/>
        <v>33</v>
      </c>
      <c r="W9" s="224">
        <f>IFERROR(U9/INDEX(Erfassung4!BF:BF,MATCH(A9,Erfassung4!BR:BR,0)),0)</f>
        <v>193.66666666666666</v>
      </c>
      <c r="X9" s="25"/>
      <c r="AA9" s="225">
        <f>INDEX(TabGes3!I:I,MATCH($B9,TabGes3!$B:$B,0))+U9</f>
        <v>28368</v>
      </c>
      <c r="AB9" s="225">
        <f>INDEX(TabGes3!J:J,MATCH($B9,TabGes3!$B:$B,0))+V9</f>
        <v>129.5</v>
      </c>
      <c r="AC9" s="215">
        <f t="shared" si="1"/>
        <v>129.50002836799999</v>
      </c>
      <c r="AD9" s="215">
        <f t="shared" si="2"/>
        <v>2</v>
      </c>
      <c r="AE9" s="215">
        <f>INDEX(Tabelle3!AE:AE,MATCH(B9,Tabelle3!B:B,0))+SUMIF(Erfassung4!BU:BU,B9,Erfassung4!BF:BF)</f>
        <v>144</v>
      </c>
    </row>
    <row r="10" spans="1:31" ht="42" customHeight="1" thickBot="1" x14ac:dyDescent="0.3">
      <c r="A10" s="223">
        <v>4</v>
      </c>
      <c r="B10" s="128" t="str">
        <f>INDEX(Erfassung4!$AA:$AA,MATCH($A10,Erfassung4!$BR:$BR,0)-17)</f>
        <v>SG Rottendorf 1</v>
      </c>
      <c r="C10" s="129">
        <f>INDEX(Erfassung4!AC:AC,MATCH($A10,Erfassung4!$BR:$BR,0)-1)</f>
        <v>683</v>
      </c>
      <c r="D10" s="130">
        <f>INDEX(Erfassung4!AD:AD,MATCH($A10,Erfassung4!$BR:$BR,0))</f>
        <v>4.5</v>
      </c>
      <c r="E10" s="129">
        <f>INDEX(Erfassung4!AE:AE,MATCH($A10,Erfassung4!$BR:$BR,0)-1)</f>
        <v>789</v>
      </c>
      <c r="F10" s="130">
        <f>INDEX(Erfassung4!AF:AF,MATCH($A10,Erfassung4!$BR:$BR,0))</f>
        <v>6</v>
      </c>
      <c r="G10" s="129">
        <f>INDEX(Erfassung4!AG:AG,MATCH($A10,Erfassung4!$BR:$BR,0)-1)</f>
        <v>658</v>
      </c>
      <c r="H10" s="130">
        <f>INDEX(Erfassung4!AH:AH,MATCH($A10,Erfassung4!$BR:$BR,0))</f>
        <v>2</v>
      </c>
      <c r="I10" s="129">
        <f>INDEX(Erfassung4!AI:AI,MATCH($A10,Erfassung4!$BR:$BR,0)-1)</f>
        <v>867</v>
      </c>
      <c r="J10" s="130">
        <f>INDEX(Erfassung4!AJ:AJ,MATCH($A10,Erfassung4!$BR:$BR,0))</f>
        <v>5</v>
      </c>
      <c r="K10" s="129">
        <f>INDEX(Erfassung4!AK:AK,MATCH($A10,Erfassung4!$BR:$BR,0)-1)</f>
        <v>665</v>
      </c>
      <c r="L10" s="130">
        <f>INDEX(Erfassung4!AL:AL,MATCH($A10,Erfassung4!$BR:$BR,0))</f>
        <v>1</v>
      </c>
      <c r="M10" s="129">
        <f>INDEX(Erfassung4!AM:AM,MATCH($A10,Erfassung4!$BR:$BR,0)-1)</f>
        <v>700</v>
      </c>
      <c r="N10" s="130">
        <f>INDEX(Erfassung4!AN:AN,MATCH($A10,Erfassung4!$BR:$BR,0))</f>
        <v>1.5</v>
      </c>
      <c r="O10" s="129">
        <f>INDEX(Erfassung4!AO:AO,MATCH($A10,Erfassung4!$BR:$BR,0)-1)</f>
        <v>701</v>
      </c>
      <c r="P10" s="130">
        <f>INDEX(Erfassung4!AP:AP,MATCH($A10,Erfassung4!$BR:$BR,0))</f>
        <v>2</v>
      </c>
      <c r="Q10" s="129">
        <f>INDEX(Erfassung4!AQ:AQ,MATCH($A10,Erfassung4!$BR:$BR,0)-1)</f>
        <v>728</v>
      </c>
      <c r="R10" s="130">
        <f>INDEX(Erfassung4!AR:AR,MATCH($A10,Erfassung4!$BR:$BR,0))</f>
        <v>5</v>
      </c>
      <c r="S10" s="129">
        <f>INDEX(Erfassung4!AS:AS,MATCH($A10,Erfassung4!$BR:$BR,0)-1)</f>
        <v>710</v>
      </c>
      <c r="T10" s="130">
        <f>INDEX(Erfassung4!AT:AT,MATCH($A10,Erfassung4!$BR:$BR,0))</f>
        <v>5</v>
      </c>
      <c r="U10" s="131">
        <f t="shared" si="0"/>
        <v>6501</v>
      </c>
      <c r="V10" s="132">
        <f t="shared" si="0"/>
        <v>32</v>
      </c>
      <c r="W10" s="224">
        <f>IFERROR(U10/INDEX(Erfassung4!BF:BF,MATCH(A10,Erfassung4!BR:BR,0)),0)</f>
        <v>180.58333333333334</v>
      </c>
      <c r="X10" s="25"/>
      <c r="AA10" s="225">
        <f>INDEX(TabGes3!I:I,MATCH($B10,TabGes3!$B:$B,0))+U10</f>
        <v>26626</v>
      </c>
      <c r="AB10" s="225">
        <f>INDEX(TabGes3!J:J,MATCH($B10,TabGes3!$B:$B,0))+V10</f>
        <v>108.5</v>
      </c>
      <c r="AC10" s="215">
        <f t="shared" si="1"/>
        <v>108.50002662599999</v>
      </c>
      <c r="AD10" s="215">
        <f t="shared" si="2"/>
        <v>5</v>
      </c>
      <c r="AE10" s="215">
        <f>INDEX(Tabelle3!AE:AE,MATCH(B10,Tabelle3!B:B,0))+SUMIF(Erfassung4!BU:BU,B10,Erfassung4!BF:BF)</f>
        <v>143</v>
      </c>
    </row>
    <row r="11" spans="1:31" ht="42" customHeight="1" thickBot="1" x14ac:dyDescent="0.3">
      <c r="A11" s="223">
        <v>5</v>
      </c>
      <c r="B11" s="128" t="str">
        <f>INDEX(Erfassung4!$AA:$AA,MATCH($A11,Erfassung4!$BR:$BR,0)-17)</f>
        <v>BC EMAX Unterföhring 2</v>
      </c>
      <c r="C11" s="129">
        <f>INDEX(Erfassung4!AC:AC,MATCH($A11,Erfassung4!$BR:$BR,0)-1)</f>
        <v>820</v>
      </c>
      <c r="D11" s="130">
        <f>INDEX(Erfassung4!AD:AD,MATCH($A11,Erfassung4!$BR:$BR,0))</f>
        <v>4</v>
      </c>
      <c r="E11" s="129">
        <f>INDEX(Erfassung4!AE:AE,MATCH($A11,Erfassung4!$BR:$BR,0)-1)</f>
        <v>774</v>
      </c>
      <c r="F11" s="130">
        <f>INDEX(Erfassung4!AF:AF,MATCH($A11,Erfassung4!$BR:$BR,0))</f>
        <v>4</v>
      </c>
      <c r="G11" s="129">
        <f>INDEX(Erfassung4!AG:AG,MATCH($A11,Erfassung4!$BR:$BR,0)-1)</f>
        <v>669</v>
      </c>
      <c r="H11" s="130">
        <f>INDEX(Erfassung4!AH:AH,MATCH($A11,Erfassung4!$BR:$BR,0))</f>
        <v>4</v>
      </c>
      <c r="I11" s="129">
        <f>INDEX(Erfassung4!AI:AI,MATCH($A11,Erfassung4!$BR:$BR,0)-1)</f>
        <v>662</v>
      </c>
      <c r="J11" s="130">
        <f>INDEX(Erfassung4!AJ:AJ,MATCH($A11,Erfassung4!$BR:$BR,0))</f>
        <v>2</v>
      </c>
      <c r="K11" s="129">
        <f>INDEX(Erfassung4!AK:AK,MATCH($A11,Erfassung4!$BR:$BR,0)-1)</f>
        <v>850</v>
      </c>
      <c r="L11" s="130">
        <f>INDEX(Erfassung4!AL:AL,MATCH($A11,Erfassung4!$BR:$BR,0))</f>
        <v>5</v>
      </c>
      <c r="M11" s="129">
        <f>INDEX(Erfassung4!AM:AM,MATCH($A11,Erfassung4!$BR:$BR,0)-1)</f>
        <v>735</v>
      </c>
      <c r="N11" s="130">
        <f>INDEX(Erfassung4!AN:AN,MATCH($A11,Erfassung4!$BR:$BR,0))</f>
        <v>4</v>
      </c>
      <c r="O11" s="129">
        <f>INDEX(Erfassung4!AO:AO,MATCH($A11,Erfassung4!$BR:$BR,0)-1)</f>
        <v>646</v>
      </c>
      <c r="P11" s="130">
        <f>INDEX(Erfassung4!AP:AP,MATCH($A11,Erfassung4!$BR:$BR,0))</f>
        <v>0</v>
      </c>
      <c r="Q11" s="129">
        <f>INDEX(Erfassung4!AQ:AQ,MATCH($A11,Erfassung4!$BR:$BR,0)-1)</f>
        <v>695</v>
      </c>
      <c r="R11" s="130">
        <f>INDEX(Erfassung4!AR:AR,MATCH($A11,Erfassung4!$BR:$BR,0))</f>
        <v>2</v>
      </c>
      <c r="S11" s="129">
        <f>INDEX(Erfassung4!AS:AS,MATCH($A11,Erfassung4!$BR:$BR,0)-1)</f>
        <v>566</v>
      </c>
      <c r="T11" s="130">
        <f>INDEX(Erfassung4!AT:AT,MATCH($A11,Erfassung4!$BR:$BR,0))</f>
        <v>2</v>
      </c>
      <c r="U11" s="131">
        <f t="shared" si="0"/>
        <v>6417</v>
      </c>
      <c r="V11" s="132">
        <f t="shared" si="0"/>
        <v>27</v>
      </c>
      <c r="W11" s="224">
        <f>IFERROR(U11/INDEX(Erfassung4!BF:BF,MATCH(A11,Erfassung4!BR:BR,0)),0)</f>
        <v>188.73529411764707</v>
      </c>
      <c r="X11" s="25"/>
      <c r="AA11" s="225">
        <f>INDEX(TabGes3!I:I,MATCH($B11,TabGes3!$B:$B,0))+U11</f>
        <v>26967</v>
      </c>
      <c r="AB11" s="225">
        <f>INDEX(TabGes3!J:J,MATCH($B11,TabGes3!$B:$B,0))+V11</f>
        <v>106.5</v>
      </c>
      <c r="AC11" s="215">
        <f t="shared" si="1"/>
        <v>106.500026967</v>
      </c>
      <c r="AD11" s="215">
        <f t="shared" si="2"/>
        <v>6</v>
      </c>
      <c r="AE11" s="215">
        <f>INDEX(Tabelle3!AE:AE,MATCH(B11,Tabelle3!B:B,0))+SUMIF(Erfassung4!BU:BU,B11,Erfassung4!BF:BF)</f>
        <v>142</v>
      </c>
    </row>
    <row r="12" spans="1:31" ht="42" customHeight="1" thickBot="1" x14ac:dyDescent="0.3">
      <c r="A12" s="223">
        <v>6</v>
      </c>
      <c r="B12" s="128" t="str">
        <f>INDEX(Erfassung4!$AA:$AA,MATCH($A12,Erfassung4!$BR:$BR,0)-17)</f>
        <v>Bajuwaren München 1</v>
      </c>
      <c r="C12" s="129">
        <f>INDEX(Erfassung4!AC:AC,MATCH($A12,Erfassung4!$BR:$BR,0)-1)</f>
        <v>672</v>
      </c>
      <c r="D12" s="130">
        <f>INDEX(Erfassung4!AD:AD,MATCH($A12,Erfassung4!$BR:$BR,0))</f>
        <v>1</v>
      </c>
      <c r="E12" s="129">
        <f>INDEX(Erfassung4!AE:AE,MATCH($A12,Erfassung4!$BR:$BR,0)-1)</f>
        <v>807</v>
      </c>
      <c r="F12" s="130">
        <f>INDEX(Erfassung4!AF:AF,MATCH($A12,Erfassung4!$BR:$BR,0))</f>
        <v>5</v>
      </c>
      <c r="G12" s="129">
        <f>INDEX(Erfassung4!AG:AG,MATCH($A12,Erfassung4!$BR:$BR,0)-1)</f>
        <v>835</v>
      </c>
      <c r="H12" s="130">
        <f>INDEX(Erfassung4!AH:AH,MATCH($A12,Erfassung4!$BR:$BR,0))</f>
        <v>5</v>
      </c>
      <c r="I12" s="129">
        <f>INDEX(Erfassung4!AI:AI,MATCH($A12,Erfassung4!$BR:$BR,0)-1)</f>
        <v>767</v>
      </c>
      <c r="J12" s="130">
        <f>INDEX(Erfassung4!AJ:AJ,MATCH($A12,Erfassung4!$BR:$BR,0))</f>
        <v>1</v>
      </c>
      <c r="K12" s="129">
        <f>INDEX(Erfassung4!AK:AK,MATCH($A12,Erfassung4!$BR:$BR,0)-1)</f>
        <v>649</v>
      </c>
      <c r="L12" s="130">
        <f>INDEX(Erfassung4!AL:AL,MATCH($A12,Erfassung4!$BR:$BR,0))</f>
        <v>4</v>
      </c>
      <c r="M12" s="129">
        <f>INDEX(Erfassung4!AM:AM,MATCH($A12,Erfassung4!$BR:$BR,0)-1)</f>
        <v>640</v>
      </c>
      <c r="N12" s="130">
        <f>INDEX(Erfassung4!AN:AN,MATCH($A12,Erfassung4!$BR:$BR,0))</f>
        <v>0</v>
      </c>
      <c r="O12" s="129">
        <f>INDEX(Erfassung4!AO:AO,MATCH($A12,Erfassung4!$BR:$BR,0)-1)</f>
        <v>739</v>
      </c>
      <c r="P12" s="130">
        <f>INDEX(Erfassung4!AP:AP,MATCH($A12,Erfassung4!$BR:$BR,0))</f>
        <v>1</v>
      </c>
      <c r="Q12" s="129">
        <f>INDEX(Erfassung4!AQ:AQ,MATCH($A12,Erfassung4!$BR:$BR,0)-1)</f>
        <v>665</v>
      </c>
      <c r="R12" s="130">
        <f>INDEX(Erfassung4!AR:AR,MATCH($A12,Erfassung4!$BR:$BR,0))</f>
        <v>0</v>
      </c>
      <c r="S12" s="129">
        <f>INDEX(Erfassung4!AS:AS,MATCH($A12,Erfassung4!$BR:$BR,0)-1)</f>
        <v>633</v>
      </c>
      <c r="T12" s="130">
        <f>INDEX(Erfassung4!AT:AT,MATCH($A12,Erfassung4!$BR:$BR,0))</f>
        <v>4</v>
      </c>
      <c r="U12" s="131">
        <f t="shared" si="0"/>
        <v>6407</v>
      </c>
      <c r="V12" s="132">
        <f t="shared" si="0"/>
        <v>21</v>
      </c>
      <c r="W12" s="224">
        <f>IFERROR(U12/INDEX(Erfassung4!BF:BF,MATCH(A12,Erfassung4!BR:BR,0)),0)</f>
        <v>177.97222222222223</v>
      </c>
      <c r="X12" s="25"/>
      <c r="AA12" s="225">
        <f>INDEX(TabGes3!I:I,MATCH($B12,TabGes3!$B:$B,0))+U12</f>
        <v>27314</v>
      </c>
      <c r="AB12" s="225">
        <f>INDEX(TabGes3!J:J,MATCH($B12,TabGes3!$B:$B,0))+V12</f>
        <v>115</v>
      </c>
      <c r="AC12" s="215">
        <f t="shared" si="1"/>
        <v>115.00002731399999</v>
      </c>
      <c r="AD12" s="215">
        <f t="shared" si="2"/>
        <v>4</v>
      </c>
      <c r="AE12" s="215">
        <f>INDEX(Tabelle3!AE:AE,MATCH(B12,Tabelle3!B:B,0))+SUMIF(Erfassung4!BU:BU,B12,Erfassung4!BF:BF)</f>
        <v>144</v>
      </c>
    </row>
    <row r="13" spans="1:31" ht="42" customHeight="1" thickBot="1" x14ac:dyDescent="0.3">
      <c r="A13" s="223">
        <v>7</v>
      </c>
      <c r="B13" s="128" t="str">
        <f>INDEX(Erfassung4!$AA:$AA,MATCH($A13,Erfassung4!$BR:$BR,0)-17)</f>
        <v>RW Lichtenhof Stein 1</v>
      </c>
      <c r="C13" s="129">
        <f>INDEX(Erfassung4!AC:AC,MATCH($A13,Erfassung4!$BR:$BR,0)-1)</f>
        <v>745</v>
      </c>
      <c r="D13" s="130">
        <f>INDEX(Erfassung4!AD:AD,MATCH($A13,Erfassung4!$BR:$BR,0))</f>
        <v>4</v>
      </c>
      <c r="E13" s="129">
        <f>INDEX(Erfassung4!AE:AE,MATCH($A13,Erfassung4!$BR:$BR,0)-1)</f>
        <v>697</v>
      </c>
      <c r="F13" s="130">
        <f>INDEX(Erfassung4!AF:AF,MATCH($A13,Erfassung4!$BR:$BR,0))</f>
        <v>1</v>
      </c>
      <c r="G13" s="129">
        <f>INDEX(Erfassung4!AG:AG,MATCH($A13,Erfassung4!$BR:$BR,0)-1)</f>
        <v>689</v>
      </c>
      <c r="H13" s="130">
        <f>INDEX(Erfassung4!AH:AH,MATCH($A13,Erfassung4!$BR:$BR,0))</f>
        <v>0</v>
      </c>
      <c r="I13" s="129">
        <f>INDEX(Erfassung4!AI:AI,MATCH($A13,Erfassung4!$BR:$BR,0)-1)</f>
        <v>707</v>
      </c>
      <c r="J13" s="130">
        <f>INDEX(Erfassung4!AJ:AJ,MATCH($A13,Erfassung4!$BR:$BR,0))</f>
        <v>4</v>
      </c>
      <c r="K13" s="129">
        <f>INDEX(Erfassung4!AK:AK,MATCH($A13,Erfassung4!$BR:$BR,0)-1)</f>
        <v>641</v>
      </c>
      <c r="L13" s="130">
        <f>INDEX(Erfassung4!AL:AL,MATCH($A13,Erfassung4!$BR:$BR,0))</f>
        <v>1</v>
      </c>
      <c r="M13" s="129">
        <f>INDEX(Erfassung4!AM:AM,MATCH($A13,Erfassung4!$BR:$BR,0)-1)</f>
        <v>740</v>
      </c>
      <c r="N13" s="130">
        <f>INDEX(Erfassung4!AN:AN,MATCH($A13,Erfassung4!$BR:$BR,0))</f>
        <v>5</v>
      </c>
      <c r="O13" s="129">
        <f>INDEX(Erfassung4!AO:AO,MATCH($A13,Erfassung4!$BR:$BR,0)-1)</f>
        <v>770</v>
      </c>
      <c r="P13" s="130">
        <f>INDEX(Erfassung4!AP:AP,MATCH($A13,Erfassung4!$BR:$BR,0))</f>
        <v>4</v>
      </c>
      <c r="Q13" s="129">
        <f>INDEX(Erfassung4!AQ:AQ,MATCH($A13,Erfassung4!$BR:$BR,0)-1)</f>
        <v>660</v>
      </c>
      <c r="R13" s="130">
        <f>INDEX(Erfassung4!AR:AR,MATCH($A13,Erfassung4!$BR:$BR,0))</f>
        <v>1</v>
      </c>
      <c r="S13" s="129">
        <f>INDEX(Erfassung4!AS:AS,MATCH($A13,Erfassung4!$BR:$BR,0)-1)</f>
        <v>687</v>
      </c>
      <c r="T13" s="130">
        <f>INDEX(Erfassung4!AT:AT,MATCH($A13,Erfassung4!$BR:$BR,0))</f>
        <v>0</v>
      </c>
      <c r="U13" s="131">
        <f t="shared" si="0"/>
        <v>6336</v>
      </c>
      <c r="V13" s="132">
        <f t="shared" si="0"/>
        <v>20</v>
      </c>
      <c r="W13" s="224">
        <f>IFERROR(U13/INDEX(Erfassung4!BF:BF,MATCH(A13,Erfassung4!BR:BR,0)),0)</f>
        <v>176</v>
      </c>
      <c r="X13" s="25"/>
      <c r="AA13" s="225">
        <f>INDEX(TabGes3!I:I,MATCH($B13,TabGes3!$B:$B,0))+U13</f>
        <v>26044</v>
      </c>
      <c r="AB13" s="225">
        <f>INDEX(TabGes3!J:J,MATCH($B13,TabGes3!$B:$B,0))+V13</f>
        <v>72.5</v>
      </c>
      <c r="AC13" s="215">
        <f t="shared" si="1"/>
        <v>72.500026043999995</v>
      </c>
      <c r="AD13" s="215">
        <f t="shared" si="2"/>
        <v>10</v>
      </c>
      <c r="AE13" s="215">
        <f>INDEX(Tabelle3!AE:AE,MATCH(B13,Tabelle3!B:B,0))+SUMIF(Erfassung4!BU:BU,B13,Erfassung4!BF:BF)</f>
        <v>144</v>
      </c>
    </row>
    <row r="14" spans="1:31" ht="42" customHeight="1" thickBot="1" x14ac:dyDescent="0.3">
      <c r="A14" s="223">
        <v>8</v>
      </c>
      <c r="B14" s="128" t="str">
        <f>INDEX(Erfassung4!$AA:$AA,MATCH($A14,Erfassung4!$BR:$BR,0)-17)</f>
        <v>High Roller Rosenheim 1</v>
      </c>
      <c r="C14" s="129">
        <f>INDEX(Erfassung4!AC:AC,MATCH($A14,Erfassung4!$BR:$BR,0)-1)</f>
        <v>671</v>
      </c>
      <c r="D14" s="130">
        <f>INDEX(Erfassung4!AD:AD,MATCH($A14,Erfassung4!$BR:$BR,0))</f>
        <v>2</v>
      </c>
      <c r="E14" s="129">
        <f>INDEX(Erfassung4!AE:AE,MATCH($A14,Erfassung4!$BR:$BR,0)-1)</f>
        <v>664</v>
      </c>
      <c r="F14" s="130">
        <f>INDEX(Erfassung4!AF:AF,MATCH($A14,Erfassung4!$BR:$BR,0))</f>
        <v>0</v>
      </c>
      <c r="G14" s="129">
        <f>INDEX(Erfassung4!AG:AG,MATCH($A14,Erfassung4!$BR:$BR,0)-1)</f>
        <v>650</v>
      </c>
      <c r="H14" s="130">
        <f>INDEX(Erfassung4!AH:AH,MATCH($A14,Erfassung4!$BR:$BR,0))</f>
        <v>1</v>
      </c>
      <c r="I14" s="129">
        <f>INDEX(Erfassung4!AI:AI,MATCH($A14,Erfassung4!$BR:$BR,0)-1)</f>
        <v>704</v>
      </c>
      <c r="J14" s="130">
        <f>INDEX(Erfassung4!AJ:AJ,MATCH($A14,Erfassung4!$BR:$BR,0))</f>
        <v>2</v>
      </c>
      <c r="K14" s="129">
        <f>INDEX(Erfassung4!AK:AK,MATCH($A14,Erfassung4!$BR:$BR,0)-1)</f>
        <v>706</v>
      </c>
      <c r="L14" s="130">
        <f>INDEX(Erfassung4!AL:AL,MATCH($A14,Erfassung4!$BR:$BR,0))</f>
        <v>5</v>
      </c>
      <c r="M14" s="129">
        <f>INDEX(Erfassung4!AM:AM,MATCH($A14,Erfassung4!$BR:$BR,0)-1)</f>
        <v>696</v>
      </c>
      <c r="N14" s="130">
        <f>INDEX(Erfassung4!AN:AN,MATCH($A14,Erfassung4!$BR:$BR,0))</f>
        <v>2</v>
      </c>
      <c r="O14" s="129">
        <f>INDEX(Erfassung4!AO:AO,MATCH($A14,Erfassung4!$BR:$BR,0)-1)</f>
        <v>670</v>
      </c>
      <c r="P14" s="130">
        <f>INDEX(Erfassung4!AP:AP,MATCH($A14,Erfassung4!$BR:$BR,0))</f>
        <v>1</v>
      </c>
      <c r="Q14" s="129">
        <f>INDEX(Erfassung4!AQ:AQ,MATCH($A14,Erfassung4!$BR:$BR,0)-1)</f>
        <v>731</v>
      </c>
      <c r="R14" s="130">
        <f>INDEX(Erfassung4!AR:AR,MATCH($A14,Erfassung4!$BR:$BR,0))</f>
        <v>6</v>
      </c>
      <c r="S14" s="129">
        <f>INDEX(Erfassung4!AS:AS,MATCH($A14,Erfassung4!$BR:$BR,0)-1)</f>
        <v>660</v>
      </c>
      <c r="T14" s="130">
        <f>INDEX(Erfassung4!AT:AT,MATCH($A14,Erfassung4!$BR:$BR,0))</f>
        <v>1</v>
      </c>
      <c r="U14" s="131">
        <f t="shared" si="0"/>
        <v>6152</v>
      </c>
      <c r="V14" s="132">
        <f t="shared" si="0"/>
        <v>20</v>
      </c>
      <c r="W14" s="224">
        <f>IFERROR(U14/INDEX(Erfassung4!BF:BF,MATCH(A14,Erfassung4!BR:BR,0)),0)</f>
        <v>170.88888888888889</v>
      </c>
      <c r="X14" s="25"/>
      <c r="AA14" s="225">
        <f>INDEX(TabGes3!I:I,MATCH($B14,TabGes3!$B:$B,0))+U14</f>
        <v>25996</v>
      </c>
      <c r="AB14" s="225">
        <f>INDEX(TabGes3!J:J,MATCH($B14,TabGes3!$B:$B,0))+V14</f>
        <v>86.5</v>
      </c>
      <c r="AC14" s="215">
        <f t="shared" si="1"/>
        <v>86.500025996000005</v>
      </c>
      <c r="AD14" s="215">
        <f t="shared" si="2"/>
        <v>8</v>
      </c>
      <c r="AE14" s="215">
        <f>INDEX(Tabelle3!AE:AE,MATCH(B14,Tabelle3!B:B,0))+SUMIF(Erfassung4!BU:BU,B14,Erfassung4!BF:BF)</f>
        <v>144</v>
      </c>
    </row>
    <row r="15" spans="1:31" ht="42" customHeight="1" thickBot="1" x14ac:dyDescent="0.3">
      <c r="A15" s="223">
        <v>9</v>
      </c>
      <c r="B15" s="128" t="str">
        <f>INDEX(Erfassung4!$AA:$AA,MATCH($A15,Erfassung4!$BR:$BR,0)-17)</f>
        <v>Bowlinghaus Bamberg 1</v>
      </c>
      <c r="C15" s="129">
        <f>INDEX(Erfassung4!AC:AC,MATCH($A15,Erfassung4!$BR:$BR,0)-1)</f>
        <v>646</v>
      </c>
      <c r="D15" s="130">
        <f>INDEX(Erfassung4!AD:AD,MATCH($A15,Erfassung4!$BR:$BR,0))</f>
        <v>1.5</v>
      </c>
      <c r="E15" s="129">
        <f>INDEX(Erfassung4!AE:AE,MATCH($A15,Erfassung4!$BR:$BR,0)-1)</f>
        <v>816</v>
      </c>
      <c r="F15" s="130">
        <f>INDEX(Erfassung4!AF:AF,MATCH($A15,Erfassung4!$BR:$BR,0))</f>
        <v>2</v>
      </c>
      <c r="G15" s="129">
        <f>INDEX(Erfassung4!AG:AG,MATCH($A15,Erfassung4!$BR:$BR,0)-1)</f>
        <v>729</v>
      </c>
      <c r="H15" s="130">
        <f>INDEX(Erfassung4!AH:AH,MATCH($A15,Erfassung4!$BR:$BR,0))</f>
        <v>1</v>
      </c>
      <c r="I15" s="129">
        <f>INDEX(Erfassung4!AI:AI,MATCH($A15,Erfassung4!$BR:$BR,0)-1)</f>
        <v>725</v>
      </c>
      <c r="J15" s="130">
        <f>INDEX(Erfassung4!AJ:AJ,MATCH($A15,Erfassung4!$BR:$BR,0))</f>
        <v>4</v>
      </c>
      <c r="K15" s="129">
        <f>INDEX(Erfassung4!AK:AK,MATCH($A15,Erfassung4!$BR:$BR,0)-1)</f>
        <v>715</v>
      </c>
      <c r="L15" s="130">
        <f>INDEX(Erfassung4!AL:AL,MATCH($A15,Erfassung4!$BR:$BR,0))</f>
        <v>1</v>
      </c>
      <c r="M15" s="129">
        <f>INDEX(Erfassung4!AM:AM,MATCH($A15,Erfassung4!$BR:$BR,0)-1)</f>
        <v>693</v>
      </c>
      <c r="N15" s="130">
        <f>INDEX(Erfassung4!AN:AN,MATCH($A15,Erfassung4!$BR:$BR,0))</f>
        <v>1</v>
      </c>
      <c r="O15" s="129">
        <f>INDEX(Erfassung4!AO:AO,MATCH($A15,Erfassung4!$BR:$BR,0)-1)</f>
        <v>739</v>
      </c>
      <c r="P15" s="130">
        <f>INDEX(Erfassung4!AP:AP,MATCH($A15,Erfassung4!$BR:$BR,0))</f>
        <v>1</v>
      </c>
      <c r="Q15" s="129">
        <f>INDEX(Erfassung4!AQ:AQ,MATCH($A15,Erfassung4!$BR:$BR,0)-1)</f>
        <v>733</v>
      </c>
      <c r="R15" s="130">
        <f>INDEX(Erfassung4!AR:AR,MATCH($A15,Erfassung4!$BR:$BR,0))</f>
        <v>4</v>
      </c>
      <c r="S15" s="129">
        <f>INDEX(Erfassung4!AS:AS,MATCH($A15,Erfassung4!$BR:$BR,0)-1)</f>
        <v>719</v>
      </c>
      <c r="T15" s="130">
        <f>INDEX(Erfassung4!AT:AT,MATCH($A15,Erfassung4!$BR:$BR,0))</f>
        <v>3</v>
      </c>
      <c r="U15" s="131">
        <f t="shared" si="0"/>
        <v>6515</v>
      </c>
      <c r="V15" s="132">
        <f t="shared" si="0"/>
        <v>18.5</v>
      </c>
      <c r="W15" s="224">
        <f>IFERROR(U15/INDEX(Erfassung4!BF:BF,MATCH(A15,Erfassung4!BR:BR,0)),0)</f>
        <v>180.97222222222223</v>
      </c>
      <c r="X15" s="25"/>
      <c r="AA15" s="225">
        <f>INDEX(TabGes3!I:I,MATCH($B15,TabGes3!$B:$B,0))+U15</f>
        <v>27287</v>
      </c>
      <c r="AB15" s="225">
        <f>INDEX(TabGes3!J:J,MATCH($B15,TabGes3!$B:$B,0))+V15</f>
        <v>104.5</v>
      </c>
      <c r="AC15" s="215">
        <f t="shared" si="1"/>
        <v>104.50002728699999</v>
      </c>
      <c r="AD15" s="215">
        <f t="shared" si="2"/>
        <v>7</v>
      </c>
      <c r="AE15" s="215">
        <f>INDEX(Tabelle3!AE:AE,MATCH(B15,Tabelle3!B:B,0))+SUMIF(Erfassung4!BU:BU,B15,Erfassung4!BF:BF)</f>
        <v>144</v>
      </c>
    </row>
    <row r="16" spans="1:31" ht="42" customHeight="1" thickBot="1" x14ac:dyDescent="0.3">
      <c r="A16" s="223">
        <v>10</v>
      </c>
      <c r="B16" s="128" t="str">
        <f>INDEX(Erfassung4!$AA:$AA,MATCH($A16,Erfassung4!$BR:$BR,0)-17)</f>
        <v>Schanzer Ingolstadt 1</v>
      </c>
      <c r="C16" s="129">
        <f>INDEX(Erfassung4!AC:AC,MATCH($A16,Erfassung4!$BR:$BR,0)-1)</f>
        <v>643</v>
      </c>
      <c r="D16" s="130">
        <f>INDEX(Erfassung4!AD:AD,MATCH($A16,Erfassung4!$BR:$BR,0))</f>
        <v>2</v>
      </c>
      <c r="E16" s="129">
        <f>INDEX(Erfassung4!AE:AE,MATCH($A16,Erfassung4!$BR:$BR,0)-1)</f>
        <v>747</v>
      </c>
      <c r="F16" s="130">
        <f>INDEX(Erfassung4!AF:AF,MATCH($A16,Erfassung4!$BR:$BR,0))</f>
        <v>2</v>
      </c>
      <c r="G16" s="129">
        <f>INDEX(Erfassung4!AG:AG,MATCH($A16,Erfassung4!$BR:$BR,0)-1)</f>
        <v>648</v>
      </c>
      <c r="H16" s="130">
        <f>INDEX(Erfassung4!AH:AH,MATCH($A16,Erfassung4!$BR:$BR,0))</f>
        <v>0</v>
      </c>
      <c r="I16" s="129">
        <f>INDEX(Erfassung4!AI:AI,MATCH($A16,Erfassung4!$BR:$BR,0)-1)</f>
        <v>637</v>
      </c>
      <c r="J16" s="130">
        <f>INDEX(Erfassung4!AJ:AJ,MATCH($A16,Erfassung4!$BR:$BR,0))</f>
        <v>1</v>
      </c>
      <c r="K16" s="129">
        <f>INDEX(Erfassung4!AK:AK,MATCH($A16,Erfassung4!$BR:$BR,0)-1)</f>
        <v>599</v>
      </c>
      <c r="L16" s="130">
        <f>INDEX(Erfassung4!AL:AL,MATCH($A16,Erfassung4!$BR:$BR,0))</f>
        <v>2</v>
      </c>
      <c r="M16" s="129">
        <f>INDEX(Erfassung4!AM:AM,MATCH($A16,Erfassung4!$BR:$BR,0)-1)</f>
        <v>748</v>
      </c>
      <c r="N16" s="130">
        <f>INDEX(Erfassung4!AN:AN,MATCH($A16,Erfassung4!$BR:$BR,0))</f>
        <v>1</v>
      </c>
      <c r="O16" s="129">
        <f>INDEX(Erfassung4!AO:AO,MATCH($A16,Erfassung4!$BR:$BR,0)-1)</f>
        <v>749</v>
      </c>
      <c r="P16" s="130">
        <f>INDEX(Erfassung4!AP:AP,MATCH($A16,Erfassung4!$BR:$BR,0))</f>
        <v>5</v>
      </c>
      <c r="Q16" s="129">
        <f>INDEX(Erfassung4!AQ:AQ,MATCH($A16,Erfassung4!$BR:$BR,0)-1)</f>
        <v>603</v>
      </c>
      <c r="R16" s="130">
        <f>INDEX(Erfassung4!AR:AR,MATCH($A16,Erfassung4!$BR:$BR,0))</f>
        <v>1</v>
      </c>
      <c r="S16" s="129">
        <f>INDEX(Erfassung4!AS:AS,MATCH($A16,Erfassung4!$BR:$BR,0)-1)</f>
        <v>748</v>
      </c>
      <c r="T16" s="130">
        <f>INDEX(Erfassung4!AT:AT,MATCH($A16,Erfassung4!$BR:$BR,0))</f>
        <v>3</v>
      </c>
      <c r="U16" s="131">
        <f t="shared" si="0"/>
        <v>6122</v>
      </c>
      <c r="V16" s="132">
        <f t="shared" si="0"/>
        <v>17</v>
      </c>
      <c r="W16" s="224">
        <f>IFERROR(U16/INDEX(Erfassung4!BF:BF,MATCH(A16,Erfassung4!BR:BR,0)),0)</f>
        <v>170.05555555555554</v>
      </c>
      <c r="X16" s="25"/>
      <c r="AA16" s="225">
        <f>INDEX(TabGes3!I:I,MATCH($B16,TabGes3!$B:$B,0))+U16</f>
        <v>25416</v>
      </c>
      <c r="AB16" s="225">
        <f>INDEX(TabGes3!J:J,MATCH($B16,TabGes3!$B:$B,0))+V16</f>
        <v>85</v>
      </c>
      <c r="AC16" s="215">
        <f t="shared" si="1"/>
        <v>85.000025416</v>
      </c>
      <c r="AD16" s="215">
        <f t="shared" si="2"/>
        <v>9</v>
      </c>
      <c r="AE16" s="215">
        <f>INDEX(Tabelle3!AE:AE,MATCH(B16,Tabelle3!B:B,0))+SUMIF(Erfassung4!BU:BU,B16,Erfassung4!BF:BF)</f>
        <v>144</v>
      </c>
    </row>
    <row r="19" spans="2:23" ht="15.6" x14ac:dyDescent="0.3">
      <c r="B19" s="382" t="s">
        <v>1827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3"/>
      <c r="V19" s="383"/>
      <c r="W19" s="383"/>
    </row>
    <row r="20" spans="2:23" x14ac:dyDescent="0.25">
      <c r="C20" s="383"/>
      <c r="D20" s="383"/>
      <c r="E20" s="383"/>
      <c r="F20" s="383"/>
      <c r="G20" s="383"/>
      <c r="H20" s="383"/>
    </row>
    <row r="21" spans="2:23" x14ac:dyDescent="0.25">
      <c r="B21" s="166" t="s">
        <v>1826</v>
      </c>
      <c r="C21" t="str">
        <f>IFERROR(INDEX(Erfassung4!AA:AA,MATCH(1,Erfassung4!BV:BV,0)),"")</f>
        <v>Schütze, Oliver</v>
      </c>
      <c r="H21" t="str">
        <f>INDEX(Erfassung4!BU:BU,MATCH(C21,Erfassung4!AA:AA,0))</f>
        <v>Schanzer Ingolstadt 1</v>
      </c>
      <c r="N21" s="133">
        <f>IFERROR(ROUND(INDEX(Erfassung4!BT:BT,MATCH(1,Erfassung4!BV:BV,0)),0),"")</f>
        <v>268</v>
      </c>
    </row>
    <row r="22" spans="2:23" x14ac:dyDescent="0.25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x14ac:dyDescent="0.25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x14ac:dyDescent="0.25">
      <c r="B24" s="166" t="s">
        <v>1828</v>
      </c>
      <c r="C24" t="str">
        <f>IFERROR(INDEX(Erfassung4!AA:AA,MATCH(1,Erfassung4!BZ:BZ,0)),"")</f>
        <v>Michow, André</v>
      </c>
      <c r="H24" t="str">
        <f>INDEX(Erfassung4!BU:BU,MATCH(C24,Erfassung4!AA:AA,0))</f>
        <v>BK München 3</v>
      </c>
      <c r="N24" s="384" t="str">
        <f>IFERROR(ROUND(INDEX(Erfassung4!BW:BW,MATCH(1,Erfassung4!BZ:BZ,0)),0),"")&amp;"  /  "&amp;ROUND(IFERROR(ROUND(INDEX(Erfassung4!BW:BW,MATCH(1,Erfassung4!BZ:BZ,0)),0),"")/9,2)</f>
        <v>1971  /  219</v>
      </c>
      <c r="O24" s="384"/>
      <c r="P24" s="384"/>
    </row>
    <row r="25" spans="2:23" x14ac:dyDescent="0.25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25">
      <c r="C26" t="str">
        <f>IF(N26="","",IFERROR(INDEX(Erfassung4!AA:AA,MATCH(3,Erfassung4!BZ:BZ,0)),""))</f>
        <v/>
      </c>
      <c r="E26" s="2"/>
      <c r="H26" t="str">
        <f>IF(C26="","",INDEX(Erfassung4!BU:BU,MATCH(C26,Erfassung4!AA:AA,0)))</f>
        <v/>
      </c>
      <c r="N26" s="134" t="str">
        <f>IF(IFERROR(ROUND(INDEX(Erfassung4!BW:BW,MATCH(3,Erfassung4!BZ:BZ,0)),0),0)=0,"",IFERROR(ROUND(INDEX(Erfassung4!BW:BW,MATCH(3,Erfassung4!BZ:BZ,0)),0),0))</f>
        <v/>
      </c>
    </row>
  </sheetData>
  <sheetProtection password="D19C" sheet="1" formatCells="0" formatColumns="0" formatRows="0"/>
  <mergeCells count="20">
    <mergeCell ref="C20:H20"/>
    <mergeCell ref="Q5:R5"/>
    <mergeCell ref="S5:T5"/>
    <mergeCell ref="U5:V5"/>
    <mergeCell ref="N24:P24"/>
    <mergeCell ref="B19:T19"/>
    <mergeCell ref="U19:W19"/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</mergeCells>
  <conditionalFormatting sqref="C7:T16">
    <cfRule type="top10" dxfId="7" priority="1" stopIfTrue="1" rank="1"/>
  </conditionalFormatting>
  <conditionalFormatting sqref="U7:U16">
    <cfRule type="top10" dxfId="6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topLeftCell="A4"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6" width="8.6640625" customWidth="1"/>
    <col min="7" max="7" width="7.77734375" customWidth="1"/>
    <col min="8" max="8" width="8.88671875" customWidth="1"/>
    <col min="9" max="9" width="8.6640625" customWidth="1"/>
    <col min="10" max="10" width="11.109375" customWidth="1"/>
    <col min="11" max="11" width="13.44140625" customWidth="1"/>
    <col min="12" max="12" width="9.44140625" customWidth="1"/>
    <col min="14" max="14" width="6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6" t="str">
        <f>"Saison "&amp;Spielorte!C18&amp;"     -     Spieltag "&amp;Erfassung4!AS2&amp;"     -     "&amp;Erfassung4!AT1</f>
        <v>Saison 2024/2025     -     Spieltag 4     -     15.02./16.02.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6" t="s">
        <v>2082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3"/>
      <c r="E4" s="393"/>
      <c r="F4" s="393"/>
      <c r="G4" s="393"/>
      <c r="H4" s="393"/>
      <c r="I4" s="393"/>
      <c r="J4" s="393"/>
      <c r="K4" s="393"/>
      <c r="L4" s="30"/>
      <c r="M4" s="27"/>
    </row>
    <row r="5" spans="1:31" x14ac:dyDescent="0.25">
      <c r="A5" s="389" t="s">
        <v>1816</v>
      </c>
      <c r="B5" s="391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1" t="s">
        <v>1823</v>
      </c>
      <c r="J5" s="380"/>
      <c r="K5" s="379" t="s">
        <v>1799</v>
      </c>
      <c r="L5" s="380"/>
      <c r="M5" s="387" t="s">
        <v>1818</v>
      </c>
    </row>
    <row r="6" spans="1:31" ht="13.8" thickBot="1" x14ac:dyDescent="0.3">
      <c r="A6" s="390"/>
      <c r="B6" s="392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8"/>
    </row>
    <row r="7" spans="1:31" ht="42" customHeight="1" thickBot="1" x14ac:dyDescent="0.3">
      <c r="A7" s="34">
        <v>1</v>
      </c>
      <c r="B7" s="128" t="str">
        <f>INDEX(Tabelle4!B:B,MATCH(A7,Tabelle4!AD:AD,0))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5">
        <f>INDEX(Tabelle4!U:U,MATCH(B7,Tabelle4!B:B,0))</f>
        <v>6969</v>
      </c>
      <c r="J7" s="38">
        <f>INDEX(Tabelle4!V:V,MATCH(B7,Tabelle4!B:B,0))</f>
        <v>42</v>
      </c>
      <c r="K7" s="41">
        <f t="shared" ref="K7:K16" si="0">SUM(C7+E7+G7+I7)</f>
        <v>28608</v>
      </c>
      <c r="L7" s="40">
        <f t="shared" ref="L7:L16" si="1">SUM(D7+F7+H7+J7)</f>
        <v>144.5</v>
      </c>
      <c r="M7" s="37">
        <f>K7/INDEX(Tabelle4!$AE:$AE,MATCH($B7,Tabelle4!$B:$B,0))</f>
        <v>198.66666666666666</v>
      </c>
      <c r="N7" s="25"/>
    </row>
    <row r="8" spans="1:31" ht="42" customHeight="1" thickBot="1" x14ac:dyDescent="0.3">
      <c r="A8" s="34">
        <v>2</v>
      </c>
      <c r="B8" s="128" t="str">
        <f>INDEX(Tabelle4!B:B,MATCH(A8,Tabelle4!AD:AD,0))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5">
        <f>INDEX(Tabelle4!U:U,MATCH(B8,Tabelle4!B:B,0))</f>
        <v>6972</v>
      </c>
      <c r="J8" s="38">
        <f>INDEX(Tabelle4!V:V,MATCH(B8,Tabelle4!B:B,0))</f>
        <v>33</v>
      </c>
      <c r="K8" s="41">
        <f t="shared" si="0"/>
        <v>28368</v>
      </c>
      <c r="L8" s="40">
        <f t="shared" si="1"/>
        <v>129.5</v>
      </c>
      <c r="M8" s="37">
        <f>K8/INDEX(Tabelle4!$AE:$AE,MATCH($B8,Tabelle4!$B:$B,0))</f>
        <v>197</v>
      </c>
      <c r="N8" s="25"/>
    </row>
    <row r="9" spans="1:31" ht="42" customHeight="1" thickBot="1" x14ac:dyDescent="0.3">
      <c r="A9" s="34">
        <v>3</v>
      </c>
      <c r="B9" s="128" t="str">
        <f>INDEX(Tabelle4!B:B,MATCH(A9,Tabelle4!AD:AD,0))</f>
        <v>BK München 3</v>
      </c>
      <c r="C9" s="35">
        <f>INDEX(Tabelle1!U:U,MATCH(B9,Tabelle1!B:B,0))</f>
        <v>7670</v>
      </c>
      <c r="D9" s="36">
        <f>INDEX(Tabelle1!V:V,MATCH(B9,Tabelle1!B:B,0))</f>
        <v>35</v>
      </c>
      <c r="E9" s="35">
        <f>INDEX(Tabelle2!U:U,MATCH(B9,Tabelle2!B:B,0))</f>
        <v>6866</v>
      </c>
      <c r="F9" s="36">
        <f>INDEX(Tabelle2!V:V,MATCH(B9,Tabelle2!B:B,0))</f>
        <v>25</v>
      </c>
      <c r="G9" s="35">
        <f>INDEX(Tabelle3!U:U,MATCH(B9,Tabelle3!B:B,0))</f>
        <v>6898</v>
      </c>
      <c r="H9" s="38">
        <f>INDEX(Tabelle3!V:V,MATCH(B9,Tabelle3!B:B,0))</f>
        <v>28</v>
      </c>
      <c r="I9" s="35">
        <f>INDEX(Tabelle4!U:U,MATCH(B9,Tabelle4!B:B,0))</f>
        <v>7173</v>
      </c>
      <c r="J9" s="38">
        <f>INDEX(Tabelle4!V:V,MATCH(B9,Tabelle4!B:B,0))</f>
        <v>39.5</v>
      </c>
      <c r="K9" s="41">
        <f t="shared" si="0"/>
        <v>28607</v>
      </c>
      <c r="L9" s="40">
        <f t="shared" si="1"/>
        <v>127.5</v>
      </c>
      <c r="M9" s="37">
        <f>K9/INDEX(Tabelle4!$AE:$AE,MATCH($B9,Tabelle4!$B:$B,0))</f>
        <v>198.65972222222223</v>
      </c>
      <c r="N9" s="25"/>
    </row>
    <row r="10" spans="1:31" ht="42" customHeight="1" thickBot="1" x14ac:dyDescent="0.3">
      <c r="A10" s="34">
        <v>4</v>
      </c>
      <c r="B10" s="128" t="str">
        <f>INDEX(Tabelle4!B:B,MATCH(A10,Tabelle4!AD:AD,0))</f>
        <v>Bajuwaren München 1</v>
      </c>
      <c r="C10" s="35">
        <f>INDEX(Tabelle1!U:U,MATCH(B10,Tabelle1!B:B,0))</f>
        <v>7404</v>
      </c>
      <c r="D10" s="36">
        <f>INDEX(Tabelle1!V:V,MATCH(B10,Tabelle1!B:B,0))</f>
        <v>39</v>
      </c>
      <c r="E10" s="35">
        <f>INDEX(Tabelle2!U:U,MATCH(B10,Tabelle2!B:B,0))</f>
        <v>6704</v>
      </c>
      <c r="F10" s="36">
        <f>INDEX(Tabelle2!V:V,MATCH(B10,Tabelle2!B:B,0))</f>
        <v>26</v>
      </c>
      <c r="G10" s="35">
        <f>INDEX(Tabelle3!U:U,MATCH(B10,Tabelle3!B:B,0))</f>
        <v>6799</v>
      </c>
      <c r="H10" s="38">
        <f>INDEX(Tabelle3!V:V,MATCH(B10,Tabelle3!B:B,0))</f>
        <v>29</v>
      </c>
      <c r="I10" s="35">
        <f>INDEX(Tabelle4!U:U,MATCH(B10,Tabelle4!B:B,0))</f>
        <v>6407</v>
      </c>
      <c r="J10" s="38">
        <f>INDEX(Tabelle4!V:V,MATCH(B10,Tabelle4!B:B,0))</f>
        <v>21</v>
      </c>
      <c r="K10" s="41">
        <f t="shared" si="0"/>
        <v>27314</v>
      </c>
      <c r="L10" s="40">
        <f t="shared" si="1"/>
        <v>115</v>
      </c>
      <c r="M10" s="37">
        <f>K10/INDEX(Tabelle4!$AE:$AE,MATCH($B10,Tabelle4!$B:$B,0))</f>
        <v>189.68055555555554</v>
      </c>
      <c r="N10" s="25"/>
    </row>
    <row r="11" spans="1:31" ht="42" customHeight="1" thickBot="1" x14ac:dyDescent="0.3">
      <c r="A11" s="34">
        <v>5</v>
      </c>
      <c r="B11" s="128" t="str">
        <f>INDEX(Tabelle4!B:B,MATCH(A11,Tabelle4!AD:AD,0))</f>
        <v>SG Rottendorf 1</v>
      </c>
      <c r="C11" s="35">
        <f>INDEX(Tabelle1!U:U,MATCH(B11,Tabelle1!B:B,0))</f>
        <v>6830</v>
      </c>
      <c r="D11" s="36">
        <f>INDEX(Tabelle1!V:V,MATCH(B11,Tabelle1!B:B,0))</f>
        <v>26.5</v>
      </c>
      <c r="E11" s="35">
        <f>INDEX(Tabelle2!U:U,MATCH(B11,Tabelle2!B:B,0))</f>
        <v>6788</v>
      </c>
      <c r="F11" s="36">
        <f>INDEX(Tabelle2!V:V,MATCH(B11,Tabelle2!B:B,0))</f>
        <v>30</v>
      </c>
      <c r="G11" s="35">
        <f>INDEX(Tabelle3!U:U,MATCH(B11,Tabelle3!B:B,0))</f>
        <v>6507</v>
      </c>
      <c r="H11" s="38">
        <f>INDEX(Tabelle3!V:V,MATCH(B11,Tabelle3!B:B,0))</f>
        <v>20</v>
      </c>
      <c r="I11" s="35">
        <f>INDEX(Tabelle4!U:U,MATCH(B11,Tabelle4!B:B,0))</f>
        <v>6501</v>
      </c>
      <c r="J11" s="38">
        <f>INDEX(Tabelle4!V:V,MATCH(B11,Tabelle4!B:B,0))</f>
        <v>32</v>
      </c>
      <c r="K11" s="41">
        <f t="shared" si="0"/>
        <v>26626</v>
      </c>
      <c r="L11" s="40">
        <f t="shared" si="1"/>
        <v>108.5</v>
      </c>
      <c r="M11" s="37">
        <f>K11/INDEX(Tabelle4!$AE:$AE,MATCH($B11,Tabelle4!$B:$B,0))</f>
        <v>186.19580419580419</v>
      </c>
      <c r="N11" s="25"/>
    </row>
    <row r="12" spans="1:31" ht="42" customHeight="1" thickBot="1" x14ac:dyDescent="0.3">
      <c r="A12" s="34">
        <v>6</v>
      </c>
      <c r="B12" s="128" t="str">
        <f>INDEX(Tabelle4!B:B,MATCH(A12,Tabelle4!AD:AD,0))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5">
        <f>INDEX(Tabelle4!U:U,MATCH(B12,Tabelle4!B:B,0))</f>
        <v>6417</v>
      </c>
      <c r="J12" s="38">
        <f>INDEX(Tabelle4!V:V,MATCH(B12,Tabelle4!B:B,0))</f>
        <v>27</v>
      </c>
      <c r="K12" s="41">
        <f t="shared" si="0"/>
        <v>26967</v>
      </c>
      <c r="L12" s="40">
        <f t="shared" si="1"/>
        <v>106.5</v>
      </c>
      <c r="M12" s="37">
        <f>K12/INDEX(Tabelle4!$AE:$AE,MATCH($B12,Tabelle4!$B:$B,0))</f>
        <v>189.90845070422534</v>
      </c>
      <c r="N12" s="25"/>
    </row>
    <row r="13" spans="1:31" ht="42" customHeight="1" thickBot="1" x14ac:dyDescent="0.3">
      <c r="A13" s="34">
        <v>7</v>
      </c>
      <c r="B13" s="128" t="str">
        <f>INDEX(Tabelle4!B:B,MATCH(A13,Tabelle4!AD:AD,0))</f>
        <v>Bowlinghaus Bamberg 1</v>
      </c>
      <c r="C13" s="35">
        <f>INDEX(Tabelle1!U:U,MATCH(B13,Tabelle1!B:B,0))</f>
        <v>6986</v>
      </c>
      <c r="D13" s="36">
        <f>INDEX(Tabelle1!V:V,MATCH(B13,Tabelle1!B:B,0))</f>
        <v>28.5</v>
      </c>
      <c r="E13" s="35">
        <f>INDEX(Tabelle2!U:U,MATCH(B13,Tabelle2!B:B,0))</f>
        <v>6944</v>
      </c>
      <c r="F13" s="36">
        <f>INDEX(Tabelle2!V:V,MATCH(B13,Tabelle2!B:B,0))</f>
        <v>31.5</v>
      </c>
      <c r="G13" s="35">
        <f>INDEX(Tabelle3!U:U,MATCH(B13,Tabelle3!B:B,0))</f>
        <v>6842</v>
      </c>
      <c r="H13" s="38">
        <f>INDEX(Tabelle3!V:V,MATCH(B13,Tabelle3!B:B,0))</f>
        <v>26</v>
      </c>
      <c r="I13" s="35">
        <f>INDEX(Tabelle4!U:U,MATCH(B13,Tabelle4!B:B,0))</f>
        <v>6515</v>
      </c>
      <c r="J13" s="38">
        <f>INDEX(Tabelle4!V:V,MATCH(B13,Tabelle4!B:B,0))</f>
        <v>18.5</v>
      </c>
      <c r="K13" s="41">
        <f t="shared" si="0"/>
        <v>27287</v>
      </c>
      <c r="L13" s="40">
        <f t="shared" si="1"/>
        <v>104.5</v>
      </c>
      <c r="M13" s="37">
        <f>K13/INDEX(Tabelle4!$AE:$AE,MATCH($B13,Tabelle4!$B:$B,0))</f>
        <v>189.49305555555554</v>
      </c>
      <c r="N13" s="25"/>
    </row>
    <row r="14" spans="1:31" ht="42" customHeight="1" thickBot="1" x14ac:dyDescent="0.3">
      <c r="A14" s="34">
        <v>8</v>
      </c>
      <c r="B14" s="128" t="str">
        <f>INDEX(Tabelle4!B:B,MATCH(A14,Tabelle4!AD:AD,0))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35">
        <f>INDEX(Tabelle3!U:U,MATCH(B14,Tabelle3!B:B,0))</f>
        <v>6507</v>
      </c>
      <c r="H14" s="38">
        <f>INDEX(Tabelle3!V:V,MATCH(B14,Tabelle3!B:B,0))</f>
        <v>23</v>
      </c>
      <c r="I14" s="35">
        <f>INDEX(Tabelle4!U:U,MATCH(B14,Tabelle4!B:B,0))</f>
        <v>6152</v>
      </c>
      <c r="J14" s="38">
        <f>INDEX(Tabelle4!V:V,MATCH(B14,Tabelle4!B:B,0))</f>
        <v>20</v>
      </c>
      <c r="K14" s="41">
        <f t="shared" si="0"/>
        <v>25996</v>
      </c>
      <c r="L14" s="40">
        <f t="shared" si="1"/>
        <v>86.5</v>
      </c>
      <c r="M14" s="37">
        <f>K14/INDEX(Tabelle4!$AE:$AE,MATCH($B14,Tabelle4!$B:$B,0))</f>
        <v>180.52777777777777</v>
      </c>
      <c r="N14" s="25"/>
    </row>
    <row r="15" spans="1:31" ht="42" customHeight="1" thickBot="1" x14ac:dyDescent="0.3">
      <c r="A15" s="34">
        <v>9</v>
      </c>
      <c r="B15" s="128" t="str">
        <f>INDEX(Tabelle4!B:B,MATCH(A15,Tabelle4!AD:AD,0))</f>
        <v>Schanzer Ingolstadt 1</v>
      </c>
      <c r="C15" s="35">
        <f>INDEX(Tabelle1!U:U,MATCH(B15,Tabelle1!B:B,0))</f>
        <v>6254</v>
      </c>
      <c r="D15" s="36">
        <f>INDEX(Tabelle1!V:V,MATCH(B15,Tabelle1!B:B,0))</f>
        <v>14</v>
      </c>
      <c r="E15" s="35">
        <f>INDEX(Tabelle2!U:U,MATCH(B15,Tabelle2!B:B,0))</f>
        <v>6398</v>
      </c>
      <c r="F15" s="36">
        <f>INDEX(Tabelle2!V:V,MATCH(B15,Tabelle2!B:B,0))</f>
        <v>20</v>
      </c>
      <c r="G15" s="35">
        <f>INDEX(Tabelle3!U:U,MATCH(B15,Tabelle3!B:B,0))</f>
        <v>6642</v>
      </c>
      <c r="H15" s="38">
        <f>INDEX(Tabelle3!V:V,MATCH(B15,Tabelle3!B:B,0))</f>
        <v>34</v>
      </c>
      <c r="I15" s="35">
        <f>INDEX(Tabelle4!U:U,MATCH(B15,Tabelle4!B:B,0))</f>
        <v>6122</v>
      </c>
      <c r="J15" s="38">
        <f>INDEX(Tabelle4!V:V,MATCH(B15,Tabelle4!B:B,0))</f>
        <v>17</v>
      </c>
      <c r="K15" s="41">
        <f t="shared" si="0"/>
        <v>25416</v>
      </c>
      <c r="L15" s="40">
        <f t="shared" si="1"/>
        <v>85</v>
      </c>
      <c r="M15" s="37">
        <f>K15/INDEX(Tabelle4!$AE:$AE,MATCH($B15,Tabelle4!$B:$B,0))</f>
        <v>176.5</v>
      </c>
      <c r="N15" s="25"/>
    </row>
    <row r="16" spans="1:31" ht="42" customHeight="1" thickBot="1" x14ac:dyDescent="0.3">
      <c r="A16" s="34">
        <v>10</v>
      </c>
      <c r="B16" s="128" t="str">
        <f>INDEX(Tabelle4!B:B,MATCH(A16,Tabelle4!AD:AD,0))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5">
        <f>INDEX(Tabelle4!U:U,MATCH(B16,Tabelle4!B:B,0))</f>
        <v>6336</v>
      </c>
      <c r="J16" s="38">
        <f>INDEX(Tabelle4!V:V,MATCH(B16,Tabelle4!B:B,0))</f>
        <v>20</v>
      </c>
      <c r="K16" s="41">
        <f t="shared" si="0"/>
        <v>26044</v>
      </c>
      <c r="L16" s="40">
        <f t="shared" si="1"/>
        <v>72.5</v>
      </c>
      <c r="M16" s="37">
        <f>K16/INDEX(Tabelle4!$AE:$AE,MATCH($B16,Tabelle4!$B:$B,0))</f>
        <v>180.86111111111111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7773437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16253</v>
      </c>
      <c r="M2">
        <f>SUMIF(Erfassung4!BD:BD,L2,Erfassung4!BW:BW)</f>
        <v>1829</v>
      </c>
      <c r="N2">
        <f>SUMIF(Erfassung4!BD:BD,L2,Erfassung4!BG:BG)</f>
        <v>9</v>
      </c>
      <c r="O2">
        <f t="shared" ref="O2:O65" si="0">IF(N2=0,0,M2/N2-ROW()/1000000000)</f>
        <v>203.22222222022222</v>
      </c>
      <c r="P2">
        <f t="shared" ref="P2:P65" si="1">RANK(O2,O:O)</f>
        <v>2</v>
      </c>
    </row>
    <row r="3" spans="1:16" x14ac:dyDescent="0.25">
      <c r="L3" s="227">
        <f>INDEX(Starter!A:A,ROW()-1)</f>
        <v>38687</v>
      </c>
      <c r="M3">
        <f>SUMIF(Erfassung4!BD:BD,L3,Erfassung4!BW:BW)</f>
        <v>1467</v>
      </c>
      <c r="N3">
        <f>SUMIF(Erfassung4!BD:BD,L3,Erfassung4!BG:BG)</f>
        <v>8</v>
      </c>
      <c r="O3">
        <f t="shared" si="0"/>
        <v>183.374999997</v>
      </c>
      <c r="P3">
        <f t="shared" si="1"/>
        <v>22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SUMIF(Erfassung4!BD:BD,L4,Erfassung4!BW:BW)</f>
        <v>1554</v>
      </c>
      <c r="N4">
        <f>SUMIF(Erfassung4!BD:BD,L4,Erfassung4!BG:BG)</f>
        <v>8</v>
      </c>
      <c r="O4">
        <f t="shared" si="0"/>
        <v>194.24999999600001</v>
      </c>
      <c r="P4">
        <f t="shared" si="1"/>
        <v>11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SUMIF(Erfassung4!BD:BD,L5,Erfassung4!BW:BW)</f>
        <v>1213</v>
      </c>
      <c r="N5">
        <f>SUMIF(Erfassung4!BD:BD,L5,Erfassung4!BG:BG)</f>
        <v>6</v>
      </c>
      <c r="O5">
        <f t="shared" si="0"/>
        <v>202.16666666166665</v>
      </c>
      <c r="P5">
        <f t="shared" si="1"/>
        <v>3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1829</v>
      </c>
      <c r="F6">
        <f t="shared" si="4"/>
        <v>9</v>
      </c>
      <c r="G6" s="137">
        <f t="shared" si="5"/>
        <v>203.22222222022222</v>
      </c>
      <c r="L6" s="227">
        <f>INDEX(Starter!A:A,ROW()-1)</f>
        <v>38411</v>
      </c>
      <c r="M6">
        <f>SUMIF(Erfassung4!BD:BD,L6,Erfassung4!BW:BW)</f>
        <v>1398</v>
      </c>
      <c r="N6">
        <f>SUMIF(Erfassung4!BD:BD,L6,Erfassung4!BG:BG)</f>
        <v>9</v>
      </c>
      <c r="O6">
        <f t="shared" si="0"/>
        <v>155.33333332733335</v>
      </c>
      <c r="P6">
        <f t="shared" si="1"/>
        <v>45</v>
      </c>
    </row>
    <row r="7" spans="1:16" x14ac:dyDescent="0.25">
      <c r="A7">
        <f t="shared" si="6"/>
        <v>3</v>
      </c>
      <c r="B7">
        <f t="shared" si="2"/>
        <v>16301</v>
      </c>
      <c r="C7" t="str">
        <f>IFERROR(INDEX(Starter!B:B,MATCH(B7,Starter!A:A,0)),"")</f>
        <v>Werder, Jan-Uwe</v>
      </c>
      <c r="D7" t="str">
        <f>IFERROR(INDEX(Starter!C:C,MATCH(B7,Starter!A:A,0)),"")</f>
        <v>DJK Rimpar</v>
      </c>
      <c r="E7" s="102">
        <f t="shared" si="3"/>
        <v>1213</v>
      </c>
      <c r="F7">
        <f t="shared" si="4"/>
        <v>6</v>
      </c>
      <c r="G7" s="137">
        <f t="shared" si="5"/>
        <v>202.16666666166665</v>
      </c>
      <c r="L7" s="227">
        <f>INDEX(Starter!A:A,ROW()-1)</f>
        <v>38361</v>
      </c>
      <c r="M7">
        <f>SUMIF(Erfassung4!BD:BD,L7,Erfassung4!BW:BW)</f>
        <v>1456</v>
      </c>
      <c r="N7">
        <f>SUMIF(Erfassung4!BD:BD,L7,Erfassung4!BG:BG)</f>
        <v>9</v>
      </c>
      <c r="O7">
        <f t="shared" si="0"/>
        <v>161.77777777077776</v>
      </c>
      <c r="P7">
        <f t="shared" si="1"/>
        <v>43</v>
      </c>
    </row>
    <row r="8" spans="1:16" x14ac:dyDescent="0.25">
      <c r="A8">
        <f t="shared" si="6"/>
        <v>4</v>
      </c>
      <c r="B8">
        <f t="shared" si="2"/>
        <v>7734</v>
      </c>
      <c r="C8" t="str">
        <f>IFERROR(INDEX(Starter!B:B,MATCH(B8,Starter!A:A,0)),"")</f>
        <v>Schwarz, Jan</v>
      </c>
      <c r="D8" t="str">
        <f>IFERROR(INDEX(Starter!C:C,MATCH(B8,Starter!A:A,0)),"")</f>
        <v>Comet</v>
      </c>
      <c r="E8" s="102">
        <f t="shared" si="3"/>
        <v>1818</v>
      </c>
      <c r="F8">
        <f t="shared" si="4"/>
        <v>9</v>
      </c>
      <c r="G8" s="137">
        <f t="shared" si="5"/>
        <v>201.99999997200001</v>
      </c>
      <c r="L8" s="227">
        <f>INDEX(Starter!A:A,ROW()-1)</f>
        <v>38550</v>
      </c>
      <c r="M8">
        <f>SUMIF(Erfassung4!BD:BD,L8,Erfassung4!BW:BW)</f>
        <v>1605</v>
      </c>
      <c r="N8">
        <f>SUMIF(Erfassung4!BD:BD,L8,Erfassung4!BG:BG)</f>
        <v>9</v>
      </c>
      <c r="O8">
        <f t="shared" si="0"/>
        <v>178.33333332533334</v>
      </c>
      <c r="P8">
        <f t="shared" si="1"/>
        <v>28</v>
      </c>
    </row>
    <row r="9" spans="1:16" x14ac:dyDescent="0.25">
      <c r="A9">
        <f t="shared" si="6"/>
        <v>5</v>
      </c>
      <c r="B9">
        <f t="shared" si="2"/>
        <v>7428</v>
      </c>
      <c r="C9" t="str">
        <f>IFERROR(INDEX(Starter!B:B,MATCH(B9,Starter!A:A,0)),"")</f>
        <v>Pirzer, Robert</v>
      </c>
      <c r="D9" t="str">
        <f>IFERROR(INDEX(Starter!C:C,MATCH(B9,Starter!A:A,0)),"")</f>
        <v>BC EMAX</v>
      </c>
      <c r="E9" s="102">
        <f t="shared" si="3"/>
        <v>1414</v>
      </c>
      <c r="F9">
        <f t="shared" si="4"/>
        <v>7</v>
      </c>
      <c r="G9" s="137">
        <f t="shared" si="5"/>
        <v>201.999999944</v>
      </c>
      <c r="L9" s="227">
        <f>INDEX(Starter!A:A,ROW()-1)</f>
        <v>7348</v>
      </c>
      <c r="M9">
        <f>SUMIF(Erfassung4!BD:BD,L9,Erfassung4!BW:BW)</f>
        <v>1663</v>
      </c>
      <c r="N9">
        <f>SUMIF(Erfassung4!BD:BD,L9,Erfassung4!BG:BG)</f>
        <v>9</v>
      </c>
      <c r="O9">
        <f t="shared" si="0"/>
        <v>184.77777776877778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7724</v>
      </c>
      <c r="C10" t="str">
        <f>IFERROR(INDEX(Starter!B:B,MATCH(B10,Starter!A:A,0)),"")</f>
        <v>Schlick, Christian</v>
      </c>
      <c r="D10" t="str">
        <f>IFERROR(INDEX(Starter!C:C,MATCH(B10,Starter!A:A,0)),"")</f>
        <v>Comet</v>
      </c>
      <c r="E10" s="102">
        <f t="shared" si="3"/>
        <v>1799</v>
      </c>
      <c r="F10">
        <f t="shared" si="4"/>
        <v>9</v>
      </c>
      <c r="G10" s="137">
        <f t="shared" si="5"/>
        <v>199.88888885988888</v>
      </c>
      <c r="L10" s="227">
        <f>INDEX(Starter!A:A,ROW()-1)</f>
        <v>16852</v>
      </c>
      <c r="M10">
        <f>SUMIF(Erfassung4!BD:BD,L10,Erfassung4!BW:BW)</f>
        <v>1694</v>
      </c>
      <c r="N10">
        <f>SUMIF(Erfassung4!BD:BD,L10,Erfassung4!BG:BG)</f>
        <v>9</v>
      </c>
      <c r="O10">
        <f t="shared" si="0"/>
        <v>188.22222221222222</v>
      </c>
      <c r="P10">
        <f t="shared" si="1"/>
        <v>16</v>
      </c>
    </row>
    <row r="11" spans="1:16" x14ac:dyDescent="0.25">
      <c r="A11">
        <f t="shared" si="6"/>
        <v>7</v>
      </c>
      <c r="B11">
        <f t="shared" si="2"/>
        <v>7602</v>
      </c>
      <c r="C11" t="str">
        <f>IFERROR(INDEX(Starter!B:B,MATCH(B11,Starter!A:A,0)),"")</f>
        <v>Probst, Marco</v>
      </c>
      <c r="D11" t="str">
        <f>IFERROR(INDEX(Starter!C:C,MATCH(B11,Starter!A:A,0)),"")</f>
        <v>BC EMAX</v>
      </c>
      <c r="E11" s="102">
        <f t="shared" si="3"/>
        <v>1794</v>
      </c>
      <c r="F11">
        <f t="shared" si="4"/>
        <v>9</v>
      </c>
      <c r="G11" s="137">
        <f t="shared" si="5"/>
        <v>199.33333327933335</v>
      </c>
      <c r="L11" s="227">
        <f>INDEX(Starter!A:A,ROW()-1)</f>
        <v>16352</v>
      </c>
      <c r="M11">
        <f>SUMIF(Erfassung4!BD:BD,L11,Erfassung4!BW:BW)</f>
        <v>0</v>
      </c>
      <c r="N11">
        <f>SUMIF(Erfassung4!BD:BD,L11,Erfassung4!BG:BG)</f>
        <v>0</v>
      </c>
      <c r="O11">
        <f t="shared" si="0"/>
        <v>0</v>
      </c>
      <c r="P11">
        <f t="shared" si="1"/>
        <v>49</v>
      </c>
    </row>
    <row r="12" spans="1:16" x14ac:dyDescent="0.25">
      <c r="A12">
        <f t="shared" si="6"/>
        <v>8</v>
      </c>
      <c r="B12">
        <f t="shared" si="2"/>
        <v>7597</v>
      </c>
      <c r="C12" t="str">
        <f>IFERROR(INDEX(Starter!B:B,MATCH(B12,Starter!A:A,0)),"")</f>
        <v>Laub, Harald</v>
      </c>
      <c r="D12" t="str">
        <f>IFERROR(INDEX(Starter!C:C,MATCH(B12,Starter!A:A,0)),"")</f>
        <v>BK München</v>
      </c>
      <c r="E12" s="102">
        <f t="shared" si="3"/>
        <v>1787</v>
      </c>
      <c r="F12">
        <f t="shared" si="4"/>
        <v>9</v>
      </c>
      <c r="G12" s="137">
        <f t="shared" si="5"/>
        <v>198.55555554055553</v>
      </c>
      <c r="L12" s="227">
        <f>INDEX(Starter!A:A,ROW()-1)</f>
        <v>16495</v>
      </c>
      <c r="M12">
        <f>SUMIF(Erfassung4!BD:BD,L12,Erfassung4!BW:BW)</f>
        <v>1692</v>
      </c>
      <c r="N12">
        <f>SUMIF(Erfassung4!BD:BD,L12,Erfassung4!BG:BG)</f>
        <v>9</v>
      </c>
      <c r="O12">
        <f t="shared" si="0"/>
        <v>187.99999998800001</v>
      </c>
      <c r="P12">
        <f t="shared" si="1"/>
        <v>17</v>
      </c>
    </row>
    <row r="13" spans="1:16" x14ac:dyDescent="0.25">
      <c r="A13">
        <f t="shared" si="6"/>
        <v>9</v>
      </c>
      <c r="B13">
        <f t="shared" si="2"/>
        <v>16263</v>
      </c>
      <c r="C13" t="str">
        <f>IFERROR(INDEX(Starter!B:B,MATCH(B13,Starter!A:A,0)),"")</f>
        <v>Jackwerth, Enno</v>
      </c>
      <c r="D13" t="str">
        <f>IFERROR(INDEX(Starter!C:C,MATCH(B13,Starter!A:A,0)),"")</f>
        <v>BF Rot-Weiß Lichtenhof 69</v>
      </c>
      <c r="E13" s="102">
        <f t="shared" si="3"/>
        <v>1773</v>
      </c>
      <c r="F13">
        <f t="shared" si="4"/>
        <v>9</v>
      </c>
      <c r="G13" s="137">
        <f t="shared" si="5"/>
        <v>196.999999957</v>
      </c>
      <c r="L13" s="227">
        <f>INDEX(Starter!A:A,ROW()-1)</f>
        <v>16945</v>
      </c>
      <c r="M13">
        <f>SUMIF(Erfassung4!BD:BD,L13,Erfassung4!BW:BW)</f>
        <v>1615</v>
      </c>
      <c r="N13">
        <f>SUMIF(Erfassung4!BD:BD,L13,Erfassung4!BG:BG)</f>
        <v>9</v>
      </c>
      <c r="O13">
        <f t="shared" si="0"/>
        <v>179.44444443144445</v>
      </c>
      <c r="P13">
        <f t="shared" si="1"/>
        <v>25</v>
      </c>
    </row>
    <row r="14" spans="1:16" x14ac:dyDescent="0.25">
      <c r="A14">
        <f t="shared" si="6"/>
        <v>10</v>
      </c>
      <c r="B14">
        <f t="shared" si="2"/>
        <v>16896</v>
      </c>
      <c r="C14" t="str">
        <f>IFERROR(INDEX(Starter!B:B,MATCH(B14,Starter!A:A,0)),"")</f>
        <v>Mittelmaier, Andreas</v>
      </c>
      <c r="D14" t="str">
        <f>IFERROR(INDEX(Starter!C:C,MATCH(B14,Starter!A:A,0)),"")</f>
        <v>Comet</v>
      </c>
      <c r="E14" s="102">
        <f t="shared" si="3"/>
        <v>972</v>
      </c>
      <c r="F14">
        <f t="shared" si="4"/>
        <v>5</v>
      </c>
      <c r="G14" s="137">
        <f t="shared" si="5"/>
        <v>194.39999997000001</v>
      </c>
      <c r="L14" s="227">
        <f>INDEX(Starter!A:A,ROW()-1)</f>
        <v>7867</v>
      </c>
      <c r="M14">
        <f>SUMIF(Erfassung4!BD:BD,L14,Erfassung4!BW:BW)</f>
        <v>1729</v>
      </c>
      <c r="N14">
        <f>SUMIF(Erfassung4!BD:BD,L14,Erfassung4!BG:BG)</f>
        <v>9</v>
      </c>
      <c r="O14">
        <f t="shared" si="0"/>
        <v>192.11111109711112</v>
      </c>
      <c r="P14">
        <f t="shared" si="1"/>
        <v>13</v>
      </c>
    </row>
    <row r="15" spans="1:16" x14ac:dyDescent="0.25">
      <c r="A15">
        <f t="shared" si="6"/>
        <v>11</v>
      </c>
      <c r="B15">
        <f t="shared" si="2"/>
        <v>10622</v>
      </c>
      <c r="C15" t="str">
        <f>IFERROR(INDEX(Starter!B:B,MATCH(B15,Starter!A:A,0)),"")</f>
        <v>Kreß, Michael</v>
      </c>
      <c r="D15" t="str">
        <f>IFERROR(INDEX(Starter!C:C,MATCH(B15,Starter!A:A,0)),"")</f>
        <v>DJK Rimpar</v>
      </c>
      <c r="E15" s="102">
        <f t="shared" si="3"/>
        <v>1554</v>
      </c>
      <c r="F15">
        <f t="shared" si="4"/>
        <v>8</v>
      </c>
      <c r="G15" s="137">
        <f t="shared" si="5"/>
        <v>194.24999999600001</v>
      </c>
      <c r="L15" s="227">
        <f>INDEX(Starter!A:A,ROW()-1)</f>
        <v>7597</v>
      </c>
      <c r="M15">
        <f>SUMIF(Erfassung4!BD:BD,L15,Erfassung4!BW:BW)</f>
        <v>1787</v>
      </c>
      <c r="N15">
        <f>SUMIF(Erfassung4!BD:BD,L15,Erfassung4!BG:BG)</f>
        <v>9</v>
      </c>
      <c r="O15">
        <f t="shared" si="0"/>
        <v>198.55555554055553</v>
      </c>
      <c r="P15">
        <f t="shared" si="1"/>
        <v>8</v>
      </c>
    </row>
    <row r="16" spans="1:16" x14ac:dyDescent="0.25">
      <c r="A16">
        <f t="shared" si="6"/>
        <v>12</v>
      </c>
      <c r="B16">
        <f t="shared" si="2"/>
        <v>7408</v>
      </c>
      <c r="C16" t="str">
        <f>IFERROR(INDEX(Starter!B:B,MATCH(B16,Starter!A:A,0)),"")</f>
        <v>Glasl jun., Hans-Jürgen</v>
      </c>
      <c r="D16" t="str">
        <f>IFERROR(INDEX(Starter!C:C,MATCH(B16,Starter!A:A,0)),"")</f>
        <v>BC Bajuwaren 1976 München</v>
      </c>
      <c r="E16" s="102">
        <f t="shared" si="3"/>
        <v>1743</v>
      </c>
      <c r="F16">
        <f t="shared" si="4"/>
        <v>9</v>
      </c>
      <c r="G16" s="137">
        <f t="shared" si="5"/>
        <v>193.66666664866665</v>
      </c>
      <c r="L16" s="227">
        <f>INDEX(Starter!A:A,ROW()-1)</f>
        <v>16912</v>
      </c>
      <c r="M16">
        <f>SUMIF(Erfassung4!BD:BD,L16,Erfassung4!BW:BW)</f>
        <v>0</v>
      </c>
      <c r="N16">
        <f>SUMIF(Erfassung4!BD:BD,L16,Erfassung4!BG:BG)</f>
        <v>0</v>
      </c>
      <c r="O16">
        <f t="shared" si="0"/>
        <v>0</v>
      </c>
      <c r="P16">
        <f t="shared" si="1"/>
        <v>49</v>
      </c>
    </row>
    <row r="17" spans="1:16" x14ac:dyDescent="0.25">
      <c r="A17">
        <f t="shared" si="6"/>
        <v>13</v>
      </c>
      <c r="B17">
        <f t="shared" si="2"/>
        <v>7867</v>
      </c>
      <c r="C17" t="str">
        <f>IFERROR(INDEX(Starter!B:B,MATCH(B17,Starter!A:A,0)),"")</f>
        <v>Hinterwimmer, Georg</v>
      </c>
      <c r="D17" t="str">
        <f>IFERROR(INDEX(Starter!C:C,MATCH(B17,Starter!A:A,0)),"")</f>
        <v>BK München</v>
      </c>
      <c r="E17" s="102">
        <f t="shared" si="3"/>
        <v>1729</v>
      </c>
      <c r="F17">
        <f t="shared" si="4"/>
        <v>9</v>
      </c>
      <c r="G17" s="137">
        <f t="shared" si="5"/>
        <v>192.11111109711112</v>
      </c>
      <c r="L17" s="227">
        <f>INDEX(Starter!A:A,ROW()-1)</f>
        <v>7885</v>
      </c>
      <c r="M17">
        <f>SUMIF(Erfassung4!BD:BD,L17,Erfassung4!BW:BW)</f>
        <v>1686</v>
      </c>
      <c r="N17">
        <f>SUMIF(Erfassung4!BD:BD,L17,Erfassung4!BG:BG)</f>
        <v>9</v>
      </c>
      <c r="O17">
        <f t="shared" si="0"/>
        <v>187.33333331633335</v>
      </c>
      <c r="P17">
        <f t="shared" si="1"/>
        <v>18</v>
      </c>
    </row>
    <row r="18" spans="1:16" x14ac:dyDescent="0.25">
      <c r="A18">
        <f t="shared" si="6"/>
        <v>14</v>
      </c>
      <c r="B18">
        <f t="shared" si="2"/>
        <v>27134</v>
      </c>
      <c r="C18" t="str">
        <f>IFERROR(INDEX(Starter!B:B,MATCH(B18,Starter!A:A,0)),"")</f>
        <v>Lohse, Sebastian</v>
      </c>
      <c r="D18" t="str">
        <f>IFERROR(INDEX(Starter!C:C,MATCH(B18,Starter!A:A,0)),"")</f>
        <v>BC EMAX</v>
      </c>
      <c r="E18" s="102">
        <f t="shared" si="3"/>
        <v>1322</v>
      </c>
      <c r="F18">
        <f t="shared" si="4"/>
        <v>7</v>
      </c>
      <c r="G18" s="137">
        <f t="shared" si="5"/>
        <v>188.85714282414287</v>
      </c>
      <c r="L18" s="227">
        <f>INDEX(Starter!A:A,ROW()-1)</f>
        <v>7408</v>
      </c>
      <c r="M18">
        <f>SUMIF(Erfassung4!BD:BD,L18,Erfassung4!BW:BW)</f>
        <v>1743</v>
      </c>
      <c r="N18">
        <f>SUMIF(Erfassung4!BD:BD,L18,Erfassung4!BG:BG)</f>
        <v>9</v>
      </c>
      <c r="O18">
        <f t="shared" si="0"/>
        <v>193.66666664866665</v>
      </c>
      <c r="P18">
        <f t="shared" si="1"/>
        <v>12</v>
      </c>
    </row>
    <row r="19" spans="1:16" x14ac:dyDescent="0.25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1697</v>
      </c>
      <c r="F19">
        <f t="shared" si="4"/>
        <v>9</v>
      </c>
      <c r="G19" s="137">
        <f t="shared" si="5"/>
        <v>188.55555552855554</v>
      </c>
      <c r="L19" s="227">
        <f>INDEX(Starter!A:A,ROW()-1)</f>
        <v>16762</v>
      </c>
      <c r="M19">
        <f>SUMIF(Erfassung4!BD:BD,L19,Erfassung4!BW:BW)</f>
        <v>843</v>
      </c>
      <c r="N19">
        <f>SUMIF(Erfassung4!BD:BD,L19,Erfassung4!BG:BG)</f>
        <v>5</v>
      </c>
      <c r="O19">
        <f t="shared" si="0"/>
        <v>168.599999981</v>
      </c>
      <c r="P19">
        <f t="shared" si="1"/>
        <v>40</v>
      </c>
    </row>
    <row r="20" spans="1:16" x14ac:dyDescent="0.25">
      <c r="A20">
        <f t="shared" si="6"/>
        <v>16</v>
      </c>
      <c r="B20">
        <f t="shared" si="2"/>
        <v>16852</v>
      </c>
      <c r="C20" t="str">
        <f>IFERROR(INDEX(Starter!B:B,MATCH(B20,Starter!A:A,0)),"")</f>
        <v>Wendel, Dominik</v>
      </c>
      <c r="D20" t="str">
        <f>IFERROR(INDEX(Starter!C:C,MATCH(B20,Starter!A:A,0)),"")</f>
        <v>SG Rottendorf</v>
      </c>
      <c r="E20" s="102">
        <f t="shared" si="3"/>
        <v>1694</v>
      </c>
      <c r="F20">
        <f t="shared" si="4"/>
        <v>9</v>
      </c>
      <c r="G20" s="137">
        <f t="shared" si="5"/>
        <v>188.22222221222222</v>
      </c>
      <c r="L20" s="227">
        <f>INDEX(Starter!A:A,ROW()-1)</f>
        <v>7600</v>
      </c>
      <c r="M20">
        <f>SUMIF(Erfassung4!BD:BD,L20,Erfassung4!BW:BW)</f>
        <v>890</v>
      </c>
      <c r="N20">
        <f>SUMIF(Erfassung4!BD:BD,L20,Erfassung4!BG:BG)</f>
        <v>5</v>
      </c>
      <c r="O20">
        <f t="shared" si="0"/>
        <v>177.99999998000001</v>
      </c>
      <c r="P20">
        <f t="shared" si="1"/>
        <v>29</v>
      </c>
    </row>
    <row r="21" spans="1:16" x14ac:dyDescent="0.25">
      <c r="A21">
        <f t="shared" si="6"/>
        <v>17</v>
      </c>
      <c r="B21">
        <f t="shared" si="2"/>
        <v>16495</v>
      </c>
      <c r="C21" t="str">
        <f>IFERROR(INDEX(Starter!B:B,MATCH(B21,Starter!A:A,0)),"")</f>
        <v>Stemmler, Patrick</v>
      </c>
      <c r="D21" t="str">
        <f>IFERROR(INDEX(Starter!C:C,MATCH(B21,Starter!A:A,0)),"")</f>
        <v>SG Rottendorf</v>
      </c>
      <c r="E21" s="102">
        <f t="shared" si="3"/>
        <v>1692</v>
      </c>
      <c r="F21">
        <f t="shared" si="4"/>
        <v>9</v>
      </c>
      <c r="G21" s="137">
        <f t="shared" si="5"/>
        <v>187.99999998800001</v>
      </c>
      <c r="L21" s="227">
        <f>INDEX(Starter!A:A,ROW()-1)</f>
        <v>7416</v>
      </c>
      <c r="M21">
        <f>SUMIF(Erfassung4!BD:BD,L21,Erfassung4!BW:BW)</f>
        <v>1599</v>
      </c>
      <c r="N21">
        <f>SUMIF(Erfassung4!BD:BD,L21,Erfassung4!BG:BG)</f>
        <v>9</v>
      </c>
      <c r="O21">
        <f t="shared" si="0"/>
        <v>177.66666664566665</v>
      </c>
      <c r="P21">
        <f t="shared" si="1"/>
        <v>30</v>
      </c>
    </row>
    <row r="22" spans="1:16" x14ac:dyDescent="0.25">
      <c r="A22">
        <f t="shared" si="6"/>
        <v>18</v>
      </c>
      <c r="B22">
        <f t="shared" si="2"/>
        <v>7885</v>
      </c>
      <c r="C22" t="str">
        <f>IFERROR(INDEX(Starter!B:B,MATCH(B22,Starter!A:A,0)),"")</f>
        <v>Hinterwimmer, Sebastian</v>
      </c>
      <c r="D22" t="str">
        <f>IFERROR(INDEX(Starter!C:C,MATCH(B22,Starter!A:A,0)),"")</f>
        <v>BK München</v>
      </c>
      <c r="E22" s="102">
        <f t="shared" si="3"/>
        <v>1686</v>
      </c>
      <c r="F22">
        <f t="shared" si="4"/>
        <v>9</v>
      </c>
      <c r="G22" s="137">
        <f t="shared" si="5"/>
        <v>187.33333331633335</v>
      </c>
      <c r="L22" s="227">
        <f>INDEX(Starter!A:A,ROW()-1)</f>
        <v>7425</v>
      </c>
      <c r="M22">
        <f>SUMIF(Erfassung4!BD:BD,L22,Erfassung4!BW:BW)</f>
        <v>892</v>
      </c>
      <c r="N22">
        <f>SUMIF(Erfassung4!BD:BD,L22,Erfassung4!BG:BG)</f>
        <v>5</v>
      </c>
      <c r="O22">
        <f t="shared" si="0"/>
        <v>178.39999997800001</v>
      </c>
      <c r="P22">
        <f t="shared" si="1"/>
        <v>27</v>
      </c>
    </row>
    <row r="23" spans="1:16" x14ac:dyDescent="0.25">
      <c r="A23">
        <f t="shared" si="6"/>
        <v>19</v>
      </c>
      <c r="B23">
        <f t="shared" si="2"/>
        <v>16251</v>
      </c>
      <c r="C23" t="str">
        <f>IFERROR(INDEX(Starter!B:B,MATCH(B23,Starter!A:A,0)),"")</f>
        <v>Renner, Alexander</v>
      </c>
      <c r="D23" t="str">
        <f>IFERROR(INDEX(Starter!C:C,MATCH(B23,Starter!A:A,0)),"")</f>
        <v>BC Bamberger Bowlinghaus</v>
      </c>
      <c r="E23" s="102">
        <f t="shared" si="3"/>
        <v>1684</v>
      </c>
      <c r="F23">
        <f t="shared" si="4"/>
        <v>9</v>
      </c>
      <c r="G23" s="137">
        <f t="shared" si="5"/>
        <v>187.11111104411111</v>
      </c>
      <c r="L23" s="227">
        <f>INDEX(Starter!A:A,ROW()-1)</f>
        <v>25297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49</v>
      </c>
    </row>
    <row r="24" spans="1:16" x14ac:dyDescent="0.25">
      <c r="A24">
        <f t="shared" si="6"/>
        <v>20</v>
      </c>
      <c r="B24">
        <f t="shared" si="2"/>
        <v>38043</v>
      </c>
      <c r="C24" t="str">
        <f>IFERROR(INDEX(Starter!B:B,MATCH(B24,Starter!A:A,0)),"")</f>
        <v>Badum, Daniel</v>
      </c>
      <c r="D24" t="str">
        <f>IFERROR(INDEX(Starter!C:C,MATCH(B24,Starter!A:A,0)),"")</f>
        <v>BC Bamberger Bowlinghaus</v>
      </c>
      <c r="E24" s="102">
        <f t="shared" si="3"/>
        <v>1672</v>
      </c>
      <c r="F24">
        <f t="shared" si="4"/>
        <v>9</v>
      </c>
      <c r="G24" s="137">
        <f t="shared" si="5"/>
        <v>185.77777771977776</v>
      </c>
      <c r="L24" s="227">
        <f>INDEX(Starter!A:A,ROW()-1)</f>
        <v>16888</v>
      </c>
      <c r="M24">
        <f>SUMIF(Erfassung4!BD:BD,L24,Erfassung4!BW:BW)</f>
        <v>1543</v>
      </c>
      <c r="N24">
        <f>SUMIF(Erfassung4!BD:BD,L24,Erfassung4!BG:BG)</f>
        <v>9</v>
      </c>
      <c r="O24">
        <f t="shared" si="0"/>
        <v>171.44444442044446</v>
      </c>
      <c r="P24">
        <f t="shared" si="1"/>
        <v>36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1663</v>
      </c>
      <c r="F25">
        <f t="shared" si="4"/>
        <v>9</v>
      </c>
      <c r="G25" s="137">
        <f t="shared" si="5"/>
        <v>184.77777776877778</v>
      </c>
      <c r="L25" s="227">
        <f>INDEX(Starter!A:A,ROW()-1)</f>
        <v>38092</v>
      </c>
      <c r="M25">
        <f>SUMIF(Erfassung4!BD:BD,L25,Erfassung4!BW:BW)</f>
        <v>1521</v>
      </c>
      <c r="N25">
        <f>SUMIF(Erfassung4!BD:BD,L25,Erfassung4!BG:BG)</f>
        <v>9</v>
      </c>
      <c r="O25">
        <f t="shared" si="0"/>
        <v>168.99999997500001</v>
      </c>
      <c r="P25">
        <f t="shared" si="1"/>
        <v>39</v>
      </c>
    </row>
    <row r="26" spans="1:16" x14ac:dyDescent="0.25">
      <c r="A26">
        <f t="shared" si="6"/>
        <v>22</v>
      </c>
      <c r="B26">
        <f t="shared" si="2"/>
        <v>38687</v>
      </c>
      <c r="C26" t="str">
        <f>IFERROR(INDEX(Starter!B:B,MATCH(B26,Starter!A:A,0)),"")</f>
        <v>Gräfe, Sebastian</v>
      </c>
      <c r="D26" t="str">
        <f>IFERROR(INDEX(Starter!C:C,MATCH(B26,Starter!A:A,0)),"")</f>
        <v>DJK Rimpar</v>
      </c>
      <c r="E26" s="102">
        <f t="shared" si="3"/>
        <v>1467</v>
      </c>
      <c r="F26">
        <f t="shared" si="4"/>
        <v>8</v>
      </c>
      <c r="G26" s="137">
        <f t="shared" si="5"/>
        <v>183.374999997</v>
      </c>
      <c r="L26" s="227">
        <f>INDEX(Starter!A:A,ROW()-1)</f>
        <v>16243</v>
      </c>
      <c r="M26">
        <f>SUMIF(Erfassung4!BD:BD,L26,Erfassung4!BW:BW)</f>
        <v>0</v>
      </c>
      <c r="N26">
        <f>SUMIF(Erfassung4!BD:BD,L26,Erfassung4!BG:BG)</f>
        <v>0</v>
      </c>
      <c r="O26">
        <f t="shared" si="0"/>
        <v>0</v>
      </c>
      <c r="P26">
        <f t="shared" si="1"/>
        <v>49</v>
      </c>
    </row>
    <row r="27" spans="1:16" x14ac:dyDescent="0.25">
      <c r="A27">
        <f t="shared" si="6"/>
        <v>23</v>
      </c>
      <c r="B27">
        <f t="shared" si="2"/>
        <v>38039</v>
      </c>
      <c r="C27" t="str">
        <f>IFERROR(INDEX(Starter!B:B,MATCH(B27,Starter!A:A,0)),"")</f>
        <v>Plaschka, Nico</v>
      </c>
      <c r="D27" t="str">
        <f>IFERROR(INDEX(Starter!C:C,MATCH(B27,Starter!A:A,0)),"")</f>
        <v>DJK Rimpar</v>
      </c>
      <c r="E27" s="102">
        <f t="shared" si="3"/>
        <v>909</v>
      </c>
      <c r="F27">
        <f t="shared" si="4"/>
        <v>5</v>
      </c>
      <c r="G27" s="137">
        <f t="shared" si="5"/>
        <v>181.79999995200001</v>
      </c>
      <c r="L27" s="227">
        <f>INDEX(Starter!A:A,ROW()-1)</f>
        <v>7725</v>
      </c>
      <c r="M27">
        <f>SUMIF(Erfassung4!BD:BD,L27,Erfassung4!BW:BW)</f>
        <v>1697</v>
      </c>
      <c r="N27">
        <f>SUMIF(Erfassung4!BD:BD,L27,Erfassung4!BG:BG)</f>
        <v>9</v>
      </c>
      <c r="O27">
        <f t="shared" si="0"/>
        <v>188.55555552855554</v>
      </c>
      <c r="P27">
        <f t="shared" si="1"/>
        <v>15</v>
      </c>
    </row>
    <row r="28" spans="1:16" x14ac:dyDescent="0.25">
      <c r="A28">
        <f t="shared" si="6"/>
        <v>24</v>
      </c>
      <c r="B28">
        <f t="shared" si="2"/>
        <v>7937</v>
      </c>
      <c r="C28" t="str">
        <f>IFERROR(INDEX(Starter!B:B,MATCH(B28,Starter!A:A,0)),"")</f>
        <v>Birkner, Jochen</v>
      </c>
      <c r="D28" t="str">
        <f>IFERROR(INDEX(Starter!C:C,MATCH(B28,Starter!A:A,0)),"")</f>
        <v>BF Rot-Weiß Lichtenhof 69</v>
      </c>
      <c r="E28" s="102">
        <f t="shared" si="3"/>
        <v>1627</v>
      </c>
      <c r="F28">
        <f t="shared" si="4"/>
        <v>9</v>
      </c>
      <c r="G28" s="137">
        <f t="shared" si="5"/>
        <v>180.77777773677778</v>
      </c>
      <c r="L28" s="227">
        <f>INDEX(Starter!A:A,ROW()-1)</f>
        <v>7734</v>
      </c>
      <c r="M28">
        <f>SUMIF(Erfassung4!BD:BD,L28,Erfassung4!BW:BW)</f>
        <v>1818</v>
      </c>
      <c r="N28">
        <f>SUMIF(Erfassung4!BD:BD,L28,Erfassung4!BG:BG)</f>
        <v>9</v>
      </c>
      <c r="O28">
        <f t="shared" si="0"/>
        <v>201.99999997200001</v>
      </c>
      <c r="P28">
        <f t="shared" si="1"/>
        <v>4</v>
      </c>
    </row>
    <row r="29" spans="1:16" x14ac:dyDescent="0.25">
      <c r="A29">
        <f t="shared" si="6"/>
        <v>25</v>
      </c>
      <c r="B29">
        <f t="shared" si="2"/>
        <v>16945</v>
      </c>
      <c r="C29" t="str">
        <f>IFERROR(INDEX(Starter!B:B,MATCH(B29,Starter!A:A,0)),"")</f>
        <v>Reichardt, Stefan</v>
      </c>
      <c r="D29" t="str">
        <f>IFERROR(INDEX(Starter!C:C,MATCH(B29,Starter!A:A,0)),"")</f>
        <v>SG Rottendorf</v>
      </c>
      <c r="E29" s="102">
        <f t="shared" si="3"/>
        <v>1615</v>
      </c>
      <c r="F29">
        <f t="shared" si="4"/>
        <v>9</v>
      </c>
      <c r="G29" s="137">
        <f t="shared" si="5"/>
        <v>179.44444443144445</v>
      </c>
      <c r="L29" s="227">
        <f>INDEX(Starter!A:A,ROW()-1)</f>
        <v>7724</v>
      </c>
      <c r="M29">
        <f>SUMIF(Erfassung4!BD:BD,L29,Erfassung4!BW:BW)</f>
        <v>1799</v>
      </c>
      <c r="N29">
        <f>SUMIF(Erfassung4!BD:BD,L29,Erfassung4!BG:BG)</f>
        <v>9</v>
      </c>
      <c r="O29">
        <f t="shared" si="0"/>
        <v>199.88888885988888</v>
      </c>
      <c r="P29">
        <f t="shared" si="1"/>
        <v>6</v>
      </c>
    </row>
    <row r="30" spans="1:16" x14ac:dyDescent="0.25">
      <c r="A30">
        <f t="shared" si="6"/>
        <v>26</v>
      </c>
      <c r="B30">
        <f t="shared" si="2"/>
        <v>16873</v>
      </c>
      <c r="C30" t="str">
        <f>IFERROR(INDEX(Starter!B:B,MATCH(B30,Starter!A:A,0)),"")</f>
        <v>Nolan, Jonathan</v>
      </c>
      <c r="D30" t="str">
        <f>IFERROR(INDEX(Starter!C:C,MATCH(B30,Starter!A:A,0)),"")</f>
        <v>BC Bamberger Bowlinghaus</v>
      </c>
      <c r="E30" s="102">
        <f t="shared" si="3"/>
        <v>1608</v>
      </c>
      <c r="F30">
        <f t="shared" si="4"/>
        <v>9</v>
      </c>
      <c r="G30" s="137">
        <f t="shared" si="5"/>
        <v>178.66666662666665</v>
      </c>
      <c r="L30" s="227">
        <f>INDEX(Starter!A:A,ROW()-1)</f>
        <v>16896</v>
      </c>
      <c r="M30">
        <f>SUMIF(Erfassung4!BD:BD,L30,Erfassung4!BW:BW)</f>
        <v>972</v>
      </c>
      <c r="N30">
        <f>SUMIF(Erfassung4!BD:BD,L30,Erfassung4!BG:BG)</f>
        <v>5</v>
      </c>
      <c r="O30">
        <f t="shared" si="0"/>
        <v>194.39999997000001</v>
      </c>
      <c r="P30">
        <f t="shared" si="1"/>
        <v>10</v>
      </c>
    </row>
    <row r="31" spans="1:16" x14ac:dyDescent="0.25">
      <c r="A31">
        <f t="shared" si="6"/>
        <v>27</v>
      </c>
      <c r="B31">
        <f t="shared" si="2"/>
        <v>7425</v>
      </c>
      <c r="C31" t="str">
        <f>IFERROR(INDEX(Starter!B:B,MATCH(B31,Starter!A:A,0)),"")</f>
        <v>Wimmer, Peter</v>
      </c>
      <c r="D31" t="str">
        <f>IFERROR(INDEX(Starter!C:C,MATCH(B31,Starter!A:A,0)),"")</f>
        <v>BSC Highroller Rosenheim</v>
      </c>
      <c r="E31" s="102">
        <f t="shared" si="3"/>
        <v>892</v>
      </c>
      <c r="F31">
        <f t="shared" si="4"/>
        <v>5</v>
      </c>
      <c r="G31" s="137">
        <f t="shared" si="5"/>
        <v>178.39999997800001</v>
      </c>
      <c r="L31" s="227">
        <f>INDEX(Starter!A:A,ROW()-1)</f>
        <v>7102</v>
      </c>
      <c r="M31">
        <f>SUMIF(Erfassung4!BD:BD,L31,Erfassung4!BW:BW)</f>
        <v>0</v>
      </c>
      <c r="N31">
        <f>SUMIF(Erfassung4!BD:BD,L31,Erfassung4!BG:BG)</f>
        <v>0</v>
      </c>
      <c r="O31">
        <f t="shared" si="0"/>
        <v>0</v>
      </c>
      <c r="P31">
        <f t="shared" si="1"/>
        <v>49</v>
      </c>
    </row>
    <row r="32" spans="1:16" x14ac:dyDescent="0.25">
      <c r="A32">
        <f t="shared" si="6"/>
        <v>28</v>
      </c>
      <c r="B32">
        <f t="shared" si="2"/>
        <v>38550</v>
      </c>
      <c r="C32" t="str">
        <f>IFERROR(INDEX(Starter!B:B,MATCH(B32,Starter!A:A,0)),"")</f>
        <v>Schütze, Oliver</v>
      </c>
      <c r="D32" t="str">
        <f>IFERROR(INDEX(Starter!C:C,MATCH(B32,Starter!A:A,0)),"")</f>
        <v>BC Schanzer Strikers</v>
      </c>
      <c r="E32" s="102">
        <f t="shared" si="3"/>
        <v>1605</v>
      </c>
      <c r="F32">
        <f t="shared" si="4"/>
        <v>9</v>
      </c>
      <c r="G32" s="137">
        <f t="shared" si="5"/>
        <v>178.33333332533334</v>
      </c>
      <c r="L32" s="227">
        <f>INDEX(Starter!A:A,ROW()-1)</f>
        <v>16245</v>
      </c>
      <c r="M32">
        <f>SUMIF(Erfassung4!BD:BD,L32,Erfassung4!BW:BW)</f>
        <v>683</v>
      </c>
      <c r="N32">
        <f>SUMIF(Erfassung4!BD:BD,L32,Erfassung4!BG:BG)</f>
        <v>4</v>
      </c>
      <c r="O32">
        <f t="shared" si="0"/>
        <v>170.749999968</v>
      </c>
      <c r="P32">
        <f t="shared" si="1"/>
        <v>37</v>
      </c>
    </row>
    <row r="33" spans="1:16" x14ac:dyDescent="0.25">
      <c r="A33">
        <f t="shared" si="6"/>
        <v>29</v>
      </c>
      <c r="B33">
        <f t="shared" si="2"/>
        <v>7600</v>
      </c>
      <c r="C33" t="str">
        <f>IFERROR(INDEX(Starter!B:B,MATCH(B33,Starter!A:A,0)),"")</f>
        <v>Lüthje, Dennis</v>
      </c>
      <c r="D33" t="str">
        <f>IFERROR(INDEX(Starter!C:C,MATCH(B33,Starter!A:A,0)),"")</f>
        <v>BC Bajuwaren 1976 München</v>
      </c>
      <c r="E33" s="102">
        <f t="shared" si="3"/>
        <v>890</v>
      </c>
      <c r="F33">
        <f t="shared" si="4"/>
        <v>5</v>
      </c>
      <c r="G33" s="137">
        <f t="shared" si="5"/>
        <v>177.99999998000001</v>
      </c>
      <c r="L33" s="227">
        <f>INDEX(Starter!A:A,ROW()-1)</f>
        <v>27134</v>
      </c>
      <c r="M33">
        <f>SUMIF(Erfassung4!BD:BD,L33,Erfassung4!BW:BW)</f>
        <v>1322</v>
      </c>
      <c r="N33">
        <f>SUMIF(Erfassung4!BD:BD,L33,Erfassung4!BG:BG)</f>
        <v>7</v>
      </c>
      <c r="O33">
        <f t="shared" si="0"/>
        <v>188.85714282414287</v>
      </c>
      <c r="P33">
        <f t="shared" si="1"/>
        <v>14</v>
      </c>
    </row>
    <row r="34" spans="1:16" x14ac:dyDescent="0.25">
      <c r="A34">
        <f t="shared" si="6"/>
        <v>30</v>
      </c>
      <c r="B34">
        <f t="shared" si="2"/>
        <v>7416</v>
      </c>
      <c r="C34" t="str">
        <f>IFERROR(INDEX(Starter!B:B,MATCH(B34,Starter!A:A,0)),"")</f>
        <v>Reichert, Ralph</v>
      </c>
      <c r="D34" t="str">
        <f>IFERROR(INDEX(Starter!C:C,MATCH(B34,Starter!A:A,0)),"")</f>
        <v>BC Bajuwaren 1976 München</v>
      </c>
      <c r="E34" s="102">
        <f t="shared" si="3"/>
        <v>1599</v>
      </c>
      <c r="F34">
        <f t="shared" si="4"/>
        <v>9</v>
      </c>
      <c r="G34" s="137">
        <f t="shared" si="5"/>
        <v>177.66666664566665</v>
      </c>
      <c r="L34" s="227">
        <f>INDEX(Starter!A:A,ROW()-1)</f>
        <v>7883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49</v>
      </c>
    </row>
    <row r="35" spans="1:16" x14ac:dyDescent="0.25">
      <c r="A35">
        <f t="shared" si="6"/>
        <v>31</v>
      </c>
      <c r="B35">
        <f t="shared" si="2"/>
        <v>41008</v>
      </c>
      <c r="C35" t="str">
        <f>IFERROR(INDEX(Starter!B:B,MATCH(B35,Starter!A:A,0)),"")</f>
        <v>Richter, Benjamin</v>
      </c>
      <c r="D35" t="str">
        <f>IFERROR(INDEX(Starter!C:C,MATCH(B35,Starter!A:A,0)),"")</f>
        <v>BC EMAX</v>
      </c>
      <c r="E35" s="102">
        <f t="shared" si="3"/>
        <v>704</v>
      </c>
      <c r="F35">
        <f t="shared" si="4"/>
        <v>4</v>
      </c>
      <c r="G35" s="137">
        <f t="shared" si="5"/>
        <v>175.99999993500001</v>
      </c>
      <c r="L35" s="227">
        <f>INDEX(Starter!A:A,ROW()-1)</f>
        <v>7653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49</v>
      </c>
    </row>
    <row r="36" spans="1:16" x14ac:dyDescent="0.25">
      <c r="A36">
        <f t="shared" si="6"/>
        <v>32</v>
      </c>
      <c r="B36">
        <f t="shared" si="2"/>
        <v>10124</v>
      </c>
      <c r="C36" t="str">
        <f>IFERROR(INDEX(Starter!B:B,MATCH(B36,Starter!A:A,0)),"")</f>
        <v>Kristof, Robert</v>
      </c>
      <c r="D36" t="str">
        <f>IFERROR(INDEX(Starter!C:C,MATCH(B36,Starter!A:A,0)),"")</f>
        <v>BF Rot-Weiß Lichtenhof 69</v>
      </c>
      <c r="E36" s="102">
        <f t="shared" si="3"/>
        <v>1575</v>
      </c>
      <c r="F36">
        <f t="shared" si="4"/>
        <v>9</v>
      </c>
      <c r="G36" s="137">
        <f t="shared" si="5"/>
        <v>174.99999995799999</v>
      </c>
      <c r="L36" s="227">
        <f>INDEX(Starter!A:A,ROW()-1)</f>
        <v>25554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49</v>
      </c>
    </row>
    <row r="37" spans="1:16" x14ac:dyDescent="0.25">
      <c r="A37">
        <f t="shared" si="6"/>
        <v>33</v>
      </c>
      <c r="B37">
        <f t="shared" ref="B37:B68" si="7">IFERROR(INDEX(L:L,MATCH(A37,P:P,0)),"")</f>
        <v>25325</v>
      </c>
      <c r="C37" t="str">
        <f>IFERROR(INDEX(Starter!B:B,MATCH(B37,Starter!A:A,0)),"")</f>
        <v>Wegenast, Robert</v>
      </c>
      <c r="D37" t="str">
        <f>IFERROR(INDEX(Starter!C:C,MATCH(B37,Starter!A:A,0)),"")</f>
        <v>BC EMAX</v>
      </c>
      <c r="E37" s="102">
        <f t="shared" ref="E37:E68" si="8">IFERROR(INDEX(M:M,MATCH(A37,P:P,0)),"")</f>
        <v>874</v>
      </c>
      <c r="F37">
        <f t="shared" ref="F37:F68" si="9">IFERROR(INDEX(N:N,MATCH(A37,P:P,0)),"")</f>
        <v>5</v>
      </c>
      <c r="G37" s="137">
        <f t="shared" ref="G37:G68" si="10">IFERROR(INDEX(O:O,MATCH(A37,P:P,0)),"")</f>
        <v>174.79999994500002</v>
      </c>
      <c r="L37" s="227">
        <f>INDEX(Starter!A:A,ROW()-1)</f>
        <v>7099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49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38041</v>
      </c>
      <c r="C38" t="str">
        <f>IFERROR(INDEX(Starter!B:B,MATCH(B38,Starter!A:A,0)),"")</f>
        <v>Röhlig, Jörg</v>
      </c>
      <c r="D38" t="str">
        <f>IFERROR(INDEX(Starter!C:C,MATCH(B38,Starter!A:A,0)),"")</f>
        <v>BC Bamberger Bowlinghaus</v>
      </c>
      <c r="E38" s="102">
        <f t="shared" si="8"/>
        <v>1041</v>
      </c>
      <c r="F38">
        <f t="shared" si="9"/>
        <v>6</v>
      </c>
      <c r="G38" s="137">
        <f t="shared" si="10"/>
        <v>173.499999962</v>
      </c>
      <c r="L38" s="227">
        <f>INDEX(Starter!A:A,ROW()-1)</f>
        <v>38041</v>
      </c>
      <c r="M38">
        <f>SUMIF(Erfassung4!BD:BD,L38,Erfassung4!BW:BW)</f>
        <v>1041</v>
      </c>
      <c r="N38">
        <f>SUMIF(Erfassung4!BD:BD,L38,Erfassung4!BG:BG)</f>
        <v>6</v>
      </c>
      <c r="O38">
        <f t="shared" si="0"/>
        <v>173.499999962</v>
      </c>
      <c r="P38">
        <f t="shared" si="1"/>
        <v>34</v>
      </c>
    </row>
    <row r="39" spans="1:16" x14ac:dyDescent="0.25">
      <c r="A39">
        <f t="shared" si="11"/>
        <v>35</v>
      </c>
      <c r="B39">
        <f t="shared" si="7"/>
        <v>25061</v>
      </c>
      <c r="C39" t="str">
        <f>IFERROR(INDEX(Starter!B:B,MATCH(B39,Starter!A:A,0)),"")</f>
        <v>Schwarz, Christian</v>
      </c>
      <c r="D39" t="str">
        <f>IFERROR(INDEX(Starter!C:C,MATCH(B39,Starter!A:A,0)),"")</f>
        <v>BSC Highroller Rosenheim</v>
      </c>
      <c r="E39" s="102">
        <f t="shared" si="8"/>
        <v>1561</v>
      </c>
      <c r="F39">
        <f t="shared" si="9"/>
        <v>9</v>
      </c>
      <c r="G39" s="137">
        <f t="shared" si="10"/>
        <v>173.44444438544446</v>
      </c>
      <c r="L39" s="227">
        <f>INDEX(Starter!A:A,ROW()-1)</f>
        <v>25516</v>
      </c>
      <c r="M39">
        <f>SUMIF(Erfassung4!BD:BD,L39,Erfassung4!BW:BW)</f>
        <v>510</v>
      </c>
      <c r="N39">
        <f>SUMIF(Erfassung4!BD:BD,L39,Erfassung4!BG:BG)</f>
        <v>3</v>
      </c>
      <c r="O39">
        <f t="shared" si="0"/>
        <v>169.99999996099999</v>
      </c>
      <c r="P39">
        <f t="shared" si="1"/>
        <v>38</v>
      </c>
    </row>
    <row r="40" spans="1:16" x14ac:dyDescent="0.25">
      <c r="A40">
        <f t="shared" si="11"/>
        <v>36</v>
      </c>
      <c r="B40">
        <f t="shared" si="7"/>
        <v>16888</v>
      </c>
      <c r="C40" t="str">
        <f>IFERROR(INDEX(Starter!B:B,MATCH(B40,Starter!A:A,0)),"")</f>
        <v>Auer, Thomas</v>
      </c>
      <c r="D40" t="str">
        <f>IFERROR(INDEX(Starter!C:C,MATCH(B40,Starter!A:A,0)),"")</f>
        <v>BSC Highroller Rosenheim</v>
      </c>
      <c r="E40" s="102">
        <f t="shared" si="8"/>
        <v>1543</v>
      </c>
      <c r="F40">
        <f t="shared" si="9"/>
        <v>9</v>
      </c>
      <c r="G40" s="137">
        <f t="shared" si="10"/>
        <v>171.44444442044446</v>
      </c>
      <c r="L40" s="227">
        <f>INDEX(Starter!A:A,ROW()-1)</f>
        <v>16873</v>
      </c>
      <c r="M40">
        <f>SUMIF(Erfassung4!BD:BD,L40,Erfassung4!BW:BW)</f>
        <v>1608</v>
      </c>
      <c r="N40">
        <f>SUMIF(Erfassung4!BD:BD,L40,Erfassung4!BG:BG)</f>
        <v>9</v>
      </c>
      <c r="O40">
        <f t="shared" si="0"/>
        <v>178.66666662666665</v>
      </c>
      <c r="P40">
        <f t="shared" si="1"/>
        <v>26</v>
      </c>
    </row>
    <row r="41" spans="1:16" x14ac:dyDescent="0.25">
      <c r="A41">
        <f t="shared" si="11"/>
        <v>37</v>
      </c>
      <c r="B41">
        <f t="shared" si="7"/>
        <v>16245</v>
      </c>
      <c r="C41" t="str">
        <f>IFERROR(INDEX(Starter!B:B,MATCH(B41,Starter!A:A,0)),"")</f>
        <v>Fischbach, Max</v>
      </c>
      <c r="D41" t="str">
        <f>IFERROR(INDEX(Starter!C:C,MATCH(B41,Starter!A:A,0)),"")</f>
        <v>Comet</v>
      </c>
      <c r="E41" s="102">
        <f t="shared" si="8"/>
        <v>683</v>
      </c>
      <c r="F41">
        <f t="shared" si="9"/>
        <v>4</v>
      </c>
      <c r="G41" s="137">
        <f t="shared" si="10"/>
        <v>170.749999968</v>
      </c>
      <c r="L41" s="227">
        <f>INDEX(Starter!A:A,ROW()-1)</f>
        <v>7937</v>
      </c>
      <c r="M41">
        <f>SUMIF(Erfassung4!BD:BD,L41,Erfassung4!BW:BW)</f>
        <v>1627</v>
      </c>
      <c r="N41">
        <f>SUMIF(Erfassung4!BD:BD,L41,Erfassung4!BG:BG)</f>
        <v>9</v>
      </c>
      <c r="O41">
        <f t="shared" si="0"/>
        <v>180.77777773677778</v>
      </c>
      <c r="P41">
        <f t="shared" si="1"/>
        <v>24</v>
      </c>
    </row>
    <row r="42" spans="1:16" x14ac:dyDescent="0.25">
      <c r="A42">
        <f t="shared" si="11"/>
        <v>38</v>
      </c>
      <c r="B42">
        <f t="shared" si="7"/>
        <v>25516</v>
      </c>
      <c r="C42" t="str">
        <f>IFERROR(INDEX(Starter!B:B,MATCH(B42,Starter!A:A,0)),"")</f>
        <v>Nikoleit, Thomas</v>
      </c>
      <c r="D42" t="str">
        <f>IFERROR(INDEX(Starter!C:C,MATCH(B42,Starter!A:A,0)),"")</f>
        <v>BC Bamberger Bowlinghaus</v>
      </c>
      <c r="E42" s="102">
        <f t="shared" si="8"/>
        <v>510</v>
      </c>
      <c r="F42">
        <f t="shared" si="9"/>
        <v>3</v>
      </c>
      <c r="G42" s="137">
        <f t="shared" si="10"/>
        <v>169.99999996099999</v>
      </c>
      <c r="L42" s="227">
        <f>INDEX(Starter!A:A,ROW()-1)</f>
        <v>10124</v>
      </c>
      <c r="M42">
        <f>SUMIF(Erfassung4!BD:BD,L42,Erfassung4!BW:BW)</f>
        <v>1575</v>
      </c>
      <c r="N42">
        <f>SUMIF(Erfassung4!BD:BD,L42,Erfassung4!BG:BG)</f>
        <v>9</v>
      </c>
      <c r="O42">
        <f t="shared" si="0"/>
        <v>174.99999995799999</v>
      </c>
      <c r="P42">
        <f t="shared" si="1"/>
        <v>32</v>
      </c>
    </row>
    <row r="43" spans="1:16" x14ac:dyDescent="0.25">
      <c r="A43">
        <f t="shared" si="11"/>
        <v>39</v>
      </c>
      <c r="B43">
        <f t="shared" si="7"/>
        <v>38092</v>
      </c>
      <c r="C43" t="str">
        <f>IFERROR(INDEX(Starter!B:B,MATCH(B43,Starter!A:A,0)),"")</f>
        <v>Kabel, Nicolas</v>
      </c>
      <c r="D43" t="str">
        <f>IFERROR(INDEX(Starter!C:C,MATCH(B43,Starter!A:A,0)),"")</f>
        <v>BSC Highroller Rosenheim</v>
      </c>
      <c r="E43" s="102">
        <f t="shared" si="8"/>
        <v>1521</v>
      </c>
      <c r="F43">
        <f t="shared" si="9"/>
        <v>9</v>
      </c>
      <c r="G43" s="137">
        <f t="shared" si="10"/>
        <v>168.99999997500001</v>
      </c>
      <c r="L43" s="227">
        <f>INDEX(Starter!A:A,ROW()-1)</f>
        <v>16263</v>
      </c>
      <c r="M43">
        <f>SUMIF(Erfassung4!BD:BD,L43,Erfassung4!BW:BW)</f>
        <v>1773</v>
      </c>
      <c r="N43">
        <f>SUMIF(Erfassung4!BD:BD,L43,Erfassung4!BG:BG)</f>
        <v>9</v>
      </c>
      <c r="O43">
        <f t="shared" si="0"/>
        <v>196.999999957</v>
      </c>
      <c r="P43">
        <f t="shared" si="1"/>
        <v>9</v>
      </c>
    </row>
    <row r="44" spans="1:16" x14ac:dyDescent="0.25">
      <c r="A44">
        <f t="shared" si="11"/>
        <v>40</v>
      </c>
      <c r="B44">
        <f t="shared" si="7"/>
        <v>16762</v>
      </c>
      <c r="C44" t="str">
        <f>IFERROR(INDEX(Starter!B:B,MATCH(B44,Starter!A:A,0)),"")</f>
        <v>Glasl sen., Hans</v>
      </c>
      <c r="D44" t="str">
        <f>IFERROR(INDEX(Starter!C:C,MATCH(B44,Starter!A:A,0)),"")</f>
        <v>BC Bajuwaren 1976 München</v>
      </c>
      <c r="E44" s="102">
        <f t="shared" si="8"/>
        <v>843</v>
      </c>
      <c r="F44">
        <f t="shared" si="9"/>
        <v>5</v>
      </c>
      <c r="G44" s="137">
        <f t="shared" si="10"/>
        <v>168.599999981</v>
      </c>
      <c r="L44" s="227">
        <f>INDEX(Starter!A:A,ROW()-1)</f>
        <v>7959</v>
      </c>
      <c r="M44">
        <f>SUMIF(Erfassung4!BD:BD,L44,Erfassung4!BW:BW)</f>
        <v>0</v>
      </c>
      <c r="N44">
        <f>SUMIF(Erfassung4!BD:BD,L44,Erfassung4!BG:BG)</f>
        <v>0</v>
      </c>
      <c r="O44">
        <f t="shared" si="0"/>
        <v>0</v>
      </c>
      <c r="P44">
        <f t="shared" si="1"/>
        <v>49</v>
      </c>
    </row>
    <row r="45" spans="1:16" x14ac:dyDescent="0.25">
      <c r="A45">
        <f t="shared" si="11"/>
        <v>41</v>
      </c>
      <c r="B45">
        <f t="shared" si="7"/>
        <v>7601</v>
      </c>
      <c r="C45" t="str">
        <f>IFERROR(INDEX(Starter!B:B,MATCH(B45,Starter!A:A,0)),"")</f>
        <v>Lüthje, Volker</v>
      </c>
      <c r="D45" t="str">
        <f>IFERROR(INDEX(Starter!C:C,MATCH(B45,Starter!A:A,0)),"")</f>
        <v>BC Bajuwaren 1976 München</v>
      </c>
      <c r="E45" s="102">
        <f t="shared" si="8"/>
        <v>1175</v>
      </c>
      <c r="F45">
        <f t="shared" si="9"/>
        <v>7</v>
      </c>
      <c r="G45" s="137">
        <f t="shared" si="10"/>
        <v>167.85714281214285</v>
      </c>
      <c r="L45" s="227">
        <f>INDEX(Starter!A:A,ROW()-1)</f>
        <v>7601</v>
      </c>
      <c r="M45">
        <f>SUMIF(Erfassung4!BD:BD,L45,Erfassung4!BW:BW)</f>
        <v>1175</v>
      </c>
      <c r="N45">
        <f>SUMIF(Erfassung4!BD:BD,L45,Erfassung4!BG:BG)</f>
        <v>7</v>
      </c>
      <c r="O45">
        <f t="shared" si="0"/>
        <v>167.85714281214285</v>
      </c>
      <c r="P45">
        <f t="shared" si="1"/>
        <v>41</v>
      </c>
    </row>
    <row r="46" spans="1:16" x14ac:dyDescent="0.25">
      <c r="A46">
        <f t="shared" si="11"/>
        <v>42</v>
      </c>
      <c r="B46">
        <f t="shared" si="7"/>
        <v>16862</v>
      </c>
      <c r="C46" t="str">
        <f>IFERROR(INDEX(Starter!B:B,MATCH(B46,Starter!A:A,0)),"")</f>
        <v>Büttner, Christian</v>
      </c>
      <c r="D46" t="str">
        <f>IFERROR(INDEX(Starter!C:C,MATCH(B46,Starter!A:A,0)),"")</f>
        <v>SG Rottendorf</v>
      </c>
      <c r="E46" s="102">
        <f t="shared" si="8"/>
        <v>1500</v>
      </c>
      <c r="F46">
        <f t="shared" si="9"/>
        <v>9</v>
      </c>
      <c r="G46" s="137">
        <f t="shared" si="10"/>
        <v>166.66666661666665</v>
      </c>
      <c r="L46" s="227">
        <f>INDEX(Starter!A:A,ROW()-1)</f>
        <v>7593</v>
      </c>
      <c r="M46">
        <f>SUMIF(Erfassung4!BD:BD,L46,Erfassung4!BW:BW)</f>
        <v>0</v>
      </c>
      <c r="N46">
        <f>SUMIF(Erfassung4!BD:BD,L46,Erfassung4!BG:BG)</f>
        <v>0</v>
      </c>
      <c r="O46">
        <f t="shared" si="0"/>
        <v>0</v>
      </c>
      <c r="P46">
        <f t="shared" si="1"/>
        <v>49</v>
      </c>
    </row>
    <row r="47" spans="1:16" x14ac:dyDescent="0.25">
      <c r="A47">
        <f t="shared" si="11"/>
        <v>43</v>
      </c>
      <c r="B47">
        <f t="shared" si="7"/>
        <v>38361</v>
      </c>
      <c r="C47" t="str">
        <f>IFERROR(INDEX(Starter!B:B,MATCH(B47,Starter!A:A,0)),"")</f>
        <v>Schmied, Markus</v>
      </c>
      <c r="D47" t="str">
        <f>IFERROR(INDEX(Starter!C:C,MATCH(B47,Starter!A:A,0)),"")</f>
        <v>BC Schanzer Strikers</v>
      </c>
      <c r="E47" s="102">
        <f t="shared" si="8"/>
        <v>1456</v>
      </c>
      <c r="F47">
        <f t="shared" si="9"/>
        <v>9</v>
      </c>
      <c r="G47" s="137">
        <f t="shared" si="10"/>
        <v>161.77777777077776</v>
      </c>
      <c r="L47" s="227">
        <f>INDEX(Starter!A:A,ROW()-1)</f>
        <v>7591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49</v>
      </c>
    </row>
    <row r="48" spans="1:16" x14ac:dyDescent="0.25">
      <c r="A48">
        <f t="shared" si="11"/>
        <v>44</v>
      </c>
      <c r="B48">
        <f t="shared" si="7"/>
        <v>22116</v>
      </c>
      <c r="C48" t="str">
        <f>IFERROR(INDEX(Starter!B:B,MATCH(B48,Starter!A:A,0)),"")</f>
        <v>Tavares, S.</v>
      </c>
      <c r="D48" t="str">
        <f>IFERROR(INDEX(Starter!C:C,MATCH(B48,Starter!A:A,0)),"")</f>
        <v>BC Highroller Rosenheim</v>
      </c>
      <c r="E48" s="102">
        <f t="shared" si="8"/>
        <v>635</v>
      </c>
      <c r="F48">
        <f t="shared" si="9"/>
        <v>4</v>
      </c>
      <c r="G48" s="137">
        <f t="shared" si="10"/>
        <v>158.74999993099999</v>
      </c>
      <c r="L48" s="227">
        <f>INDEX(Starter!A:A,ROW()-1)</f>
        <v>38039</v>
      </c>
      <c r="M48">
        <f>SUMIF(Erfassung4!BD:BD,L48,Erfassung4!BW:BW)</f>
        <v>909</v>
      </c>
      <c r="N48">
        <f>SUMIF(Erfassung4!BD:BD,L48,Erfassung4!BG:BG)</f>
        <v>5</v>
      </c>
      <c r="O48">
        <f t="shared" si="0"/>
        <v>181.79999995200001</v>
      </c>
      <c r="P48">
        <f t="shared" si="1"/>
        <v>23</v>
      </c>
    </row>
    <row r="49" spans="1:16" x14ac:dyDescent="0.25">
      <c r="A49">
        <f t="shared" si="11"/>
        <v>45</v>
      </c>
      <c r="B49">
        <f t="shared" si="7"/>
        <v>38411</v>
      </c>
      <c r="C49" t="str">
        <f>IFERROR(INDEX(Starter!B:B,MATCH(B49,Starter!A:A,0)),"")</f>
        <v>Hartl, Thomas</v>
      </c>
      <c r="D49" t="str">
        <f>IFERROR(INDEX(Starter!C:C,MATCH(B49,Starter!A:A,0)),"")</f>
        <v>BC Schanzer Strikers</v>
      </c>
      <c r="E49" s="102">
        <f t="shared" si="8"/>
        <v>1398</v>
      </c>
      <c r="F49">
        <f t="shared" si="9"/>
        <v>9</v>
      </c>
      <c r="G49" s="137">
        <f t="shared" si="10"/>
        <v>155.33333332733335</v>
      </c>
      <c r="L49" s="227">
        <f>INDEX(Starter!A:A,ROW()-1)</f>
        <v>7738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49</v>
      </c>
    </row>
    <row r="50" spans="1:16" x14ac:dyDescent="0.25">
      <c r="A50">
        <f t="shared" si="11"/>
        <v>46</v>
      </c>
      <c r="B50">
        <f t="shared" si="7"/>
        <v>16398</v>
      </c>
      <c r="C50" t="str">
        <f>IFERROR(INDEX(Starter!B:B,MATCH(B50,Starter!A:A,0)),"")</f>
        <v>Denz, Günter</v>
      </c>
      <c r="D50" t="str">
        <f>IFERROR(INDEX(Starter!C:C,MATCH(B50,Starter!A:A,0)),"")</f>
        <v>BC EMAX</v>
      </c>
      <c r="E50" s="102">
        <f t="shared" si="8"/>
        <v>309</v>
      </c>
      <c r="F50">
        <f t="shared" si="9"/>
        <v>2</v>
      </c>
      <c r="G50" s="137">
        <f t="shared" si="10"/>
        <v>154.49999993399999</v>
      </c>
      <c r="L50" s="227">
        <f>INDEX(Starter!A:A,ROW()-1)</f>
        <v>16862</v>
      </c>
      <c r="M50">
        <f>SUMIF(Erfassung4!BD:BD,L50,Erfassung4!BW:BW)</f>
        <v>1500</v>
      </c>
      <c r="N50">
        <f>SUMIF(Erfassung4!BD:BD,L50,Erfassung4!BG:BG)</f>
        <v>9</v>
      </c>
      <c r="O50">
        <f t="shared" si="0"/>
        <v>166.66666661666665</v>
      </c>
      <c r="P50">
        <f t="shared" si="1"/>
        <v>42</v>
      </c>
    </row>
    <row r="51" spans="1:16" x14ac:dyDescent="0.25">
      <c r="A51">
        <f t="shared" si="11"/>
        <v>47</v>
      </c>
      <c r="B51">
        <f t="shared" si="7"/>
        <v>7740</v>
      </c>
      <c r="C51" t="str">
        <f>IFERROR(INDEX(Starter!B:B,MATCH(B51,Starter!A:A,0)),"")</f>
        <v>Mesch, John</v>
      </c>
      <c r="D51" t="str">
        <f>IFERROR(INDEX(Starter!C:C,MATCH(B51,Starter!A:A,0)),"")</f>
        <v>BF Rot-Weiß Lichtenhof 69</v>
      </c>
      <c r="E51" s="102">
        <f t="shared" si="8"/>
        <v>762</v>
      </c>
      <c r="F51">
        <f t="shared" si="9"/>
        <v>5</v>
      </c>
      <c r="G51" s="137">
        <f t="shared" si="10"/>
        <v>152.39999993800001</v>
      </c>
      <c r="L51" s="227">
        <f>INDEX(Starter!A:A,ROW()-1)</f>
        <v>16346</v>
      </c>
      <c r="M51">
        <f>SUMIF(Erfassung4!BD:BD,L51,Erfassung4!BW:BW)</f>
        <v>0</v>
      </c>
      <c r="N51">
        <f>SUMIF(Erfassung4!BD:BD,L51,Erfassung4!BG:BG)</f>
        <v>0</v>
      </c>
      <c r="O51">
        <f t="shared" si="0"/>
        <v>0</v>
      </c>
      <c r="P51">
        <f t="shared" si="1"/>
        <v>49</v>
      </c>
    </row>
    <row r="52" spans="1:16" x14ac:dyDescent="0.25">
      <c r="A52">
        <f t="shared" si="11"/>
        <v>48</v>
      </c>
      <c r="B52">
        <f t="shared" si="7"/>
        <v>39948</v>
      </c>
      <c r="C52" t="str">
        <f>IFERROR(INDEX(Starter!B:B,MATCH(B52,Starter!A:A,0)),"")</f>
        <v>Wieczorek Ben</v>
      </c>
      <c r="D52" t="str">
        <f>IFERROR(INDEX(Starter!C:C,MATCH(B52,Starter!A:A,0)),"")</f>
        <v>BF Rot-Weiß Lichtenhof 69</v>
      </c>
      <c r="E52" s="102">
        <f t="shared" si="8"/>
        <v>599</v>
      </c>
      <c r="F52">
        <f t="shared" si="9"/>
        <v>4</v>
      </c>
      <c r="G52" s="137">
        <f t="shared" si="10"/>
        <v>149.74999992900001</v>
      </c>
      <c r="L52" s="227">
        <f>INDEX(Starter!A:A,ROW()-1)</f>
        <v>25024</v>
      </c>
      <c r="M52">
        <f>SUMIF(Erfassung4!BD:BD,L52,Erfassung4!BW:BW)</f>
        <v>0</v>
      </c>
      <c r="N52">
        <f>SUMIF(Erfassung4!BD:BD,L52,Erfassung4!BG:BG)</f>
        <v>0</v>
      </c>
      <c r="O52">
        <f t="shared" si="0"/>
        <v>0</v>
      </c>
      <c r="P52">
        <f t="shared" si="1"/>
        <v>49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SUMIF(Erfassung4!BD:BD,L53,Erfassung4!BW:BW)</f>
        <v>0</v>
      </c>
      <c r="N53">
        <f>SUMIF(Erfassung4!BD:BD,L53,Erfassung4!BG:BG)</f>
        <v>0</v>
      </c>
      <c r="O53">
        <f t="shared" si="0"/>
        <v>0</v>
      </c>
      <c r="P53">
        <f t="shared" si="1"/>
        <v>49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SUMIF(Erfassung4!BD:BD,L54,Erfassung4!BW:BW)</f>
        <v>1794</v>
      </c>
      <c r="N54">
        <f>SUMIF(Erfassung4!BD:BD,L54,Erfassung4!BG:BG)</f>
        <v>9</v>
      </c>
      <c r="O54">
        <f t="shared" si="0"/>
        <v>199.33333327933335</v>
      </c>
      <c r="P54">
        <f t="shared" si="1"/>
        <v>7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SUMIF(Erfassung4!BD:BD,L55,Erfassung4!BW:BW)</f>
        <v>874</v>
      </c>
      <c r="N55">
        <f>SUMIF(Erfassung4!BD:BD,L55,Erfassung4!BG:BG)</f>
        <v>5</v>
      </c>
      <c r="O55">
        <f t="shared" si="0"/>
        <v>174.79999994500002</v>
      </c>
      <c r="P55">
        <f t="shared" si="1"/>
        <v>33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SUMIF(Erfassung4!BD:BD,L56,Erfassung4!BW:BW)</f>
        <v>1414</v>
      </c>
      <c r="N56">
        <f>SUMIF(Erfassung4!BD:BD,L56,Erfassung4!BG:BG)</f>
        <v>7</v>
      </c>
      <c r="O56">
        <f t="shared" si="0"/>
        <v>201.999999944</v>
      </c>
      <c r="P56">
        <f t="shared" si="1"/>
        <v>5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SUMIF(Erfassung4!BD:BD,L57,Erfassung4!BW:BW)</f>
        <v>0</v>
      </c>
      <c r="N57">
        <f>SUMIF(Erfassung4!BD:BD,L57,Erfassung4!BG:BG)</f>
        <v>0</v>
      </c>
      <c r="O57">
        <f t="shared" si="0"/>
        <v>0</v>
      </c>
      <c r="P57">
        <f t="shared" si="1"/>
        <v>49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SUMIF(Erfassung4!BD:BD,L58,Erfassung4!BW:BW)</f>
        <v>1672</v>
      </c>
      <c r="N58">
        <f>SUMIF(Erfassung4!BD:BD,L58,Erfassung4!BG:BG)</f>
        <v>9</v>
      </c>
      <c r="O58">
        <f t="shared" si="0"/>
        <v>185.77777771977776</v>
      </c>
      <c r="P58">
        <f t="shared" si="1"/>
        <v>20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SUMIF(Erfassung4!BD:BD,L59,Erfassung4!BW:BW)</f>
        <v>1561</v>
      </c>
      <c r="N59">
        <f>SUMIF(Erfassung4!BD:BD,L59,Erfassung4!BG:BG)</f>
        <v>9</v>
      </c>
      <c r="O59">
        <f t="shared" si="0"/>
        <v>173.44444438544446</v>
      </c>
      <c r="P59">
        <f t="shared" si="1"/>
        <v>35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SUMIF(Erfassung4!BD:BD,L60,Erfassung4!BW:BW)</f>
        <v>0</v>
      </c>
      <c r="N60">
        <f>SUMIF(Erfassung4!BD:BD,L60,Erfassung4!BG:BG)</f>
        <v>0</v>
      </c>
      <c r="O60">
        <f t="shared" si="0"/>
        <v>0</v>
      </c>
      <c r="P60">
        <f t="shared" si="1"/>
        <v>49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SUMIF(Erfassung4!BD:BD,L61,Erfassung4!BW:BW)</f>
        <v>0</v>
      </c>
      <c r="N61">
        <f>SUMIF(Erfassung4!BD:BD,L61,Erfassung4!BG:BG)</f>
        <v>0</v>
      </c>
      <c r="O61">
        <f t="shared" si="0"/>
        <v>0</v>
      </c>
      <c r="P61">
        <f t="shared" si="1"/>
        <v>49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SUMIF(Erfassung4!BD:BD,L62,Erfassung4!BW:BW)</f>
        <v>762</v>
      </c>
      <c r="N62">
        <f>SUMIF(Erfassung4!BD:BD,L62,Erfassung4!BG:BG)</f>
        <v>5</v>
      </c>
      <c r="O62">
        <f t="shared" si="0"/>
        <v>152.39999993800001</v>
      </c>
      <c r="P62">
        <f t="shared" si="1"/>
        <v>47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49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49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SUMIF(Erfassung4!BD:BD,L65,Erfassung4!BW:BW)</f>
        <v>704</v>
      </c>
      <c r="N65">
        <f>SUMIF(Erfassung4!BD:BD,L65,Erfassung4!BG:BG)</f>
        <v>4</v>
      </c>
      <c r="O65">
        <f t="shared" si="0"/>
        <v>175.99999993500001</v>
      </c>
      <c r="P65">
        <f t="shared" si="1"/>
        <v>31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SUMIF(Erfassung4!BD:BD,L66,Erfassung4!BW:BW)</f>
        <v>309</v>
      </c>
      <c r="N66">
        <f>SUMIF(Erfassung4!BD:BD,L66,Erfassung4!BG:BG)</f>
        <v>2</v>
      </c>
      <c r="O66">
        <f t="shared" ref="O66:O104" si="12">IF(N66=0,0,M66/N66-ROW()/1000000000)</f>
        <v>154.49999993399999</v>
      </c>
      <c r="P66">
        <f t="shared" ref="P66:P104" si="13">RANK(O66,O:O)</f>
        <v>46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SUMIF(Erfassung4!BD:BD,L67,Erfassung4!BW:BW)</f>
        <v>1684</v>
      </c>
      <c r="N67">
        <f>SUMIF(Erfassung4!BD:BD,L67,Erfassung4!BG:BG)</f>
        <v>9</v>
      </c>
      <c r="O67">
        <f t="shared" si="12"/>
        <v>187.11111104411111</v>
      </c>
      <c r="P67">
        <f t="shared" si="13"/>
        <v>19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SUMIF(Erfassung4!BD:BD,L68,Erfassung4!BW:BW)</f>
        <v>0</v>
      </c>
      <c r="N68">
        <f>SUMIF(Erfassung4!BD:BD,L68,Erfassung4!BG:BG)</f>
        <v>0</v>
      </c>
      <c r="O68">
        <f t="shared" si="12"/>
        <v>0</v>
      </c>
      <c r="P68">
        <f t="shared" si="13"/>
        <v>49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SUMIF(Erfassung4!BD:BD,L69,Erfassung4!BW:BW)</f>
        <v>635</v>
      </c>
      <c r="N69">
        <f>SUMIF(Erfassung4!BD:BD,L69,Erfassung4!BG:BG)</f>
        <v>4</v>
      </c>
      <c r="O69">
        <f t="shared" si="12"/>
        <v>158.74999993099999</v>
      </c>
      <c r="P69">
        <f t="shared" si="13"/>
        <v>44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SUMIF(Erfassung4!BD:BD,L70,Erfassung4!BW:BW)</f>
        <v>1971</v>
      </c>
      <c r="N70">
        <f>SUMIF(Erfassung4!BD:BD,L70,Erfassung4!BG:BG)</f>
        <v>9</v>
      </c>
      <c r="O70">
        <f t="shared" si="12"/>
        <v>218.99999993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SUMIF(Erfassung4!BD:BD,L71,Erfassung4!BW:BW)</f>
        <v>599</v>
      </c>
      <c r="N71">
        <f>SUMIF(Erfassung4!BD:BD,L71,Erfassung4!BG:BG)</f>
        <v>4</v>
      </c>
      <c r="O71">
        <f t="shared" si="12"/>
        <v>149.74999992900001</v>
      </c>
      <c r="P71">
        <f t="shared" si="13"/>
        <v>48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SUMIF(Erfassung4!BD:BD,L72,Erfassung4!BW:BW)</f>
        <v>0</v>
      </c>
      <c r="N72">
        <f>SUMIF(Erfassung4!BD:BD,L72,Erfassung4!BG:BG)</f>
        <v>0</v>
      </c>
      <c r="O72">
        <f t="shared" si="12"/>
        <v>0</v>
      </c>
      <c r="P72">
        <f t="shared" si="13"/>
        <v>49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49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38018</v>
      </c>
      <c r="M74">
        <f>SUMIF(Erfassung4!BD:BD,L74,Erfassung4!BW:BW)</f>
        <v>0</v>
      </c>
      <c r="N74">
        <f>SUMIF(Erfassung4!BD:BD,L74,Erfassung4!BG:BG)</f>
        <v>0</v>
      </c>
      <c r="O74">
        <f t="shared" si="12"/>
        <v>0</v>
      </c>
      <c r="P74">
        <f t="shared" si="13"/>
        <v>49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25465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49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49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49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49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49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49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49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49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49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49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49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49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49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49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49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49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49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49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49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49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49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49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49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49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49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49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49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49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49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49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baseColWidth="10" defaultRowHeight="13.2" x14ac:dyDescent="0.25"/>
  <cols>
    <col min="1" max="1" width="3.88671875" customWidth="1"/>
    <col min="2" max="2" width="25" style="2" customWidth="1"/>
    <col min="3" max="11" width="3.6640625" customWidth="1"/>
    <col min="12" max="12" width="3.6640625" style="3" customWidth="1"/>
    <col min="13" max="21" width="3.6640625" customWidth="1"/>
    <col min="22" max="22" width="5.6640625" customWidth="1"/>
    <col min="23" max="31" width="3.6640625" customWidth="1"/>
    <col min="32" max="32" width="3.6640625" style="3" customWidth="1"/>
    <col min="33" max="41" width="3.6640625" customWidth="1"/>
    <col min="42" max="42" width="5.6640625" customWidth="1"/>
    <col min="43" max="51" width="3.6640625" customWidth="1"/>
    <col min="52" max="52" width="3.6640625" style="3" customWidth="1"/>
    <col min="53" max="61" width="3.6640625" customWidth="1"/>
    <col min="62" max="62" width="5.6640625" customWidth="1"/>
    <col min="63" max="71" width="3.6640625" customWidth="1"/>
    <col min="72" max="72" width="3.6640625" style="3" customWidth="1"/>
    <col min="73" max="81" width="3.6640625" customWidth="1"/>
    <col min="82" max="82" width="5.6640625" customWidth="1"/>
    <col min="83" max="91" width="3.6640625" customWidth="1"/>
    <col min="92" max="92" width="3.6640625" style="3" customWidth="1"/>
    <col min="93" max="101" width="3.6640625" customWidth="1"/>
    <col min="102" max="102" width="5.6640625" customWidth="1"/>
    <col min="103" max="111" width="3.6640625" customWidth="1"/>
    <col min="112" max="112" width="3.6640625" style="3" customWidth="1"/>
    <col min="113" max="121" width="3.6640625" customWidth="1"/>
    <col min="122" max="122" width="5.6640625" customWidth="1"/>
  </cols>
  <sheetData>
    <row r="1" spans="1:122" ht="24" customHeight="1" x14ac:dyDescent="0.25">
      <c r="C1" s="294" t="s">
        <v>2319</v>
      </c>
      <c r="D1" s="295"/>
      <c r="E1" s="295"/>
      <c r="F1" s="295"/>
      <c r="G1" s="295"/>
      <c r="H1" s="295"/>
      <c r="I1" s="295"/>
      <c r="J1" s="295"/>
      <c r="K1" s="295"/>
      <c r="L1" s="296"/>
      <c r="M1" s="304" t="str">
        <f>VLOOKUP($S$2,Spielorte!$A$1:$C$6,2)</f>
        <v>12.10./13.10.</v>
      </c>
      <c r="N1" s="305"/>
      <c r="O1" s="305"/>
      <c r="P1" s="305"/>
      <c r="Q1" s="305"/>
      <c r="R1" s="305"/>
      <c r="S1" s="305"/>
      <c r="T1" s="305"/>
      <c r="U1" s="305"/>
      <c r="V1" s="306"/>
      <c r="W1" s="294" t="str">
        <f>+C1</f>
        <v>Bayernliga Herren</v>
      </c>
      <c r="X1" s="295"/>
      <c r="Y1" s="295"/>
      <c r="Z1" s="295"/>
      <c r="AA1" s="295"/>
      <c r="AB1" s="295"/>
      <c r="AC1" s="295"/>
      <c r="AD1" s="295"/>
      <c r="AE1" s="295"/>
      <c r="AF1" s="296"/>
      <c r="AG1" s="304" t="str">
        <f>VLOOKUP($AM$2,Spielorte!$A$1:$C$6,2)</f>
        <v>02.11./03.11.</v>
      </c>
      <c r="AH1" s="305"/>
      <c r="AI1" s="305"/>
      <c r="AJ1" s="305"/>
      <c r="AK1" s="305"/>
      <c r="AL1" s="305"/>
      <c r="AM1" s="305"/>
      <c r="AN1" s="305"/>
      <c r="AO1" s="305"/>
      <c r="AP1" s="306"/>
      <c r="AQ1" s="294" t="str">
        <f>+W1</f>
        <v>Bayernliga Herren</v>
      </c>
      <c r="AR1" s="295"/>
      <c r="AS1" s="295"/>
      <c r="AT1" s="295"/>
      <c r="AU1" s="295"/>
      <c r="AV1" s="295"/>
      <c r="AW1" s="295"/>
      <c r="AX1" s="295"/>
      <c r="AY1" s="295"/>
      <c r="AZ1" s="296"/>
      <c r="BA1" s="307" t="str">
        <f>VLOOKUP($BG$2,Spielorte!$A$1:$C$6,2)</f>
        <v>01.02./02.02.</v>
      </c>
      <c r="BB1" s="308"/>
      <c r="BC1" s="308"/>
      <c r="BD1" s="308"/>
      <c r="BE1" s="308"/>
      <c r="BF1" s="308"/>
      <c r="BG1" s="308"/>
      <c r="BH1" s="308"/>
      <c r="BI1" s="308"/>
      <c r="BJ1" s="309"/>
      <c r="BK1" s="294" t="str">
        <f>+AQ1</f>
        <v>Bayernliga Herren</v>
      </c>
      <c r="BL1" s="295"/>
      <c r="BM1" s="295"/>
      <c r="BN1" s="295"/>
      <c r="BO1" s="295"/>
      <c r="BP1" s="295"/>
      <c r="BQ1" s="295"/>
      <c r="BR1" s="295"/>
      <c r="BS1" s="295"/>
      <c r="BT1" s="296"/>
      <c r="BU1" s="307" t="str">
        <f>VLOOKUP($CA$2,Spielorte!$A$1:$C$6,2)</f>
        <v>15.02./16.02.</v>
      </c>
      <c r="BV1" s="308"/>
      <c r="BW1" s="308"/>
      <c r="BX1" s="308"/>
      <c r="BY1" s="308"/>
      <c r="BZ1" s="308"/>
      <c r="CA1" s="308"/>
      <c r="CB1" s="308"/>
      <c r="CC1" s="308"/>
      <c r="CD1" s="309"/>
      <c r="CE1" s="294" t="str">
        <f>+BK1</f>
        <v>Bayernliga Herren</v>
      </c>
      <c r="CF1" s="295"/>
      <c r="CG1" s="295"/>
      <c r="CH1" s="295"/>
      <c r="CI1" s="295"/>
      <c r="CJ1" s="295"/>
      <c r="CK1" s="295"/>
      <c r="CL1" s="295"/>
      <c r="CM1" s="295"/>
      <c r="CN1" s="296"/>
      <c r="CO1" s="307" t="str">
        <f>VLOOKUP($CU$2,Spielorte!$A$1:$C$6,2)</f>
        <v>15.03./16.03.</v>
      </c>
      <c r="CP1" s="308"/>
      <c r="CQ1" s="308"/>
      <c r="CR1" s="308"/>
      <c r="CS1" s="308"/>
      <c r="CT1" s="308"/>
      <c r="CU1" s="308"/>
      <c r="CV1" s="308"/>
      <c r="CW1" s="308"/>
      <c r="CX1" s="309"/>
      <c r="CY1" s="294" t="str">
        <f>+CE1</f>
        <v>Bayernliga Herren</v>
      </c>
      <c r="CZ1" s="295"/>
      <c r="DA1" s="295"/>
      <c r="DB1" s="295"/>
      <c r="DC1" s="295"/>
      <c r="DD1" s="295"/>
      <c r="DE1" s="295"/>
      <c r="DF1" s="295"/>
      <c r="DG1" s="295"/>
      <c r="DH1" s="296"/>
      <c r="DI1" s="307" t="str">
        <f>VLOOKUP($DO$2,Spielorte!$A$1:$C$6,2)</f>
        <v>05.04./06.04.</v>
      </c>
      <c r="DJ1" s="308"/>
      <c r="DK1" s="308"/>
      <c r="DL1" s="308"/>
      <c r="DM1" s="308"/>
      <c r="DN1" s="308"/>
      <c r="DO1" s="308"/>
      <c r="DP1" s="308"/>
      <c r="DQ1" s="308"/>
      <c r="DR1" s="309"/>
    </row>
    <row r="2" spans="1:122" ht="24" customHeight="1" x14ac:dyDescent="0.25">
      <c r="C2" s="297" t="str">
        <f>VLOOKUP($S$2,Spielorte!$A$1:$C$6,3)</f>
        <v>Unterföhring Dreambowl Palace</v>
      </c>
      <c r="D2" s="298"/>
      <c r="E2" s="298"/>
      <c r="F2" s="298"/>
      <c r="G2" s="298"/>
      <c r="H2" s="298"/>
      <c r="I2" s="298"/>
      <c r="J2" s="298"/>
      <c r="K2" s="298"/>
      <c r="L2" s="299"/>
      <c r="M2" s="310" t="s">
        <v>1795</v>
      </c>
      <c r="N2" s="311"/>
      <c r="O2" s="311"/>
      <c r="P2" s="311"/>
      <c r="Q2" s="311"/>
      <c r="R2" s="311"/>
      <c r="S2" s="11">
        <v>1</v>
      </c>
      <c r="T2" s="1"/>
      <c r="U2" s="1"/>
      <c r="V2" s="12"/>
      <c r="W2" s="297" t="str">
        <f>VLOOKUP($AM$2,Spielorte!$A$1:$C$6,3)</f>
        <v>Nürnberg West Bowling</v>
      </c>
      <c r="X2" s="298"/>
      <c r="Y2" s="298"/>
      <c r="Z2" s="298"/>
      <c r="AA2" s="298"/>
      <c r="AB2" s="298"/>
      <c r="AC2" s="298"/>
      <c r="AD2" s="298"/>
      <c r="AE2" s="298"/>
      <c r="AF2" s="299"/>
      <c r="AG2" s="310" t="s">
        <v>1795</v>
      </c>
      <c r="AH2" s="311"/>
      <c r="AI2" s="311"/>
      <c r="AJ2" s="311"/>
      <c r="AK2" s="311"/>
      <c r="AL2" s="311"/>
      <c r="AM2" s="11">
        <v>2</v>
      </c>
      <c r="AN2" s="1"/>
      <c r="AO2" s="1"/>
      <c r="AP2" s="12"/>
      <c r="AQ2" s="298" t="str">
        <f>VLOOKUP($BG$2,Spielorte!$A$1:$C$6,3)</f>
        <v>Unterföhring Dreambowl Palace</v>
      </c>
      <c r="AR2" s="298"/>
      <c r="AS2" s="298"/>
      <c r="AT2" s="298"/>
      <c r="AU2" s="298"/>
      <c r="AV2" s="298"/>
      <c r="AW2" s="298"/>
      <c r="AX2" s="298"/>
      <c r="AY2" s="298"/>
      <c r="AZ2" s="299"/>
      <c r="BA2" s="310" t="s">
        <v>1795</v>
      </c>
      <c r="BB2" s="311"/>
      <c r="BC2" s="311"/>
      <c r="BD2" s="311"/>
      <c r="BE2" s="311"/>
      <c r="BF2" s="311"/>
      <c r="BG2" s="11">
        <v>3</v>
      </c>
      <c r="BH2" s="1"/>
      <c r="BI2" s="1"/>
      <c r="BJ2" s="9"/>
      <c r="BK2" s="298" t="str">
        <f>VLOOKUP($CA$2,Spielorte!$A$1:$C$6,3)</f>
        <v>Regensburg Super Bowl</v>
      </c>
      <c r="BL2" s="298"/>
      <c r="BM2" s="298"/>
      <c r="BN2" s="298"/>
      <c r="BO2" s="298"/>
      <c r="BP2" s="298"/>
      <c r="BQ2" s="298"/>
      <c r="BR2" s="298"/>
      <c r="BS2" s="298"/>
      <c r="BT2" s="299"/>
      <c r="BU2" s="310" t="s">
        <v>1795</v>
      </c>
      <c r="BV2" s="311"/>
      <c r="BW2" s="311"/>
      <c r="BX2" s="311"/>
      <c r="BY2" s="311"/>
      <c r="BZ2" s="311"/>
      <c r="CA2" s="11">
        <v>4</v>
      </c>
      <c r="CB2" s="1"/>
      <c r="CC2" s="1"/>
      <c r="CD2" s="9"/>
      <c r="CE2" s="298" t="str">
        <f>VLOOKUP($CU$2,Spielorte!$A$1:$C$6,3)</f>
        <v>Brunnthal Max Munich</v>
      </c>
      <c r="CF2" s="298"/>
      <c r="CG2" s="298"/>
      <c r="CH2" s="298"/>
      <c r="CI2" s="298"/>
      <c r="CJ2" s="298"/>
      <c r="CK2" s="298"/>
      <c r="CL2" s="298"/>
      <c r="CM2" s="298"/>
      <c r="CN2" s="299"/>
      <c r="CO2" s="310" t="s">
        <v>1795</v>
      </c>
      <c r="CP2" s="311"/>
      <c r="CQ2" s="311"/>
      <c r="CR2" s="311"/>
      <c r="CS2" s="311"/>
      <c r="CT2" s="311"/>
      <c r="CU2" s="11">
        <v>5</v>
      </c>
      <c r="CV2" s="1"/>
      <c r="CW2" s="1"/>
      <c r="CX2" s="9"/>
      <c r="CY2" s="298" t="str">
        <f>VLOOKUP($DO$2,Spielorte!$A$1:$C$6,3)</f>
        <v>Dettelbach Extreme Bowlingarena</v>
      </c>
      <c r="CZ2" s="298"/>
      <c r="DA2" s="298"/>
      <c r="DB2" s="298"/>
      <c r="DC2" s="298"/>
      <c r="DD2" s="298"/>
      <c r="DE2" s="298"/>
      <c r="DF2" s="298"/>
      <c r="DG2" s="298"/>
      <c r="DH2" s="299"/>
      <c r="DI2" s="310" t="s">
        <v>1795</v>
      </c>
      <c r="DJ2" s="311"/>
      <c r="DK2" s="311"/>
      <c r="DL2" s="311"/>
      <c r="DM2" s="311"/>
      <c r="DN2" s="311"/>
      <c r="DO2" s="11">
        <v>6</v>
      </c>
      <c r="DP2" s="1"/>
      <c r="DQ2" s="1"/>
      <c r="DR2" s="9"/>
    </row>
    <row r="3" spans="1:122" ht="12.75" customHeight="1" x14ac:dyDescent="0.25">
      <c r="C3" s="300" t="s">
        <v>9</v>
      </c>
      <c r="D3" s="301"/>
      <c r="E3" s="301"/>
      <c r="F3" s="301"/>
      <c r="G3" s="301"/>
      <c r="H3" s="301"/>
      <c r="I3" s="301"/>
      <c r="J3" s="301"/>
      <c r="K3" s="301"/>
      <c r="L3" s="302"/>
      <c r="M3" s="303" t="s">
        <v>10</v>
      </c>
      <c r="N3" s="301"/>
      <c r="O3" s="301"/>
      <c r="P3" s="301"/>
      <c r="Q3" s="301"/>
      <c r="R3" s="301"/>
      <c r="S3" s="301"/>
      <c r="T3" s="301"/>
      <c r="V3" s="13" t="s">
        <v>1796</v>
      </c>
      <c r="W3" s="300" t="s">
        <v>9</v>
      </c>
      <c r="X3" s="301"/>
      <c r="Y3" s="301"/>
      <c r="Z3" s="301"/>
      <c r="AA3" s="301"/>
      <c r="AB3" s="301"/>
      <c r="AC3" s="301"/>
      <c r="AD3" s="301"/>
      <c r="AE3" s="301"/>
      <c r="AF3" s="302"/>
      <c r="AG3" s="303" t="s">
        <v>10</v>
      </c>
      <c r="AH3" s="301"/>
      <c r="AI3" s="301"/>
      <c r="AJ3" s="301"/>
      <c r="AK3" s="301"/>
      <c r="AL3" s="301"/>
      <c r="AM3" s="301"/>
      <c r="AN3" s="301"/>
      <c r="AP3" s="13" t="s">
        <v>1796</v>
      </c>
      <c r="AQ3" s="301" t="s">
        <v>9</v>
      </c>
      <c r="AR3" s="301"/>
      <c r="AS3" s="301"/>
      <c r="AT3" s="301"/>
      <c r="AU3" s="301"/>
      <c r="AV3" s="301"/>
      <c r="AW3" s="301"/>
      <c r="AX3" s="301"/>
      <c r="AY3" s="301"/>
      <c r="AZ3" s="302"/>
      <c r="BA3" s="303" t="s">
        <v>10</v>
      </c>
      <c r="BB3" s="301"/>
      <c r="BC3" s="301"/>
      <c r="BD3" s="301"/>
      <c r="BE3" s="301"/>
      <c r="BF3" s="301"/>
      <c r="BG3" s="301"/>
      <c r="BH3" s="301"/>
      <c r="BJ3" s="10" t="s">
        <v>1796</v>
      </c>
      <c r="BK3" s="301" t="s">
        <v>9</v>
      </c>
      <c r="BL3" s="301"/>
      <c r="BM3" s="301"/>
      <c r="BN3" s="301"/>
      <c r="BO3" s="301"/>
      <c r="BP3" s="301"/>
      <c r="BQ3" s="301"/>
      <c r="BR3" s="301"/>
      <c r="BS3" s="301"/>
      <c r="BT3" s="302"/>
      <c r="BU3" s="303" t="s">
        <v>10</v>
      </c>
      <c r="BV3" s="301"/>
      <c r="BW3" s="301"/>
      <c r="BX3" s="301"/>
      <c r="BY3" s="301"/>
      <c r="BZ3" s="301"/>
      <c r="CA3" s="301"/>
      <c r="CB3" s="301"/>
      <c r="CD3" s="10" t="s">
        <v>1796</v>
      </c>
      <c r="CE3" s="301" t="s">
        <v>9</v>
      </c>
      <c r="CF3" s="301"/>
      <c r="CG3" s="301"/>
      <c r="CH3" s="301"/>
      <c r="CI3" s="301"/>
      <c r="CJ3" s="301"/>
      <c r="CK3" s="301"/>
      <c r="CL3" s="301"/>
      <c r="CM3" s="301"/>
      <c r="CN3" s="302"/>
      <c r="CO3" s="303" t="s">
        <v>10</v>
      </c>
      <c r="CP3" s="301"/>
      <c r="CQ3" s="301"/>
      <c r="CR3" s="301"/>
      <c r="CS3" s="301"/>
      <c r="CT3" s="301"/>
      <c r="CU3" s="301"/>
      <c r="CV3" s="301"/>
      <c r="CX3" s="10" t="s">
        <v>1796</v>
      </c>
      <c r="CY3" s="301" t="s">
        <v>9</v>
      </c>
      <c r="CZ3" s="301"/>
      <c r="DA3" s="301"/>
      <c r="DB3" s="301"/>
      <c r="DC3" s="301"/>
      <c r="DD3" s="301"/>
      <c r="DE3" s="301"/>
      <c r="DF3" s="301"/>
      <c r="DG3" s="301"/>
      <c r="DH3" s="302"/>
      <c r="DI3" s="303" t="s">
        <v>10</v>
      </c>
      <c r="DJ3" s="301"/>
      <c r="DK3" s="301"/>
      <c r="DL3" s="301"/>
      <c r="DM3" s="301"/>
      <c r="DN3" s="301"/>
      <c r="DO3" s="301"/>
      <c r="DP3" s="301"/>
      <c r="DR3" s="10" t="s">
        <v>1796</v>
      </c>
    </row>
    <row r="4" spans="1:122" ht="12.75" customHeight="1" x14ac:dyDescent="0.25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1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1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25">
      <c r="A5">
        <v>1</v>
      </c>
      <c r="B5" s="268" t="s">
        <v>2434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3</v>
      </c>
      <c r="AH5">
        <f t="shared" ref="AH5:AO5" si="3">AH16+$AP$4-1</f>
        <v>9</v>
      </c>
      <c r="AI5">
        <f t="shared" si="3"/>
        <v>5</v>
      </c>
      <c r="AJ5">
        <f t="shared" si="3"/>
        <v>8</v>
      </c>
      <c r="AK5">
        <f t="shared" si="3"/>
        <v>4</v>
      </c>
      <c r="AL5">
        <f t="shared" si="3"/>
        <v>6</v>
      </c>
      <c r="AM5">
        <f t="shared" si="3"/>
        <v>10</v>
      </c>
      <c r="AN5">
        <f t="shared" si="3"/>
        <v>7</v>
      </c>
      <c r="AO5">
        <f t="shared" si="3"/>
        <v>2</v>
      </c>
      <c r="AP5" s="16">
        <f>SUM(AG5:AO5)</f>
        <v>54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9</v>
      </c>
      <c r="BV5">
        <f t="shared" ref="BV5:CC5" si="7">BV16+$CD$4-1</f>
        <v>1</v>
      </c>
      <c r="BW5">
        <f t="shared" si="7"/>
        <v>5</v>
      </c>
      <c r="BX5">
        <f t="shared" si="7"/>
        <v>10</v>
      </c>
      <c r="BY5">
        <f t="shared" si="7"/>
        <v>7</v>
      </c>
      <c r="BZ5">
        <f t="shared" si="7"/>
        <v>4</v>
      </c>
      <c r="CA5">
        <f t="shared" si="7"/>
        <v>2</v>
      </c>
      <c r="CB5">
        <f t="shared" si="7"/>
        <v>6</v>
      </c>
      <c r="CC5">
        <f t="shared" si="7"/>
        <v>3</v>
      </c>
      <c r="CD5" s="8">
        <f>SUM(BU5:CC5)</f>
        <v>47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25">
      <c r="A6">
        <v>2</v>
      </c>
      <c r="B6" s="268" t="s">
        <v>2435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8</v>
      </c>
      <c r="AH6">
        <f t="shared" si="13"/>
        <v>10</v>
      </c>
      <c r="AI6">
        <f t="shared" si="13"/>
        <v>2</v>
      </c>
      <c r="AJ6">
        <f t="shared" si="13"/>
        <v>3</v>
      </c>
      <c r="AK6">
        <f t="shared" si="13"/>
        <v>9</v>
      </c>
      <c r="AL6">
        <f t="shared" si="13"/>
        <v>7</v>
      </c>
      <c r="AM6">
        <f t="shared" si="13"/>
        <v>1</v>
      </c>
      <c r="AN6">
        <f t="shared" si="13"/>
        <v>6</v>
      </c>
      <c r="AO6">
        <f t="shared" si="13"/>
        <v>4</v>
      </c>
      <c r="AP6" s="16">
        <f>SUM(AG6:AO6)</f>
        <v>50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8</v>
      </c>
      <c r="BV6">
        <f t="shared" si="15"/>
        <v>10</v>
      </c>
      <c r="BW6">
        <f t="shared" si="15"/>
        <v>4</v>
      </c>
      <c r="BX6">
        <f t="shared" si="15"/>
        <v>6</v>
      </c>
      <c r="BY6">
        <f t="shared" si="15"/>
        <v>1</v>
      </c>
      <c r="BZ6">
        <f t="shared" si="15"/>
        <v>3</v>
      </c>
      <c r="CA6">
        <f t="shared" si="15"/>
        <v>7</v>
      </c>
      <c r="CB6">
        <f t="shared" si="15"/>
        <v>2</v>
      </c>
      <c r="CC6">
        <f t="shared" si="15"/>
        <v>5</v>
      </c>
      <c r="CD6" s="8">
        <f>SUM(BU6:CC6)</f>
        <v>46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25">
      <c r="A7">
        <v>3</v>
      </c>
      <c r="B7" s="268" t="s">
        <v>2436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9</v>
      </c>
      <c r="AH7">
        <f t="shared" si="17"/>
        <v>4</v>
      </c>
      <c r="AI7">
        <f t="shared" si="17"/>
        <v>8</v>
      </c>
      <c r="AJ7">
        <f t="shared" si="17"/>
        <v>5</v>
      </c>
      <c r="AK7">
        <f t="shared" si="17"/>
        <v>10</v>
      </c>
      <c r="AL7">
        <f t="shared" si="17"/>
        <v>2</v>
      </c>
      <c r="AM7">
        <f t="shared" si="17"/>
        <v>7</v>
      </c>
      <c r="AN7">
        <f t="shared" si="17"/>
        <v>3</v>
      </c>
      <c r="AO7">
        <f t="shared" si="17"/>
        <v>1</v>
      </c>
      <c r="AP7" s="16">
        <f>SUM(AG7:AO7)</f>
        <v>49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3</v>
      </c>
      <c r="BV7">
        <f t="shared" si="19"/>
        <v>6</v>
      </c>
      <c r="BW7">
        <f t="shared" si="19"/>
        <v>7</v>
      </c>
      <c r="BX7">
        <f t="shared" si="19"/>
        <v>4</v>
      </c>
      <c r="BY7">
        <f t="shared" si="19"/>
        <v>9</v>
      </c>
      <c r="BZ7">
        <f t="shared" si="19"/>
        <v>1</v>
      </c>
      <c r="CA7">
        <f t="shared" si="19"/>
        <v>8</v>
      </c>
      <c r="CB7">
        <f t="shared" si="19"/>
        <v>5</v>
      </c>
      <c r="CC7">
        <f t="shared" si="19"/>
        <v>10</v>
      </c>
      <c r="CD7" s="8">
        <f>SUM(BU7:CC7)</f>
        <v>53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25">
      <c r="A8">
        <v>4</v>
      </c>
      <c r="B8" s="268" t="s">
        <v>1746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1</v>
      </c>
      <c r="AH8">
        <f t="shared" si="22"/>
        <v>3</v>
      </c>
      <c r="AI8">
        <f t="shared" si="22"/>
        <v>6</v>
      </c>
      <c r="AJ8">
        <f t="shared" si="22"/>
        <v>2</v>
      </c>
      <c r="AK8">
        <f t="shared" si="22"/>
        <v>8</v>
      </c>
      <c r="AL8">
        <f t="shared" si="22"/>
        <v>9</v>
      </c>
      <c r="AM8">
        <f t="shared" si="22"/>
        <v>4</v>
      </c>
      <c r="AN8">
        <f t="shared" si="22"/>
        <v>5</v>
      </c>
      <c r="AO8">
        <f t="shared" si="22"/>
        <v>10</v>
      </c>
      <c r="AP8" s="16">
        <f t="shared" ref="AP8:AP14" si="23">SUM(AG8:AO8)</f>
        <v>48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7</v>
      </c>
      <c r="BV8">
        <f t="shared" si="26"/>
        <v>5</v>
      </c>
      <c r="BW8">
        <f t="shared" si="26"/>
        <v>1</v>
      </c>
      <c r="BX8">
        <f t="shared" si="26"/>
        <v>9</v>
      </c>
      <c r="BY8">
        <f t="shared" si="26"/>
        <v>6</v>
      </c>
      <c r="BZ8">
        <f t="shared" si="26"/>
        <v>10</v>
      </c>
      <c r="CA8">
        <f t="shared" si="26"/>
        <v>3</v>
      </c>
      <c r="CB8">
        <f t="shared" si="26"/>
        <v>8</v>
      </c>
      <c r="CC8">
        <f t="shared" si="26"/>
        <v>2</v>
      </c>
      <c r="CD8" s="8">
        <f t="shared" ref="CD8:CD14" si="27">SUM(BU8:CC8)</f>
        <v>51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25">
      <c r="A9">
        <v>5</v>
      </c>
      <c r="B9" s="268" t="s">
        <v>2437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2</v>
      </c>
      <c r="AH9">
        <f t="shared" si="33"/>
        <v>7</v>
      </c>
      <c r="AI9">
        <f t="shared" si="33"/>
        <v>9</v>
      </c>
      <c r="AJ9">
        <f t="shared" si="33"/>
        <v>4</v>
      </c>
      <c r="AK9">
        <f t="shared" si="33"/>
        <v>1</v>
      </c>
      <c r="AL9">
        <f t="shared" si="33"/>
        <v>5</v>
      </c>
      <c r="AM9">
        <f t="shared" si="33"/>
        <v>8</v>
      </c>
      <c r="AN9">
        <f t="shared" si="33"/>
        <v>10</v>
      </c>
      <c r="AO9">
        <f t="shared" si="33"/>
        <v>6</v>
      </c>
      <c r="AP9" s="16">
        <f t="shared" si="23"/>
        <v>52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2</v>
      </c>
      <c r="BV9">
        <f t="shared" si="35"/>
        <v>9</v>
      </c>
      <c r="BW9">
        <f t="shared" si="35"/>
        <v>8</v>
      </c>
      <c r="BX9">
        <f t="shared" si="35"/>
        <v>1</v>
      </c>
      <c r="BY9">
        <f t="shared" si="35"/>
        <v>3</v>
      </c>
      <c r="BZ9">
        <f t="shared" si="35"/>
        <v>5</v>
      </c>
      <c r="CA9">
        <f t="shared" si="35"/>
        <v>10</v>
      </c>
      <c r="CB9">
        <f t="shared" si="35"/>
        <v>7</v>
      </c>
      <c r="CC9">
        <f t="shared" si="35"/>
        <v>4</v>
      </c>
      <c r="CD9" s="8">
        <f t="shared" si="27"/>
        <v>49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25">
      <c r="A10">
        <v>6</v>
      </c>
      <c r="B10" s="269" t="s">
        <v>2438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5</v>
      </c>
      <c r="AH10">
        <f t="shared" si="39"/>
        <v>1</v>
      </c>
      <c r="AI10">
        <f t="shared" si="39"/>
        <v>10</v>
      </c>
      <c r="AJ10">
        <f t="shared" si="39"/>
        <v>6</v>
      </c>
      <c r="AK10">
        <f t="shared" si="39"/>
        <v>7</v>
      </c>
      <c r="AL10">
        <f t="shared" si="39"/>
        <v>4</v>
      </c>
      <c r="AM10">
        <f t="shared" si="39"/>
        <v>9</v>
      </c>
      <c r="AN10">
        <f t="shared" si="39"/>
        <v>2</v>
      </c>
      <c r="AO10">
        <f t="shared" si="39"/>
        <v>3</v>
      </c>
      <c r="AP10" s="16">
        <f t="shared" si="23"/>
        <v>47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6</v>
      </c>
      <c r="BV10">
        <f t="shared" si="41"/>
        <v>4</v>
      </c>
      <c r="BW10">
        <f t="shared" si="41"/>
        <v>10</v>
      </c>
      <c r="BX10">
        <f t="shared" si="41"/>
        <v>5</v>
      </c>
      <c r="BY10">
        <f t="shared" si="41"/>
        <v>8</v>
      </c>
      <c r="BZ10">
        <f t="shared" si="41"/>
        <v>2</v>
      </c>
      <c r="CA10">
        <f t="shared" si="41"/>
        <v>9</v>
      </c>
      <c r="CB10">
        <f t="shared" si="41"/>
        <v>3</v>
      </c>
      <c r="CC10">
        <f t="shared" si="41"/>
        <v>1</v>
      </c>
      <c r="CD10" s="8">
        <f t="shared" si="27"/>
        <v>48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25">
      <c r="A11">
        <v>7</v>
      </c>
      <c r="B11" s="268" t="s">
        <v>2439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10</v>
      </c>
      <c r="AH11">
        <f t="shared" si="45"/>
        <v>5</v>
      </c>
      <c r="AI11">
        <f t="shared" si="45"/>
        <v>3</v>
      </c>
      <c r="AJ11">
        <f t="shared" si="45"/>
        <v>7</v>
      </c>
      <c r="AK11">
        <f t="shared" si="45"/>
        <v>2</v>
      </c>
      <c r="AL11">
        <f t="shared" si="45"/>
        <v>8</v>
      </c>
      <c r="AM11">
        <f t="shared" si="45"/>
        <v>6</v>
      </c>
      <c r="AN11">
        <f t="shared" si="45"/>
        <v>1</v>
      </c>
      <c r="AO11">
        <f t="shared" si="45"/>
        <v>9</v>
      </c>
      <c r="AP11" s="16">
        <f t="shared" si="23"/>
        <v>51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1</v>
      </c>
      <c r="BV11">
        <f t="shared" si="47"/>
        <v>7</v>
      </c>
      <c r="BW11">
        <f t="shared" si="47"/>
        <v>6</v>
      </c>
      <c r="BX11">
        <f t="shared" si="47"/>
        <v>3</v>
      </c>
      <c r="BY11">
        <f t="shared" si="47"/>
        <v>2</v>
      </c>
      <c r="BZ11">
        <f t="shared" si="47"/>
        <v>9</v>
      </c>
      <c r="CA11">
        <f t="shared" si="47"/>
        <v>5</v>
      </c>
      <c r="CB11">
        <f t="shared" si="47"/>
        <v>4</v>
      </c>
      <c r="CC11">
        <f t="shared" si="47"/>
        <v>8</v>
      </c>
      <c r="CD11" s="8">
        <f t="shared" si="27"/>
        <v>45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25">
      <c r="A12">
        <v>8</v>
      </c>
      <c r="B12" s="268" t="s">
        <v>2440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4</v>
      </c>
      <c r="AH12">
        <f t="shared" si="51"/>
        <v>6</v>
      </c>
      <c r="AI12">
        <f t="shared" si="51"/>
        <v>7</v>
      </c>
      <c r="AJ12">
        <f t="shared" si="51"/>
        <v>1</v>
      </c>
      <c r="AK12">
        <f t="shared" si="51"/>
        <v>5</v>
      </c>
      <c r="AL12">
        <f t="shared" si="51"/>
        <v>3</v>
      </c>
      <c r="AM12">
        <f t="shared" si="51"/>
        <v>2</v>
      </c>
      <c r="AN12">
        <f t="shared" si="51"/>
        <v>9</v>
      </c>
      <c r="AO12">
        <f t="shared" si="51"/>
        <v>8</v>
      </c>
      <c r="AP12" s="16">
        <f t="shared" si="23"/>
        <v>45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4</v>
      </c>
      <c r="BV12">
        <f t="shared" si="53"/>
        <v>8</v>
      </c>
      <c r="BW12">
        <f t="shared" si="53"/>
        <v>9</v>
      </c>
      <c r="BX12">
        <f t="shared" si="53"/>
        <v>2</v>
      </c>
      <c r="BY12">
        <f t="shared" si="53"/>
        <v>5</v>
      </c>
      <c r="BZ12">
        <f t="shared" si="53"/>
        <v>7</v>
      </c>
      <c r="CA12">
        <f t="shared" si="53"/>
        <v>1</v>
      </c>
      <c r="CB12">
        <f t="shared" si="53"/>
        <v>10</v>
      </c>
      <c r="CC12">
        <f t="shared" si="53"/>
        <v>6</v>
      </c>
      <c r="CD12" s="8">
        <f t="shared" si="27"/>
        <v>52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25">
      <c r="A13">
        <v>9</v>
      </c>
      <c r="B13" s="268" t="s">
        <v>2441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7</v>
      </c>
      <c r="AH13">
        <f t="shared" si="57"/>
        <v>2</v>
      </c>
      <c r="AI13">
        <f t="shared" si="57"/>
        <v>4</v>
      </c>
      <c r="AJ13">
        <f t="shared" si="57"/>
        <v>10</v>
      </c>
      <c r="AK13">
        <f t="shared" si="57"/>
        <v>6</v>
      </c>
      <c r="AL13">
        <f t="shared" si="57"/>
        <v>1</v>
      </c>
      <c r="AM13">
        <f t="shared" si="57"/>
        <v>3</v>
      </c>
      <c r="AN13">
        <f t="shared" si="57"/>
        <v>8</v>
      </c>
      <c r="AO13">
        <f t="shared" si="57"/>
        <v>5</v>
      </c>
      <c r="AP13" s="16">
        <f t="shared" si="23"/>
        <v>46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5</v>
      </c>
      <c r="BV13">
        <f t="shared" si="59"/>
        <v>2</v>
      </c>
      <c r="BW13">
        <f t="shared" si="59"/>
        <v>3</v>
      </c>
      <c r="BX13">
        <f t="shared" si="59"/>
        <v>8</v>
      </c>
      <c r="BY13">
        <f t="shared" si="59"/>
        <v>10</v>
      </c>
      <c r="BZ13">
        <f t="shared" si="59"/>
        <v>6</v>
      </c>
      <c r="CA13">
        <f t="shared" si="59"/>
        <v>4</v>
      </c>
      <c r="CB13">
        <f t="shared" si="59"/>
        <v>9</v>
      </c>
      <c r="CC13">
        <f t="shared" si="59"/>
        <v>7</v>
      </c>
      <c r="CD13" s="8">
        <f t="shared" si="27"/>
        <v>54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25">
      <c r="A14">
        <v>10</v>
      </c>
      <c r="B14" s="268" t="s">
        <v>2442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6</v>
      </c>
      <c r="AH14">
        <f t="shared" si="63"/>
        <v>8</v>
      </c>
      <c r="AI14">
        <f t="shared" si="63"/>
        <v>1</v>
      </c>
      <c r="AJ14">
        <f t="shared" si="63"/>
        <v>9</v>
      </c>
      <c r="AK14">
        <f t="shared" si="63"/>
        <v>3</v>
      </c>
      <c r="AL14">
        <f t="shared" si="63"/>
        <v>10</v>
      </c>
      <c r="AM14">
        <f t="shared" si="63"/>
        <v>5</v>
      </c>
      <c r="AN14">
        <f t="shared" si="63"/>
        <v>4</v>
      </c>
      <c r="AO14">
        <f t="shared" si="63"/>
        <v>7</v>
      </c>
      <c r="AP14" s="16">
        <f t="shared" si="23"/>
        <v>53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10</v>
      </c>
      <c r="BV14">
        <f t="shared" si="65"/>
        <v>3</v>
      </c>
      <c r="BW14">
        <f t="shared" si="65"/>
        <v>2</v>
      </c>
      <c r="BX14">
        <f t="shared" si="65"/>
        <v>7</v>
      </c>
      <c r="BY14">
        <f t="shared" si="65"/>
        <v>4</v>
      </c>
      <c r="BZ14">
        <f t="shared" si="65"/>
        <v>8</v>
      </c>
      <c r="CA14">
        <f t="shared" si="65"/>
        <v>6</v>
      </c>
      <c r="CB14">
        <f t="shared" si="65"/>
        <v>1</v>
      </c>
      <c r="CC14">
        <f t="shared" si="65"/>
        <v>9</v>
      </c>
      <c r="CD14" s="8">
        <f t="shared" si="27"/>
        <v>50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25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55</v>
      </c>
      <c r="AH15">
        <f t="shared" si="71"/>
        <v>55</v>
      </c>
      <c r="AI15">
        <f t="shared" si="71"/>
        <v>55</v>
      </c>
      <c r="AJ15">
        <f t="shared" si="71"/>
        <v>55</v>
      </c>
      <c r="AK15">
        <f t="shared" si="71"/>
        <v>55</v>
      </c>
      <c r="AL15">
        <f t="shared" si="71"/>
        <v>55</v>
      </c>
      <c r="AM15">
        <f t="shared" si="71"/>
        <v>55</v>
      </c>
      <c r="AN15">
        <f t="shared" si="71"/>
        <v>55</v>
      </c>
      <c r="AO15">
        <f t="shared" si="71"/>
        <v>55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55</v>
      </c>
      <c r="BV15">
        <f t="shared" si="75"/>
        <v>55</v>
      </c>
      <c r="BW15">
        <f t="shared" si="75"/>
        <v>55</v>
      </c>
      <c r="BX15">
        <f t="shared" si="75"/>
        <v>55</v>
      </c>
      <c r="BY15">
        <f t="shared" si="75"/>
        <v>55</v>
      </c>
      <c r="BZ15">
        <f t="shared" si="75"/>
        <v>55</v>
      </c>
      <c r="CA15">
        <f t="shared" si="75"/>
        <v>55</v>
      </c>
      <c r="CB15">
        <f t="shared" si="75"/>
        <v>55</v>
      </c>
      <c r="CC15">
        <f t="shared" si="75"/>
        <v>55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25">
      <c r="A16">
        <v>1</v>
      </c>
      <c r="B16" s="2" t="str">
        <f>+B5</f>
        <v>BC Comet Nürnberg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25">
      <c r="A17">
        <v>2</v>
      </c>
      <c r="B17" s="2" t="str">
        <f t="shared" ref="B17:B25" si="86">+B6</f>
        <v>Bajuwaren München 1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25">
      <c r="A18">
        <v>3</v>
      </c>
      <c r="B18" s="2" t="str">
        <f t="shared" si="86"/>
        <v>BK München 3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25">
      <c r="A19">
        <v>4</v>
      </c>
      <c r="B19" s="2" t="str">
        <f t="shared" si="86"/>
        <v>SG DJK Rimpar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25">
      <c r="A20">
        <v>5</v>
      </c>
      <c r="B20" s="2" t="str">
        <f t="shared" si="86"/>
        <v>RW Lichtenhof Stein 1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25">
      <c r="A21">
        <v>6</v>
      </c>
      <c r="B21" s="2" t="str">
        <f t="shared" si="86"/>
        <v>SG Rottendorf 1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25">
      <c r="A22">
        <v>7</v>
      </c>
      <c r="B22" s="2" t="str">
        <f t="shared" si="86"/>
        <v>Schanzer Ingolstadt 1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25">
      <c r="A23">
        <v>8</v>
      </c>
      <c r="B23" s="2" t="str">
        <f t="shared" si="86"/>
        <v>BC EMAX Unterföhring 2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25">
      <c r="A24">
        <v>9</v>
      </c>
      <c r="B24" s="2" t="str">
        <f t="shared" si="86"/>
        <v>Bowlinghaus Bamberg 1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25">
      <c r="A25">
        <v>10</v>
      </c>
      <c r="B25" s="2" t="str">
        <f t="shared" si="86"/>
        <v>High Roller Rosenheim 1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.8" thickBot="1" x14ac:dyDescent="0.3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password="D19C" sheet="1" formatCells="0" formatColumns="0" formatRows="0"/>
  <mergeCells count="36"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W1:AF1"/>
    <mergeCell ref="AG1:AP1"/>
    <mergeCell ref="W2:AF2"/>
    <mergeCell ref="W3:AF3"/>
    <mergeCell ref="AG3:AN3"/>
    <mergeCell ref="C1:L1"/>
    <mergeCell ref="C2:L2"/>
    <mergeCell ref="C3:L3"/>
    <mergeCell ref="M3:T3"/>
    <mergeCell ref="M1:V1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7773437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16253</v>
      </c>
      <c r="M2">
        <f>INDEX(SchnittGes3!M:M,MATCH(L2,SchnittGes3!L:L,0))+INDEX(Schnitt4!M:M,MATCH(L2,Schnitt4!L:L,0))</f>
        <v>5750</v>
      </c>
      <c r="N2">
        <f>INDEX(SchnittGes3!N:N,MATCH(L2,SchnittGes3!L:L,0))+INDEX(Schnitt4!N:N,MATCH(L2,Schnitt4!L:L,0))</f>
        <v>27</v>
      </c>
      <c r="O2">
        <f t="shared" ref="O2:O11" si="0">IF(N2=0,0,M2/N2-ROW()/1000000000)</f>
        <v>212.96296296096295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INDEX(SchnittGes3!M:M,MATCH(L3,SchnittGes3!L:L,0))+INDEX(Schnitt4!M:M,MATCH(L3,Schnitt4!L:L,0))</f>
        <v>5874</v>
      </c>
      <c r="N3">
        <f>INDEX(SchnittGes3!N:N,MATCH(L3,SchnittGes3!L:L,0))+INDEX(Schnitt4!N:N,MATCH(L3,Schnitt4!L:L,0))</f>
        <v>31</v>
      </c>
      <c r="O3">
        <f t="shared" si="0"/>
        <v>189.48387096474193</v>
      </c>
      <c r="P3">
        <f t="shared" si="1"/>
        <v>30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INDEX(SchnittGes3!M:M,MATCH(L4,SchnittGes3!L:L,0))+INDEX(Schnitt4!M:M,MATCH(L4,Schnitt4!L:L,0))</f>
        <v>7054</v>
      </c>
      <c r="N4">
        <f>INDEX(SchnittGes3!N:N,MATCH(L4,SchnittGes3!L:L,0))+INDEX(Schnitt4!N:N,MATCH(L4,Schnitt4!L:L,0))</f>
        <v>35</v>
      </c>
      <c r="O4">
        <f t="shared" si="0"/>
        <v>201.54285713885716</v>
      </c>
      <c r="P4">
        <f t="shared" si="1"/>
        <v>13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INDEX(SchnittGes3!M:M,MATCH(L5,SchnittGes3!L:L,0))+INDEX(Schnitt4!M:M,MATCH(L5,Schnitt4!L:L,0))</f>
        <v>6009</v>
      </c>
      <c r="N5">
        <f>INDEX(SchnittGes3!N:N,MATCH(L5,SchnittGes3!L:L,0))+INDEX(Schnitt4!N:N,MATCH(L5,Schnitt4!L:L,0))</f>
        <v>31</v>
      </c>
      <c r="O5">
        <f t="shared" si="0"/>
        <v>193.83870967241936</v>
      </c>
      <c r="P5">
        <f t="shared" si="1"/>
        <v>24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5750</v>
      </c>
      <c r="F6">
        <f t="shared" si="4"/>
        <v>27</v>
      </c>
      <c r="G6" s="137">
        <f t="shared" si="5"/>
        <v>212.96296296096295</v>
      </c>
      <c r="L6" s="227">
        <f>INDEX(Starter!A:A,ROW()-1)</f>
        <v>38411</v>
      </c>
      <c r="M6">
        <f>INDEX(SchnittGes3!M:M,MATCH(L6,SchnittGes3!L:L,0))+INDEX(Schnitt4!M:M,MATCH(L6,Schnitt4!L:L,0))</f>
        <v>4533</v>
      </c>
      <c r="N6">
        <f>INDEX(SchnittGes3!N:N,MATCH(L6,SchnittGes3!L:L,0))+INDEX(Schnitt4!N:N,MATCH(L6,Schnitt4!L:L,0))</f>
        <v>27</v>
      </c>
      <c r="O6">
        <f t="shared" si="0"/>
        <v>167.88888888288889</v>
      </c>
      <c r="P6">
        <f t="shared" si="1"/>
        <v>63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INDEX(SchnittGes3!M:M,MATCH(L7,SchnittGes3!L:L,0))+INDEX(Schnitt4!M:M,MATCH(L7,Schnitt4!L:L,0))</f>
        <v>6081</v>
      </c>
      <c r="N7">
        <f>INDEX(SchnittGes3!N:N,MATCH(L7,SchnittGes3!L:L,0))+INDEX(Schnitt4!N:N,MATCH(L7,Schnitt4!L:L,0))</f>
        <v>36</v>
      </c>
      <c r="O7">
        <f t="shared" si="0"/>
        <v>168.91666665966665</v>
      </c>
      <c r="P7">
        <f t="shared" si="1"/>
        <v>60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INDEX(SchnittGes3!M:M,MATCH(L8,SchnittGes3!L:L,0))+INDEX(Schnitt4!M:M,MATCH(L8,Schnitt4!L:L,0))</f>
        <v>3239</v>
      </c>
      <c r="N8">
        <f>INDEX(SchnittGes3!N:N,MATCH(L8,SchnittGes3!L:L,0))+INDEX(Schnitt4!N:N,MATCH(L8,Schnitt4!L:L,0))</f>
        <v>18</v>
      </c>
      <c r="O8">
        <f t="shared" si="0"/>
        <v>179.94444443644446</v>
      </c>
      <c r="P8">
        <f t="shared" si="1"/>
        <v>45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INDEX(SchnittGes3!M:M,MATCH(L9,SchnittGes3!L:L,0))+INDEX(Schnitt4!M:M,MATCH(L9,Schnitt4!L:L,0))</f>
        <v>6982</v>
      </c>
      <c r="N9">
        <f>INDEX(SchnittGes3!N:N,MATCH(L9,SchnittGes3!L:L,0))+INDEX(Schnitt4!N:N,MATCH(L9,Schnitt4!L:L,0))</f>
        <v>36</v>
      </c>
      <c r="O9">
        <f t="shared" si="0"/>
        <v>193.94444443544447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INDEX(SchnittGes3!M:M,MATCH(L10,SchnittGes3!L:L,0))+INDEX(Schnitt4!M:M,MATCH(L10,Schnitt4!L:L,0))</f>
        <v>5438</v>
      </c>
      <c r="N10">
        <f>INDEX(SchnittGes3!N:N,MATCH(L10,SchnittGes3!L:L,0))+INDEX(Schnitt4!N:N,MATCH(L10,Schnitt4!L:L,0))</f>
        <v>29</v>
      </c>
      <c r="O10">
        <f t="shared" si="0"/>
        <v>187.51724136931034</v>
      </c>
      <c r="P10">
        <f t="shared" si="1"/>
        <v>33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7401</v>
      </c>
      <c r="F11">
        <f t="shared" si="4"/>
        <v>36</v>
      </c>
      <c r="G11" s="137">
        <f t="shared" si="5"/>
        <v>205.58333331533333</v>
      </c>
      <c r="L11" s="227">
        <f>INDEX(Starter!A:A,ROW()-1)</f>
        <v>16352</v>
      </c>
      <c r="M11">
        <f>INDEX(SchnittGes3!M:M,MATCH(L11,SchnittGes3!L:L,0))+INDEX(Schnitt4!M:M,MATCH(L11,Schnitt4!L:L,0))</f>
        <v>1197</v>
      </c>
      <c r="N11">
        <f>INDEX(SchnittGes3!N:N,MATCH(L11,SchnittGes3!L:L,0))+INDEX(Schnitt4!N:N,MATCH(L11,Schnitt4!L:L,0))</f>
        <v>7</v>
      </c>
      <c r="O11">
        <f t="shared" si="0"/>
        <v>170.999999989</v>
      </c>
      <c r="P11">
        <f t="shared" si="1"/>
        <v>55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6955</v>
      </c>
      <c r="F12">
        <f t="shared" si="4"/>
        <v>34</v>
      </c>
      <c r="G12" s="137">
        <f t="shared" si="5"/>
        <v>204.55882347341176</v>
      </c>
      <c r="L12" s="227">
        <f>INDEX(Starter!A:A,ROW()-1)</f>
        <v>16495</v>
      </c>
      <c r="M12">
        <f>INDEX(SchnittGes3!M:M,MATCH(L12,SchnittGes3!L:L,0))+INDEX(Schnitt4!M:M,MATCH(L12,Schnitt4!L:L,0))</f>
        <v>6442</v>
      </c>
      <c r="N12">
        <f>INDEX(SchnittGes3!N:N,MATCH(L12,SchnittGes3!L:L,0))+INDEX(Schnitt4!N:N,MATCH(L12,Schnitt4!L:L,0))</f>
        <v>35</v>
      </c>
      <c r="O12">
        <f t="shared" ref="O12:O75" si="7">IF(N12=0,0,M12/N12-ROW()/1000000000)</f>
        <v>184.05714284514286</v>
      </c>
      <c r="P12">
        <f t="shared" si="1"/>
        <v>37</v>
      </c>
    </row>
    <row r="13" spans="1:16" x14ac:dyDescent="0.25">
      <c r="A13">
        <f t="shared" si="6"/>
        <v>9</v>
      </c>
      <c r="B13">
        <f t="shared" si="2"/>
        <v>7885</v>
      </c>
      <c r="C13" t="str">
        <f>IFERROR(INDEX(Starter!B:B,MATCH(B13,Starter!A:A,0)),"")</f>
        <v>Hinterwimmer, Sebastian</v>
      </c>
      <c r="D13" t="str">
        <f>IFERROR(INDEX(Starter!C:C,MATCH(B13,Starter!A:A,0)),"")</f>
        <v>BK München</v>
      </c>
      <c r="E13" s="102">
        <f t="shared" si="3"/>
        <v>4500</v>
      </c>
      <c r="F13">
        <f t="shared" si="4"/>
        <v>22</v>
      </c>
      <c r="G13" s="137">
        <f t="shared" si="5"/>
        <v>204.54545452845454</v>
      </c>
      <c r="L13" s="227">
        <f>INDEX(Starter!A:A,ROW()-1)</f>
        <v>16945</v>
      </c>
      <c r="M13">
        <f>INDEX(SchnittGes3!M:M,MATCH(L13,SchnittGes3!L:L,0))+INDEX(Schnitt4!M:M,MATCH(L13,Schnitt4!L:L,0))</f>
        <v>6977</v>
      </c>
      <c r="N13">
        <f>INDEX(SchnittGes3!N:N,MATCH(L13,SchnittGes3!L:L,0))+INDEX(Schnitt4!N:N,MATCH(L13,Schnitt4!L:L,0))</f>
        <v>36</v>
      </c>
      <c r="O13">
        <f t="shared" si="7"/>
        <v>193.80555554255554</v>
      </c>
      <c r="P13">
        <f t="shared" si="1"/>
        <v>25</v>
      </c>
    </row>
    <row r="14" spans="1:16" x14ac:dyDescent="0.25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4680</v>
      </c>
      <c r="F14">
        <f t="shared" si="4"/>
        <v>23</v>
      </c>
      <c r="G14" s="137">
        <f t="shared" si="5"/>
        <v>203.47826085356522</v>
      </c>
      <c r="L14" s="227">
        <f>INDEX(Starter!A:A,ROW()-1)</f>
        <v>7867</v>
      </c>
      <c r="M14">
        <f>INDEX(SchnittGes3!M:M,MATCH(L14,SchnittGes3!L:L,0))+INDEX(Schnitt4!M:M,MATCH(L14,Schnitt4!L:L,0))</f>
        <v>2399</v>
      </c>
      <c r="N14">
        <f>INDEX(SchnittGes3!N:N,MATCH(L14,SchnittGes3!L:L,0))+INDEX(Schnitt4!N:N,MATCH(L14,Schnitt4!L:L,0))</f>
        <v>13</v>
      </c>
      <c r="O14">
        <f t="shared" si="7"/>
        <v>184.53846152446155</v>
      </c>
      <c r="P14">
        <f t="shared" si="1"/>
        <v>36</v>
      </c>
    </row>
    <row r="15" spans="1:16" x14ac:dyDescent="0.25">
      <c r="A15">
        <f t="shared" si="6"/>
        <v>11</v>
      </c>
      <c r="B15">
        <f t="shared" si="2"/>
        <v>7724</v>
      </c>
      <c r="C15" t="str">
        <f>IFERROR(INDEX(Starter!B:B,MATCH(B15,Starter!A:A,0)),"")</f>
        <v>Schlick, Christian</v>
      </c>
      <c r="D15" t="str">
        <f>IFERROR(INDEX(Starter!C:C,MATCH(B15,Starter!A:A,0)),"")</f>
        <v>Comet</v>
      </c>
      <c r="E15" s="102">
        <f t="shared" si="3"/>
        <v>5456</v>
      </c>
      <c r="F15">
        <f t="shared" si="4"/>
        <v>27</v>
      </c>
      <c r="G15" s="137">
        <f t="shared" si="5"/>
        <v>202.07407404507407</v>
      </c>
      <c r="L15" s="227">
        <f>INDEX(Starter!A:A,ROW()-1)</f>
        <v>7597</v>
      </c>
      <c r="M15">
        <f>INDEX(SchnittGes3!M:M,MATCH(L15,SchnittGes3!L:L,0))+INDEX(Schnitt4!M:M,MATCH(L15,Schnitt4!L:L,0))</f>
        <v>4779</v>
      </c>
      <c r="N15">
        <f>INDEX(SchnittGes3!N:N,MATCH(L15,SchnittGes3!L:L,0))+INDEX(Schnitt4!N:N,MATCH(L15,Schnitt4!L:L,0))</f>
        <v>26</v>
      </c>
      <c r="O15">
        <f t="shared" si="7"/>
        <v>183.80769229269231</v>
      </c>
      <c r="P15">
        <f t="shared" si="1"/>
        <v>39</v>
      </c>
    </row>
    <row r="16" spans="1:16" x14ac:dyDescent="0.25">
      <c r="A16">
        <f t="shared" si="6"/>
        <v>12</v>
      </c>
      <c r="B16">
        <f t="shared" si="2"/>
        <v>7734</v>
      </c>
      <c r="C16" t="str">
        <f>IFERROR(INDEX(Starter!B:B,MATCH(B16,Starter!A:A,0)),"")</f>
        <v>Schwarz, Jan</v>
      </c>
      <c r="D16" t="str">
        <f>IFERROR(INDEX(Starter!C:C,MATCH(B16,Starter!A:A,0)),"")</f>
        <v>Comet</v>
      </c>
      <c r="E16" s="102">
        <f t="shared" si="3"/>
        <v>1818</v>
      </c>
      <c r="F16">
        <f t="shared" si="4"/>
        <v>9</v>
      </c>
      <c r="G16" s="137">
        <f t="shared" si="5"/>
        <v>201.99999997200001</v>
      </c>
      <c r="L16" s="227">
        <f>INDEX(Starter!A:A,ROW()-1)</f>
        <v>16912</v>
      </c>
      <c r="M16">
        <f>INDEX(SchnittGes3!M:M,MATCH(L16,SchnittGes3!L:L,0))+INDEX(Schnitt4!M:M,MATCH(L16,Schnitt4!L:L,0))</f>
        <v>4680</v>
      </c>
      <c r="N16">
        <f>INDEX(SchnittGes3!N:N,MATCH(L16,SchnittGes3!L:L,0))+INDEX(Schnitt4!N:N,MATCH(L16,Schnitt4!L:L,0))</f>
        <v>23</v>
      </c>
      <c r="O16">
        <f t="shared" si="7"/>
        <v>203.47826085356522</v>
      </c>
      <c r="P16">
        <f t="shared" si="1"/>
        <v>10</v>
      </c>
    </row>
    <row r="17" spans="1:16" x14ac:dyDescent="0.25">
      <c r="A17">
        <f t="shared" si="6"/>
        <v>13</v>
      </c>
      <c r="B17">
        <f t="shared" si="2"/>
        <v>10622</v>
      </c>
      <c r="C17" t="str">
        <f>IFERROR(INDEX(Starter!B:B,MATCH(B17,Starter!A:A,0)),"")</f>
        <v>Kreß, Michael</v>
      </c>
      <c r="D17" t="str">
        <f>IFERROR(INDEX(Starter!C:C,MATCH(B17,Starter!A:A,0)),"")</f>
        <v>DJK Rimpar</v>
      </c>
      <c r="E17" s="102">
        <f t="shared" si="3"/>
        <v>7054</v>
      </c>
      <c r="F17">
        <f t="shared" si="4"/>
        <v>35</v>
      </c>
      <c r="G17" s="137">
        <f t="shared" si="5"/>
        <v>201.54285713885716</v>
      </c>
      <c r="L17" s="227">
        <f>INDEX(Starter!A:A,ROW()-1)</f>
        <v>7885</v>
      </c>
      <c r="M17">
        <f>INDEX(SchnittGes3!M:M,MATCH(L17,SchnittGes3!L:L,0))+INDEX(Schnitt4!M:M,MATCH(L17,Schnitt4!L:L,0))</f>
        <v>4500</v>
      </c>
      <c r="N17">
        <f>INDEX(SchnittGes3!N:N,MATCH(L17,SchnittGes3!L:L,0))+INDEX(Schnitt4!N:N,MATCH(L17,Schnitt4!L:L,0))</f>
        <v>22</v>
      </c>
      <c r="O17">
        <f t="shared" si="7"/>
        <v>204.54545452845454</v>
      </c>
      <c r="P17">
        <f t="shared" si="1"/>
        <v>9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INDEX(SchnittGes3!M:M,MATCH(L18,SchnittGes3!L:L,0))+INDEX(Schnitt4!M:M,MATCH(L18,Schnitt4!L:L,0))</f>
        <v>7401</v>
      </c>
      <c r="N18">
        <f>INDEX(SchnittGes3!N:N,MATCH(L18,SchnittGes3!L:L,0))+INDEX(Schnitt4!N:N,MATCH(L18,Schnitt4!L:L,0))</f>
        <v>36</v>
      </c>
      <c r="O18">
        <f t="shared" si="7"/>
        <v>205.58333331533333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7593</v>
      </c>
      <c r="C19" t="str">
        <f>IFERROR(INDEX(Starter!B:B,MATCH(B19,Starter!A:A,0)),"")</f>
        <v>Börding, Peter</v>
      </c>
      <c r="D19" t="str">
        <f>IFERROR(INDEX(Starter!C:C,MATCH(B19,Starter!A:A,0)),"")</f>
        <v>BK München</v>
      </c>
      <c r="E19" s="102">
        <f t="shared" si="3"/>
        <v>5389</v>
      </c>
      <c r="F19">
        <f t="shared" si="4"/>
        <v>27</v>
      </c>
      <c r="G19" s="137">
        <f t="shared" si="5"/>
        <v>199.59259254659258</v>
      </c>
      <c r="L19" s="227">
        <f>INDEX(Starter!A:A,ROW()-1)</f>
        <v>16762</v>
      </c>
      <c r="M19">
        <f>INDEX(SchnittGes3!M:M,MATCH(L19,SchnittGes3!L:L,0))+INDEX(Schnitt4!M:M,MATCH(L19,Schnitt4!L:L,0))</f>
        <v>4070</v>
      </c>
      <c r="N19">
        <f>INDEX(SchnittGes3!N:N,MATCH(L19,SchnittGes3!L:L,0))+INDEX(Schnitt4!N:N,MATCH(L19,Schnitt4!L:L,0))</f>
        <v>23</v>
      </c>
      <c r="O19">
        <f t="shared" si="7"/>
        <v>176.95652172013044</v>
      </c>
      <c r="P19">
        <f t="shared" si="1"/>
        <v>48</v>
      </c>
    </row>
    <row r="20" spans="1:16" x14ac:dyDescent="0.25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4587</v>
      </c>
      <c r="F20">
        <f t="shared" si="4"/>
        <v>23</v>
      </c>
      <c r="G20" s="137">
        <f t="shared" si="5"/>
        <v>199.43478255469566</v>
      </c>
      <c r="L20" s="227">
        <f>INDEX(Starter!A:A,ROW()-1)</f>
        <v>7600</v>
      </c>
      <c r="M20">
        <f>INDEX(SchnittGes3!M:M,MATCH(L20,SchnittGes3!L:L,0))+INDEX(Schnitt4!M:M,MATCH(L20,Schnitt4!L:L,0))</f>
        <v>4785</v>
      </c>
      <c r="N20">
        <f>INDEX(SchnittGes3!N:N,MATCH(L20,SchnittGes3!L:L,0))+INDEX(Schnitt4!N:N,MATCH(L20,Schnitt4!L:L,0))</f>
        <v>26</v>
      </c>
      <c r="O20">
        <f t="shared" si="7"/>
        <v>184.03846151846156</v>
      </c>
      <c r="P20">
        <f t="shared" si="1"/>
        <v>38</v>
      </c>
    </row>
    <row r="21" spans="1:16" x14ac:dyDescent="0.25">
      <c r="A21">
        <f t="shared" si="6"/>
        <v>17</v>
      </c>
      <c r="B21">
        <f t="shared" si="2"/>
        <v>16896</v>
      </c>
      <c r="C21" t="str">
        <f>IFERROR(INDEX(Starter!B:B,MATCH(B21,Starter!A:A,0)),"")</f>
        <v>Mittelmaier, Andreas</v>
      </c>
      <c r="D21" t="str">
        <f>IFERROR(INDEX(Starter!C:C,MATCH(B21,Starter!A:A,0)),"")</f>
        <v>Comet</v>
      </c>
      <c r="E21" s="102">
        <f t="shared" si="3"/>
        <v>5339</v>
      </c>
      <c r="F21">
        <f t="shared" si="4"/>
        <v>27</v>
      </c>
      <c r="G21" s="137">
        <f t="shared" si="5"/>
        <v>197.74074071074074</v>
      </c>
      <c r="L21" s="227">
        <f>INDEX(Starter!A:A,ROW()-1)</f>
        <v>7416</v>
      </c>
      <c r="M21">
        <f>INDEX(SchnittGes3!M:M,MATCH(L21,SchnittGes3!L:L,0))+INDEX(Schnitt4!M:M,MATCH(L21,Schnitt4!L:L,0))</f>
        <v>7108</v>
      </c>
      <c r="N21">
        <f>INDEX(SchnittGes3!N:N,MATCH(L21,SchnittGes3!L:L,0))+INDEX(Schnitt4!N:N,MATCH(L21,Schnitt4!L:L,0))</f>
        <v>36</v>
      </c>
      <c r="O21">
        <f t="shared" si="7"/>
        <v>197.44444442344445</v>
      </c>
      <c r="P21">
        <f t="shared" si="1"/>
        <v>18</v>
      </c>
    </row>
    <row r="22" spans="1:16" x14ac:dyDescent="0.25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7108</v>
      </c>
      <c r="F22">
        <f t="shared" si="4"/>
        <v>36</v>
      </c>
      <c r="G22" s="137">
        <f t="shared" si="5"/>
        <v>197.44444442344445</v>
      </c>
      <c r="L22" s="227">
        <f>INDEX(Starter!A:A,ROW()-1)</f>
        <v>7425</v>
      </c>
      <c r="M22">
        <f>INDEX(SchnittGes3!M:M,MATCH(L22,SchnittGes3!L:L,0))+INDEX(Schnitt4!M:M,MATCH(L22,Schnitt4!L:L,0))</f>
        <v>1192</v>
      </c>
      <c r="N22">
        <f>INDEX(SchnittGes3!N:N,MATCH(L22,SchnittGes3!L:L,0))+INDEX(Schnitt4!N:N,MATCH(L22,Schnitt4!L:L,0))</f>
        <v>7</v>
      </c>
      <c r="O22">
        <f t="shared" si="7"/>
        <v>170.28571426371428</v>
      </c>
      <c r="P22">
        <f t="shared" si="1"/>
        <v>57</v>
      </c>
    </row>
    <row r="23" spans="1:16" x14ac:dyDescent="0.25">
      <c r="A23">
        <f t="shared" si="6"/>
        <v>19</v>
      </c>
      <c r="B23">
        <f t="shared" si="2"/>
        <v>7725</v>
      </c>
      <c r="C23" t="str">
        <f>IFERROR(INDEX(Starter!B:B,MATCH(B23,Starter!A:A,0)),"")</f>
        <v>Schlundt, Michael</v>
      </c>
      <c r="D23" t="str">
        <f>IFERROR(INDEX(Starter!C:C,MATCH(B23,Starter!A:A,0)),"")</f>
        <v>Comet</v>
      </c>
      <c r="E23" s="102">
        <f t="shared" si="3"/>
        <v>7092</v>
      </c>
      <c r="F23">
        <f t="shared" si="4"/>
        <v>36</v>
      </c>
      <c r="G23" s="137">
        <f t="shared" si="5"/>
        <v>196.999999973</v>
      </c>
      <c r="L23" s="227">
        <f>INDEX(Starter!A:A,ROW()-1)</f>
        <v>25297</v>
      </c>
      <c r="M23">
        <f>INDEX(SchnittGes3!M:M,MATCH(L23,SchnittGes3!L:L,0))+INDEX(Schnitt4!M:M,MATCH(L23,Schnitt4!L:L,0))</f>
        <v>2675</v>
      </c>
      <c r="N23">
        <f>INDEX(SchnittGes3!N:N,MATCH(L23,SchnittGes3!L:L,0))+INDEX(Schnitt4!N:N,MATCH(L23,Schnitt4!L:L,0))</f>
        <v>16</v>
      </c>
      <c r="O23">
        <f t="shared" si="7"/>
        <v>167.18749997699999</v>
      </c>
      <c r="P23">
        <f t="shared" si="1"/>
        <v>64</v>
      </c>
    </row>
    <row r="24" spans="1:16" x14ac:dyDescent="0.25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2155</v>
      </c>
      <c r="F24">
        <f t="shared" si="4"/>
        <v>11</v>
      </c>
      <c r="G24" s="137">
        <f t="shared" si="5"/>
        <v>195.90909085209091</v>
      </c>
      <c r="L24" s="227">
        <f>INDEX(Starter!A:A,ROW()-1)</f>
        <v>16888</v>
      </c>
      <c r="M24">
        <f>INDEX(SchnittGes3!M:M,MATCH(L24,SchnittGes3!L:L,0))+INDEX(Schnitt4!M:M,MATCH(L24,Schnitt4!L:L,0))</f>
        <v>5709</v>
      </c>
      <c r="N24">
        <f>INDEX(SchnittGes3!N:N,MATCH(L24,SchnittGes3!L:L,0))+INDEX(Schnitt4!N:N,MATCH(L24,Schnitt4!L:L,0))</f>
        <v>30</v>
      </c>
      <c r="O24">
        <f t="shared" si="7"/>
        <v>190.29999997600001</v>
      </c>
      <c r="P24">
        <f t="shared" si="1"/>
        <v>28</v>
      </c>
    </row>
    <row r="25" spans="1:16" x14ac:dyDescent="0.25">
      <c r="A25">
        <f t="shared" si="6"/>
        <v>21</v>
      </c>
      <c r="B25">
        <f t="shared" si="2"/>
        <v>7337</v>
      </c>
      <c r="C25" t="str">
        <f>IFERROR(INDEX(Starter!B:B,MATCH(B25,Starter!A:A,0)),"")</f>
        <v>Haunschild, Thomas</v>
      </c>
      <c r="D25" t="str">
        <f>IFERROR(INDEX(Starter!C:C,MATCH(B25,Starter!A:A,0)),"")</f>
        <v>BC Schanzer Strikers</v>
      </c>
      <c r="E25" s="102">
        <f t="shared" si="3"/>
        <v>777</v>
      </c>
      <c r="F25">
        <f t="shared" si="4"/>
        <v>4</v>
      </c>
      <c r="G25" s="137">
        <f t="shared" si="5"/>
        <v>194.24999993700001</v>
      </c>
      <c r="L25" s="227">
        <f>INDEX(Starter!A:A,ROW()-1)</f>
        <v>38092</v>
      </c>
      <c r="M25">
        <f>INDEX(SchnittGes3!M:M,MATCH(L25,SchnittGes3!L:L,0))+INDEX(Schnitt4!M:M,MATCH(L25,Schnitt4!L:L,0))</f>
        <v>6156</v>
      </c>
      <c r="N25">
        <f>INDEX(SchnittGes3!N:N,MATCH(L25,SchnittGes3!L:L,0))+INDEX(Schnitt4!N:N,MATCH(L25,Schnitt4!L:L,0))</f>
        <v>34</v>
      </c>
      <c r="O25">
        <f t="shared" si="7"/>
        <v>181.05882350441178</v>
      </c>
      <c r="P25">
        <f t="shared" si="1"/>
        <v>43</v>
      </c>
    </row>
    <row r="26" spans="1:16" x14ac:dyDescent="0.25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6986</v>
      </c>
      <c r="F26">
        <f t="shared" si="4"/>
        <v>36</v>
      </c>
      <c r="G26" s="137">
        <f t="shared" si="5"/>
        <v>194.05555551455555</v>
      </c>
      <c r="L26" s="227">
        <f>INDEX(Starter!A:A,ROW()-1)</f>
        <v>16243</v>
      </c>
      <c r="M26">
        <f>INDEX(SchnittGes3!M:M,MATCH(L26,SchnittGes3!L:L,0))+INDEX(Schnitt4!M:M,MATCH(L26,Schnitt4!L:L,0))</f>
        <v>3791</v>
      </c>
      <c r="N26">
        <f>INDEX(SchnittGes3!N:N,MATCH(L26,SchnittGes3!L:L,0))+INDEX(Schnitt4!N:N,MATCH(L26,Schnitt4!L:L,0))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6982</v>
      </c>
      <c r="F27">
        <f t="shared" si="4"/>
        <v>36</v>
      </c>
      <c r="G27" s="137">
        <f t="shared" si="5"/>
        <v>193.94444443544447</v>
      </c>
      <c r="L27" s="227">
        <f>INDEX(Starter!A:A,ROW()-1)</f>
        <v>7725</v>
      </c>
      <c r="M27">
        <f>INDEX(SchnittGes3!M:M,MATCH(L27,SchnittGes3!L:L,0))+INDEX(Schnitt4!M:M,MATCH(L27,Schnitt4!L:L,0))</f>
        <v>7092</v>
      </c>
      <c r="N27">
        <f>INDEX(SchnittGes3!N:N,MATCH(L27,SchnittGes3!L:L,0))+INDEX(Schnitt4!N:N,MATCH(L27,Schnitt4!L:L,0))</f>
        <v>36</v>
      </c>
      <c r="O27">
        <f t="shared" si="7"/>
        <v>196.999999973</v>
      </c>
      <c r="P27">
        <f t="shared" si="1"/>
        <v>19</v>
      </c>
    </row>
    <row r="28" spans="1:16" x14ac:dyDescent="0.25">
      <c r="A28">
        <f t="shared" si="6"/>
        <v>24</v>
      </c>
      <c r="B28">
        <f t="shared" si="2"/>
        <v>16301</v>
      </c>
      <c r="C28" t="str">
        <f>IFERROR(INDEX(Starter!B:B,MATCH(B28,Starter!A:A,0)),"")</f>
        <v>Werder, Jan-Uwe</v>
      </c>
      <c r="D28" t="str">
        <f>IFERROR(INDEX(Starter!C:C,MATCH(B28,Starter!A:A,0)),"")</f>
        <v>DJK Rimpar</v>
      </c>
      <c r="E28" s="102">
        <f t="shared" si="3"/>
        <v>6009</v>
      </c>
      <c r="F28">
        <f t="shared" si="4"/>
        <v>31</v>
      </c>
      <c r="G28" s="137">
        <f t="shared" si="5"/>
        <v>193.83870967241936</v>
      </c>
      <c r="L28" s="227">
        <f>INDEX(Starter!A:A,ROW()-1)</f>
        <v>7734</v>
      </c>
      <c r="M28">
        <f>INDEX(SchnittGes3!M:M,MATCH(L28,SchnittGes3!L:L,0))+INDEX(Schnitt4!M:M,MATCH(L28,Schnitt4!L:L,0))</f>
        <v>1818</v>
      </c>
      <c r="N28">
        <f>INDEX(SchnittGes3!N:N,MATCH(L28,SchnittGes3!L:L,0))+INDEX(Schnitt4!N:N,MATCH(L28,Schnitt4!L:L,0))</f>
        <v>9</v>
      </c>
      <c r="O28">
        <f t="shared" si="7"/>
        <v>201.99999997200001</v>
      </c>
      <c r="P28">
        <f t="shared" si="1"/>
        <v>12</v>
      </c>
    </row>
    <row r="29" spans="1:16" x14ac:dyDescent="0.25">
      <c r="A29">
        <f t="shared" si="6"/>
        <v>25</v>
      </c>
      <c r="B29">
        <f t="shared" si="2"/>
        <v>16945</v>
      </c>
      <c r="C29" t="str">
        <f>IFERROR(INDEX(Starter!B:B,MATCH(B29,Starter!A:A,0)),"")</f>
        <v>Reichardt, Stefan</v>
      </c>
      <c r="D29" t="str">
        <f>IFERROR(INDEX(Starter!C:C,MATCH(B29,Starter!A:A,0)),"")</f>
        <v>SG Rottendorf</v>
      </c>
      <c r="E29" s="102">
        <f t="shared" si="3"/>
        <v>6977</v>
      </c>
      <c r="F29">
        <f t="shared" si="4"/>
        <v>36</v>
      </c>
      <c r="G29" s="137">
        <f t="shared" si="5"/>
        <v>193.80555554255554</v>
      </c>
      <c r="L29" s="227">
        <f>INDEX(Starter!A:A,ROW()-1)</f>
        <v>7724</v>
      </c>
      <c r="M29">
        <f>INDEX(SchnittGes3!M:M,MATCH(L29,SchnittGes3!L:L,0))+INDEX(Schnitt4!M:M,MATCH(L29,Schnitt4!L:L,0))</f>
        <v>5456</v>
      </c>
      <c r="N29">
        <f>INDEX(SchnittGes3!N:N,MATCH(L29,SchnittGes3!L:L,0))+INDEX(Schnitt4!N:N,MATCH(L29,Schnitt4!L:L,0))</f>
        <v>27</v>
      </c>
      <c r="O29">
        <f t="shared" si="7"/>
        <v>202.07407404507407</v>
      </c>
      <c r="P29">
        <f t="shared" si="1"/>
        <v>11</v>
      </c>
    </row>
    <row r="30" spans="1:16" x14ac:dyDescent="0.25">
      <c r="A30">
        <f t="shared" si="6"/>
        <v>26</v>
      </c>
      <c r="B30">
        <f t="shared" si="2"/>
        <v>38041</v>
      </c>
      <c r="C30" t="str">
        <f>IFERROR(INDEX(Starter!B:B,MATCH(B30,Starter!A:A,0)),"")</f>
        <v>Röhlig, Jörg</v>
      </c>
      <c r="D30" t="str">
        <f>IFERROR(INDEX(Starter!C:C,MATCH(B30,Starter!A:A,0)),"")</f>
        <v>BC Bamberger Bowlinghaus</v>
      </c>
      <c r="E30" s="102">
        <f t="shared" si="3"/>
        <v>3865</v>
      </c>
      <c r="F30">
        <f t="shared" si="4"/>
        <v>20</v>
      </c>
      <c r="G30" s="137">
        <f t="shared" si="5"/>
        <v>193.249999962</v>
      </c>
      <c r="L30" s="227">
        <f>INDEX(Starter!A:A,ROW()-1)</f>
        <v>16896</v>
      </c>
      <c r="M30">
        <f>INDEX(SchnittGes3!M:M,MATCH(L30,SchnittGes3!L:L,0))+INDEX(Schnitt4!M:M,MATCH(L30,Schnitt4!L:L,0))</f>
        <v>5339</v>
      </c>
      <c r="N30">
        <f>INDEX(SchnittGes3!N:N,MATCH(L30,SchnittGes3!L:L,0))+INDEX(Schnitt4!N:N,MATCH(L30,Schnitt4!L:L,0))</f>
        <v>27</v>
      </c>
      <c r="O30">
        <f t="shared" si="7"/>
        <v>197.74074071074074</v>
      </c>
      <c r="P30">
        <f t="shared" si="1"/>
        <v>17</v>
      </c>
    </row>
    <row r="31" spans="1:16" x14ac:dyDescent="0.25">
      <c r="A31">
        <f t="shared" si="6"/>
        <v>27</v>
      </c>
      <c r="B31">
        <f t="shared" si="2"/>
        <v>25325</v>
      </c>
      <c r="C31" t="str">
        <f>IFERROR(INDEX(Starter!B:B,MATCH(B31,Starter!A:A,0)),"")</f>
        <v>Wegenast, Robert</v>
      </c>
      <c r="D31" t="str">
        <f>IFERROR(INDEX(Starter!C:C,MATCH(B31,Starter!A:A,0)),"")</f>
        <v>BC EMAX</v>
      </c>
      <c r="E31" s="102">
        <f t="shared" si="3"/>
        <v>4432</v>
      </c>
      <c r="F31">
        <f t="shared" si="4"/>
        <v>23</v>
      </c>
      <c r="G31" s="137">
        <f t="shared" si="5"/>
        <v>192.69565211891305</v>
      </c>
      <c r="L31" s="227">
        <f>INDEX(Starter!A:A,ROW()-1)</f>
        <v>7102</v>
      </c>
      <c r="M31">
        <f>INDEX(SchnittGes3!M:M,MATCH(L31,SchnittGes3!L:L,0))+INDEX(Schnitt4!M:M,MATCH(L31,Schnitt4!L:L,0))</f>
        <v>3599</v>
      </c>
      <c r="N31">
        <f>INDEX(SchnittGes3!N:N,MATCH(L31,SchnittGes3!L:L,0))+INDEX(Schnitt4!N:N,MATCH(L31,Schnitt4!L:L,0))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16888</v>
      </c>
      <c r="C32" t="str">
        <f>IFERROR(INDEX(Starter!B:B,MATCH(B32,Starter!A:A,0)),"")</f>
        <v>Auer, Thomas</v>
      </c>
      <c r="D32" t="str">
        <f>IFERROR(INDEX(Starter!C:C,MATCH(B32,Starter!A:A,0)),"")</f>
        <v>BSC Highroller Rosenheim</v>
      </c>
      <c r="E32" s="102">
        <f t="shared" si="3"/>
        <v>5709</v>
      </c>
      <c r="F32">
        <f t="shared" si="4"/>
        <v>30</v>
      </c>
      <c r="G32" s="137">
        <f t="shared" si="5"/>
        <v>190.29999997600001</v>
      </c>
      <c r="L32" s="227">
        <f>INDEX(Starter!A:A,ROW()-1)</f>
        <v>16245</v>
      </c>
      <c r="M32">
        <f>INDEX(SchnittGes3!M:M,MATCH(L32,SchnittGes3!L:L,0))+INDEX(Schnitt4!M:M,MATCH(L32,Schnitt4!L:L,0))</f>
        <v>1513</v>
      </c>
      <c r="N32">
        <f>INDEX(SchnittGes3!N:N,MATCH(L32,SchnittGes3!L:L,0))+INDEX(Schnitt4!N:N,MATCH(L32,Schnitt4!L:L,0))</f>
        <v>9</v>
      </c>
      <c r="O32">
        <f t="shared" si="7"/>
        <v>168.11111107911111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INDEX(SchnittGes3!M:M,MATCH(L33,SchnittGes3!L:L,0))+INDEX(Schnitt4!M:M,MATCH(L33,Schnitt4!L:L,0))</f>
        <v>4055</v>
      </c>
      <c r="N33">
        <f>INDEX(SchnittGes3!N:N,MATCH(L33,SchnittGes3!L:L,0))+INDEX(Schnitt4!N:N,MATCH(L33,Schnitt4!L:L,0))</f>
        <v>23</v>
      </c>
      <c r="O33">
        <f t="shared" si="7"/>
        <v>176.30434779308698</v>
      </c>
      <c r="P33">
        <f t="shared" si="1"/>
        <v>49</v>
      </c>
    </row>
    <row r="34" spans="1:16" x14ac:dyDescent="0.25">
      <c r="A34">
        <f t="shared" si="6"/>
        <v>30</v>
      </c>
      <c r="B34">
        <f t="shared" si="2"/>
        <v>38687</v>
      </c>
      <c r="C34" t="str">
        <f>IFERROR(INDEX(Starter!B:B,MATCH(B34,Starter!A:A,0)),"")</f>
        <v>Gräfe, Sebastian</v>
      </c>
      <c r="D34" t="str">
        <f>IFERROR(INDEX(Starter!C:C,MATCH(B34,Starter!A:A,0)),"")</f>
        <v>DJK Rimpar</v>
      </c>
      <c r="E34" s="102">
        <f t="shared" si="3"/>
        <v>5874</v>
      </c>
      <c r="F34">
        <f t="shared" si="4"/>
        <v>31</v>
      </c>
      <c r="G34" s="137">
        <f t="shared" si="5"/>
        <v>189.48387096474193</v>
      </c>
      <c r="L34" s="227">
        <f>INDEX(Starter!A:A,ROW()-1)</f>
        <v>7883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69</v>
      </c>
    </row>
    <row r="35" spans="1:16" x14ac:dyDescent="0.25">
      <c r="A35">
        <f t="shared" si="6"/>
        <v>31</v>
      </c>
      <c r="B35">
        <f t="shared" si="2"/>
        <v>16251</v>
      </c>
      <c r="C35" t="str">
        <f>IFERROR(INDEX(Starter!B:B,MATCH(B35,Starter!A:A,0)),"")</f>
        <v>Renner, Alexander</v>
      </c>
      <c r="D35" t="str">
        <f>IFERROR(INDEX(Starter!C:C,MATCH(B35,Starter!A:A,0)),"")</f>
        <v>BC Bamberger Bowlinghaus</v>
      </c>
      <c r="E35" s="102">
        <f t="shared" si="3"/>
        <v>2270</v>
      </c>
      <c r="F35">
        <f t="shared" si="4"/>
        <v>12</v>
      </c>
      <c r="G35" s="137">
        <f t="shared" si="5"/>
        <v>189.16666659966666</v>
      </c>
      <c r="L35" s="227">
        <f>INDEX(Starter!A:A,ROW()-1)</f>
        <v>7653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69</v>
      </c>
    </row>
    <row r="36" spans="1:16" x14ac:dyDescent="0.25">
      <c r="A36">
        <f t="shared" si="6"/>
        <v>32</v>
      </c>
      <c r="B36">
        <f t="shared" si="2"/>
        <v>16263</v>
      </c>
      <c r="C36" t="str">
        <f>IFERROR(INDEX(Starter!B:B,MATCH(B36,Starter!A:A,0)),"")</f>
        <v>Jackwerth, Enno</v>
      </c>
      <c r="D36" t="str">
        <f>IFERROR(INDEX(Starter!C:C,MATCH(B36,Starter!A:A,0)),"")</f>
        <v>BF Rot-Weiß Lichtenhof 69</v>
      </c>
      <c r="E36" s="102">
        <f t="shared" si="3"/>
        <v>6761</v>
      </c>
      <c r="F36">
        <f t="shared" si="4"/>
        <v>36</v>
      </c>
      <c r="G36" s="137">
        <f t="shared" si="5"/>
        <v>187.80555551255554</v>
      </c>
      <c r="L36" s="227">
        <f>INDEX(Starter!A:A,ROW()-1)</f>
        <v>25554</v>
      </c>
      <c r="M36">
        <f>INDEX(SchnittGes3!M:M,MATCH(L36,SchnittGes3!L:L,0))+INDEX(Schnitt4!M:M,MATCH(L36,Schnitt4!L:L,0))</f>
        <v>3460</v>
      </c>
      <c r="N36">
        <f>INDEX(SchnittGes3!N:N,MATCH(L36,SchnittGes3!L:L,0))+INDEX(Schnitt4!N:N,MATCH(L36,Schnitt4!L:L,0))</f>
        <v>19</v>
      </c>
      <c r="O36">
        <f t="shared" si="7"/>
        <v>182.10526312189475</v>
      </c>
      <c r="P36">
        <f t="shared" si="8"/>
        <v>42</v>
      </c>
    </row>
    <row r="37" spans="1:16" x14ac:dyDescent="0.25">
      <c r="A37">
        <f t="shared" si="6"/>
        <v>33</v>
      </c>
      <c r="B37">
        <f t="shared" ref="B37:B68" si="9">IFERROR(INDEX(L:L,MATCH(A37,P:P,0)),"")</f>
        <v>16852</v>
      </c>
      <c r="C37" t="str">
        <f>IFERROR(INDEX(Starter!B:B,MATCH(B37,Starter!A:A,0)),"")</f>
        <v>Wendel, Dominik</v>
      </c>
      <c r="D37" t="str">
        <f>IFERROR(INDEX(Starter!C:C,MATCH(B37,Starter!A:A,0)),"")</f>
        <v>SG Rottendorf</v>
      </c>
      <c r="E37" s="102">
        <f t="shared" ref="E37:E68" si="10">IFERROR(INDEX(M:M,MATCH(A37,P:P,0)),"")</f>
        <v>5438</v>
      </c>
      <c r="F37">
        <f t="shared" ref="F37:F68" si="11">IFERROR(INDEX(N:N,MATCH(A37,P:P,0)),"")</f>
        <v>29</v>
      </c>
      <c r="G37" s="137">
        <f t="shared" ref="G37:G68" si="12">IFERROR(INDEX(O:O,MATCH(A37,P:P,0)),"")</f>
        <v>187.51724136931034</v>
      </c>
      <c r="L37" s="227">
        <f>INDEX(Starter!A:A,ROW()-1)</f>
        <v>7099</v>
      </c>
      <c r="M37">
        <f>INDEX(SchnittGes3!M:M,MATCH(L37,SchnittGes3!L:L,0))+INDEX(Schnitt4!M:M,MATCH(L37,Schnitt4!L:L,0))</f>
        <v>4824</v>
      </c>
      <c r="N37">
        <f>INDEX(SchnittGes3!N:N,MATCH(L37,SchnittGes3!L:L,0))+INDEX(Schnitt4!N:N,MATCH(L37,Schnitt4!L:L,0))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38039</v>
      </c>
      <c r="C38" t="str">
        <f>IFERROR(INDEX(Starter!B:B,MATCH(B38,Starter!A:A,0)),"")</f>
        <v>Plaschka, Nico</v>
      </c>
      <c r="D38" t="str">
        <f>IFERROR(INDEX(Starter!C:C,MATCH(B38,Starter!A:A,0)),"")</f>
        <v>DJK Rimpar</v>
      </c>
      <c r="E38" s="102">
        <f t="shared" si="10"/>
        <v>2973</v>
      </c>
      <c r="F38">
        <f t="shared" si="11"/>
        <v>16</v>
      </c>
      <c r="G38" s="137">
        <f t="shared" si="12"/>
        <v>185.812499952</v>
      </c>
      <c r="L38" s="227">
        <f>INDEX(Starter!A:A,ROW()-1)</f>
        <v>38041</v>
      </c>
      <c r="M38">
        <f>INDEX(SchnittGes3!M:M,MATCH(L38,SchnittGes3!L:L,0))+INDEX(Schnitt4!M:M,MATCH(L38,Schnitt4!L:L,0))</f>
        <v>3865</v>
      </c>
      <c r="N38">
        <f>INDEX(SchnittGes3!N:N,MATCH(L38,SchnittGes3!L:L,0))+INDEX(Schnitt4!N:N,MATCH(L38,Schnitt4!L:L,0))</f>
        <v>20</v>
      </c>
      <c r="O38">
        <f t="shared" si="7"/>
        <v>193.249999962</v>
      </c>
      <c r="P38">
        <f t="shared" si="8"/>
        <v>26</v>
      </c>
    </row>
    <row r="39" spans="1:16" x14ac:dyDescent="0.25">
      <c r="A39">
        <f t="shared" si="13"/>
        <v>35</v>
      </c>
      <c r="B39">
        <f t="shared" si="9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10"/>
        <v>6668</v>
      </c>
      <c r="F39">
        <f t="shared" si="11"/>
        <v>36</v>
      </c>
      <c r="G39" s="137">
        <f t="shared" si="12"/>
        <v>185.22222218222223</v>
      </c>
      <c r="L39" s="227">
        <f>INDEX(Starter!A:A,ROW()-1)</f>
        <v>25516</v>
      </c>
      <c r="M39">
        <f>INDEX(SchnittGes3!M:M,MATCH(L39,SchnittGes3!L:L,0))+INDEX(Schnitt4!M:M,MATCH(L39,Schnitt4!L:L,0))</f>
        <v>2234</v>
      </c>
      <c r="N39">
        <f>INDEX(SchnittGes3!N:N,MATCH(L39,SchnittGes3!L:L,0))+INDEX(Schnitt4!N:N,MATCH(L39,Schnitt4!L:L,0))</f>
        <v>13</v>
      </c>
      <c r="O39">
        <f t="shared" si="7"/>
        <v>171.84615380715383</v>
      </c>
      <c r="P39">
        <f t="shared" si="8"/>
        <v>54</v>
      </c>
    </row>
    <row r="40" spans="1:16" x14ac:dyDescent="0.25">
      <c r="A40">
        <f t="shared" si="13"/>
        <v>36</v>
      </c>
      <c r="B40">
        <f t="shared" si="9"/>
        <v>7867</v>
      </c>
      <c r="C40" t="str">
        <f>IFERROR(INDEX(Starter!B:B,MATCH(B40,Starter!A:A,0)),"")</f>
        <v>Hinterwimmer, Georg</v>
      </c>
      <c r="D40" t="str">
        <f>IFERROR(INDEX(Starter!C:C,MATCH(B40,Starter!A:A,0)),"")</f>
        <v>BK München</v>
      </c>
      <c r="E40" s="102">
        <f t="shared" si="10"/>
        <v>2399</v>
      </c>
      <c r="F40">
        <f t="shared" si="11"/>
        <v>13</v>
      </c>
      <c r="G40" s="137">
        <f t="shared" si="12"/>
        <v>184.53846152446155</v>
      </c>
      <c r="L40" s="227">
        <f>INDEX(Starter!A:A,ROW()-1)</f>
        <v>16873</v>
      </c>
      <c r="M40">
        <f>INDEX(SchnittGes3!M:M,MATCH(L40,SchnittGes3!L:L,0))+INDEX(Schnitt4!M:M,MATCH(L40,Schnitt4!L:L,0))</f>
        <v>6668</v>
      </c>
      <c r="N40">
        <f>INDEX(SchnittGes3!N:N,MATCH(L40,SchnittGes3!L:L,0))+INDEX(Schnitt4!N:N,MATCH(L40,Schnitt4!L:L,0))</f>
        <v>36</v>
      </c>
      <c r="O40">
        <f t="shared" si="7"/>
        <v>185.22222218222223</v>
      </c>
      <c r="P40">
        <f t="shared" si="8"/>
        <v>35</v>
      </c>
    </row>
    <row r="41" spans="1:16" x14ac:dyDescent="0.25">
      <c r="A41">
        <f t="shared" si="13"/>
        <v>37</v>
      </c>
      <c r="B41">
        <f t="shared" si="9"/>
        <v>16495</v>
      </c>
      <c r="C41" t="str">
        <f>IFERROR(INDEX(Starter!B:B,MATCH(B41,Starter!A:A,0)),"")</f>
        <v>Stemmler, Patrick</v>
      </c>
      <c r="D41" t="str">
        <f>IFERROR(INDEX(Starter!C:C,MATCH(B41,Starter!A:A,0)),"")</f>
        <v>SG Rottendorf</v>
      </c>
      <c r="E41" s="102">
        <f t="shared" si="10"/>
        <v>6442</v>
      </c>
      <c r="F41">
        <f t="shared" si="11"/>
        <v>35</v>
      </c>
      <c r="G41" s="137">
        <f t="shared" si="12"/>
        <v>184.05714284514286</v>
      </c>
      <c r="L41" s="227">
        <f>INDEX(Starter!A:A,ROW()-1)</f>
        <v>7937</v>
      </c>
      <c r="M41">
        <f>INDEX(SchnittGes3!M:M,MATCH(L41,SchnittGes3!L:L,0))+INDEX(Schnitt4!M:M,MATCH(L41,Schnitt4!L:L,0))</f>
        <v>6986</v>
      </c>
      <c r="N41">
        <f>INDEX(SchnittGes3!N:N,MATCH(L41,SchnittGes3!L:L,0))+INDEX(Schnitt4!N:N,MATCH(L41,Schnitt4!L:L,0))</f>
        <v>36</v>
      </c>
      <c r="O41">
        <f t="shared" si="7"/>
        <v>194.05555551455555</v>
      </c>
      <c r="P41">
        <f t="shared" si="8"/>
        <v>22</v>
      </c>
    </row>
    <row r="42" spans="1:16" x14ac:dyDescent="0.25">
      <c r="A42">
        <f t="shared" si="13"/>
        <v>38</v>
      </c>
      <c r="B42">
        <f t="shared" si="9"/>
        <v>7600</v>
      </c>
      <c r="C42" t="str">
        <f>IFERROR(INDEX(Starter!B:B,MATCH(B42,Starter!A:A,0)),"")</f>
        <v>Lüthje, Dennis</v>
      </c>
      <c r="D42" t="str">
        <f>IFERROR(INDEX(Starter!C:C,MATCH(B42,Starter!A:A,0)),"")</f>
        <v>BC Bajuwaren 1976 München</v>
      </c>
      <c r="E42" s="102">
        <f t="shared" si="10"/>
        <v>4785</v>
      </c>
      <c r="F42">
        <f t="shared" si="11"/>
        <v>26</v>
      </c>
      <c r="G42" s="137">
        <f t="shared" si="12"/>
        <v>184.03846151846156</v>
      </c>
      <c r="L42" s="227">
        <f>INDEX(Starter!A:A,ROW()-1)</f>
        <v>10124</v>
      </c>
      <c r="M42">
        <f>INDEX(SchnittGes3!M:M,MATCH(L42,SchnittGes3!L:L,0))+INDEX(Schnitt4!M:M,MATCH(L42,Schnitt4!L:L,0))</f>
        <v>5986</v>
      </c>
      <c r="N42">
        <f>INDEX(SchnittGes3!N:N,MATCH(L42,SchnittGes3!L:L,0))+INDEX(Schnitt4!N:N,MATCH(L42,Schnitt4!L:L,0))</f>
        <v>34</v>
      </c>
      <c r="O42">
        <f t="shared" si="7"/>
        <v>176.05882348741176</v>
      </c>
      <c r="P42">
        <f t="shared" si="8"/>
        <v>50</v>
      </c>
    </row>
    <row r="43" spans="1:16" x14ac:dyDescent="0.25">
      <c r="A43">
        <f t="shared" si="13"/>
        <v>39</v>
      </c>
      <c r="B43">
        <f t="shared" si="9"/>
        <v>7597</v>
      </c>
      <c r="C43" t="str">
        <f>IFERROR(INDEX(Starter!B:B,MATCH(B43,Starter!A:A,0)),"")</f>
        <v>Laub, Harald</v>
      </c>
      <c r="D43" t="str">
        <f>IFERROR(INDEX(Starter!C:C,MATCH(B43,Starter!A:A,0)),"")</f>
        <v>BK München</v>
      </c>
      <c r="E43" s="102">
        <f t="shared" si="10"/>
        <v>4779</v>
      </c>
      <c r="F43">
        <f t="shared" si="11"/>
        <v>26</v>
      </c>
      <c r="G43" s="137">
        <f t="shared" si="12"/>
        <v>183.80769229269231</v>
      </c>
      <c r="L43" s="227">
        <f>INDEX(Starter!A:A,ROW()-1)</f>
        <v>16263</v>
      </c>
      <c r="M43">
        <f>INDEX(SchnittGes3!M:M,MATCH(L43,SchnittGes3!L:L,0))+INDEX(Schnitt4!M:M,MATCH(L43,Schnitt4!L:L,0))</f>
        <v>6761</v>
      </c>
      <c r="N43">
        <f>INDEX(SchnittGes3!N:N,MATCH(L43,SchnittGes3!L:L,0))+INDEX(Schnitt4!N:N,MATCH(L43,Schnitt4!L:L,0))</f>
        <v>36</v>
      </c>
      <c r="O43">
        <f t="shared" si="7"/>
        <v>187.80555551255554</v>
      </c>
      <c r="P43">
        <f t="shared" si="8"/>
        <v>32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5135</v>
      </c>
      <c r="F44">
        <f t="shared" si="11"/>
        <v>28</v>
      </c>
      <c r="G44" s="137">
        <f t="shared" si="12"/>
        <v>183.39285708485713</v>
      </c>
      <c r="L44" s="227">
        <f>INDEX(Starter!A:A,ROW()-1)</f>
        <v>7959</v>
      </c>
      <c r="M44">
        <f>INDEX(SchnittGes3!M:M,MATCH(L44,SchnittGes3!L:L,0))+INDEX(Schnitt4!M:M,MATCH(L44,Schnitt4!L:L,0))</f>
        <v>2390</v>
      </c>
      <c r="N44">
        <f>INDEX(SchnittGes3!N:N,MATCH(L44,SchnittGes3!L:L,0))+INDEX(Schnitt4!N:N,MATCH(L44,Schnitt4!L:L,0))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41008</v>
      </c>
      <c r="C45" t="str">
        <f>IFERROR(INDEX(Starter!B:B,MATCH(B45,Starter!A:A,0)),"")</f>
        <v>Richter, Benjamin</v>
      </c>
      <c r="D45" t="str">
        <f>IFERROR(INDEX(Starter!C:C,MATCH(B45,Starter!A:A,0)),"")</f>
        <v>BC EMAX</v>
      </c>
      <c r="E45" s="102">
        <f t="shared" si="10"/>
        <v>2012</v>
      </c>
      <c r="F45">
        <f t="shared" si="11"/>
        <v>11</v>
      </c>
      <c r="G45" s="137">
        <f t="shared" si="12"/>
        <v>182.90909084409091</v>
      </c>
      <c r="L45" s="227">
        <f>INDEX(Starter!A:A,ROW()-1)</f>
        <v>7601</v>
      </c>
      <c r="M45">
        <f>INDEX(SchnittGes3!M:M,MATCH(L45,SchnittGes3!L:L,0))+INDEX(Schnitt4!M:M,MATCH(L45,Schnitt4!L:L,0))</f>
        <v>3793</v>
      </c>
      <c r="N45">
        <f>INDEX(SchnittGes3!N:N,MATCH(L45,SchnittGes3!L:L,0))+INDEX(Schnitt4!N:N,MATCH(L45,Schnitt4!L:L,0))</f>
        <v>22</v>
      </c>
      <c r="O45">
        <f t="shared" si="7"/>
        <v>172.4090908640909</v>
      </c>
      <c r="P45">
        <f t="shared" si="8"/>
        <v>52</v>
      </c>
    </row>
    <row r="46" spans="1:16" x14ac:dyDescent="0.25">
      <c r="A46">
        <f t="shared" si="13"/>
        <v>42</v>
      </c>
      <c r="B46">
        <f t="shared" si="9"/>
        <v>25554</v>
      </c>
      <c r="C46" t="str">
        <f>IFERROR(INDEX(Starter!B:B,MATCH(B46,Starter!A:A,0)),"")</f>
        <v>Blasits, Ernst</v>
      </c>
      <c r="D46" t="str">
        <f>IFERROR(INDEX(Starter!C:C,MATCH(B46,Starter!A:A,0)),"")</f>
        <v>BC EMAX</v>
      </c>
      <c r="E46" s="102">
        <f t="shared" si="10"/>
        <v>3460</v>
      </c>
      <c r="F46">
        <f t="shared" si="11"/>
        <v>19</v>
      </c>
      <c r="G46" s="137">
        <f t="shared" si="12"/>
        <v>182.10526312189475</v>
      </c>
      <c r="L46" s="227">
        <f>INDEX(Starter!A:A,ROW()-1)</f>
        <v>7593</v>
      </c>
      <c r="M46">
        <f>INDEX(SchnittGes3!M:M,MATCH(L46,SchnittGes3!L:L,0))+INDEX(Schnitt4!M:M,MATCH(L46,Schnitt4!L:L,0))</f>
        <v>5389</v>
      </c>
      <c r="N46">
        <f>INDEX(SchnittGes3!N:N,MATCH(L46,SchnittGes3!L:L,0))+INDEX(Schnitt4!N:N,MATCH(L46,Schnitt4!L:L,0))</f>
        <v>27</v>
      </c>
      <c r="O46">
        <f t="shared" si="7"/>
        <v>199.59259254659258</v>
      </c>
      <c r="P46">
        <f t="shared" si="8"/>
        <v>15</v>
      </c>
    </row>
    <row r="47" spans="1:16" x14ac:dyDescent="0.25">
      <c r="A47">
        <f t="shared" si="13"/>
        <v>43</v>
      </c>
      <c r="B47">
        <f t="shared" si="9"/>
        <v>38092</v>
      </c>
      <c r="C47" t="str">
        <f>IFERROR(INDEX(Starter!B:B,MATCH(B47,Starter!A:A,0)),"")</f>
        <v>Kabel, Nicolas</v>
      </c>
      <c r="D47" t="str">
        <f>IFERROR(INDEX(Starter!C:C,MATCH(B47,Starter!A:A,0)),"")</f>
        <v>BSC Highroller Rosenheim</v>
      </c>
      <c r="E47" s="102">
        <f t="shared" si="10"/>
        <v>6156</v>
      </c>
      <c r="F47">
        <f t="shared" si="11"/>
        <v>34</v>
      </c>
      <c r="G47" s="137">
        <f t="shared" si="12"/>
        <v>181.05882350441178</v>
      </c>
      <c r="L47" s="227">
        <f>INDEX(Starter!A:A,ROW()-1)</f>
        <v>7591</v>
      </c>
      <c r="M47">
        <f>INDEX(SchnittGes3!M:M,MATCH(L47,SchnittGes3!L:L,0))+INDEX(Schnitt4!M:M,MATCH(L47,Schnitt4!L:L,0))</f>
        <v>4027</v>
      </c>
      <c r="N47">
        <f>INDEX(SchnittGes3!N:N,MATCH(L47,SchnittGes3!L:L,0))+INDEX(Schnitt4!N:N,MATCH(L47,Schnitt4!L:L,0))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16862</v>
      </c>
      <c r="C48" t="str">
        <f>IFERROR(INDEX(Starter!B:B,MATCH(B48,Starter!A:A,0)),"")</f>
        <v>Büttner, Christian</v>
      </c>
      <c r="D48" t="str">
        <f>IFERROR(INDEX(Starter!C:C,MATCH(B48,Starter!A:A,0)),"")</f>
        <v>SG Rottendorf</v>
      </c>
      <c r="E48" s="102">
        <f t="shared" si="10"/>
        <v>6150</v>
      </c>
      <c r="F48">
        <f t="shared" si="11"/>
        <v>34</v>
      </c>
      <c r="G48" s="137">
        <f t="shared" si="12"/>
        <v>180.88235289117645</v>
      </c>
      <c r="L48" s="227">
        <f>INDEX(Starter!A:A,ROW()-1)</f>
        <v>38039</v>
      </c>
      <c r="M48">
        <f>INDEX(SchnittGes3!M:M,MATCH(L48,SchnittGes3!L:L,0))+INDEX(Schnitt4!M:M,MATCH(L48,Schnitt4!L:L,0))</f>
        <v>2973</v>
      </c>
      <c r="N48">
        <f>INDEX(SchnittGes3!N:N,MATCH(L48,SchnittGes3!L:L,0))+INDEX(Schnitt4!N:N,MATCH(L48,Schnitt4!L:L,0))</f>
        <v>16</v>
      </c>
      <c r="O48">
        <f t="shared" si="7"/>
        <v>185.812499952</v>
      </c>
      <c r="P48">
        <f t="shared" si="8"/>
        <v>34</v>
      </c>
    </row>
    <row r="49" spans="1:16" x14ac:dyDescent="0.25">
      <c r="A49">
        <f t="shared" si="13"/>
        <v>45</v>
      </c>
      <c r="B49">
        <f t="shared" si="9"/>
        <v>38550</v>
      </c>
      <c r="C49" t="str">
        <f>IFERROR(INDEX(Starter!B:B,MATCH(B49,Starter!A:A,0)),"")</f>
        <v>Schütze, Oliver</v>
      </c>
      <c r="D49" t="str">
        <f>IFERROR(INDEX(Starter!C:C,MATCH(B49,Starter!A:A,0)),"")</f>
        <v>BC Schanzer Strikers</v>
      </c>
      <c r="E49" s="102">
        <f t="shared" si="10"/>
        <v>3239</v>
      </c>
      <c r="F49">
        <f t="shared" si="11"/>
        <v>18</v>
      </c>
      <c r="G49" s="137">
        <f t="shared" si="12"/>
        <v>179.94444443644446</v>
      </c>
      <c r="L49" s="227">
        <f>INDEX(Starter!A:A,ROW()-1)</f>
        <v>7738</v>
      </c>
      <c r="M49">
        <f>INDEX(SchnittGes3!M:M,MATCH(L49,SchnittGes3!L:L,0))+INDEX(Schnitt4!M:M,MATCH(L49,Schnitt4!L:L,0))</f>
        <v>704</v>
      </c>
      <c r="N49">
        <f>INDEX(SchnittGes3!N:N,MATCH(L49,SchnittGes3!L:L,0))+INDEX(Schnitt4!N:N,MATCH(L49,Schnitt4!L:L,0))</f>
        <v>4</v>
      </c>
      <c r="O49">
        <f t="shared" si="7"/>
        <v>175.99999995100001</v>
      </c>
      <c r="P49">
        <f t="shared" si="8"/>
        <v>51</v>
      </c>
    </row>
    <row r="50" spans="1:16" x14ac:dyDescent="0.25">
      <c r="A50">
        <f t="shared" si="13"/>
        <v>46</v>
      </c>
      <c r="B50">
        <f t="shared" si="9"/>
        <v>25061</v>
      </c>
      <c r="C50" t="str">
        <f>IFERROR(INDEX(Starter!B:B,MATCH(B50,Starter!A:A,0)),"")</f>
        <v>Schwarz, Christian</v>
      </c>
      <c r="D50" t="str">
        <f>IFERROR(INDEX(Starter!C:C,MATCH(B50,Starter!A:A,0)),"")</f>
        <v>BSC Highroller Rosenheim</v>
      </c>
      <c r="E50" s="102">
        <f t="shared" si="10"/>
        <v>5669</v>
      </c>
      <c r="F50">
        <f t="shared" si="11"/>
        <v>32</v>
      </c>
      <c r="G50" s="137">
        <f t="shared" si="12"/>
        <v>177.156249941</v>
      </c>
      <c r="L50" s="227">
        <f>INDEX(Starter!A:A,ROW()-1)</f>
        <v>16862</v>
      </c>
      <c r="M50">
        <f>INDEX(SchnittGes3!M:M,MATCH(L50,SchnittGes3!L:L,0))+INDEX(Schnitt4!M:M,MATCH(L50,Schnitt4!L:L,0))</f>
        <v>6150</v>
      </c>
      <c r="N50">
        <f>INDEX(SchnittGes3!N:N,MATCH(L50,SchnittGes3!L:L,0))+INDEX(Schnitt4!N:N,MATCH(L50,Schnitt4!L:L,0))</f>
        <v>34</v>
      </c>
      <c r="O50">
        <f t="shared" si="7"/>
        <v>180.88235289117645</v>
      </c>
      <c r="P50">
        <f t="shared" si="8"/>
        <v>44</v>
      </c>
    </row>
    <row r="51" spans="1:16" x14ac:dyDescent="0.25">
      <c r="A51">
        <f t="shared" si="13"/>
        <v>47</v>
      </c>
      <c r="B51">
        <f t="shared" si="9"/>
        <v>38686</v>
      </c>
      <c r="C51" t="str">
        <f>IFERROR(INDEX(Starter!B:B,MATCH(B51,Starter!A:A,0)),"")</f>
        <v>Beck, Stefan</v>
      </c>
      <c r="D51" t="str">
        <f>IFERROR(INDEX(Starter!C:C,MATCH(B51,Starter!A:A,0)),"")</f>
        <v>DJK Rimpar</v>
      </c>
      <c r="E51" s="102">
        <f t="shared" si="10"/>
        <v>708</v>
      </c>
      <c r="F51">
        <f t="shared" si="11"/>
        <v>4</v>
      </c>
      <c r="G51" s="137">
        <f t="shared" si="12"/>
        <v>176.99999993200001</v>
      </c>
      <c r="L51" s="227">
        <f>INDEX(Starter!A:A,ROW()-1)</f>
        <v>16346</v>
      </c>
      <c r="M51">
        <f>INDEX(SchnittGes3!M:M,MATCH(L51,SchnittGes3!L:L,0))+INDEX(Schnitt4!M:M,MATCH(L51,Schnitt4!L:L,0))</f>
        <v>422</v>
      </c>
      <c r="N51">
        <f>INDEX(SchnittGes3!N:N,MATCH(L51,SchnittGes3!L:L,0))+INDEX(Schnitt4!N:N,MATCH(L51,Schnitt4!L:L,0))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16762</v>
      </c>
      <c r="C52" t="str">
        <f>IFERROR(INDEX(Starter!B:B,MATCH(B52,Starter!A:A,0)),"")</f>
        <v>Glasl sen., Hans</v>
      </c>
      <c r="D52" t="str">
        <f>IFERROR(INDEX(Starter!C:C,MATCH(B52,Starter!A:A,0)),"")</f>
        <v>BC Bajuwaren 1976 München</v>
      </c>
      <c r="E52" s="102">
        <f t="shared" si="10"/>
        <v>4070</v>
      </c>
      <c r="F52">
        <f t="shared" si="11"/>
        <v>23</v>
      </c>
      <c r="G52" s="137">
        <f t="shared" si="12"/>
        <v>176.95652172013044</v>
      </c>
      <c r="L52" s="227">
        <f>INDEX(Starter!A:A,ROW()-1)</f>
        <v>25024</v>
      </c>
      <c r="M52">
        <f>INDEX(SchnittGes3!M:M,MATCH(L52,SchnittGes3!L:L,0))+INDEX(Schnitt4!M:M,MATCH(L52,Schnitt4!L:L,0))</f>
        <v>1434</v>
      </c>
      <c r="N52">
        <f>INDEX(SchnittGes3!N:N,MATCH(L52,SchnittGes3!L:L,0))+INDEX(Schnitt4!N:N,MATCH(L52,Schnitt4!L:L,0))</f>
        <v>9</v>
      </c>
      <c r="O52">
        <f t="shared" si="7"/>
        <v>159.33333328133335</v>
      </c>
      <c r="P52">
        <f t="shared" si="8"/>
        <v>67</v>
      </c>
    </row>
    <row r="53" spans="1:16" x14ac:dyDescent="0.25">
      <c r="A53">
        <f t="shared" si="13"/>
        <v>49</v>
      </c>
      <c r="B53">
        <f t="shared" si="9"/>
        <v>27134</v>
      </c>
      <c r="C53" t="str">
        <f>IFERROR(INDEX(Starter!B:B,MATCH(B53,Starter!A:A,0)),"")</f>
        <v>Lohse, Sebastian</v>
      </c>
      <c r="D53" t="str">
        <f>IFERROR(INDEX(Starter!C:C,MATCH(B53,Starter!A:A,0)),"")</f>
        <v>BC EMAX</v>
      </c>
      <c r="E53" s="102">
        <f t="shared" si="10"/>
        <v>4055</v>
      </c>
      <c r="F53">
        <f t="shared" si="11"/>
        <v>23</v>
      </c>
      <c r="G53" s="137">
        <f t="shared" si="12"/>
        <v>176.30434779308698</v>
      </c>
      <c r="L53" s="227">
        <f>INDEX(Starter!A:A,ROW()-1)</f>
        <v>7344</v>
      </c>
      <c r="M53">
        <f>INDEX(SchnittGes3!M:M,MATCH(L53,SchnittGes3!L:L,0))+INDEX(Schnitt4!M:M,MATCH(L53,Schnitt4!L:L,0))</f>
        <v>1528</v>
      </c>
      <c r="N53">
        <f>INDEX(SchnittGes3!N:N,MATCH(L53,SchnittGes3!L:L,0))+INDEX(Schnitt4!N:N,MATCH(L53,Schnitt4!L:L,0))</f>
        <v>9</v>
      </c>
      <c r="O53">
        <f t="shared" si="7"/>
        <v>169.77777772477776</v>
      </c>
      <c r="P53">
        <f t="shared" si="8"/>
        <v>58</v>
      </c>
    </row>
    <row r="54" spans="1:16" x14ac:dyDescent="0.25">
      <c r="A54">
        <f t="shared" si="13"/>
        <v>50</v>
      </c>
      <c r="B54">
        <f t="shared" si="9"/>
        <v>10124</v>
      </c>
      <c r="C54" t="str">
        <f>IFERROR(INDEX(Starter!B:B,MATCH(B54,Starter!A:A,0)),"")</f>
        <v>Kristof, Robert</v>
      </c>
      <c r="D54" t="str">
        <f>IFERROR(INDEX(Starter!C:C,MATCH(B54,Starter!A:A,0)),"")</f>
        <v>BF Rot-Weiß Lichtenhof 69</v>
      </c>
      <c r="E54" s="102">
        <f t="shared" si="10"/>
        <v>5986</v>
      </c>
      <c r="F54">
        <f t="shared" si="11"/>
        <v>34</v>
      </c>
      <c r="G54" s="137">
        <f t="shared" si="12"/>
        <v>176.05882348741176</v>
      </c>
      <c r="L54" s="227">
        <f>INDEX(Starter!A:A,ROW()-1)</f>
        <v>7602</v>
      </c>
      <c r="M54">
        <f>INDEX(SchnittGes3!M:M,MATCH(L54,SchnittGes3!L:L,0))+INDEX(Schnitt4!M:M,MATCH(L54,Schnitt4!L:L,0))</f>
        <v>4587</v>
      </c>
      <c r="N54">
        <f>INDEX(SchnittGes3!N:N,MATCH(L54,SchnittGes3!L:L,0))+INDEX(Schnitt4!N:N,MATCH(L54,Schnitt4!L:L,0))</f>
        <v>23</v>
      </c>
      <c r="O54">
        <f t="shared" si="7"/>
        <v>199.43478255469566</v>
      </c>
      <c r="P54">
        <f t="shared" si="8"/>
        <v>16</v>
      </c>
    </row>
    <row r="55" spans="1:16" x14ac:dyDescent="0.25">
      <c r="A55">
        <f t="shared" si="13"/>
        <v>51</v>
      </c>
      <c r="B55">
        <f t="shared" si="9"/>
        <v>7738</v>
      </c>
      <c r="C55" t="str">
        <f>IFERROR(INDEX(Starter!B:B,MATCH(B55,Starter!A:A,0)),"")</f>
        <v>Stöhr, Jürgen</v>
      </c>
      <c r="D55" t="str">
        <f>IFERROR(INDEX(Starter!C:C,MATCH(B55,Starter!A:A,0)),"")</f>
        <v>BF Rot-Weiß Lichtenhof 69</v>
      </c>
      <c r="E55" s="102">
        <f t="shared" si="10"/>
        <v>704</v>
      </c>
      <c r="F55">
        <f t="shared" si="11"/>
        <v>4</v>
      </c>
      <c r="G55" s="137">
        <f t="shared" si="12"/>
        <v>175.99999995100001</v>
      </c>
      <c r="L55" s="227">
        <f>INDEX(Starter!A:A,ROW()-1)</f>
        <v>25325</v>
      </c>
      <c r="M55">
        <f>INDEX(SchnittGes3!M:M,MATCH(L55,SchnittGes3!L:L,0))+INDEX(Schnitt4!M:M,MATCH(L55,Schnitt4!L:L,0))</f>
        <v>4432</v>
      </c>
      <c r="N55">
        <f>INDEX(SchnittGes3!N:N,MATCH(L55,SchnittGes3!L:L,0))+INDEX(Schnitt4!N:N,MATCH(L55,Schnitt4!L:L,0))</f>
        <v>23</v>
      </c>
      <c r="O55">
        <f t="shared" si="7"/>
        <v>192.69565211891305</v>
      </c>
      <c r="P55">
        <f t="shared" si="8"/>
        <v>27</v>
      </c>
    </row>
    <row r="56" spans="1:16" x14ac:dyDescent="0.25">
      <c r="A56">
        <f t="shared" si="13"/>
        <v>52</v>
      </c>
      <c r="B56">
        <f t="shared" si="9"/>
        <v>7601</v>
      </c>
      <c r="C56" t="str">
        <f>IFERROR(INDEX(Starter!B:B,MATCH(B56,Starter!A:A,0)),"")</f>
        <v>Lüthje, Volker</v>
      </c>
      <c r="D56" t="str">
        <f>IFERROR(INDEX(Starter!C:C,MATCH(B56,Starter!A:A,0)),"")</f>
        <v>BC Bajuwaren 1976 München</v>
      </c>
      <c r="E56" s="102">
        <f t="shared" si="10"/>
        <v>3793</v>
      </c>
      <c r="F56">
        <f t="shared" si="11"/>
        <v>22</v>
      </c>
      <c r="G56" s="137">
        <f t="shared" si="12"/>
        <v>172.4090908640909</v>
      </c>
      <c r="L56" s="227">
        <f>INDEX(Starter!A:A,ROW()-1)</f>
        <v>7428</v>
      </c>
      <c r="M56">
        <f>INDEX(SchnittGes3!M:M,MATCH(L56,SchnittGes3!L:L,0))+INDEX(Schnitt4!M:M,MATCH(L56,Schnitt4!L:L,0))</f>
        <v>6955</v>
      </c>
      <c r="N56">
        <f>INDEX(SchnittGes3!N:N,MATCH(L56,SchnittGes3!L:L,0))+INDEX(Schnitt4!N:N,MATCH(L56,Schnitt4!L:L,0))</f>
        <v>34</v>
      </c>
      <c r="O56">
        <f t="shared" si="7"/>
        <v>204.55882347341176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7485</v>
      </c>
      <c r="C57" t="str">
        <f>IFERROR(INDEX(Starter!B:B,MATCH(B57,Starter!A:A,0)),"")</f>
        <v>Singer, Michael</v>
      </c>
      <c r="D57" t="str">
        <f>IFERROR(INDEX(Starter!C:C,MATCH(B57,Starter!A:A,0)),"")</f>
        <v>BK München</v>
      </c>
      <c r="E57" s="102">
        <f t="shared" si="10"/>
        <v>862</v>
      </c>
      <c r="F57">
        <f t="shared" si="11"/>
        <v>5</v>
      </c>
      <c r="G57" s="137">
        <f t="shared" si="12"/>
        <v>172.399999939</v>
      </c>
      <c r="L57" s="227">
        <f>INDEX(Starter!A:A,ROW()-1)</f>
        <v>16532</v>
      </c>
      <c r="M57">
        <f>INDEX(SchnittGes3!M:M,MATCH(L57,SchnittGes3!L:L,0))+INDEX(Schnitt4!M:M,MATCH(L57,Schnitt4!L:L,0))</f>
        <v>2155</v>
      </c>
      <c r="N57">
        <f>INDEX(SchnittGes3!N:N,MATCH(L57,SchnittGes3!L:L,0))+INDEX(Schnitt4!N:N,MATCH(L57,Schnitt4!L:L,0))</f>
        <v>11</v>
      </c>
      <c r="O57">
        <f t="shared" si="7"/>
        <v>195.90909085209091</v>
      </c>
      <c r="P57">
        <f t="shared" si="8"/>
        <v>20</v>
      </c>
    </row>
    <row r="58" spans="1:16" x14ac:dyDescent="0.25">
      <c r="A58">
        <f t="shared" si="13"/>
        <v>54</v>
      </c>
      <c r="B58">
        <f t="shared" si="9"/>
        <v>25516</v>
      </c>
      <c r="C58" t="str">
        <f>IFERROR(INDEX(Starter!B:B,MATCH(B58,Starter!A:A,0)),"")</f>
        <v>Nikoleit, Thomas</v>
      </c>
      <c r="D58" t="str">
        <f>IFERROR(INDEX(Starter!C:C,MATCH(B58,Starter!A:A,0)),"")</f>
        <v>BC Bamberger Bowlinghaus</v>
      </c>
      <c r="E58" s="102">
        <f t="shared" si="10"/>
        <v>2234</v>
      </c>
      <c r="F58">
        <f t="shared" si="11"/>
        <v>13</v>
      </c>
      <c r="G58" s="137">
        <f t="shared" si="12"/>
        <v>171.84615380715383</v>
      </c>
      <c r="L58" s="227">
        <f>INDEX(Starter!A:A,ROW()-1)</f>
        <v>38043</v>
      </c>
      <c r="M58">
        <f>INDEX(SchnittGes3!M:M,MATCH(L58,SchnittGes3!L:L,0))+INDEX(Schnitt4!M:M,MATCH(L58,Schnitt4!L:L,0))</f>
        <v>5135</v>
      </c>
      <c r="N58">
        <f>INDEX(SchnittGes3!N:N,MATCH(L58,SchnittGes3!L:L,0))+INDEX(Schnitt4!N:N,MATCH(L58,Schnitt4!L:L,0))</f>
        <v>28</v>
      </c>
      <c r="O58">
        <f t="shared" si="7"/>
        <v>183.39285708485713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16352</v>
      </c>
      <c r="C59" t="str">
        <f>IFERROR(INDEX(Starter!B:B,MATCH(B59,Starter!A:A,0)),"")</f>
        <v>Scholz, Alexander</v>
      </c>
      <c r="D59" t="str">
        <f>IFERROR(INDEX(Starter!C:C,MATCH(B59,Starter!A:A,0)),"")</f>
        <v>SG Rottendorf</v>
      </c>
      <c r="E59" s="102">
        <f t="shared" si="10"/>
        <v>1197</v>
      </c>
      <c r="F59">
        <f t="shared" si="11"/>
        <v>7</v>
      </c>
      <c r="G59" s="137">
        <f t="shared" si="12"/>
        <v>170.999999989</v>
      </c>
      <c r="L59" s="227">
        <f>INDEX(Starter!A:A,ROW()-1)</f>
        <v>25061</v>
      </c>
      <c r="M59">
        <f>INDEX(SchnittGes3!M:M,MATCH(L59,SchnittGes3!L:L,0))+INDEX(Schnitt4!M:M,MATCH(L59,Schnitt4!L:L,0))</f>
        <v>5669</v>
      </c>
      <c r="N59">
        <f>INDEX(SchnittGes3!N:N,MATCH(L59,SchnittGes3!L:L,0))+INDEX(Schnitt4!N:N,MATCH(L59,Schnitt4!L:L,0))</f>
        <v>32</v>
      </c>
      <c r="O59">
        <f t="shared" si="7"/>
        <v>177.156249941</v>
      </c>
      <c r="P59">
        <f t="shared" si="8"/>
        <v>46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INDEX(SchnittGes3!M:M,MATCH(L60,SchnittGes3!L:L,0))+INDEX(Schnitt4!M:M,MATCH(L60,Schnitt4!L:L,0))</f>
        <v>3412</v>
      </c>
      <c r="N60">
        <f>INDEX(SchnittGes3!N:N,MATCH(L60,SchnittGes3!L:L,0))+INDEX(Schnitt4!N:N,MATCH(L60,Schnitt4!L:L,0))</f>
        <v>18</v>
      </c>
      <c r="O60">
        <f t="shared" si="7"/>
        <v>189.55555549555555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7425</v>
      </c>
      <c r="C61" t="str">
        <f>IFERROR(INDEX(Starter!B:B,MATCH(B61,Starter!A:A,0)),"")</f>
        <v>Wimmer, Peter</v>
      </c>
      <c r="D61" t="str">
        <f>IFERROR(INDEX(Starter!C:C,MATCH(B61,Starter!A:A,0)),"")</f>
        <v>BSC Highroller Rosenheim</v>
      </c>
      <c r="E61" s="102">
        <f t="shared" si="10"/>
        <v>1192</v>
      </c>
      <c r="F61">
        <f t="shared" si="11"/>
        <v>7</v>
      </c>
      <c r="G61" s="137">
        <f t="shared" si="12"/>
        <v>170.28571426371428</v>
      </c>
      <c r="L61" s="227">
        <f>INDEX(Starter!A:A,ROW()-1)</f>
        <v>7485</v>
      </c>
      <c r="M61">
        <f>INDEX(SchnittGes3!M:M,MATCH(L61,SchnittGes3!L:L,0))+INDEX(Schnitt4!M:M,MATCH(L61,Schnitt4!L:L,0))</f>
        <v>862</v>
      </c>
      <c r="N61">
        <f>INDEX(SchnittGes3!N:N,MATCH(L61,SchnittGes3!L:L,0))+INDEX(Schnitt4!N:N,MATCH(L61,Schnitt4!L:L,0))</f>
        <v>5</v>
      </c>
      <c r="O61">
        <f t="shared" si="7"/>
        <v>172.399999939</v>
      </c>
      <c r="P61">
        <f t="shared" si="8"/>
        <v>53</v>
      </c>
    </row>
    <row r="62" spans="1:16" x14ac:dyDescent="0.25">
      <c r="A62">
        <f t="shared" si="13"/>
        <v>58</v>
      </c>
      <c r="B62">
        <f t="shared" si="9"/>
        <v>7344</v>
      </c>
      <c r="C62" t="str">
        <f>IFERROR(INDEX(Starter!B:B,MATCH(B62,Starter!A:A,0)),"")</f>
        <v>Kirschenbauer, Frank</v>
      </c>
      <c r="D62" t="str">
        <f>IFERROR(INDEX(Starter!C:C,MATCH(B62,Starter!A:A,0)),"")</f>
        <v>BC Schanzer Strikers</v>
      </c>
      <c r="E62" s="102">
        <f t="shared" si="10"/>
        <v>1528</v>
      </c>
      <c r="F62">
        <f t="shared" si="11"/>
        <v>9</v>
      </c>
      <c r="G62" s="137">
        <f t="shared" si="12"/>
        <v>169.77777772477776</v>
      </c>
      <c r="L62" s="227">
        <f>INDEX(Starter!A:A,ROW()-1)</f>
        <v>7740</v>
      </c>
      <c r="M62">
        <f>INDEX(SchnittGes3!M:M,MATCH(L62,SchnittGes3!L:L,0))+INDEX(Schnitt4!M:M,MATCH(L62,Schnitt4!L:L,0))</f>
        <v>2618</v>
      </c>
      <c r="N62">
        <f>INDEX(SchnittGes3!N:N,MATCH(L62,SchnittGes3!L:L,0))+INDEX(Schnitt4!N:N,MATCH(L62,Schnitt4!L:L,0))</f>
        <v>16</v>
      </c>
      <c r="O62">
        <f t="shared" si="7"/>
        <v>163.624999938</v>
      </c>
      <c r="P62">
        <f t="shared" si="8"/>
        <v>65</v>
      </c>
    </row>
    <row r="63" spans="1:16" x14ac:dyDescent="0.25">
      <c r="A63">
        <f t="shared" si="13"/>
        <v>59</v>
      </c>
      <c r="B63">
        <f t="shared" si="9"/>
        <v>22116</v>
      </c>
      <c r="C63" t="str">
        <f>IFERROR(INDEX(Starter!B:B,MATCH(B63,Starter!A:A,0)),"")</f>
        <v>Tavares, S.</v>
      </c>
      <c r="D63" t="str">
        <f>IFERROR(INDEX(Starter!C:C,MATCH(B63,Starter!A:A,0)),"")</f>
        <v>BC Highroller Rosenheim</v>
      </c>
      <c r="E63" s="102">
        <f t="shared" si="10"/>
        <v>1183</v>
      </c>
      <c r="F63">
        <f t="shared" si="11"/>
        <v>7</v>
      </c>
      <c r="G63" s="137">
        <f t="shared" si="12"/>
        <v>168.99999993099999</v>
      </c>
      <c r="L63" s="227">
        <f>INDEX(Starter!A:A,ROW()-1)</f>
        <v>7337</v>
      </c>
      <c r="M63">
        <f>INDEX(SchnittGes3!M:M,MATCH(L63,SchnittGes3!L:L,0))+INDEX(Schnitt4!M:M,MATCH(L63,Schnitt4!L:L,0))</f>
        <v>777</v>
      </c>
      <c r="N63">
        <f>INDEX(SchnittGes3!N:N,MATCH(L63,SchnittGes3!L:L,0))+INDEX(Schnitt4!N:N,MATCH(L63,Schnitt4!L:L,0))</f>
        <v>4</v>
      </c>
      <c r="O63">
        <f t="shared" si="7"/>
        <v>194.24999993700001</v>
      </c>
      <c r="P63">
        <f t="shared" si="8"/>
        <v>21</v>
      </c>
    </row>
    <row r="64" spans="1:16" x14ac:dyDescent="0.25">
      <c r="A64">
        <f t="shared" si="13"/>
        <v>60</v>
      </c>
      <c r="B64">
        <f t="shared" si="9"/>
        <v>38361</v>
      </c>
      <c r="C64" t="str">
        <f>IFERROR(INDEX(Starter!B:B,MATCH(B64,Starter!A:A,0)),"")</f>
        <v>Schmied, Markus</v>
      </c>
      <c r="D64" t="str">
        <f>IFERROR(INDEX(Starter!C:C,MATCH(B64,Starter!A:A,0)),"")</f>
        <v>BC Schanzer Strikers</v>
      </c>
      <c r="E64" s="102">
        <f t="shared" si="10"/>
        <v>6081</v>
      </c>
      <c r="F64">
        <f t="shared" si="11"/>
        <v>36</v>
      </c>
      <c r="G64" s="137">
        <f t="shared" si="12"/>
        <v>168.91666665966665</v>
      </c>
      <c r="L64" s="227">
        <f>INDEX(Starter!A:A,ROW()-1)</f>
        <v>38360</v>
      </c>
      <c r="M64">
        <f>INDEX(SchnittGes3!M:M,MATCH(L64,SchnittGes3!L:L,0))+INDEX(Schnitt4!M:M,MATCH(L64,Schnitt4!L:L,0))</f>
        <v>842</v>
      </c>
      <c r="N64">
        <f>INDEX(SchnittGes3!N:N,MATCH(L64,SchnittGes3!L:L,0))+INDEX(Schnitt4!N:N,MATCH(L64,Schnitt4!L:L,0))</f>
        <v>5</v>
      </c>
      <c r="O64">
        <f t="shared" si="7"/>
        <v>168.399999936</v>
      </c>
      <c r="P64">
        <f t="shared" si="8"/>
        <v>61</v>
      </c>
    </row>
    <row r="65" spans="1:16" x14ac:dyDescent="0.25">
      <c r="A65">
        <f t="shared" si="13"/>
        <v>61</v>
      </c>
      <c r="B65">
        <f t="shared" si="9"/>
        <v>38360</v>
      </c>
      <c r="C65" t="str">
        <f>IFERROR(INDEX(Starter!B:B,MATCH(B65,Starter!A:A,0)),"")</f>
        <v>Hutter, Sebastian</v>
      </c>
      <c r="D65" t="str">
        <f>IFERROR(INDEX(Starter!C:C,MATCH(B65,Starter!A:A,0)),"")</f>
        <v>BC Schanzer Strikers</v>
      </c>
      <c r="E65" s="102">
        <f t="shared" si="10"/>
        <v>842</v>
      </c>
      <c r="F65">
        <f t="shared" si="11"/>
        <v>5</v>
      </c>
      <c r="G65" s="137">
        <f t="shared" si="12"/>
        <v>168.399999936</v>
      </c>
      <c r="L65" s="227">
        <f>INDEX(Starter!A:A,ROW()-1)</f>
        <v>41008</v>
      </c>
      <c r="M65">
        <f>INDEX(SchnittGes3!M:M,MATCH(L65,SchnittGes3!L:L,0))+INDEX(Schnitt4!M:M,MATCH(L65,Schnitt4!L:L,0))</f>
        <v>2012</v>
      </c>
      <c r="N65">
        <f>INDEX(SchnittGes3!N:N,MATCH(L65,SchnittGes3!L:L,0))+INDEX(Schnitt4!N:N,MATCH(L65,Schnitt4!L:L,0))</f>
        <v>11</v>
      </c>
      <c r="O65">
        <f t="shared" si="7"/>
        <v>182.90909084409091</v>
      </c>
      <c r="P65">
        <f t="shared" si="8"/>
        <v>41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1513</v>
      </c>
      <c r="F66">
        <f t="shared" si="11"/>
        <v>9</v>
      </c>
      <c r="G66" s="137">
        <f t="shared" si="12"/>
        <v>168.11111107911111</v>
      </c>
      <c r="L66" s="227">
        <f>INDEX(Starter!A:A,ROW()-1)</f>
        <v>16398</v>
      </c>
      <c r="M66">
        <f>INDEX(SchnittGes3!M:M,MATCH(L66,SchnittGes3!L:L,0))+INDEX(Schnitt4!M:M,MATCH(L66,Schnitt4!L:L,0))</f>
        <v>1466</v>
      </c>
      <c r="N66">
        <f>INDEX(SchnittGes3!N:N,MATCH(L66,SchnittGes3!L:L,0))+INDEX(Schnitt4!N:N,MATCH(L66,Schnitt4!L:L,0))</f>
        <v>9</v>
      </c>
      <c r="O66">
        <f t="shared" si="7"/>
        <v>162.88888882288887</v>
      </c>
      <c r="P66">
        <f t="shared" ref="P66:P97" si="14">RANK(O66,O:O)</f>
        <v>66</v>
      </c>
    </row>
    <row r="67" spans="1:16" x14ac:dyDescent="0.25">
      <c r="A67">
        <f t="shared" si="13"/>
        <v>63</v>
      </c>
      <c r="B67">
        <f t="shared" si="9"/>
        <v>38411</v>
      </c>
      <c r="C67" t="str">
        <f>IFERROR(INDEX(Starter!B:B,MATCH(B67,Starter!A:A,0)),"")</f>
        <v>Hartl, Thomas</v>
      </c>
      <c r="D67" t="str">
        <f>IFERROR(INDEX(Starter!C:C,MATCH(B67,Starter!A:A,0)),"")</f>
        <v>BC Schanzer Strikers</v>
      </c>
      <c r="E67" s="102">
        <f t="shared" si="10"/>
        <v>4533</v>
      </c>
      <c r="F67">
        <f t="shared" si="11"/>
        <v>27</v>
      </c>
      <c r="G67" s="137">
        <f t="shared" si="12"/>
        <v>167.88888888288889</v>
      </c>
      <c r="L67" s="227">
        <f>INDEX(Starter!A:A,ROW()-1)</f>
        <v>16251</v>
      </c>
      <c r="M67">
        <f>INDEX(SchnittGes3!M:M,MATCH(L67,SchnittGes3!L:L,0))+INDEX(Schnitt4!M:M,MATCH(L67,Schnitt4!L:L,0))</f>
        <v>2270</v>
      </c>
      <c r="N67">
        <f>INDEX(SchnittGes3!N:N,MATCH(L67,SchnittGes3!L:L,0))+INDEX(Schnitt4!N:N,MATCH(L67,Schnitt4!L:L,0))</f>
        <v>12</v>
      </c>
      <c r="O67">
        <f t="shared" si="7"/>
        <v>189.16666659966666</v>
      </c>
      <c r="P67">
        <f t="shared" si="14"/>
        <v>31</v>
      </c>
    </row>
    <row r="68" spans="1:16" x14ac:dyDescent="0.25">
      <c r="A68">
        <f t="shared" si="13"/>
        <v>64</v>
      </c>
      <c r="B68">
        <f t="shared" si="9"/>
        <v>25297</v>
      </c>
      <c r="C68" t="str">
        <f>IFERROR(INDEX(Starter!B:B,MATCH(B68,Starter!A:A,0)),"")</f>
        <v>Lengen, Peter</v>
      </c>
      <c r="D68" t="str">
        <f>IFERROR(INDEX(Starter!C:C,MATCH(B68,Starter!A:A,0)),"")</f>
        <v>BSC Highroller Rosenheim</v>
      </c>
      <c r="E68" s="102">
        <f t="shared" si="10"/>
        <v>2675</v>
      </c>
      <c r="F68">
        <f t="shared" si="11"/>
        <v>16</v>
      </c>
      <c r="G68" s="137">
        <f t="shared" si="12"/>
        <v>167.18749997699999</v>
      </c>
      <c r="L68" s="227">
        <f>INDEX(Starter!A:A,ROW()-1)</f>
        <v>38686</v>
      </c>
      <c r="M68">
        <f>INDEX(SchnittGes3!M:M,MATCH(L68,SchnittGes3!L:L,0))+INDEX(Schnitt4!M:M,MATCH(L68,Schnitt4!L:L,0))</f>
        <v>708</v>
      </c>
      <c r="N68">
        <f>INDEX(SchnittGes3!N:N,MATCH(L68,SchnittGes3!L:L,0))+INDEX(Schnitt4!N:N,MATCH(L68,Schnitt4!L:L,0))</f>
        <v>4</v>
      </c>
      <c r="O68">
        <f t="shared" si="7"/>
        <v>176.99999993200001</v>
      </c>
      <c r="P68">
        <f t="shared" si="14"/>
        <v>47</v>
      </c>
    </row>
    <row r="69" spans="1:16" x14ac:dyDescent="0.25">
      <c r="A69">
        <f t="shared" si="13"/>
        <v>65</v>
      </c>
      <c r="B69">
        <f t="shared" ref="B69:B100" si="15">IFERROR(INDEX(L:L,MATCH(A69,P:P,0)),"")</f>
        <v>7740</v>
      </c>
      <c r="C69" t="str">
        <f>IFERROR(INDEX(Starter!B:B,MATCH(B69,Starter!A:A,0)),"")</f>
        <v>Mesch, John</v>
      </c>
      <c r="D69" t="str">
        <f>IFERROR(INDEX(Starter!C:C,MATCH(B69,Starter!A:A,0)),"")</f>
        <v>BF Rot-Weiß Lichtenhof 69</v>
      </c>
      <c r="E69" s="102">
        <f t="shared" ref="E69:E104" si="16">IFERROR(INDEX(M:M,MATCH(A69,P:P,0)),"")</f>
        <v>2618</v>
      </c>
      <c r="F69">
        <f t="shared" ref="F69:F104" si="17">IFERROR(INDEX(N:N,MATCH(A69,P:P,0)),"")</f>
        <v>16</v>
      </c>
      <c r="G69" s="137">
        <f t="shared" ref="G69:G104" si="18">IFERROR(INDEX(O:O,MATCH(A69,P:P,0)),"")</f>
        <v>163.624999938</v>
      </c>
      <c r="L69" s="227">
        <f>INDEX(Starter!A:A,ROW()-1)</f>
        <v>22116</v>
      </c>
      <c r="M69">
        <f>INDEX(SchnittGes3!M:M,MATCH(L69,SchnittGes3!L:L,0))+INDEX(Schnitt4!M:M,MATCH(L69,Schnitt4!L:L,0))</f>
        <v>1183</v>
      </c>
      <c r="N69">
        <f>INDEX(SchnittGes3!N:N,MATCH(L69,SchnittGes3!L:L,0))+INDEX(Schnitt4!N:N,MATCH(L69,Schnitt4!L:L,0))</f>
        <v>7</v>
      </c>
      <c r="O69">
        <f t="shared" si="7"/>
        <v>168.99999993099999</v>
      </c>
      <c r="P69">
        <f t="shared" si="14"/>
        <v>59</v>
      </c>
    </row>
    <row r="70" spans="1:16" x14ac:dyDescent="0.25">
      <c r="A70">
        <f t="shared" ref="A70:A104" si="19">IFERROR(IF(A69+1&gt;MAX(P:P)-1,"",A69+1),"")</f>
        <v>66</v>
      </c>
      <c r="B70">
        <f t="shared" si="15"/>
        <v>16398</v>
      </c>
      <c r="C70" t="str">
        <f>IFERROR(INDEX(Starter!B:B,MATCH(B70,Starter!A:A,0)),"")</f>
        <v>Denz, Günter</v>
      </c>
      <c r="D70" t="str">
        <f>IFERROR(INDEX(Starter!C:C,MATCH(B70,Starter!A:A,0)),"")</f>
        <v>BC EMAX</v>
      </c>
      <c r="E70" s="102">
        <f t="shared" si="16"/>
        <v>1466</v>
      </c>
      <c r="F70">
        <f t="shared" si="17"/>
        <v>9</v>
      </c>
      <c r="G70" s="137">
        <f t="shared" si="18"/>
        <v>162.88888882288887</v>
      </c>
      <c r="L70" s="227">
        <f>INDEX(Starter!A:A,ROW()-1)</f>
        <v>16965</v>
      </c>
      <c r="M70">
        <f>INDEX(SchnittGes3!M:M,MATCH(L70,SchnittGes3!L:L,0))+INDEX(Schnitt4!M:M,MATCH(L70,Schnitt4!L:L,0))</f>
        <v>1971</v>
      </c>
      <c r="N70">
        <f>INDEX(SchnittGes3!N:N,MATCH(L70,SchnittGes3!L:L,0))+INDEX(Schnitt4!N:N,MATCH(L70,Schnitt4!L:L,0))</f>
        <v>9</v>
      </c>
      <c r="O70">
        <f t="shared" si="7"/>
        <v>218.99999993</v>
      </c>
      <c r="P70">
        <f t="shared" si="14"/>
        <v>1</v>
      </c>
    </row>
    <row r="71" spans="1:16" x14ac:dyDescent="0.25">
      <c r="A71">
        <f t="shared" si="19"/>
        <v>67</v>
      </c>
      <c r="B71">
        <f t="shared" si="15"/>
        <v>25024</v>
      </c>
      <c r="C71" t="str">
        <f>IFERROR(INDEX(Starter!B:B,MATCH(B71,Starter!A:A,0)),"")</f>
        <v>Klapper, Michael</v>
      </c>
      <c r="D71" t="str">
        <f>IFERROR(INDEX(Starter!C:C,MATCH(B71,Starter!A:A,0)),"")</f>
        <v>BC Schanzer Strikers</v>
      </c>
      <c r="E71" s="102">
        <f t="shared" si="16"/>
        <v>1434</v>
      </c>
      <c r="F71">
        <f t="shared" si="17"/>
        <v>9</v>
      </c>
      <c r="G71" s="137">
        <f t="shared" si="18"/>
        <v>159.33333328133335</v>
      </c>
      <c r="L71" s="227">
        <f>INDEX(Starter!A:A,ROW()-1)</f>
        <v>39948</v>
      </c>
      <c r="M71">
        <f>INDEX(SchnittGes3!M:M,MATCH(L71,SchnittGes3!L:L,0))+INDEX(Schnitt4!M:M,MATCH(L71,Schnitt4!L:L,0))</f>
        <v>599</v>
      </c>
      <c r="N71">
        <f>INDEX(SchnittGes3!N:N,MATCH(L71,SchnittGes3!L:L,0))+INDEX(Schnitt4!N:N,MATCH(L71,Schnitt4!L:L,0))</f>
        <v>4</v>
      </c>
      <c r="O71">
        <f t="shared" si="7"/>
        <v>149.74999992900001</v>
      </c>
      <c r="P71">
        <f t="shared" si="14"/>
        <v>68</v>
      </c>
    </row>
    <row r="72" spans="1:16" x14ac:dyDescent="0.25">
      <c r="A72">
        <f t="shared" si="19"/>
        <v>68</v>
      </c>
      <c r="B72">
        <f t="shared" si="15"/>
        <v>39948</v>
      </c>
      <c r="C72" t="str">
        <f>IFERROR(INDEX(Starter!B:B,MATCH(B72,Starter!A:A,0)),"")</f>
        <v>Wieczorek Ben</v>
      </c>
      <c r="D72" t="str">
        <f>IFERROR(INDEX(Starter!C:C,MATCH(B72,Starter!A:A,0)),"")</f>
        <v>BF Rot-Weiß Lichtenhof 69</v>
      </c>
      <c r="E72" s="102">
        <f t="shared" si="16"/>
        <v>599</v>
      </c>
      <c r="F72">
        <f t="shared" si="17"/>
        <v>4</v>
      </c>
      <c r="G72" s="137">
        <f t="shared" si="18"/>
        <v>149.74999992900001</v>
      </c>
      <c r="L72" s="227">
        <f>INDEX(Starter!A:A,ROW()-1)</f>
        <v>38907</v>
      </c>
      <c r="M72">
        <f>INDEX(SchnittGes3!M:M,MATCH(L72,SchnittGes3!L:L,0))+INDEX(Schnitt4!M:M,MATCH(L72,Schnitt4!L:L,0))</f>
        <v>0</v>
      </c>
      <c r="N72">
        <f>INDEX(SchnittGes3!N:N,MATCH(L72,SchnittGes3!L:L,0))+INDEX(Schnitt4!N:N,MATCH(L72,Schnitt4!L:L,0))</f>
        <v>0</v>
      </c>
      <c r="O72">
        <f t="shared" si="7"/>
        <v>0</v>
      </c>
      <c r="P72">
        <f t="shared" si="14"/>
        <v>69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16469</v>
      </c>
      <c r="M73">
        <f>INDEX(SchnittGes3!M:M,MATCH(L73,SchnittGes3!L:L,0))+INDEX(Schnitt4!M:M,MATCH(L73,Schnitt4!L:L,0))</f>
        <v>0</v>
      </c>
      <c r="N73">
        <f>INDEX(SchnittGes3!N:N,MATCH(L73,SchnittGes3!L:L,0))+INDEX(Schnitt4!N:N,MATCH(L73,Schnitt4!L:L,0))</f>
        <v>0</v>
      </c>
      <c r="O73">
        <f t="shared" si="7"/>
        <v>0</v>
      </c>
      <c r="P73">
        <f t="shared" si="14"/>
        <v>69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38018</v>
      </c>
      <c r="M74">
        <f>INDEX(SchnittGes3!M:M,MATCH(L74,SchnittGes3!L:L,0))+INDEX(Schnitt4!M:M,MATCH(L74,Schnitt4!L:L,0))</f>
        <v>0</v>
      </c>
      <c r="N74">
        <f>INDEX(SchnittGes3!N:N,MATCH(L74,SchnittGes3!L:L,0))+INDEX(Schnitt4!N:N,MATCH(L74,Schnitt4!L:L,0))</f>
        <v>0</v>
      </c>
      <c r="O74">
        <f t="shared" si="7"/>
        <v>0</v>
      </c>
      <c r="P74">
        <f t="shared" si="14"/>
        <v>69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25465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69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69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69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69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69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69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69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69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69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69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69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69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69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69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69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69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69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69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69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69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69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69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69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69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69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69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69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69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69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69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topLeftCell="A65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31" t="s">
        <v>1837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2"/>
      <c r="R4" s="332"/>
      <c r="S4" s="332"/>
      <c r="T4" s="332"/>
      <c r="U4" s="332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3">
        <f>+Spielzettel5!T2</f>
        <v>5</v>
      </c>
      <c r="F6" s="334"/>
      <c r="P6" s="140" t="s">
        <v>1838</v>
      </c>
      <c r="Q6" s="335" t="str">
        <f>+Spielzettel5!U1</f>
        <v>15.03./16.03.</v>
      </c>
      <c r="R6" s="336">
        <v>0</v>
      </c>
      <c r="S6" s="336">
        <v>0</v>
      </c>
      <c r="T6" s="337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8" t="str">
        <f>+Spielzettel5!F2</f>
        <v>Brunnthal Max Munich</v>
      </c>
      <c r="F8" s="339"/>
      <c r="G8" s="339"/>
      <c r="H8" s="339">
        <v>0</v>
      </c>
      <c r="I8" s="339"/>
      <c r="J8" s="340"/>
      <c r="N8" s="140" t="s">
        <v>1840</v>
      </c>
      <c r="P8" s="338" t="str">
        <f>+Spielzettel5!F1</f>
        <v>Bayernliga Herren</v>
      </c>
      <c r="Q8" s="339"/>
      <c r="R8" s="339"/>
      <c r="S8" s="339"/>
      <c r="T8" s="340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6" t="s">
        <v>1841</v>
      </c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163"/>
    </row>
    <row r="12" spans="2:21" ht="21.75" customHeight="1" x14ac:dyDescent="0.25">
      <c r="B12" s="164"/>
      <c r="C12" s="327" t="s">
        <v>1842</v>
      </c>
      <c r="D12" s="327"/>
      <c r="E12" s="327"/>
      <c r="F12" s="327"/>
      <c r="G12" s="327"/>
      <c r="H12" s="327"/>
      <c r="I12" s="327"/>
      <c r="J12" s="327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9"/>
      <c r="D19" s="320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9"/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1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0.50347222222222221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0"/>
      <c r="G30" s="330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9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5"/>
      <c r="G36" s="325"/>
      <c r="H36" s="32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9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6" t="s">
        <v>1863</v>
      </c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9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9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9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9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9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9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94" t="s">
        <v>2574</v>
      </c>
      <c r="D74" s="395"/>
      <c r="E74" s="395"/>
      <c r="F74" s="395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6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7" t="s">
        <v>2553</v>
      </c>
      <c r="E77" s="318"/>
      <c r="F77" s="318"/>
      <c r="G77" s="318"/>
      <c r="H77" s="318"/>
      <c r="I77" s="318"/>
      <c r="J77" s="318"/>
      <c r="K77" s="318"/>
      <c r="L77" s="318"/>
      <c r="M77" s="318"/>
      <c r="P77" s="318"/>
      <c r="Q77" s="318"/>
      <c r="R77" s="318"/>
      <c r="S77" s="318"/>
      <c r="T77" s="318"/>
      <c r="U77" s="318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7" t="s">
        <v>2575</v>
      </c>
      <c r="E80" s="318"/>
      <c r="F80" s="318"/>
      <c r="G80" s="318"/>
      <c r="H80" s="318"/>
      <c r="I80" s="318"/>
      <c r="J80" s="318"/>
      <c r="K80" s="318"/>
      <c r="L80" s="318"/>
      <c r="M80" s="318"/>
      <c r="P80" s="318"/>
      <c r="Q80" s="318"/>
      <c r="R80" s="318"/>
      <c r="S80" s="318"/>
      <c r="T80" s="318"/>
      <c r="U80" s="318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5" t="str">
        <f>Schlüssel!$C$1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45"/>
      <c r="Q1" s="45"/>
      <c r="R1" s="48"/>
      <c r="S1" s="49" t="s">
        <v>1794</v>
      </c>
      <c r="T1" s="50"/>
      <c r="U1" s="341" t="str">
        <f>Schlüssel!$CO$1</f>
        <v>15.03./16.03.</v>
      </c>
      <c r="V1" s="342"/>
      <c r="W1" s="34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4" t="str">
        <f>Schlüssel!$CE$2</f>
        <v>Brunnthal Max Munich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3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3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3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3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6">
        <f>VLOOKUP(B2,Schlüssel!$A$5:$DZ$14,83)</f>
        <v>2</v>
      </c>
      <c r="E22" s="356"/>
      <c r="F22" s="356">
        <f>VLOOKUP(B2,Schlüssel!$A$5:$DZ$14,84)</f>
        <v>6</v>
      </c>
      <c r="G22" s="356"/>
      <c r="H22" s="356">
        <f>VLOOKUP(B2,Schlüssel!$A$5:$DZ$14,85)</f>
        <v>10</v>
      </c>
      <c r="I22" s="356"/>
      <c r="J22" s="356">
        <f>VLOOKUP(B2,Schlüssel!$A$5:$DZ$14,86)</f>
        <v>9</v>
      </c>
      <c r="K22" s="356"/>
      <c r="L22" s="356">
        <f>VLOOKUP(B2,Schlüssel!$A$5:$DZ$14,87)</f>
        <v>4</v>
      </c>
      <c r="M22" s="356"/>
      <c r="N22" s="356">
        <f>VLOOKUP(B2,Schlüssel!$A$5:$DZ$14,88)</f>
        <v>3</v>
      </c>
      <c r="O22" s="356"/>
      <c r="P22" s="356">
        <f>VLOOKUP(B2,Schlüssel!$A$5:$DZ$14,89)</f>
        <v>5</v>
      </c>
      <c r="Q22" s="356"/>
      <c r="R22" s="356">
        <f>VLOOKUP(B2,Schlüssel!$A$5:$DZ$14,90)</f>
        <v>8</v>
      </c>
      <c r="S22" s="356"/>
      <c r="T22" s="356">
        <f>VLOOKUP(B2,Schlüssel!$A$5:$DZ$14,91)</f>
        <v>7</v>
      </c>
      <c r="U22" s="356"/>
      <c r="V22" s="357"/>
      <c r="W22" s="357"/>
    </row>
    <row r="23" spans="1:29" ht="28.5" customHeight="1" x14ac:dyDescent="0.25">
      <c r="B23" s="90"/>
      <c r="C23" s="86"/>
      <c r="D23" s="358" t="str">
        <f>VLOOKUP(D22,Schlüssel!$A$5:$K$14,2)</f>
        <v>Bajuwaren München 1</v>
      </c>
      <c r="E23" s="359"/>
      <c r="F23" s="358" t="str">
        <f>VLOOKUP(F22,Schlüssel!$A$5:$K$14,2)</f>
        <v>SG Rottendorf 1</v>
      </c>
      <c r="G23" s="359"/>
      <c r="H23" s="358" t="str">
        <f>VLOOKUP(H22,Schlüssel!$A$5:$K$14,2)</f>
        <v>High Roller Rosenheim 1</v>
      </c>
      <c r="I23" s="359"/>
      <c r="J23" s="358" t="str">
        <f>VLOOKUP(J22,Schlüssel!$A$5:$K$14,2)</f>
        <v>Bowlinghaus Bamberg 1</v>
      </c>
      <c r="K23" s="359"/>
      <c r="L23" s="358" t="str">
        <f>VLOOKUP(L22,Schlüssel!$A$5:$K$14,2)</f>
        <v>SG DJK Rimpar</v>
      </c>
      <c r="M23" s="359"/>
      <c r="N23" s="358" t="str">
        <f>VLOOKUP(N22,Schlüssel!$A$5:$K$14,2)</f>
        <v>BK München 3</v>
      </c>
      <c r="O23" s="359"/>
      <c r="P23" s="358" t="str">
        <f>VLOOKUP(P22,Schlüssel!$A$5:$K$14,2)</f>
        <v>RW Lichtenhof Stein 1</v>
      </c>
      <c r="Q23" s="359"/>
      <c r="R23" s="358" t="str">
        <f>VLOOKUP(R22,Schlüssel!$A$5:$K$14,2)</f>
        <v>BC EMAX Unterföhring 2</v>
      </c>
      <c r="S23" s="359"/>
      <c r="T23" s="358" t="str">
        <f>VLOOKUP(T22,Schlüssel!$A$5:$K$14,2)</f>
        <v>Schanzer Ingolstadt 1</v>
      </c>
      <c r="U23" s="359"/>
      <c r="V23" s="363"/>
      <c r="W23" s="363"/>
    </row>
    <row r="24" spans="1:29" ht="12" customHeight="1" x14ac:dyDescent="0.25">
      <c r="B24" s="90"/>
      <c r="C24" s="86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1"/>
      <c r="V24" s="298"/>
      <c r="W24" s="298"/>
    </row>
    <row r="25" spans="1:29" ht="15.9" customHeight="1" x14ac:dyDescent="0.25">
      <c r="B25" s="91" t="s">
        <v>0</v>
      </c>
      <c r="C25" s="9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4"/>
      <c r="W25" s="364"/>
    </row>
    <row r="26" spans="1:29" ht="15.9" customHeight="1" x14ac:dyDescent="0.25">
      <c r="B26" s="91" t="s">
        <v>2</v>
      </c>
      <c r="C26" s="9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4"/>
      <c r="W26" s="364"/>
    </row>
    <row r="27" spans="1:29" ht="15.9" customHeight="1" x14ac:dyDescent="0.25">
      <c r="B27" s="91" t="s">
        <v>3</v>
      </c>
      <c r="C27" s="9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4"/>
      <c r="W27" s="364"/>
    </row>
    <row r="28" spans="1:29" ht="15.9" customHeight="1" x14ac:dyDescent="0.25">
      <c r="B28" s="91" t="s">
        <v>11</v>
      </c>
      <c r="C28" s="9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4"/>
      <c r="W28" s="364"/>
    </row>
    <row r="29" spans="1:29" ht="15.9" customHeight="1" x14ac:dyDescent="0.25">
      <c r="B29" s="93" t="s">
        <v>1799</v>
      </c>
      <c r="C29" s="94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01"/>
      <c r="W29" s="30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5" t="str">
        <f>Schlüssel!$C$1</f>
        <v>Bayernliga Herren</v>
      </c>
      <c r="G30" s="345"/>
      <c r="H30" s="345"/>
      <c r="I30" s="345"/>
      <c r="J30" s="345"/>
      <c r="K30" s="345"/>
      <c r="L30" s="345"/>
      <c r="M30" s="345"/>
      <c r="N30" s="345"/>
      <c r="O30" s="345"/>
      <c r="P30" s="45"/>
      <c r="Q30" s="45"/>
      <c r="R30" s="48"/>
      <c r="S30" s="49" t="s">
        <v>1794</v>
      </c>
      <c r="T30" s="50"/>
      <c r="U30" s="341" t="str">
        <f>Schlüssel!$CO$1</f>
        <v>15.03./16.03.</v>
      </c>
      <c r="V30" s="342"/>
      <c r="W30" s="34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4" t="str">
        <f>Schlüssel!$CE$2</f>
        <v>Brunnthal Max Munich</v>
      </c>
      <c r="G31" s="344"/>
      <c r="H31" s="344"/>
      <c r="I31" s="344"/>
      <c r="J31" s="344"/>
      <c r="K31" s="344"/>
      <c r="L31" s="344"/>
      <c r="M31" s="344"/>
      <c r="N31" s="344"/>
      <c r="O31" s="344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25">
      <c r="B34" s="67" t="s">
        <v>1</v>
      </c>
      <c r="C34" s="68"/>
      <c r="D34" s="346" t="s">
        <v>1800</v>
      </c>
      <c r="E34" s="347"/>
      <c r="F34" s="346" t="s">
        <v>1801</v>
      </c>
      <c r="G34" s="347"/>
      <c r="H34" s="346" t="s">
        <v>1802</v>
      </c>
      <c r="I34" s="347"/>
      <c r="J34" s="346" t="s">
        <v>1803</v>
      </c>
      <c r="K34" s="347"/>
      <c r="L34" s="346" t="s">
        <v>1804</v>
      </c>
      <c r="M34" s="347"/>
      <c r="N34" s="346" t="s">
        <v>1805</v>
      </c>
      <c r="O34" s="347"/>
      <c r="P34" s="346" t="s">
        <v>1806</v>
      </c>
      <c r="Q34" s="347"/>
      <c r="R34" s="346" t="s">
        <v>1807</v>
      </c>
      <c r="S34" s="347"/>
      <c r="T34" s="346" t="s">
        <v>1808</v>
      </c>
      <c r="U34" s="347"/>
      <c r="V34" s="354" t="s">
        <v>1799</v>
      </c>
      <c r="W34" s="355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3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3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3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3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6">
        <f>VLOOKUP(B31,Schlüssel!$A$5:$DZ$14,83)</f>
        <v>1</v>
      </c>
      <c r="E51" s="356"/>
      <c r="F51" s="356">
        <f>VLOOKUP(B31,Schlüssel!$A$5:$DZ$14,84)</f>
        <v>9</v>
      </c>
      <c r="G51" s="356"/>
      <c r="H51" s="356">
        <f>VLOOKUP(B31,Schlüssel!$A$5:$DZ$14,85)</f>
        <v>3</v>
      </c>
      <c r="I51" s="356"/>
      <c r="J51" s="356">
        <f>VLOOKUP(B31,Schlüssel!$A$5:$DZ$14,86)</f>
        <v>10</v>
      </c>
      <c r="K51" s="356"/>
      <c r="L51" s="356">
        <f>VLOOKUP(B31,Schlüssel!$A$5:$DZ$14,87)</f>
        <v>6</v>
      </c>
      <c r="M51" s="356"/>
      <c r="N51" s="356">
        <f>VLOOKUP(B31,Schlüssel!$A$5:$DZ$14,88)</f>
        <v>7</v>
      </c>
      <c r="O51" s="356"/>
      <c r="P51" s="356">
        <f>VLOOKUP(B31,Schlüssel!$A$5:$DZ$14,89)</f>
        <v>8</v>
      </c>
      <c r="Q51" s="356"/>
      <c r="R51" s="356">
        <f>VLOOKUP(B31,Schlüssel!$A$5:$DZ$14,90)</f>
        <v>4</v>
      </c>
      <c r="S51" s="356"/>
      <c r="T51" s="356">
        <f>VLOOKUP(B31,Schlüssel!$A$5:$DZ$14,91)</f>
        <v>5</v>
      </c>
      <c r="U51" s="356"/>
      <c r="V51" s="357"/>
      <c r="W51" s="357"/>
    </row>
    <row r="52" spans="1:29" ht="28.5" customHeight="1" x14ac:dyDescent="0.25">
      <c r="B52" s="90"/>
      <c r="C52" s="86"/>
      <c r="D52" s="358" t="str">
        <f>VLOOKUP(D51,Schlüssel!$A$5:$K$14,2)</f>
        <v>BC Comet Nürnberg</v>
      </c>
      <c r="E52" s="359"/>
      <c r="F52" s="358" t="str">
        <f>VLOOKUP(F51,Schlüssel!$A$5:$K$14,2)</f>
        <v>Bowlinghaus Bamberg 1</v>
      </c>
      <c r="G52" s="359"/>
      <c r="H52" s="358" t="str">
        <f>VLOOKUP(H51,Schlüssel!$A$5:$K$14,2)</f>
        <v>BK München 3</v>
      </c>
      <c r="I52" s="359"/>
      <c r="J52" s="358" t="str">
        <f>VLOOKUP(J51,Schlüssel!$A$5:$K$14,2)</f>
        <v>High Roller Rosenheim 1</v>
      </c>
      <c r="K52" s="359"/>
      <c r="L52" s="358" t="str">
        <f>VLOOKUP(L51,Schlüssel!$A$5:$K$14,2)</f>
        <v>SG Rottendorf 1</v>
      </c>
      <c r="M52" s="359"/>
      <c r="N52" s="358" t="str">
        <f>VLOOKUP(N51,Schlüssel!$A$5:$K$14,2)</f>
        <v>Schanzer Ingolstadt 1</v>
      </c>
      <c r="O52" s="359"/>
      <c r="P52" s="358" t="str">
        <f>VLOOKUP(P51,Schlüssel!$A$5:$K$14,2)</f>
        <v>BC EMAX Unterföhring 2</v>
      </c>
      <c r="Q52" s="359"/>
      <c r="R52" s="358" t="str">
        <f>VLOOKUP(R51,Schlüssel!$A$5:$K$14,2)</f>
        <v>SG DJK Rimpar</v>
      </c>
      <c r="S52" s="359"/>
      <c r="T52" s="358" t="str">
        <f>VLOOKUP(T51,Schlüssel!$A$5:$K$14,2)</f>
        <v>RW Lichtenhof Stein 1</v>
      </c>
      <c r="U52" s="359"/>
      <c r="V52" s="363"/>
      <c r="W52" s="363"/>
    </row>
    <row r="53" spans="1:29" ht="12" customHeight="1" x14ac:dyDescent="0.25">
      <c r="B53" s="90"/>
      <c r="C53" s="86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1"/>
      <c r="V53" s="298"/>
      <c r="W53" s="298"/>
    </row>
    <row r="54" spans="1:29" ht="15.9" customHeight="1" x14ac:dyDescent="0.25">
      <c r="B54" s="91" t="s">
        <v>0</v>
      </c>
      <c r="C54" s="9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4"/>
      <c r="W54" s="364"/>
    </row>
    <row r="55" spans="1:29" ht="15.9" customHeight="1" x14ac:dyDescent="0.25">
      <c r="B55" s="91" t="s">
        <v>2</v>
      </c>
      <c r="C55" s="9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4"/>
      <c r="W55" s="364"/>
    </row>
    <row r="56" spans="1:29" ht="15.9" customHeight="1" x14ac:dyDescent="0.25">
      <c r="B56" s="91" t="s">
        <v>3</v>
      </c>
      <c r="C56" s="9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4"/>
      <c r="W56" s="364"/>
    </row>
    <row r="57" spans="1:29" ht="15.9" customHeight="1" x14ac:dyDescent="0.25">
      <c r="B57" s="91" t="s">
        <v>11</v>
      </c>
      <c r="C57" s="9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4"/>
      <c r="W57" s="364"/>
    </row>
    <row r="58" spans="1:29" ht="15.9" customHeight="1" x14ac:dyDescent="0.25">
      <c r="B58" s="93" t="s">
        <v>1799</v>
      </c>
      <c r="C58" s="94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01"/>
      <c r="W58" s="30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5" t="str">
        <f>Schlüssel!$C$1</f>
        <v>Bayernliga Herren</v>
      </c>
      <c r="G59" s="345"/>
      <c r="H59" s="345"/>
      <c r="I59" s="345"/>
      <c r="J59" s="345"/>
      <c r="K59" s="345"/>
      <c r="L59" s="345"/>
      <c r="M59" s="345"/>
      <c r="N59" s="345"/>
      <c r="O59" s="345"/>
      <c r="P59" s="45"/>
      <c r="Q59" s="45"/>
      <c r="R59" s="48"/>
      <c r="S59" s="49" t="s">
        <v>1794</v>
      </c>
      <c r="T59" s="50"/>
      <c r="U59" s="341" t="str">
        <f>Schlüssel!$CO$1</f>
        <v>15.03./16.03.</v>
      </c>
      <c r="V59" s="342"/>
      <c r="W59" s="34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4" t="str">
        <f>Schlüssel!$CE$2</f>
        <v>Brunnthal Max Munich</v>
      </c>
      <c r="G60" s="344"/>
      <c r="H60" s="344"/>
      <c r="I60" s="344"/>
      <c r="J60" s="344"/>
      <c r="K60" s="344"/>
      <c r="L60" s="344"/>
      <c r="M60" s="344"/>
      <c r="N60" s="344"/>
      <c r="O60" s="344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25">
      <c r="B63" s="67" t="s">
        <v>1</v>
      </c>
      <c r="C63" s="68"/>
      <c r="D63" s="346" t="s">
        <v>1800</v>
      </c>
      <c r="E63" s="347"/>
      <c r="F63" s="346" t="s">
        <v>1801</v>
      </c>
      <c r="G63" s="347"/>
      <c r="H63" s="346" t="s">
        <v>1802</v>
      </c>
      <c r="I63" s="347"/>
      <c r="J63" s="346" t="s">
        <v>1803</v>
      </c>
      <c r="K63" s="347"/>
      <c r="L63" s="346" t="s">
        <v>1804</v>
      </c>
      <c r="M63" s="347"/>
      <c r="N63" s="346" t="s">
        <v>1805</v>
      </c>
      <c r="O63" s="347"/>
      <c r="P63" s="346" t="s">
        <v>1806</v>
      </c>
      <c r="Q63" s="347"/>
      <c r="R63" s="346" t="s">
        <v>1807</v>
      </c>
      <c r="S63" s="347"/>
      <c r="T63" s="346" t="s">
        <v>1808</v>
      </c>
      <c r="U63" s="347"/>
      <c r="V63" s="354" t="s">
        <v>1799</v>
      </c>
      <c r="W63" s="355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3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3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3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3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6">
        <f>VLOOKUP(B60,Schlüssel!$A$5:$DZ$14,83)</f>
        <v>4</v>
      </c>
      <c r="E80" s="356"/>
      <c r="F80" s="356">
        <f>VLOOKUP(B60,Schlüssel!$A$5:$DZ$14,84)</f>
        <v>7</v>
      </c>
      <c r="G80" s="356"/>
      <c r="H80" s="356">
        <f>VLOOKUP(B60,Schlüssel!$A$5:$DZ$14,85)</f>
        <v>2</v>
      </c>
      <c r="I80" s="356"/>
      <c r="J80" s="356">
        <f>VLOOKUP(B60,Schlüssel!$A$5:$DZ$14,86)</f>
        <v>5</v>
      </c>
      <c r="K80" s="356"/>
      <c r="L80" s="356">
        <f>VLOOKUP(B60,Schlüssel!$A$5:$DZ$14,87)</f>
        <v>8</v>
      </c>
      <c r="M80" s="356"/>
      <c r="N80" s="356">
        <f>VLOOKUP(B60,Schlüssel!$A$5:$DZ$14,88)</f>
        <v>1</v>
      </c>
      <c r="O80" s="356"/>
      <c r="P80" s="356">
        <f>VLOOKUP(B60,Schlüssel!$A$5:$DZ$14,89)</f>
        <v>10</v>
      </c>
      <c r="Q80" s="356"/>
      <c r="R80" s="356">
        <f>VLOOKUP(B60,Schlüssel!$A$5:$DZ$14,90)</f>
        <v>9</v>
      </c>
      <c r="S80" s="356"/>
      <c r="T80" s="356">
        <f>VLOOKUP(B60,Schlüssel!$A$5:$DZ$14,91)</f>
        <v>6</v>
      </c>
      <c r="U80" s="356"/>
      <c r="V80" s="357"/>
      <c r="W80" s="357"/>
    </row>
    <row r="81" spans="1:29" ht="28.5" customHeight="1" x14ac:dyDescent="0.25">
      <c r="B81" s="90"/>
      <c r="C81" s="86"/>
      <c r="D81" s="358" t="str">
        <f>VLOOKUP(D80,Schlüssel!$A$5:$K$14,2)</f>
        <v>SG DJK Rimpar</v>
      </c>
      <c r="E81" s="359"/>
      <c r="F81" s="358" t="str">
        <f>VLOOKUP(F80,Schlüssel!$A$5:$K$14,2)</f>
        <v>Schanzer Ingolstadt 1</v>
      </c>
      <c r="G81" s="359"/>
      <c r="H81" s="358" t="str">
        <f>VLOOKUP(H80,Schlüssel!$A$5:$K$14,2)</f>
        <v>Bajuwaren München 1</v>
      </c>
      <c r="I81" s="359"/>
      <c r="J81" s="358" t="str">
        <f>VLOOKUP(J80,Schlüssel!$A$5:$K$14,2)</f>
        <v>RW Lichtenhof Stein 1</v>
      </c>
      <c r="K81" s="359"/>
      <c r="L81" s="358" t="str">
        <f>VLOOKUP(L80,Schlüssel!$A$5:$K$14,2)</f>
        <v>BC EMAX Unterföhring 2</v>
      </c>
      <c r="M81" s="359"/>
      <c r="N81" s="358" t="str">
        <f>VLOOKUP(N80,Schlüssel!$A$5:$K$14,2)</f>
        <v>BC Comet Nürnberg</v>
      </c>
      <c r="O81" s="359"/>
      <c r="P81" s="358" t="str">
        <f>VLOOKUP(P80,Schlüssel!$A$5:$K$14,2)</f>
        <v>High Roller Rosenheim 1</v>
      </c>
      <c r="Q81" s="359"/>
      <c r="R81" s="358" t="str">
        <f>VLOOKUP(R80,Schlüssel!$A$5:$K$14,2)</f>
        <v>Bowlinghaus Bamberg 1</v>
      </c>
      <c r="S81" s="359"/>
      <c r="T81" s="358" t="str">
        <f>VLOOKUP(T80,Schlüssel!$A$5:$K$14,2)</f>
        <v>SG Rottendorf 1</v>
      </c>
      <c r="U81" s="359"/>
      <c r="V81" s="363"/>
      <c r="W81" s="363"/>
    </row>
    <row r="82" spans="1:29" ht="12" customHeight="1" x14ac:dyDescent="0.25">
      <c r="B82" s="90"/>
      <c r="C82" s="86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1"/>
      <c r="V82" s="298"/>
      <c r="W82" s="298"/>
    </row>
    <row r="83" spans="1:29" ht="15.9" customHeight="1" x14ac:dyDescent="0.25">
      <c r="B83" s="91" t="s">
        <v>0</v>
      </c>
      <c r="C83" s="9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4"/>
      <c r="W83" s="364"/>
    </row>
    <row r="84" spans="1:29" ht="15.9" customHeight="1" x14ac:dyDescent="0.25">
      <c r="B84" s="91" t="s">
        <v>2</v>
      </c>
      <c r="C84" s="9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4"/>
      <c r="W84" s="364"/>
    </row>
    <row r="85" spans="1:29" ht="15.9" customHeight="1" x14ac:dyDescent="0.25">
      <c r="B85" s="91" t="s">
        <v>3</v>
      </c>
      <c r="C85" s="9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4"/>
      <c r="W85" s="364"/>
    </row>
    <row r="86" spans="1:29" ht="15.9" customHeight="1" x14ac:dyDescent="0.25">
      <c r="B86" s="91" t="s">
        <v>11</v>
      </c>
      <c r="C86" s="9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4"/>
      <c r="W86" s="364"/>
    </row>
    <row r="87" spans="1:29" ht="15.9" customHeight="1" x14ac:dyDescent="0.25">
      <c r="B87" s="93" t="s">
        <v>1799</v>
      </c>
      <c r="C87" s="94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01"/>
      <c r="W87" s="30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5" t="str">
        <f>Schlüssel!$C$1</f>
        <v>Bayernliga Herren</v>
      </c>
      <c r="G88" s="345"/>
      <c r="H88" s="345"/>
      <c r="I88" s="345"/>
      <c r="J88" s="345"/>
      <c r="K88" s="345"/>
      <c r="L88" s="345"/>
      <c r="M88" s="345"/>
      <c r="N88" s="345"/>
      <c r="O88" s="345"/>
      <c r="P88" s="45"/>
      <c r="Q88" s="45"/>
      <c r="R88" s="48"/>
      <c r="S88" s="49" t="s">
        <v>1794</v>
      </c>
      <c r="T88" s="50"/>
      <c r="U88" s="341" t="str">
        <f>Schlüssel!$CO$1</f>
        <v>15.03./16.03.</v>
      </c>
      <c r="V88" s="342"/>
      <c r="W88" s="34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4" t="str">
        <f>Schlüssel!$CE$2</f>
        <v>Brunnthal Max Munich</v>
      </c>
      <c r="G89" s="344"/>
      <c r="H89" s="344"/>
      <c r="I89" s="344"/>
      <c r="J89" s="344"/>
      <c r="K89" s="344"/>
      <c r="L89" s="344"/>
      <c r="M89" s="344"/>
      <c r="N89" s="344"/>
      <c r="O89" s="344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25">
      <c r="B92" s="67" t="s">
        <v>1</v>
      </c>
      <c r="C92" s="68"/>
      <c r="D92" s="346" t="s">
        <v>1800</v>
      </c>
      <c r="E92" s="347"/>
      <c r="F92" s="346" t="s">
        <v>1801</v>
      </c>
      <c r="G92" s="347"/>
      <c r="H92" s="346" t="s">
        <v>1802</v>
      </c>
      <c r="I92" s="347"/>
      <c r="J92" s="346" t="s">
        <v>1803</v>
      </c>
      <c r="K92" s="347"/>
      <c r="L92" s="346" t="s">
        <v>1804</v>
      </c>
      <c r="M92" s="347"/>
      <c r="N92" s="346" t="s">
        <v>1805</v>
      </c>
      <c r="O92" s="347"/>
      <c r="P92" s="346" t="s">
        <v>1806</v>
      </c>
      <c r="Q92" s="347"/>
      <c r="R92" s="346" t="s">
        <v>1807</v>
      </c>
      <c r="S92" s="347"/>
      <c r="T92" s="346" t="s">
        <v>1808</v>
      </c>
      <c r="U92" s="347"/>
      <c r="V92" s="354" t="s">
        <v>1799</v>
      </c>
      <c r="W92" s="355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3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3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3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3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6">
        <f>VLOOKUP(B89,Schlüssel!$A$5:$DZ$14,83)</f>
        <v>3</v>
      </c>
      <c r="E109" s="356"/>
      <c r="F109" s="356">
        <f>VLOOKUP(B89,Schlüssel!$A$5:$DZ$14,84)</f>
        <v>8</v>
      </c>
      <c r="G109" s="356"/>
      <c r="H109" s="356">
        <f>VLOOKUP(B89,Schlüssel!$A$5:$DZ$14,85)</f>
        <v>5</v>
      </c>
      <c r="I109" s="356"/>
      <c r="J109" s="356">
        <f>VLOOKUP(B89,Schlüssel!$A$5:$DZ$14,86)</f>
        <v>7</v>
      </c>
      <c r="K109" s="356"/>
      <c r="L109" s="356">
        <f>VLOOKUP(B89,Schlüssel!$A$5:$DZ$14,87)</f>
        <v>1</v>
      </c>
      <c r="M109" s="356"/>
      <c r="N109" s="356">
        <f>VLOOKUP(B89,Schlüssel!$A$5:$DZ$14,88)</f>
        <v>10</v>
      </c>
      <c r="O109" s="356"/>
      <c r="P109" s="356">
        <f>VLOOKUP(B89,Schlüssel!$A$5:$DZ$14,89)</f>
        <v>6</v>
      </c>
      <c r="Q109" s="356"/>
      <c r="R109" s="356">
        <f>VLOOKUP(B89,Schlüssel!$A$5:$DZ$14,90)</f>
        <v>2</v>
      </c>
      <c r="S109" s="356"/>
      <c r="T109" s="356">
        <f>VLOOKUP(B89,Schlüssel!$A$5:$DZ$14,91)</f>
        <v>9</v>
      </c>
      <c r="U109" s="356"/>
      <c r="V109" s="357"/>
      <c r="W109" s="357"/>
    </row>
    <row r="110" spans="1:23" ht="28.5" customHeight="1" x14ac:dyDescent="0.25">
      <c r="B110" s="90"/>
      <c r="C110" s="86"/>
      <c r="D110" s="358" t="str">
        <f>VLOOKUP(D109,Schlüssel!$A$5:$K$14,2)</f>
        <v>BK München 3</v>
      </c>
      <c r="E110" s="359"/>
      <c r="F110" s="358" t="str">
        <f>VLOOKUP(F109,Schlüssel!$A$5:$K$14,2)</f>
        <v>BC EMAX Unterföhring 2</v>
      </c>
      <c r="G110" s="359"/>
      <c r="H110" s="358" t="str">
        <f>VLOOKUP(H109,Schlüssel!$A$5:$K$14,2)</f>
        <v>RW Lichtenhof Stein 1</v>
      </c>
      <c r="I110" s="359"/>
      <c r="J110" s="358" t="str">
        <f>VLOOKUP(J109,Schlüssel!$A$5:$K$14,2)</f>
        <v>Schanzer Ingolstadt 1</v>
      </c>
      <c r="K110" s="359"/>
      <c r="L110" s="358" t="str">
        <f>VLOOKUP(L109,Schlüssel!$A$5:$K$14,2)</f>
        <v>BC Comet Nürnberg</v>
      </c>
      <c r="M110" s="359"/>
      <c r="N110" s="358" t="str">
        <f>VLOOKUP(N109,Schlüssel!$A$5:$K$14,2)</f>
        <v>High Roller Rosenheim 1</v>
      </c>
      <c r="O110" s="359"/>
      <c r="P110" s="358" t="str">
        <f>VLOOKUP(P109,Schlüssel!$A$5:$K$14,2)</f>
        <v>SG Rottendorf 1</v>
      </c>
      <c r="Q110" s="359"/>
      <c r="R110" s="358" t="str">
        <f>VLOOKUP(R109,Schlüssel!$A$5:$K$14,2)</f>
        <v>Bajuwaren München 1</v>
      </c>
      <c r="S110" s="359"/>
      <c r="T110" s="358" t="str">
        <f>VLOOKUP(T109,Schlüssel!$A$5:$K$14,2)</f>
        <v>Bowlinghaus Bamberg 1</v>
      </c>
      <c r="U110" s="359"/>
      <c r="V110" s="363"/>
      <c r="W110" s="363"/>
    </row>
    <row r="111" spans="1:23" ht="12" customHeight="1" x14ac:dyDescent="0.25">
      <c r="B111" s="90"/>
      <c r="C111" s="86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1"/>
      <c r="V111" s="298"/>
      <c r="W111" s="298"/>
    </row>
    <row r="112" spans="1:23" ht="15.9" customHeight="1" x14ac:dyDescent="0.25">
      <c r="B112" s="91" t="s">
        <v>0</v>
      </c>
      <c r="C112" s="92"/>
      <c r="D112" s="362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2"/>
      <c r="S112" s="362"/>
      <c r="T112" s="362"/>
      <c r="U112" s="362"/>
      <c r="V112" s="364"/>
      <c r="W112" s="364"/>
    </row>
    <row r="113" spans="1:29" ht="15.9" customHeight="1" x14ac:dyDescent="0.25">
      <c r="B113" s="91" t="s">
        <v>2</v>
      </c>
      <c r="C113" s="92"/>
      <c r="D113" s="362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4"/>
      <c r="W113" s="364"/>
    </row>
    <row r="114" spans="1:29" ht="15.9" customHeight="1" x14ac:dyDescent="0.25">
      <c r="B114" s="91" t="s">
        <v>3</v>
      </c>
      <c r="C114" s="92"/>
      <c r="D114" s="362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4"/>
      <c r="W114" s="364"/>
    </row>
    <row r="115" spans="1:29" ht="15.9" customHeight="1" x14ac:dyDescent="0.25">
      <c r="B115" s="91" t="s">
        <v>11</v>
      </c>
      <c r="C115" s="92"/>
      <c r="D115" s="362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4"/>
      <c r="W115" s="364"/>
    </row>
    <row r="116" spans="1:29" ht="15.9" customHeight="1" x14ac:dyDescent="0.25">
      <c r="B116" s="93" t="s">
        <v>1799</v>
      </c>
      <c r="C116" s="94"/>
      <c r="D116" s="365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01"/>
      <c r="W116" s="30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5" t="str">
        <f>Schlüssel!$C$1</f>
        <v>Bayernliga Herren</v>
      </c>
      <c r="G117" s="345"/>
      <c r="H117" s="345"/>
      <c r="I117" s="345"/>
      <c r="J117" s="345"/>
      <c r="K117" s="345"/>
      <c r="L117" s="345"/>
      <c r="M117" s="345"/>
      <c r="N117" s="345"/>
      <c r="O117" s="345"/>
      <c r="P117" s="45"/>
      <c r="Q117" s="45"/>
      <c r="R117" s="48"/>
      <c r="S117" s="49" t="s">
        <v>1794</v>
      </c>
      <c r="T117" s="50"/>
      <c r="U117" s="341" t="str">
        <f>Schlüssel!$CO$1</f>
        <v>15.03./16.03.</v>
      </c>
      <c r="V117" s="342"/>
      <c r="W117" s="34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4" t="str">
        <f>Schlüssel!$CE$2</f>
        <v>Brunnthal Max Munich</v>
      </c>
      <c r="G118" s="344"/>
      <c r="H118" s="344"/>
      <c r="I118" s="344"/>
      <c r="J118" s="344"/>
      <c r="K118" s="344"/>
      <c r="L118" s="344"/>
      <c r="M118" s="344"/>
      <c r="N118" s="344"/>
      <c r="O118" s="344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25">
      <c r="B121" s="67" t="s">
        <v>1</v>
      </c>
      <c r="C121" s="68"/>
      <c r="D121" s="346" t="s">
        <v>1800</v>
      </c>
      <c r="E121" s="347"/>
      <c r="F121" s="346" t="s">
        <v>1801</v>
      </c>
      <c r="G121" s="347"/>
      <c r="H121" s="346" t="s">
        <v>1802</v>
      </c>
      <c r="I121" s="347"/>
      <c r="J121" s="346" t="s">
        <v>1803</v>
      </c>
      <c r="K121" s="347"/>
      <c r="L121" s="346" t="s">
        <v>1804</v>
      </c>
      <c r="M121" s="347"/>
      <c r="N121" s="346" t="s">
        <v>1805</v>
      </c>
      <c r="O121" s="347"/>
      <c r="P121" s="346" t="s">
        <v>1806</v>
      </c>
      <c r="Q121" s="347"/>
      <c r="R121" s="346" t="s">
        <v>1807</v>
      </c>
      <c r="S121" s="347"/>
      <c r="T121" s="346" t="s">
        <v>1808</v>
      </c>
      <c r="U121" s="347"/>
      <c r="V121" s="354" t="s">
        <v>1799</v>
      </c>
      <c r="W121" s="355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3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3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3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3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6">
        <f>VLOOKUP(B118,Schlüssel!$A$5:$DZ$14,83)</f>
        <v>6</v>
      </c>
      <c r="E138" s="356"/>
      <c r="F138" s="356">
        <f>VLOOKUP(B118,Schlüssel!$A$5:$DZ$14,84)</f>
        <v>10</v>
      </c>
      <c r="G138" s="356"/>
      <c r="H138" s="356">
        <f>VLOOKUP(B118,Schlüssel!$A$5:$DZ$14,85)</f>
        <v>4</v>
      </c>
      <c r="I138" s="356"/>
      <c r="J138" s="356">
        <f>VLOOKUP(B118,Schlüssel!$A$5:$DZ$14,86)</f>
        <v>3</v>
      </c>
      <c r="K138" s="356"/>
      <c r="L138" s="356">
        <f>VLOOKUP(B118,Schlüssel!$A$5:$DZ$14,87)</f>
        <v>9</v>
      </c>
      <c r="M138" s="356"/>
      <c r="N138" s="356">
        <f>VLOOKUP(B118,Schlüssel!$A$5:$DZ$14,88)</f>
        <v>8</v>
      </c>
      <c r="O138" s="356"/>
      <c r="P138" s="356">
        <f>VLOOKUP(B118,Schlüssel!$A$5:$DZ$14,89)</f>
        <v>1</v>
      </c>
      <c r="Q138" s="356"/>
      <c r="R138" s="356">
        <f>VLOOKUP(B118,Schlüssel!$A$5:$DZ$14,90)</f>
        <v>7</v>
      </c>
      <c r="S138" s="356"/>
      <c r="T138" s="356">
        <f>VLOOKUP(B118,Schlüssel!$A$5:$DZ$14,91)</f>
        <v>2</v>
      </c>
      <c r="U138" s="356"/>
      <c r="V138" s="357"/>
      <c r="W138" s="357"/>
    </row>
    <row r="139" spans="1:23" ht="28.5" customHeight="1" x14ac:dyDescent="0.25">
      <c r="B139" s="90"/>
      <c r="C139" s="86"/>
      <c r="D139" s="358" t="str">
        <f>VLOOKUP(D138,Schlüssel!$A$5:$K$14,2)</f>
        <v>SG Rottendorf 1</v>
      </c>
      <c r="E139" s="359"/>
      <c r="F139" s="358" t="str">
        <f>VLOOKUP(F138,Schlüssel!$A$5:$K$14,2)</f>
        <v>High Roller Rosenheim 1</v>
      </c>
      <c r="G139" s="359"/>
      <c r="H139" s="358" t="str">
        <f>VLOOKUP(H138,Schlüssel!$A$5:$K$14,2)</f>
        <v>SG DJK Rimpar</v>
      </c>
      <c r="I139" s="359"/>
      <c r="J139" s="358" t="str">
        <f>VLOOKUP(J138,Schlüssel!$A$5:$K$14,2)</f>
        <v>BK München 3</v>
      </c>
      <c r="K139" s="359"/>
      <c r="L139" s="358" t="str">
        <f>VLOOKUP(L138,Schlüssel!$A$5:$K$14,2)</f>
        <v>Bowlinghaus Bamberg 1</v>
      </c>
      <c r="M139" s="359"/>
      <c r="N139" s="358" t="str">
        <f>VLOOKUP(N138,Schlüssel!$A$5:$K$14,2)</f>
        <v>BC EMAX Unterföhring 2</v>
      </c>
      <c r="O139" s="359"/>
      <c r="P139" s="358" t="str">
        <f>VLOOKUP(P138,Schlüssel!$A$5:$K$14,2)</f>
        <v>BC Comet Nürnberg</v>
      </c>
      <c r="Q139" s="359"/>
      <c r="R139" s="358" t="str">
        <f>VLOOKUP(R138,Schlüssel!$A$5:$K$14,2)</f>
        <v>Schanzer Ingolstadt 1</v>
      </c>
      <c r="S139" s="359"/>
      <c r="T139" s="358" t="str">
        <f>VLOOKUP(T138,Schlüssel!$A$5:$K$14,2)</f>
        <v>Bajuwaren München 1</v>
      </c>
      <c r="U139" s="359"/>
      <c r="V139" s="363"/>
      <c r="W139" s="363"/>
    </row>
    <row r="140" spans="1:23" ht="12" customHeight="1" x14ac:dyDescent="0.25">
      <c r="B140" s="90"/>
      <c r="C140" s="86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  <c r="O140" s="360"/>
      <c r="P140" s="360"/>
      <c r="Q140" s="360"/>
      <c r="R140" s="360"/>
      <c r="S140" s="360"/>
      <c r="T140" s="360"/>
      <c r="U140" s="361"/>
      <c r="V140" s="298"/>
      <c r="W140" s="298"/>
    </row>
    <row r="141" spans="1:23" ht="15.9" customHeight="1" x14ac:dyDescent="0.25">
      <c r="B141" s="91" t="s">
        <v>0</v>
      </c>
      <c r="C141" s="92"/>
      <c r="D141" s="362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4"/>
      <c r="W141" s="364"/>
    </row>
    <row r="142" spans="1:23" ht="15.9" customHeight="1" x14ac:dyDescent="0.25">
      <c r="B142" s="91" t="s">
        <v>2</v>
      </c>
      <c r="C142" s="92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4"/>
      <c r="W142" s="364"/>
    </row>
    <row r="143" spans="1:23" ht="15.9" customHeight="1" x14ac:dyDescent="0.25">
      <c r="B143" s="91" t="s">
        <v>3</v>
      </c>
      <c r="C143" s="92"/>
      <c r="D143" s="362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4"/>
      <c r="W143" s="364"/>
    </row>
    <row r="144" spans="1:23" ht="15.9" customHeight="1" x14ac:dyDescent="0.25">
      <c r="B144" s="91" t="s">
        <v>11</v>
      </c>
      <c r="C144" s="9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4"/>
      <c r="W144" s="364"/>
    </row>
    <row r="145" spans="1:29" ht="15.9" customHeight="1" x14ac:dyDescent="0.25">
      <c r="B145" s="93" t="s">
        <v>1799</v>
      </c>
      <c r="C145" s="94"/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01"/>
      <c r="W145" s="30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5" t="str">
        <f>Schlüssel!$C$1</f>
        <v>Bayernliga Herren</v>
      </c>
      <c r="G146" s="345"/>
      <c r="H146" s="345"/>
      <c r="I146" s="345"/>
      <c r="J146" s="345"/>
      <c r="K146" s="345"/>
      <c r="L146" s="345"/>
      <c r="M146" s="345"/>
      <c r="N146" s="345"/>
      <c r="O146" s="345"/>
      <c r="P146" s="45"/>
      <c r="Q146" s="45"/>
      <c r="R146" s="48"/>
      <c r="S146" s="49" t="s">
        <v>1794</v>
      </c>
      <c r="T146" s="50"/>
      <c r="U146" s="341" t="str">
        <f>Schlüssel!$CO$1</f>
        <v>15.03./16.03.</v>
      </c>
      <c r="V146" s="342"/>
      <c r="W146" s="34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4" t="str">
        <f>Schlüssel!$CE$2</f>
        <v>Brunnthal Max Munich</v>
      </c>
      <c r="G147" s="344"/>
      <c r="H147" s="344"/>
      <c r="I147" s="344"/>
      <c r="J147" s="344"/>
      <c r="K147" s="344"/>
      <c r="L147" s="344"/>
      <c r="M147" s="344"/>
      <c r="N147" s="344"/>
      <c r="O147" s="344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25">
      <c r="B150" s="67" t="s">
        <v>1</v>
      </c>
      <c r="C150" s="68"/>
      <c r="D150" s="346" t="s">
        <v>1800</v>
      </c>
      <c r="E150" s="347"/>
      <c r="F150" s="346" t="s">
        <v>1801</v>
      </c>
      <c r="G150" s="347"/>
      <c r="H150" s="346" t="s">
        <v>1802</v>
      </c>
      <c r="I150" s="347"/>
      <c r="J150" s="346" t="s">
        <v>1803</v>
      </c>
      <c r="K150" s="347"/>
      <c r="L150" s="346" t="s">
        <v>1804</v>
      </c>
      <c r="M150" s="347"/>
      <c r="N150" s="346" t="s">
        <v>1805</v>
      </c>
      <c r="O150" s="347"/>
      <c r="P150" s="346" t="s">
        <v>1806</v>
      </c>
      <c r="Q150" s="347"/>
      <c r="R150" s="346" t="s">
        <v>1807</v>
      </c>
      <c r="S150" s="347"/>
      <c r="T150" s="346" t="s">
        <v>1808</v>
      </c>
      <c r="U150" s="347"/>
      <c r="V150" s="354" t="s">
        <v>1799</v>
      </c>
      <c r="W150" s="355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3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3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3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3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6">
        <f>VLOOKUP(B147,Schlüssel!$A$5:$DZ$14,83)</f>
        <v>5</v>
      </c>
      <c r="E167" s="356"/>
      <c r="F167" s="356">
        <f>VLOOKUP(B147,Schlüssel!$A$5:$DZ$14,84)</f>
        <v>1</v>
      </c>
      <c r="G167" s="356"/>
      <c r="H167" s="356">
        <f>VLOOKUP(B147,Schlüssel!$A$5:$DZ$14,85)</f>
        <v>7</v>
      </c>
      <c r="I167" s="356"/>
      <c r="J167" s="356">
        <f>VLOOKUP(B147,Schlüssel!$A$5:$DZ$14,86)</f>
        <v>8</v>
      </c>
      <c r="K167" s="356"/>
      <c r="L167" s="356">
        <f>VLOOKUP(B147,Schlüssel!$A$5:$DZ$14,87)</f>
        <v>2</v>
      </c>
      <c r="M167" s="356"/>
      <c r="N167" s="356">
        <f>VLOOKUP(B147,Schlüssel!$A$5:$DZ$14,88)</f>
        <v>9</v>
      </c>
      <c r="O167" s="356"/>
      <c r="P167" s="356">
        <f>VLOOKUP(B147,Schlüssel!$A$5:$DZ$14,89)</f>
        <v>4</v>
      </c>
      <c r="Q167" s="356"/>
      <c r="R167" s="356">
        <f>VLOOKUP(B147,Schlüssel!$A$5:$DZ$14,90)</f>
        <v>10</v>
      </c>
      <c r="S167" s="356"/>
      <c r="T167" s="356">
        <f>VLOOKUP(B147,Schlüssel!$A$5:$DZ$14,91)</f>
        <v>3</v>
      </c>
      <c r="U167" s="356"/>
      <c r="V167" s="357"/>
      <c r="W167" s="357"/>
    </row>
    <row r="168" spans="1:29" ht="28.5" customHeight="1" x14ac:dyDescent="0.25">
      <c r="B168" s="90"/>
      <c r="C168" s="86"/>
      <c r="D168" s="358" t="str">
        <f>VLOOKUP(D167,Schlüssel!$A$5:$K$14,2)</f>
        <v>RW Lichtenhof Stein 1</v>
      </c>
      <c r="E168" s="359"/>
      <c r="F168" s="358" t="str">
        <f>VLOOKUP(F167,Schlüssel!$A$5:$K$14,2)</f>
        <v>BC Comet Nürnberg</v>
      </c>
      <c r="G168" s="359"/>
      <c r="H168" s="358" t="str">
        <f>VLOOKUP(H167,Schlüssel!$A$5:$K$14,2)</f>
        <v>Schanzer Ingolstadt 1</v>
      </c>
      <c r="I168" s="359"/>
      <c r="J168" s="358" t="str">
        <f>VLOOKUP(J167,Schlüssel!$A$5:$K$14,2)</f>
        <v>BC EMAX Unterföhring 2</v>
      </c>
      <c r="K168" s="359"/>
      <c r="L168" s="358" t="str">
        <f>VLOOKUP(L167,Schlüssel!$A$5:$K$14,2)</f>
        <v>Bajuwaren München 1</v>
      </c>
      <c r="M168" s="359"/>
      <c r="N168" s="358" t="str">
        <f>VLOOKUP(N167,Schlüssel!$A$5:$K$14,2)</f>
        <v>Bowlinghaus Bamberg 1</v>
      </c>
      <c r="O168" s="359"/>
      <c r="P168" s="358" t="str">
        <f>VLOOKUP(P167,Schlüssel!$A$5:$K$14,2)</f>
        <v>SG DJK Rimpar</v>
      </c>
      <c r="Q168" s="359"/>
      <c r="R168" s="358" t="str">
        <f>VLOOKUP(R167,Schlüssel!$A$5:$K$14,2)</f>
        <v>High Roller Rosenheim 1</v>
      </c>
      <c r="S168" s="359"/>
      <c r="T168" s="358" t="str">
        <f>VLOOKUP(T167,Schlüssel!$A$5:$K$14,2)</f>
        <v>BK München 3</v>
      </c>
      <c r="U168" s="359"/>
      <c r="V168" s="363"/>
      <c r="W168" s="363"/>
    </row>
    <row r="169" spans="1:29" ht="12" customHeight="1" x14ac:dyDescent="0.25">
      <c r="B169" s="90"/>
      <c r="C169" s="86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  <c r="O169" s="360"/>
      <c r="P169" s="360"/>
      <c r="Q169" s="360"/>
      <c r="R169" s="360"/>
      <c r="S169" s="360"/>
      <c r="T169" s="360"/>
      <c r="U169" s="361"/>
      <c r="V169" s="298"/>
      <c r="W169" s="298"/>
    </row>
    <row r="170" spans="1:29" ht="15.9" customHeight="1" x14ac:dyDescent="0.25">
      <c r="B170" s="91" t="s">
        <v>0</v>
      </c>
      <c r="C170" s="92"/>
      <c r="D170" s="362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4"/>
      <c r="W170" s="364"/>
    </row>
    <row r="171" spans="1:29" ht="15.9" customHeight="1" x14ac:dyDescent="0.25">
      <c r="B171" s="91" t="s">
        <v>2</v>
      </c>
      <c r="C171" s="92"/>
      <c r="D171" s="362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4"/>
      <c r="W171" s="364"/>
    </row>
    <row r="172" spans="1:29" ht="15.9" customHeight="1" x14ac:dyDescent="0.25">
      <c r="B172" s="91" t="s">
        <v>3</v>
      </c>
      <c r="C172" s="92"/>
      <c r="D172" s="362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4"/>
      <c r="W172" s="364"/>
    </row>
    <row r="173" spans="1:29" ht="15.9" customHeight="1" x14ac:dyDescent="0.25">
      <c r="B173" s="91" t="s">
        <v>11</v>
      </c>
      <c r="C173" s="92"/>
      <c r="D173" s="362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4"/>
      <c r="W173" s="364"/>
    </row>
    <row r="174" spans="1:29" ht="15.9" customHeight="1" x14ac:dyDescent="0.25">
      <c r="B174" s="93" t="s">
        <v>1799</v>
      </c>
      <c r="C174" s="94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01"/>
      <c r="W174" s="30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5" t="str">
        <f>Schlüssel!$C$1</f>
        <v>Bayernliga Herren</v>
      </c>
      <c r="G175" s="345"/>
      <c r="H175" s="345"/>
      <c r="I175" s="345"/>
      <c r="J175" s="345"/>
      <c r="K175" s="345"/>
      <c r="L175" s="345"/>
      <c r="M175" s="345"/>
      <c r="N175" s="345"/>
      <c r="O175" s="345"/>
      <c r="P175" s="45"/>
      <c r="Q175" s="45"/>
      <c r="R175" s="48"/>
      <c r="S175" s="49" t="s">
        <v>1794</v>
      </c>
      <c r="T175" s="50"/>
      <c r="U175" s="341" t="str">
        <f>Schlüssel!$CO$1</f>
        <v>15.03./16.03.</v>
      </c>
      <c r="V175" s="342"/>
      <c r="W175" s="34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4" t="str">
        <f>Schlüssel!$CE$2</f>
        <v>Brunnthal Max Munich</v>
      </c>
      <c r="G176" s="344"/>
      <c r="H176" s="344"/>
      <c r="I176" s="344"/>
      <c r="J176" s="344"/>
      <c r="K176" s="344"/>
      <c r="L176" s="344"/>
      <c r="M176" s="344"/>
      <c r="N176" s="344"/>
      <c r="O176" s="344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25">
      <c r="B179" s="67" t="s">
        <v>1</v>
      </c>
      <c r="C179" s="68"/>
      <c r="D179" s="346" t="s">
        <v>1800</v>
      </c>
      <c r="E179" s="347"/>
      <c r="F179" s="346" t="s">
        <v>1801</v>
      </c>
      <c r="G179" s="347"/>
      <c r="H179" s="346" t="s">
        <v>1802</v>
      </c>
      <c r="I179" s="347"/>
      <c r="J179" s="346" t="s">
        <v>1803</v>
      </c>
      <c r="K179" s="347"/>
      <c r="L179" s="346" t="s">
        <v>1804</v>
      </c>
      <c r="M179" s="347"/>
      <c r="N179" s="346" t="s">
        <v>1805</v>
      </c>
      <c r="O179" s="347"/>
      <c r="P179" s="346" t="s">
        <v>1806</v>
      </c>
      <c r="Q179" s="347"/>
      <c r="R179" s="346" t="s">
        <v>1807</v>
      </c>
      <c r="S179" s="347"/>
      <c r="T179" s="346" t="s">
        <v>1808</v>
      </c>
      <c r="U179" s="347"/>
      <c r="V179" s="354" t="s">
        <v>1799</v>
      </c>
      <c r="W179" s="355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3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3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3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3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6">
        <f>VLOOKUP(B176,Schlüssel!$A$5:$DZ$14,83)</f>
        <v>8</v>
      </c>
      <c r="E196" s="356"/>
      <c r="F196" s="356">
        <f>VLOOKUP(B176,Schlüssel!$A$5:$DZ$14,84)</f>
        <v>3</v>
      </c>
      <c r="G196" s="356"/>
      <c r="H196" s="356">
        <f>VLOOKUP(B176,Schlüssel!$A$5:$DZ$14,85)</f>
        <v>6</v>
      </c>
      <c r="I196" s="356"/>
      <c r="J196" s="356">
        <f>VLOOKUP(B176,Schlüssel!$A$5:$DZ$14,86)</f>
        <v>4</v>
      </c>
      <c r="K196" s="356"/>
      <c r="L196" s="356">
        <f>VLOOKUP(B176,Schlüssel!$A$5:$DZ$14,87)</f>
        <v>10</v>
      </c>
      <c r="M196" s="356"/>
      <c r="N196" s="356">
        <f>VLOOKUP(B176,Schlüssel!$A$5:$DZ$14,88)</f>
        <v>2</v>
      </c>
      <c r="O196" s="356"/>
      <c r="P196" s="356">
        <f>VLOOKUP(B176,Schlüssel!$A$5:$DZ$14,89)</f>
        <v>9</v>
      </c>
      <c r="Q196" s="356"/>
      <c r="R196" s="356">
        <f>VLOOKUP(B176,Schlüssel!$A$5:$DZ$14,90)</f>
        <v>5</v>
      </c>
      <c r="S196" s="356"/>
      <c r="T196" s="356">
        <f>VLOOKUP(B176,Schlüssel!$A$5:$DZ$14,91)</f>
        <v>1</v>
      </c>
      <c r="U196" s="356"/>
      <c r="V196" s="357"/>
      <c r="W196" s="357"/>
    </row>
    <row r="197" spans="1:29" ht="28.5" customHeight="1" x14ac:dyDescent="0.25">
      <c r="B197" s="90"/>
      <c r="C197" s="86"/>
      <c r="D197" s="358" t="str">
        <f>VLOOKUP(D196,Schlüssel!$A$5:$K$14,2)</f>
        <v>BC EMAX Unterföhring 2</v>
      </c>
      <c r="E197" s="359"/>
      <c r="F197" s="358" t="str">
        <f>VLOOKUP(F196,Schlüssel!$A$5:$K$14,2)</f>
        <v>BK München 3</v>
      </c>
      <c r="G197" s="359"/>
      <c r="H197" s="358" t="str">
        <f>VLOOKUP(H196,Schlüssel!$A$5:$K$14,2)</f>
        <v>SG Rottendorf 1</v>
      </c>
      <c r="I197" s="359"/>
      <c r="J197" s="358" t="str">
        <f>VLOOKUP(J196,Schlüssel!$A$5:$K$14,2)</f>
        <v>SG DJK Rimpar</v>
      </c>
      <c r="K197" s="359"/>
      <c r="L197" s="358" t="str">
        <f>VLOOKUP(L196,Schlüssel!$A$5:$K$14,2)</f>
        <v>High Roller Rosenheim 1</v>
      </c>
      <c r="M197" s="359"/>
      <c r="N197" s="358" t="str">
        <f>VLOOKUP(N196,Schlüssel!$A$5:$K$14,2)</f>
        <v>Bajuwaren München 1</v>
      </c>
      <c r="O197" s="359"/>
      <c r="P197" s="358" t="str">
        <f>VLOOKUP(P196,Schlüssel!$A$5:$K$14,2)</f>
        <v>Bowlinghaus Bamberg 1</v>
      </c>
      <c r="Q197" s="359"/>
      <c r="R197" s="358" t="str">
        <f>VLOOKUP(R196,Schlüssel!$A$5:$K$14,2)</f>
        <v>RW Lichtenhof Stein 1</v>
      </c>
      <c r="S197" s="359"/>
      <c r="T197" s="358" t="str">
        <f>VLOOKUP(T196,Schlüssel!$A$5:$K$14,2)</f>
        <v>BC Comet Nürnberg</v>
      </c>
      <c r="U197" s="359"/>
      <c r="V197" s="363"/>
      <c r="W197" s="363"/>
    </row>
    <row r="198" spans="1:29" ht="12" customHeight="1" x14ac:dyDescent="0.25">
      <c r="B198" s="90"/>
      <c r="C198" s="86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1"/>
      <c r="V198" s="298"/>
      <c r="W198" s="298"/>
    </row>
    <row r="199" spans="1:29" ht="15.9" customHeight="1" x14ac:dyDescent="0.25">
      <c r="B199" s="91" t="s">
        <v>0</v>
      </c>
      <c r="C199" s="92"/>
      <c r="D199" s="362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4"/>
      <c r="W199" s="364"/>
    </row>
    <row r="200" spans="1:29" ht="15.9" customHeight="1" x14ac:dyDescent="0.25">
      <c r="B200" s="91" t="s">
        <v>2</v>
      </c>
      <c r="C200" s="92"/>
      <c r="D200" s="362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4"/>
      <c r="W200" s="364"/>
    </row>
    <row r="201" spans="1:29" ht="15.9" customHeight="1" x14ac:dyDescent="0.25">
      <c r="B201" s="91" t="s">
        <v>3</v>
      </c>
      <c r="C201" s="92"/>
      <c r="D201" s="362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4"/>
      <c r="W201" s="364"/>
    </row>
    <row r="202" spans="1:29" ht="15.9" customHeight="1" x14ac:dyDescent="0.25">
      <c r="B202" s="91" t="s">
        <v>11</v>
      </c>
      <c r="C202" s="92"/>
      <c r="D202" s="362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4"/>
      <c r="W202" s="364"/>
    </row>
    <row r="203" spans="1:29" ht="15.9" customHeight="1" x14ac:dyDescent="0.25">
      <c r="B203" s="93" t="s">
        <v>1799</v>
      </c>
      <c r="C203" s="94"/>
      <c r="D203" s="365"/>
      <c r="E203" s="365"/>
      <c r="F203" s="365"/>
      <c r="G203" s="365"/>
      <c r="H203" s="365"/>
      <c r="I203" s="365"/>
      <c r="J203" s="365"/>
      <c r="K203" s="365"/>
      <c r="L203" s="365"/>
      <c r="M203" s="365"/>
      <c r="N203" s="365"/>
      <c r="O203" s="365"/>
      <c r="P203" s="365"/>
      <c r="Q203" s="365"/>
      <c r="R203" s="365"/>
      <c r="S203" s="365"/>
      <c r="T203" s="365"/>
      <c r="U203" s="365"/>
      <c r="V203" s="301"/>
      <c r="W203" s="30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5" t="str">
        <f>Schlüssel!$C$1</f>
        <v>Bayernliga Herren</v>
      </c>
      <c r="G204" s="345"/>
      <c r="H204" s="345"/>
      <c r="I204" s="345"/>
      <c r="J204" s="345"/>
      <c r="K204" s="345"/>
      <c r="L204" s="345"/>
      <c r="M204" s="345"/>
      <c r="N204" s="345"/>
      <c r="O204" s="345"/>
      <c r="P204" s="45"/>
      <c r="Q204" s="45"/>
      <c r="R204" s="48"/>
      <c r="S204" s="49" t="s">
        <v>1794</v>
      </c>
      <c r="T204" s="50"/>
      <c r="U204" s="341" t="str">
        <f>Schlüssel!$CO$1</f>
        <v>15.03./16.03.</v>
      </c>
      <c r="V204" s="342"/>
      <c r="W204" s="34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4" t="str">
        <f>Schlüssel!$CE$2</f>
        <v>Brunnthal Max Munich</v>
      </c>
      <c r="G205" s="344"/>
      <c r="H205" s="344"/>
      <c r="I205" s="344"/>
      <c r="J205" s="344"/>
      <c r="K205" s="344"/>
      <c r="L205" s="344"/>
      <c r="M205" s="344"/>
      <c r="N205" s="344"/>
      <c r="O205" s="344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25">
      <c r="B208" s="67" t="s">
        <v>1</v>
      </c>
      <c r="C208" s="68"/>
      <c r="D208" s="346" t="s">
        <v>1800</v>
      </c>
      <c r="E208" s="347"/>
      <c r="F208" s="346" t="s">
        <v>1801</v>
      </c>
      <c r="G208" s="347"/>
      <c r="H208" s="346" t="s">
        <v>1802</v>
      </c>
      <c r="I208" s="347"/>
      <c r="J208" s="346" t="s">
        <v>1803</v>
      </c>
      <c r="K208" s="347"/>
      <c r="L208" s="346" t="s">
        <v>1804</v>
      </c>
      <c r="M208" s="347"/>
      <c r="N208" s="346" t="s">
        <v>1805</v>
      </c>
      <c r="O208" s="347"/>
      <c r="P208" s="346" t="s">
        <v>1806</v>
      </c>
      <c r="Q208" s="347"/>
      <c r="R208" s="346" t="s">
        <v>1807</v>
      </c>
      <c r="S208" s="347"/>
      <c r="T208" s="346" t="s">
        <v>1808</v>
      </c>
      <c r="U208" s="347"/>
      <c r="V208" s="354" t="s">
        <v>1799</v>
      </c>
      <c r="W208" s="355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3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3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3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3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6">
        <f>VLOOKUP(B205,Schlüssel!$A$5:$DZ$14,83)</f>
        <v>7</v>
      </c>
      <c r="E225" s="356"/>
      <c r="F225" s="356">
        <f>VLOOKUP(B205,Schlüssel!$A$5:$DZ$14,84)</f>
        <v>4</v>
      </c>
      <c r="G225" s="356"/>
      <c r="H225" s="356">
        <f>VLOOKUP(B205,Schlüssel!$A$5:$DZ$14,85)</f>
        <v>9</v>
      </c>
      <c r="I225" s="356"/>
      <c r="J225" s="356">
        <f>VLOOKUP(B205,Schlüssel!$A$5:$DZ$14,86)</f>
        <v>6</v>
      </c>
      <c r="K225" s="356"/>
      <c r="L225" s="356">
        <f>VLOOKUP(B205,Schlüssel!$A$5:$DZ$14,87)</f>
        <v>3</v>
      </c>
      <c r="M225" s="356"/>
      <c r="N225" s="356">
        <f>VLOOKUP(B205,Schlüssel!$A$5:$DZ$14,88)</f>
        <v>5</v>
      </c>
      <c r="O225" s="356"/>
      <c r="P225" s="356">
        <f>VLOOKUP(B205,Schlüssel!$A$5:$DZ$14,89)</f>
        <v>2</v>
      </c>
      <c r="Q225" s="356"/>
      <c r="R225" s="356">
        <f>VLOOKUP(B205,Schlüssel!$A$5:$DZ$14,90)</f>
        <v>1</v>
      </c>
      <c r="S225" s="356"/>
      <c r="T225" s="356">
        <f>VLOOKUP(B205,Schlüssel!$A$5:$DZ$14,91)</f>
        <v>10</v>
      </c>
      <c r="U225" s="356"/>
      <c r="V225" s="357"/>
      <c r="W225" s="357"/>
    </row>
    <row r="226" spans="1:29" ht="28.5" customHeight="1" x14ac:dyDescent="0.25">
      <c r="B226" s="90"/>
      <c r="C226" s="86"/>
      <c r="D226" s="358" t="str">
        <f>VLOOKUP(D225,Schlüssel!$A$5:$K$14,2)</f>
        <v>Schanzer Ingolstadt 1</v>
      </c>
      <c r="E226" s="359"/>
      <c r="F226" s="358" t="str">
        <f>VLOOKUP(F225,Schlüssel!$A$5:$K$14,2)</f>
        <v>SG DJK Rimpar</v>
      </c>
      <c r="G226" s="359"/>
      <c r="H226" s="358" t="str">
        <f>VLOOKUP(H225,Schlüssel!$A$5:$K$14,2)</f>
        <v>Bowlinghaus Bamberg 1</v>
      </c>
      <c r="I226" s="359"/>
      <c r="J226" s="358" t="str">
        <f>VLOOKUP(J225,Schlüssel!$A$5:$K$14,2)</f>
        <v>SG Rottendorf 1</v>
      </c>
      <c r="K226" s="359"/>
      <c r="L226" s="358" t="str">
        <f>VLOOKUP(L225,Schlüssel!$A$5:$K$14,2)</f>
        <v>BK München 3</v>
      </c>
      <c r="M226" s="359"/>
      <c r="N226" s="358" t="str">
        <f>VLOOKUP(N225,Schlüssel!$A$5:$K$14,2)</f>
        <v>RW Lichtenhof Stein 1</v>
      </c>
      <c r="O226" s="359"/>
      <c r="P226" s="358" t="str">
        <f>VLOOKUP(P225,Schlüssel!$A$5:$K$14,2)</f>
        <v>Bajuwaren München 1</v>
      </c>
      <c r="Q226" s="359"/>
      <c r="R226" s="358" t="str">
        <f>VLOOKUP(R225,Schlüssel!$A$5:$K$14,2)</f>
        <v>BC Comet Nürnberg</v>
      </c>
      <c r="S226" s="359"/>
      <c r="T226" s="358" t="str">
        <f>VLOOKUP(T225,Schlüssel!$A$5:$K$14,2)</f>
        <v>High Roller Rosenheim 1</v>
      </c>
      <c r="U226" s="359"/>
      <c r="V226" s="363"/>
      <c r="W226" s="363"/>
    </row>
    <row r="227" spans="1:29" ht="12" customHeight="1" x14ac:dyDescent="0.25">
      <c r="B227" s="90"/>
      <c r="C227" s="86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1"/>
      <c r="V227" s="298"/>
      <c r="W227" s="298"/>
    </row>
    <row r="228" spans="1:29" ht="15.9" customHeight="1" x14ac:dyDescent="0.25">
      <c r="B228" s="91" t="s">
        <v>0</v>
      </c>
      <c r="C228" s="92"/>
      <c r="D228" s="362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4"/>
      <c r="W228" s="364"/>
    </row>
    <row r="229" spans="1:29" ht="15.9" customHeight="1" x14ac:dyDescent="0.25">
      <c r="B229" s="91" t="s">
        <v>2</v>
      </c>
      <c r="C229" s="92"/>
      <c r="D229" s="362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4"/>
      <c r="W229" s="364"/>
    </row>
    <row r="230" spans="1:29" ht="15.9" customHeight="1" x14ac:dyDescent="0.25">
      <c r="B230" s="91" t="s">
        <v>3</v>
      </c>
      <c r="C230" s="92"/>
      <c r="D230" s="362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4"/>
      <c r="W230" s="364"/>
    </row>
    <row r="231" spans="1:29" ht="15.9" customHeight="1" x14ac:dyDescent="0.25">
      <c r="B231" s="91" t="s">
        <v>11</v>
      </c>
      <c r="C231" s="92"/>
      <c r="D231" s="362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4"/>
      <c r="W231" s="364"/>
    </row>
    <row r="232" spans="1:29" ht="15.9" customHeight="1" x14ac:dyDescent="0.25">
      <c r="B232" s="93" t="s">
        <v>1799</v>
      </c>
      <c r="C232" s="94"/>
      <c r="D232" s="365"/>
      <c r="E232" s="36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01"/>
      <c r="W232" s="30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5" t="str">
        <f>Schlüssel!$C$1</f>
        <v>Bayernliga Herren</v>
      </c>
      <c r="G233" s="345"/>
      <c r="H233" s="345"/>
      <c r="I233" s="345"/>
      <c r="J233" s="345"/>
      <c r="K233" s="345"/>
      <c r="L233" s="345"/>
      <c r="M233" s="345"/>
      <c r="N233" s="345"/>
      <c r="O233" s="345"/>
      <c r="P233" s="45"/>
      <c r="Q233" s="45"/>
      <c r="R233" s="48"/>
      <c r="S233" s="49" t="s">
        <v>1794</v>
      </c>
      <c r="T233" s="50"/>
      <c r="U233" s="341" t="str">
        <f>Schlüssel!$CO$1</f>
        <v>15.03./16.03.</v>
      </c>
      <c r="V233" s="342"/>
      <c r="W233" s="34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4" t="str">
        <f>Schlüssel!$CE$2</f>
        <v>Brunnthal Max Munich</v>
      </c>
      <c r="G234" s="344"/>
      <c r="H234" s="344"/>
      <c r="I234" s="344"/>
      <c r="J234" s="344"/>
      <c r="K234" s="344"/>
      <c r="L234" s="344"/>
      <c r="M234" s="344"/>
      <c r="N234" s="344"/>
      <c r="O234" s="344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25">
      <c r="B237" s="67" t="s">
        <v>1</v>
      </c>
      <c r="C237" s="68"/>
      <c r="D237" s="346" t="s">
        <v>1800</v>
      </c>
      <c r="E237" s="347"/>
      <c r="F237" s="346" t="s">
        <v>1801</v>
      </c>
      <c r="G237" s="347"/>
      <c r="H237" s="346" t="s">
        <v>1802</v>
      </c>
      <c r="I237" s="347"/>
      <c r="J237" s="346" t="s">
        <v>1803</v>
      </c>
      <c r="K237" s="347"/>
      <c r="L237" s="346" t="s">
        <v>1804</v>
      </c>
      <c r="M237" s="347"/>
      <c r="N237" s="346" t="s">
        <v>1805</v>
      </c>
      <c r="O237" s="347"/>
      <c r="P237" s="346" t="s">
        <v>1806</v>
      </c>
      <c r="Q237" s="347"/>
      <c r="R237" s="346" t="s">
        <v>1807</v>
      </c>
      <c r="S237" s="347"/>
      <c r="T237" s="346" t="s">
        <v>1808</v>
      </c>
      <c r="U237" s="347"/>
      <c r="V237" s="354" t="s">
        <v>1799</v>
      </c>
      <c r="W237" s="355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3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3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3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3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6">
        <f>VLOOKUP(B234,Schlüssel!$A$5:$DZ$14,83)</f>
        <v>10</v>
      </c>
      <c r="E254" s="356"/>
      <c r="F254" s="356">
        <f>VLOOKUP(B234,Schlüssel!$A$5:$DZ$14,84)</f>
        <v>2</v>
      </c>
      <c r="G254" s="356"/>
      <c r="H254" s="356">
        <f>VLOOKUP(B234,Schlüssel!$A$5:$DZ$14,85)</f>
        <v>8</v>
      </c>
      <c r="I254" s="356"/>
      <c r="J254" s="356">
        <f>VLOOKUP(B234,Schlüssel!$A$5:$DZ$14,86)</f>
        <v>1</v>
      </c>
      <c r="K254" s="356"/>
      <c r="L254" s="356">
        <f>VLOOKUP(B234,Schlüssel!$A$5:$DZ$14,87)</f>
        <v>5</v>
      </c>
      <c r="M254" s="356"/>
      <c r="N254" s="356">
        <f>VLOOKUP(B234,Schlüssel!$A$5:$DZ$14,88)</f>
        <v>6</v>
      </c>
      <c r="O254" s="356"/>
      <c r="P254" s="356">
        <f>VLOOKUP(B234,Schlüssel!$A$5:$DZ$14,89)</f>
        <v>7</v>
      </c>
      <c r="Q254" s="356"/>
      <c r="R254" s="356">
        <f>VLOOKUP(B234,Schlüssel!$A$5:$DZ$14,90)</f>
        <v>3</v>
      </c>
      <c r="S254" s="356"/>
      <c r="T254" s="356">
        <f>VLOOKUP(B234,Schlüssel!$A$5:$DZ$14,91)</f>
        <v>4</v>
      </c>
      <c r="U254" s="356"/>
      <c r="V254" s="357"/>
      <c r="W254" s="357"/>
    </row>
    <row r="255" spans="1:23" ht="28.5" customHeight="1" x14ac:dyDescent="0.25">
      <c r="B255" s="90"/>
      <c r="C255" s="86"/>
      <c r="D255" s="358" t="str">
        <f>VLOOKUP(D254,Schlüssel!$A$5:$K$14,2)</f>
        <v>High Roller Rosenheim 1</v>
      </c>
      <c r="E255" s="359"/>
      <c r="F255" s="358" t="str">
        <f>VLOOKUP(F254,Schlüssel!$A$5:$K$14,2)</f>
        <v>Bajuwaren München 1</v>
      </c>
      <c r="G255" s="359"/>
      <c r="H255" s="358" t="str">
        <f>VLOOKUP(H254,Schlüssel!$A$5:$K$14,2)</f>
        <v>BC EMAX Unterföhring 2</v>
      </c>
      <c r="I255" s="359"/>
      <c r="J255" s="358" t="str">
        <f>VLOOKUP(J254,Schlüssel!$A$5:$K$14,2)</f>
        <v>BC Comet Nürnberg</v>
      </c>
      <c r="K255" s="359"/>
      <c r="L255" s="358" t="str">
        <f>VLOOKUP(L254,Schlüssel!$A$5:$K$14,2)</f>
        <v>RW Lichtenhof Stein 1</v>
      </c>
      <c r="M255" s="359"/>
      <c r="N255" s="358" t="str">
        <f>VLOOKUP(N254,Schlüssel!$A$5:$K$14,2)</f>
        <v>SG Rottendorf 1</v>
      </c>
      <c r="O255" s="359"/>
      <c r="P255" s="358" t="str">
        <f>VLOOKUP(P254,Schlüssel!$A$5:$K$14,2)</f>
        <v>Schanzer Ingolstadt 1</v>
      </c>
      <c r="Q255" s="359"/>
      <c r="R255" s="358" t="str">
        <f>VLOOKUP(R254,Schlüssel!$A$5:$K$14,2)</f>
        <v>BK München 3</v>
      </c>
      <c r="S255" s="359"/>
      <c r="T255" s="358" t="str">
        <f>VLOOKUP(T254,Schlüssel!$A$5:$K$14,2)</f>
        <v>SG DJK Rimpar</v>
      </c>
      <c r="U255" s="359"/>
      <c r="V255" s="363"/>
      <c r="W255" s="363"/>
    </row>
    <row r="256" spans="1:23" ht="12" customHeight="1" x14ac:dyDescent="0.25">
      <c r="B256" s="90"/>
      <c r="C256" s="86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1"/>
      <c r="V256" s="298"/>
      <c r="W256" s="298"/>
    </row>
    <row r="257" spans="1:29" ht="15.9" customHeight="1" x14ac:dyDescent="0.25">
      <c r="B257" s="91" t="s">
        <v>0</v>
      </c>
      <c r="C257" s="92"/>
      <c r="D257" s="362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4"/>
      <c r="W257" s="364"/>
    </row>
    <row r="258" spans="1:29" ht="15.9" customHeight="1" x14ac:dyDescent="0.25">
      <c r="B258" s="91" t="s">
        <v>2</v>
      </c>
      <c r="C258" s="92"/>
      <c r="D258" s="362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4"/>
      <c r="W258" s="364"/>
    </row>
    <row r="259" spans="1:29" ht="15.9" customHeight="1" x14ac:dyDescent="0.25">
      <c r="B259" s="91" t="s">
        <v>3</v>
      </c>
      <c r="C259" s="92"/>
      <c r="D259" s="362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4"/>
      <c r="W259" s="364"/>
    </row>
    <row r="260" spans="1:29" ht="15.9" customHeight="1" x14ac:dyDescent="0.25">
      <c r="B260" s="91" t="s">
        <v>11</v>
      </c>
      <c r="C260" s="9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4"/>
      <c r="W260" s="364"/>
    </row>
    <row r="261" spans="1:29" ht="15.9" customHeight="1" x14ac:dyDescent="0.25">
      <c r="B261" s="93" t="s">
        <v>1799</v>
      </c>
      <c r="C261" s="94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01"/>
      <c r="W261" s="30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5" t="str">
        <f>Schlüssel!$C$1</f>
        <v>Bayernliga Herren</v>
      </c>
      <c r="G262" s="345"/>
      <c r="H262" s="345"/>
      <c r="I262" s="345"/>
      <c r="J262" s="345"/>
      <c r="K262" s="345"/>
      <c r="L262" s="345"/>
      <c r="M262" s="345"/>
      <c r="N262" s="345"/>
      <c r="O262" s="345"/>
      <c r="P262" s="45"/>
      <c r="Q262" s="45"/>
      <c r="R262" s="48"/>
      <c r="S262" s="49" t="s">
        <v>1794</v>
      </c>
      <c r="T262" s="50"/>
      <c r="U262" s="341" t="str">
        <f>Schlüssel!$CO$1</f>
        <v>15.03./16.03.</v>
      </c>
      <c r="V262" s="342"/>
      <c r="W262" s="34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4" t="str">
        <f>Schlüssel!$CE$2</f>
        <v>Brunnthal Max Munich</v>
      </c>
      <c r="G263" s="344"/>
      <c r="H263" s="344"/>
      <c r="I263" s="344"/>
      <c r="J263" s="344"/>
      <c r="K263" s="344"/>
      <c r="L263" s="344"/>
      <c r="M263" s="344"/>
      <c r="N263" s="344"/>
      <c r="O263" s="344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25">
      <c r="B266" s="67" t="s">
        <v>1</v>
      </c>
      <c r="C266" s="68"/>
      <c r="D266" s="346" t="s">
        <v>1800</v>
      </c>
      <c r="E266" s="347"/>
      <c r="F266" s="346" t="s">
        <v>1801</v>
      </c>
      <c r="G266" s="347"/>
      <c r="H266" s="346" t="s">
        <v>1802</v>
      </c>
      <c r="I266" s="347"/>
      <c r="J266" s="346" t="s">
        <v>1803</v>
      </c>
      <c r="K266" s="347"/>
      <c r="L266" s="346" t="s">
        <v>1804</v>
      </c>
      <c r="M266" s="347"/>
      <c r="N266" s="346" t="s">
        <v>1805</v>
      </c>
      <c r="O266" s="347"/>
      <c r="P266" s="346" t="s">
        <v>1806</v>
      </c>
      <c r="Q266" s="347"/>
      <c r="R266" s="346" t="s">
        <v>1807</v>
      </c>
      <c r="S266" s="347"/>
      <c r="T266" s="346" t="s">
        <v>1808</v>
      </c>
      <c r="U266" s="347"/>
      <c r="V266" s="354" t="s">
        <v>1799</v>
      </c>
      <c r="W266" s="355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3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3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3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3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6">
        <f>VLOOKUP(B263,Schlüssel!$A$5:$DZ$14,83)</f>
        <v>9</v>
      </c>
      <c r="E283" s="356"/>
      <c r="F283" s="356">
        <f>VLOOKUP(B263,Schlüssel!$A$5:$DZ$14,84)</f>
        <v>5</v>
      </c>
      <c r="G283" s="356"/>
      <c r="H283" s="356">
        <f>VLOOKUP(B263,Schlüssel!$A$5:$DZ$14,85)</f>
        <v>1</v>
      </c>
      <c r="I283" s="356"/>
      <c r="J283" s="356">
        <f>VLOOKUP(B263,Schlüssel!$A$5:$DZ$14,86)</f>
        <v>2</v>
      </c>
      <c r="K283" s="356"/>
      <c r="L283" s="356">
        <f>VLOOKUP(B263,Schlüssel!$A$5:$DZ$14,87)</f>
        <v>7</v>
      </c>
      <c r="M283" s="356"/>
      <c r="N283" s="356">
        <f>VLOOKUP(B263,Schlüssel!$A$5:$DZ$14,88)</f>
        <v>4</v>
      </c>
      <c r="O283" s="356"/>
      <c r="P283" s="356">
        <f>VLOOKUP(B263,Schlüssel!$A$5:$DZ$14,89)</f>
        <v>3</v>
      </c>
      <c r="Q283" s="356"/>
      <c r="R283" s="356">
        <f>VLOOKUP(B263,Schlüssel!$A$5:$DZ$14,90)</f>
        <v>6</v>
      </c>
      <c r="S283" s="356"/>
      <c r="T283" s="356">
        <f>VLOOKUP(B263,Schlüssel!$A$5:$DZ$14,91)</f>
        <v>8</v>
      </c>
      <c r="U283" s="356"/>
      <c r="V283" s="357"/>
      <c r="W283" s="357"/>
    </row>
    <row r="284" spans="1:23" ht="28.5" customHeight="1" x14ac:dyDescent="0.25">
      <c r="B284" s="90"/>
      <c r="C284" s="86"/>
      <c r="D284" s="358" t="str">
        <f>VLOOKUP(D283,Schlüssel!$A$5:$K$14,2)</f>
        <v>Bowlinghaus Bamberg 1</v>
      </c>
      <c r="E284" s="359"/>
      <c r="F284" s="358" t="str">
        <f>VLOOKUP(F283,Schlüssel!$A$5:$K$14,2)</f>
        <v>RW Lichtenhof Stein 1</v>
      </c>
      <c r="G284" s="359"/>
      <c r="H284" s="358" t="str">
        <f>VLOOKUP(H283,Schlüssel!$A$5:$K$14,2)</f>
        <v>BC Comet Nürnberg</v>
      </c>
      <c r="I284" s="359"/>
      <c r="J284" s="358" t="str">
        <f>VLOOKUP(J283,Schlüssel!$A$5:$K$14,2)</f>
        <v>Bajuwaren München 1</v>
      </c>
      <c r="K284" s="359"/>
      <c r="L284" s="358" t="str">
        <f>VLOOKUP(L283,Schlüssel!$A$5:$K$14,2)</f>
        <v>Schanzer Ingolstadt 1</v>
      </c>
      <c r="M284" s="359"/>
      <c r="N284" s="358" t="str">
        <f>VLOOKUP(N283,Schlüssel!$A$5:$K$14,2)</f>
        <v>SG DJK Rimpar</v>
      </c>
      <c r="O284" s="359"/>
      <c r="P284" s="358" t="str">
        <f>VLOOKUP(P283,Schlüssel!$A$5:$K$14,2)</f>
        <v>BK München 3</v>
      </c>
      <c r="Q284" s="359"/>
      <c r="R284" s="358" t="str">
        <f>VLOOKUP(R283,Schlüssel!$A$5:$K$14,2)</f>
        <v>SG Rottendorf 1</v>
      </c>
      <c r="S284" s="359"/>
      <c r="T284" s="358" t="str">
        <f>VLOOKUP(T283,Schlüssel!$A$5:$K$14,2)</f>
        <v>BC EMAX Unterföhring 2</v>
      </c>
      <c r="U284" s="359"/>
      <c r="V284" s="363"/>
      <c r="W284" s="363"/>
    </row>
    <row r="285" spans="1:23" ht="12" customHeight="1" x14ac:dyDescent="0.25">
      <c r="B285" s="90"/>
      <c r="C285" s="86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0"/>
      <c r="O285" s="360"/>
      <c r="P285" s="360"/>
      <c r="Q285" s="360"/>
      <c r="R285" s="360"/>
      <c r="S285" s="360"/>
      <c r="T285" s="360"/>
      <c r="U285" s="361"/>
      <c r="V285" s="298"/>
      <c r="W285" s="298"/>
    </row>
    <row r="286" spans="1:23" ht="15.9" customHeight="1" x14ac:dyDescent="0.25">
      <c r="B286" s="91" t="s">
        <v>0</v>
      </c>
      <c r="C286" s="92"/>
      <c r="D286" s="362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4"/>
      <c r="W286" s="364"/>
    </row>
    <row r="287" spans="1:23" ht="15.9" customHeight="1" x14ac:dyDescent="0.25">
      <c r="B287" s="91" t="s">
        <v>2</v>
      </c>
      <c r="C287" s="92"/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4"/>
      <c r="W287" s="364"/>
    </row>
    <row r="288" spans="1:23" ht="15.9" customHeight="1" x14ac:dyDescent="0.25">
      <c r="B288" s="91" t="s">
        <v>3</v>
      </c>
      <c r="C288" s="92"/>
      <c r="D288" s="36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4"/>
      <c r="W288" s="364"/>
    </row>
    <row r="289" spans="2:23" ht="15.9" customHeight="1" x14ac:dyDescent="0.25">
      <c r="B289" s="91" t="s">
        <v>11</v>
      </c>
      <c r="C289" s="92"/>
      <c r="D289" s="36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4"/>
      <c r="W289" s="364"/>
    </row>
    <row r="290" spans="2:23" ht="15.9" customHeight="1" x14ac:dyDescent="0.25">
      <c r="B290" s="93" t="s">
        <v>1799</v>
      </c>
      <c r="C290" s="94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01"/>
      <c r="W290" s="301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view="pageBreakPreview" topLeftCell="Z9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5" t="str">
        <f>AE1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48"/>
      <c r="S1" s="49" t="s">
        <v>1794</v>
      </c>
      <c r="T1" s="50"/>
      <c r="U1" s="341" t="str">
        <f>AT1</f>
        <v>15.03./16.03.</v>
      </c>
      <c r="V1" s="342"/>
      <c r="W1" s="343"/>
      <c r="X1" s="372"/>
      <c r="Y1" s="373"/>
      <c r="Z1" s="373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41" t="str">
        <f>VLOOKUP(AS2,Spielorte!$A$1:$C$6,2)</f>
        <v>15.03./16.03.</v>
      </c>
      <c r="AU1" s="342"/>
      <c r="AV1" s="34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4" t="str">
        <f>AE2</f>
        <v>Brunnthal Max Munich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6" t="s">
        <v>0</v>
      </c>
      <c r="B7" s="73" t="str">
        <f>IF(AA7=0,"",AA7)</f>
        <v>Schwarz, Jan</v>
      </c>
      <c r="C7" s="74">
        <f>IF(AB7=0,"",AB7)</f>
        <v>7734</v>
      </c>
      <c r="D7" s="75">
        <f>IF(AC7=0,"",AC7)</f>
        <v>176</v>
      </c>
      <c r="E7" s="348">
        <f>IF(AD7="","",AD7)</f>
        <v>1</v>
      </c>
      <c r="F7" s="75">
        <f t="shared" ref="F7:F20" si="0">IF(AE7=0,"",AE7)</f>
        <v>300</v>
      </c>
      <c r="G7" s="348">
        <f>IF(AF7="","",AF7)</f>
        <v>1</v>
      </c>
      <c r="H7" s="75">
        <f t="shared" ref="H7:H20" si="1">IF(AG7=0,"",AG7)</f>
        <v>217</v>
      </c>
      <c r="I7" s="348">
        <f>IF(AH7="","",AH7)</f>
        <v>1</v>
      </c>
      <c r="J7" s="75">
        <f t="shared" ref="J7:J20" si="2">IF(AI7=0,"",AI7)</f>
        <v>204</v>
      </c>
      <c r="K7" s="348">
        <f>IF(AJ7="","",AJ7)</f>
        <v>0</v>
      </c>
      <c r="L7" s="75">
        <f t="shared" ref="L7:L20" si="3">IF(AK7=0,"",AK7)</f>
        <v>266</v>
      </c>
      <c r="M7" s="348">
        <f>IF(AL7="","",AL7)</f>
        <v>1</v>
      </c>
      <c r="N7" s="75">
        <f>IF(AM7=0,"",AM7)</f>
        <v>200</v>
      </c>
      <c r="O7" s="348">
        <f>IF(AN7="","",AN7)</f>
        <v>0</v>
      </c>
      <c r="P7" s="75">
        <f t="shared" ref="P7:P20" si="4">IF(AO7=0,"",AO7)</f>
        <v>279</v>
      </c>
      <c r="Q7" s="348">
        <f>IF(AP7="","",AP7)</f>
        <v>1</v>
      </c>
      <c r="R7" s="75">
        <f t="shared" ref="R7:R20" si="5">IF(AQ7=0,"",AQ7)</f>
        <v>179</v>
      </c>
      <c r="S7" s="348">
        <f>IF(AR7="","",AR7)</f>
        <v>0</v>
      </c>
      <c r="T7" s="75">
        <f t="shared" ref="T7:T20" si="6">IF(AS7=0,"",AS7)</f>
        <v>189</v>
      </c>
      <c r="U7" s="348">
        <f>IF(AT7="","",AT7)</f>
        <v>0.5</v>
      </c>
      <c r="V7" s="75">
        <f t="shared" ref="V7:V20" si="7">IF(AU7=0,"",AU7)</f>
        <v>2010</v>
      </c>
      <c r="W7" s="348">
        <f>IF(AV7="","",AV7)</f>
        <v>5.5</v>
      </c>
      <c r="Z7" s="351" t="s">
        <v>0</v>
      </c>
      <c r="AA7" s="108" t="str">
        <f>IF(AB7=0,"",VLOOKUP(AB7,Starter!$A$1:$D$199,2,FALSE))</f>
        <v>Schwarz, Jan</v>
      </c>
      <c r="AB7" s="99">
        <v>7734</v>
      </c>
      <c r="AC7" s="185">
        <v>176</v>
      </c>
      <c r="AD7" s="109">
        <f>IF(SUM(AC7:AC9)+AC25=0,0,IF(SUM(AC7:AC9)=AC25,0.5,IF(SUM(AC7:AC9)&gt;AC25,1,0)))</f>
        <v>1</v>
      </c>
      <c r="AE7" s="185">
        <v>300</v>
      </c>
      <c r="AF7" s="109">
        <f>IF(SUM(AE7:AE9)+AE25=0,0,IF(SUM(AE7:AE9)=AE25,0.5,IF(SUM(AE7:AE9)&gt;AE25,1,0)))</f>
        <v>1</v>
      </c>
      <c r="AG7" s="185">
        <v>217</v>
      </c>
      <c r="AH7" s="109">
        <f>IF(SUM(AG7:AG9)+AG25=0,0,IF(SUM(AG7:AG9)=AG25,0.5,IF(SUM(AG7:AG9)&gt;AG25,1,0)))</f>
        <v>1</v>
      </c>
      <c r="AI7" s="185">
        <v>204</v>
      </c>
      <c r="AJ7" s="109">
        <f>IF(SUM(AI7:AI9)+AI25=0,0,IF(SUM(AI7:AI9)=AI25,0.5,IF(SUM(AI7:AI9)&gt;AI25,1,0)))</f>
        <v>0</v>
      </c>
      <c r="AK7" s="185">
        <v>266</v>
      </c>
      <c r="AL7" s="109">
        <f>IF(SUM(AK7:AK9)+AK25=0,0,IF(SUM(AK7:AK9)=AK25,0.5,IF(SUM(AK7:AK9)&gt;AK25,1,0)))</f>
        <v>1</v>
      </c>
      <c r="AM7" s="185">
        <v>200</v>
      </c>
      <c r="AN7" s="109">
        <f>IF(SUM(AM7:AM9)+AM25=0,0,IF(SUM(AM7:AM9)=AM25,0.5,IF(SUM(AM7:AM9)&gt;AM25,1,0)))</f>
        <v>0</v>
      </c>
      <c r="AO7" s="185">
        <v>279</v>
      </c>
      <c r="AP7" s="109">
        <f>IF(SUM(AO7:AO9)+AO25=0,0,IF(SUM(AO7:AO9)=AO25,0.5,IF(SUM(AO7:AO9)&gt;AO25,1,0)))</f>
        <v>1</v>
      </c>
      <c r="AQ7" s="185">
        <v>179</v>
      </c>
      <c r="AR7" s="109">
        <f>IF(SUM(AQ7:AQ9)+AQ25=0,0,IF(SUM(AQ7:AQ9)=AQ25,0.5,IF(SUM(AQ7:AQ9)&gt;AQ25,1,0)))</f>
        <v>0</v>
      </c>
      <c r="AS7" s="185">
        <v>189</v>
      </c>
      <c r="AT7" s="109">
        <f>IF(SUM(AS7:AS9)+AS25=0,0,IF(SUM(AS7:AS9)=AS25,0.5,IF(SUM(AS7:AS9)&gt;AS25,1,0)))</f>
        <v>0.5</v>
      </c>
      <c r="AU7" s="110">
        <f t="shared" ref="AU7:AU18" si="8">ABS(SUM(AC7:AC7))+ABS(SUM(AE7:AE7))+ABS(SUM(AG7:AG7))+ABS(SUM(AI7:AI7))+ABS(SUM(AK7:AK7))+ABS(SUM(AM7:AM7))+ABS(SUM(AO7:AO7))+ABS(SUM(AQ7:AQ7))+ABS(SUM(AS7:AS7))</f>
        <v>2010</v>
      </c>
      <c r="AV7" s="111">
        <f>SUM(AD7+AF7+AH7+AJ7+AL7+AN7+AP7+AR7+AT7)</f>
        <v>5.5</v>
      </c>
      <c r="AW7" s="101"/>
      <c r="AX7" s="102"/>
      <c r="AZ7" s="63"/>
      <c r="BA7" s="212"/>
      <c r="BB7" s="213"/>
      <c r="BC7" s="214"/>
      <c r="BD7" s="217">
        <f>+AB7</f>
        <v>7734</v>
      </c>
      <c r="BE7" s="213">
        <f>+AU7</f>
        <v>2010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176</v>
      </c>
      <c r="BI7" s="215">
        <f t="shared" ref="BI7:BI18" si="10">IF(AE7=0,"",AE7)</f>
        <v>300</v>
      </c>
      <c r="BJ7" s="215">
        <f t="shared" ref="BJ7:BJ18" si="11">IF(AG7=0,"",AG7)</f>
        <v>217</v>
      </c>
      <c r="BK7" s="215">
        <f t="shared" ref="BK7:BK18" si="12">IF(AI7=0,"",AI7)</f>
        <v>204</v>
      </c>
      <c r="BL7" s="215">
        <f t="shared" ref="BL7:BL18" si="13">IF(AK7=0,"",AK7)</f>
        <v>266</v>
      </c>
      <c r="BM7" s="215">
        <f t="shared" ref="BM7:BM18" si="14">IF(AM7=0,"",AM7)</f>
        <v>200</v>
      </c>
      <c r="BN7" s="215">
        <f t="shared" ref="BN7:BN18" si="15">IF(AO7=0,"",AO7)</f>
        <v>279</v>
      </c>
      <c r="BO7" s="215">
        <f t="shared" ref="BO7:BO18" si="16">IF(AQ7=0,"",AQ7)</f>
        <v>179</v>
      </c>
      <c r="BP7" s="215">
        <f t="shared" ref="BP7:BP18" si="17">IF(AS7=0,"",AS7)</f>
        <v>189</v>
      </c>
      <c r="BQ7" s="216"/>
      <c r="BR7" s="214"/>
      <c r="BS7" s="215">
        <f>MAX(BH7:BP7)</f>
        <v>300</v>
      </c>
      <c r="BT7" s="215">
        <f>IF(BS7&lt;MAX(BS:BS),0,BS7+ROW()/1000000000)</f>
        <v>300.00000000699998</v>
      </c>
      <c r="BU7" s="215" t="str">
        <f>+AA3</f>
        <v>BC Comet Nürnberg</v>
      </c>
      <c r="BV7" s="214">
        <f>RANK(BT7,BT:BT)</f>
        <v>2</v>
      </c>
      <c r="BW7" s="215">
        <f>SUMIF(BH7:BP7,"&gt;0")</f>
        <v>2010</v>
      </c>
      <c r="BX7" s="215">
        <f>IF(COUNTIF(BH7:BP7,"&gt;0")&lt;Spielorte!$A$23,0,BE7/Spielorte!$A$23)</f>
        <v>223.33333333333334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7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3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8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3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6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220</v>
      </c>
      <c r="E10" s="348">
        <f>IF(AD10="","",AD10)</f>
        <v>1</v>
      </c>
      <c r="F10" s="75">
        <f t="shared" si="0"/>
        <v>224</v>
      </c>
      <c r="G10" s="348">
        <f>IF(AF10="","",AF10)</f>
        <v>0</v>
      </c>
      <c r="H10" s="75">
        <f t="shared" si="1"/>
        <v>188</v>
      </c>
      <c r="I10" s="348">
        <f>IF(AH10="","",AH10)</f>
        <v>0</v>
      </c>
      <c r="J10" s="75">
        <f t="shared" si="2"/>
        <v>174</v>
      </c>
      <c r="K10" s="348">
        <f>IF(AJ10="","",AJ10)</f>
        <v>0</v>
      </c>
      <c r="L10" s="75">
        <f t="shared" si="3"/>
        <v>224</v>
      </c>
      <c r="M10" s="348">
        <f>IF(AL10="","",AL10)</f>
        <v>0</v>
      </c>
      <c r="N10" s="75">
        <f t="shared" si="20"/>
        <v>236</v>
      </c>
      <c r="O10" s="348">
        <f>IF(AN10="","",AN10)</f>
        <v>1</v>
      </c>
      <c r="P10" s="75">
        <f t="shared" si="4"/>
        <v>216</v>
      </c>
      <c r="Q10" s="348">
        <f>IF(AP10="","",AP10)</f>
        <v>1</v>
      </c>
      <c r="R10" s="75">
        <f t="shared" si="5"/>
        <v>210</v>
      </c>
      <c r="S10" s="348">
        <f>IF(AR10="","",AR10)</f>
        <v>0</v>
      </c>
      <c r="T10" s="75">
        <f t="shared" si="6"/>
        <v>245</v>
      </c>
      <c r="U10" s="348">
        <f>IF(AT10="","",AT10)</f>
        <v>1</v>
      </c>
      <c r="V10" s="75">
        <f t="shared" si="7"/>
        <v>1937</v>
      </c>
      <c r="W10" s="348">
        <f>IF(AV10="","",AV10)</f>
        <v>4</v>
      </c>
      <c r="Z10" s="351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220</v>
      </c>
      <c r="AD10" s="109">
        <f>IF(SUM(AC10:AC12)+AC26=0,0,IF(SUM(AC10:AC12)=AC26,0.5,IF(SUM(AC10:AC12)&gt;AC26,1,0)))</f>
        <v>1</v>
      </c>
      <c r="AE10" s="188">
        <v>224</v>
      </c>
      <c r="AF10" s="109">
        <f>IF(SUM(AE10:AE12)+AE26=0,0,IF(SUM(AE10:AE12)=AE26,0.5,IF(SUM(AE10:AE12)&gt;AE26,1,0)))</f>
        <v>0</v>
      </c>
      <c r="AG10" s="188">
        <v>188</v>
      </c>
      <c r="AH10" s="109">
        <f>IF(SUM(AG10:AG12)+AG26=0,0,IF(SUM(AG10:AG12)=AG26,0.5,IF(SUM(AG10:AG12)&gt;AG26,1,0)))</f>
        <v>0</v>
      </c>
      <c r="AI10" s="188">
        <v>174</v>
      </c>
      <c r="AJ10" s="109">
        <f>IF(SUM(AI10:AI12)+AI26=0,0,IF(SUM(AI10:AI12)=AI26,0.5,IF(SUM(AI10:AI12)&gt;AI26,1,0)))</f>
        <v>0</v>
      </c>
      <c r="AK10" s="188">
        <v>224</v>
      </c>
      <c r="AL10" s="109">
        <f>IF(SUM(AK10:AK12)+AK26=0,0,IF(SUM(AK10:AK12)=AK26,0.5,IF(SUM(AK10:AK12)&gt;AK26,1,0)))</f>
        <v>0</v>
      </c>
      <c r="AM10" s="188">
        <v>236</v>
      </c>
      <c r="AN10" s="109">
        <f>IF(SUM(AM10:AM12)+AM26=0,0,IF(SUM(AM10:AM12)=AM26,0.5,IF(SUM(AM10:AM12)&gt;AM26,1,0)))</f>
        <v>1</v>
      </c>
      <c r="AO10" s="188">
        <v>216</v>
      </c>
      <c r="AP10" s="109">
        <f>IF(SUM(AO10:AO12)+AO26=0,0,IF(SUM(AO10:AO12)=AO26,0.5,IF(SUM(AO10:AO12)&gt;AO26,1,0)))</f>
        <v>1</v>
      </c>
      <c r="AQ10" s="188">
        <v>210</v>
      </c>
      <c r="AR10" s="109">
        <f>IF(SUM(AQ10:AQ12)+AQ26=0,0,IF(SUM(AQ10:AQ12)=AQ26,0.5,IF(SUM(AQ10:AQ12)&gt;AQ26,1,0)))</f>
        <v>0</v>
      </c>
      <c r="AS10" s="188">
        <v>245</v>
      </c>
      <c r="AT10" s="109">
        <f>IF(SUM(AS10:AS12)+AS26=0,0,IF(SUM(AS10:AS12)=AS26,0.5,IF(SUM(AS10:AS12)&gt;AS26,1,0)))</f>
        <v>1</v>
      </c>
      <c r="AU10" s="110">
        <f t="shared" si="8"/>
        <v>1937</v>
      </c>
      <c r="AV10" s="111">
        <f>SUM(AD10+AF10+AH10+AJ10+AL10+AN10+AP10+AR10+AT10)</f>
        <v>4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1937</v>
      </c>
      <c r="BF10" s="215">
        <f t="shared" si="23"/>
        <v>9</v>
      </c>
      <c r="BG10" s="215">
        <f t="shared" si="24"/>
        <v>9</v>
      </c>
      <c r="BH10" s="215">
        <f t="shared" si="9"/>
        <v>220</v>
      </c>
      <c r="BI10" s="215">
        <f t="shared" si="10"/>
        <v>224</v>
      </c>
      <c r="BJ10" s="215">
        <f t="shared" si="11"/>
        <v>188</v>
      </c>
      <c r="BK10" s="215">
        <f t="shared" si="12"/>
        <v>174</v>
      </c>
      <c r="BL10" s="215">
        <f t="shared" si="13"/>
        <v>224</v>
      </c>
      <c r="BM10" s="215">
        <f t="shared" si="14"/>
        <v>236</v>
      </c>
      <c r="BN10" s="215">
        <f t="shared" si="15"/>
        <v>216</v>
      </c>
      <c r="BO10" s="215">
        <f t="shared" si="16"/>
        <v>210</v>
      </c>
      <c r="BP10" s="215">
        <f t="shared" si="17"/>
        <v>245</v>
      </c>
      <c r="BQ10" s="216"/>
      <c r="BR10" s="214"/>
      <c r="BS10" s="215">
        <f t="shared" si="25"/>
        <v>245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3</v>
      </c>
      <c r="BW10" s="215">
        <f t="shared" si="29"/>
        <v>1937</v>
      </c>
      <c r="BX10" s="215">
        <f>IF(COUNTIF(BH10:BP10,"&gt;0")&lt;Spielorte!$A$23,0,BE10/Spielorte!$A$23)</f>
        <v>215.22222222222223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7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3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8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3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6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162</v>
      </c>
      <c r="E13" s="348">
        <f>IF(AD13="","",AD13)</f>
        <v>0</v>
      </c>
      <c r="F13" s="75" t="str">
        <f t="shared" si="0"/>
        <v/>
      </c>
      <c r="G13" s="348">
        <f>IF(AF13="","",AF13)</f>
        <v>1</v>
      </c>
      <c r="H13" s="75" t="str">
        <f t="shared" si="1"/>
        <v/>
      </c>
      <c r="I13" s="348">
        <f>IF(AH13="","",AH13)</f>
        <v>1</v>
      </c>
      <c r="J13" s="75" t="str">
        <f t="shared" si="2"/>
        <v/>
      </c>
      <c r="K13" s="348">
        <f>IF(AJ13="","",AJ13)</f>
        <v>1</v>
      </c>
      <c r="L13" s="75" t="str">
        <f t="shared" si="3"/>
        <v/>
      </c>
      <c r="M13" s="348">
        <f>IF(AL13="","",AL13)</f>
        <v>1</v>
      </c>
      <c r="N13" s="75" t="str">
        <f t="shared" si="20"/>
        <v/>
      </c>
      <c r="O13" s="348">
        <f>IF(AN13="","",AN13)</f>
        <v>1</v>
      </c>
      <c r="P13" s="75" t="str">
        <f t="shared" si="4"/>
        <v/>
      </c>
      <c r="Q13" s="348">
        <f>IF(AP13="","",AP13)</f>
        <v>0</v>
      </c>
      <c r="R13" s="75" t="str">
        <f t="shared" si="5"/>
        <v/>
      </c>
      <c r="S13" s="348">
        <f>IF(AR13="","",AR13)</f>
        <v>1</v>
      </c>
      <c r="T13" s="75" t="str">
        <f t="shared" si="6"/>
        <v/>
      </c>
      <c r="U13" s="348">
        <f>IF(AT13="","",AT13)</f>
        <v>0</v>
      </c>
      <c r="V13" s="75">
        <f t="shared" si="7"/>
        <v>162</v>
      </c>
      <c r="W13" s="348">
        <f>IF(AV13="","",AV13)</f>
        <v>6</v>
      </c>
      <c r="Z13" s="351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162</v>
      </c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1</v>
      </c>
      <c r="AG13" s="188"/>
      <c r="AH13" s="109">
        <f>IF(SUM(AG13:AG15)+AG27=0,0,IF(SUM(AG13:AG15)=AG27,0.5,IF(SUM(AG13:AG15)&gt;AG27,1,0)))</f>
        <v>1</v>
      </c>
      <c r="AI13" s="188"/>
      <c r="AJ13" s="109">
        <f>IF(SUM(AI13:AI15)+AI27=0,0,IF(SUM(AI13:AI15)=AI27,0.5,IF(SUM(AI13:AI15)&gt;AI27,1,0)))</f>
        <v>1</v>
      </c>
      <c r="AK13" s="188"/>
      <c r="AL13" s="109">
        <f>IF(SUM(AK13:AK15)+AK27=0,0,IF(SUM(AK13:AK15)=AK27,0.5,IF(SUM(AK13:AK15)&gt;AK27,1,0)))</f>
        <v>1</v>
      </c>
      <c r="AM13" s="188"/>
      <c r="AN13" s="109">
        <f>IF(SUM(AM13:AM15)+AM27=0,0,IF(SUM(AM13:AM15)=AM27,0.5,IF(SUM(AM13:AM15)&gt;AM27,1,0)))</f>
        <v>1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0</v>
      </c>
      <c r="AU13" s="110">
        <f t="shared" si="8"/>
        <v>162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162</v>
      </c>
      <c r="BF13" s="215">
        <f t="shared" si="23"/>
        <v>1</v>
      </c>
      <c r="BG13" s="215">
        <f t="shared" si="24"/>
        <v>1</v>
      </c>
      <c r="BH13" s="215">
        <f t="shared" si="9"/>
        <v>162</v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162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3</v>
      </c>
      <c r="BW13" s="215">
        <f t="shared" si="29"/>
        <v>162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7"/>
      <c r="B14" s="76" t="str">
        <f t="shared" si="19"/>
        <v>Schlick, Christian</v>
      </c>
      <c r="C14" s="77">
        <f t="shared" si="19"/>
        <v>7724</v>
      </c>
      <c r="D14" s="78" t="str">
        <f t="shared" si="19"/>
        <v/>
      </c>
      <c r="E14" s="349"/>
      <c r="F14" s="78">
        <f t="shared" si="0"/>
        <v>214</v>
      </c>
      <c r="G14" s="349"/>
      <c r="H14" s="78">
        <f t="shared" si="1"/>
        <v>209</v>
      </c>
      <c r="I14" s="349"/>
      <c r="J14" s="78">
        <f t="shared" si="2"/>
        <v>199</v>
      </c>
      <c r="K14" s="349"/>
      <c r="L14" s="78">
        <f t="shared" si="3"/>
        <v>228</v>
      </c>
      <c r="M14" s="349"/>
      <c r="N14" s="78">
        <f t="shared" si="20"/>
        <v>222</v>
      </c>
      <c r="O14" s="349"/>
      <c r="P14" s="78">
        <f t="shared" si="4"/>
        <v>180</v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>
        <f t="shared" si="7"/>
        <v>1252</v>
      </c>
      <c r="W14" s="349"/>
      <c r="Z14" s="352"/>
      <c r="AA14" s="108" t="str">
        <f>IF(AB14=0,"",VLOOKUP(AB14,Starter!$A$1:$D$199,2,FALSE))</f>
        <v>Schlick, Christian</v>
      </c>
      <c r="AB14" s="98">
        <v>7724</v>
      </c>
      <c r="AC14" s="186"/>
      <c r="AD14" s="112"/>
      <c r="AE14" s="186">
        <v>214</v>
      </c>
      <c r="AF14" s="112"/>
      <c r="AG14" s="186">
        <v>209</v>
      </c>
      <c r="AH14" s="112"/>
      <c r="AI14" s="186">
        <v>199</v>
      </c>
      <c r="AJ14" s="112"/>
      <c r="AK14" s="186">
        <v>228</v>
      </c>
      <c r="AL14" s="112"/>
      <c r="AM14" s="186">
        <v>222</v>
      </c>
      <c r="AN14" s="112"/>
      <c r="AO14" s="186">
        <v>180</v>
      </c>
      <c r="AP14" s="112"/>
      <c r="AQ14" s="186"/>
      <c r="AR14" s="112"/>
      <c r="AS14" s="186"/>
      <c r="AT14" s="112"/>
      <c r="AU14" s="113">
        <f t="shared" si="8"/>
        <v>1252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7724</v>
      </c>
      <c r="BE14" s="213">
        <f t="shared" si="22"/>
        <v>1252</v>
      </c>
      <c r="BF14" s="215">
        <f t="shared" si="23"/>
        <v>6</v>
      </c>
      <c r="BG14" s="215">
        <f t="shared" si="24"/>
        <v>6</v>
      </c>
      <c r="BH14" s="215" t="str">
        <f t="shared" si="9"/>
        <v/>
      </c>
      <c r="BI14" s="215">
        <f t="shared" si="10"/>
        <v>214</v>
      </c>
      <c r="BJ14" s="215">
        <f t="shared" si="11"/>
        <v>209</v>
      </c>
      <c r="BK14" s="215">
        <f t="shared" si="12"/>
        <v>199</v>
      </c>
      <c r="BL14" s="215">
        <f t="shared" si="13"/>
        <v>228</v>
      </c>
      <c r="BM14" s="215">
        <f t="shared" si="14"/>
        <v>222</v>
      </c>
      <c r="BN14" s="215">
        <f t="shared" si="15"/>
        <v>180</v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228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3</v>
      </c>
      <c r="BW14" s="215">
        <f t="shared" si="29"/>
        <v>1252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8"/>
      <c r="B15" s="79" t="str">
        <f t="shared" si="19"/>
        <v>Mittelmaier, Andreas</v>
      </c>
      <c r="C15" s="80">
        <f t="shared" si="19"/>
        <v>16896</v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>
        <f t="shared" si="5"/>
        <v>210</v>
      </c>
      <c r="S15" s="350"/>
      <c r="T15" s="69">
        <f t="shared" si="6"/>
        <v>211</v>
      </c>
      <c r="U15" s="350"/>
      <c r="V15" s="69">
        <f t="shared" si="7"/>
        <v>421</v>
      </c>
      <c r="W15" s="350"/>
      <c r="Z15" s="353"/>
      <c r="AA15" s="118" t="str">
        <f>IF(AB15=0,"",VLOOKUP(AB15,Starter!$A$1:$D$199,2,FALSE))</f>
        <v>Mittelmaier, Andreas</v>
      </c>
      <c r="AB15" s="100">
        <v>16896</v>
      </c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>
        <v>210</v>
      </c>
      <c r="AR15" s="119"/>
      <c r="AS15" s="189">
        <v>211</v>
      </c>
      <c r="AT15" s="119"/>
      <c r="AU15" s="116">
        <f t="shared" si="8"/>
        <v>421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16896</v>
      </c>
      <c r="BE15" s="213">
        <f t="shared" si="22"/>
        <v>421</v>
      </c>
      <c r="BF15" s="215">
        <f t="shared" si="23"/>
        <v>2</v>
      </c>
      <c r="BG15" s="215">
        <f t="shared" si="24"/>
        <v>2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>
        <f t="shared" si="16"/>
        <v>210</v>
      </c>
      <c r="BP15" s="215">
        <f t="shared" si="17"/>
        <v>211</v>
      </c>
      <c r="BQ15" s="216"/>
      <c r="BR15" s="214"/>
      <c r="BS15" s="215">
        <f t="shared" si="25"/>
        <v>211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3</v>
      </c>
      <c r="BW15" s="215">
        <f t="shared" si="29"/>
        <v>421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6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232</v>
      </c>
      <c r="E16" s="348">
        <f>IF(AD16="","",AD16)</f>
        <v>1</v>
      </c>
      <c r="F16" s="75">
        <f t="shared" si="0"/>
        <v>233</v>
      </c>
      <c r="G16" s="348">
        <f>IF(AF16="","",AF16)</f>
        <v>1</v>
      </c>
      <c r="H16" s="75">
        <f t="shared" si="1"/>
        <v>265</v>
      </c>
      <c r="I16" s="348">
        <f>IF(AH16="","",AH16)</f>
        <v>1</v>
      </c>
      <c r="J16" s="75">
        <f t="shared" si="2"/>
        <v>215</v>
      </c>
      <c r="K16" s="348">
        <f>IF(AJ16="","",AJ16)</f>
        <v>0</v>
      </c>
      <c r="L16" s="75">
        <f t="shared" si="3"/>
        <v>200</v>
      </c>
      <c r="M16" s="348">
        <f>IF(AL16="","",AL16)</f>
        <v>1</v>
      </c>
      <c r="N16" s="75">
        <f t="shared" si="20"/>
        <v>184</v>
      </c>
      <c r="O16" s="348">
        <f>IF(AN16="","",AN16)</f>
        <v>0</v>
      </c>
      <c r="P16" s="75">
        <f t="shared" si="4"/>
        <v>213</v>
      </c>
      <c r="Q16" s="348">
        <f>IF(AP16="","",AP16)</f>
        <v>0</v>
      </c>
      <c r="R16" s="75">
        <f t="shared" si="5"/>
        <v>214</v>
      </c>
      <c r="S16" s="348">
        <f>IF(AR16="","",AR16)</f>
        <v>0</v>
      </c>
      <c r="T16" s="75">
        <f t="shared" si="6"/>
        <v>170</v>
      </c>
      <c r="U16" s="348">
        <f>IF(AT16="","",AT16)</f>
        <v>0</v>
      </c>
      <c r="V16" s="75">
        <f t="shared" si="7"/>
        <v>1926</v>
      </c>
      <c r="W16" s="348">
        <f>IF(AV16="","",AV16)</f>
        <v>4</v>
      </c>
      <c r="Z16" s="351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232</v>
      </c>
      <c r="AD16" s="109">
        <f>IF(SUM(AC16:AC18)+AC28=0,0,IF(SUM(AC16:AC18)=AC28,0.5,IF(SUM(AC16:AC18)&gt;AC28,1,0)))</f>
        <v>1</v>
      </c>
      <c r="AE16" s="188">
        <v>233</v>
      </c>
      <c r="AF16" s="109">
        <f>IF(SUM(AE16:AE18)+AE28=0,0,IF(SUM(AE16:AE18)=AE28,0.5,IF(SUM(AE16:AE18)&gt;AE28,1,0)))</f>
        <v>1</v>
      </c>
      <c r="AG16" s="188">
        <v>265</v>
      </c>
      <c r="AH16" s="109">
        <f>IF(SUM(AG16:AG18)+AG28=0,0,IF(SUM(AG16:AG18)=AG28,0.5,IF(SUM(AG16:AG18)&gt;AG28,1,0)))</f>
        <v>1</v>
      </c>
      <c r="AI16" s="188">
        <v>215</v>
      </c>
      <c r="AJ16" s="109">
        <f>IF(SUM(AI16:AI18)+AI28=0,0,IF(SUM(AI16:AI18)=AI28,0.5,IF(SUM(AI16:AI18)&gt;AI28,1,0)))</f>
        <v>0</v>
      </c>
      <c r="AK16" s="188">
        <v>200</v>
      </c>
      <c r="AL16" s="109">
        <f>IF(SUM(AK16:AK18)+AK28=0,0,IF(SUM(AK16:AK18)=AK28,0.5,IF(SUM(AK16:AK18)&gt;AK28,1,0)))</f>
        <v>1</v>
      </c>
      <c r="AM16" s="188">
        <v>184</v>
      </c>
      <c r="AN16" s="109">
        <f>IF(SUM(AM16:AM18)+AM28=0,0,IF(SUM(AM16:AM18)=AM28,0.5,IF(SUM(AM16:AM18)&gt;AM28,1,0)))</f>
        <v>0</v>
      </c>
      <c r="AO16" s="188">
        <v>213</v>
      </c>
      <c r="AP16" s="109">
        <f>IF(SUM(AO16:AO18)+AO28=0,0,IF(SUM(AO16:AO18)=AO28,0.5,IF(SUM(AO16:AO18)&gt;AO28,1,0)))</f>
        <v>0</v>
      </c>
      <c r="AQ16" s="188">
        <v>214</v>
      </c>
      <c r="AR16" s="109">
        <f>IF(SUM(AQ16:AQ18)+AQ28=0,0,IF(SUM(AQ16:AQ18)=AQ28,0.5,IF(SUM(AQ16:AQ18)&gt;AQ28,1,0)))</f>
        <v>0</v>
      </c>
      <c r="AS16" s="188">
        <v>170</v>
      </c>
      <c r="AT16" s="109">
        <f>IF(SUM(AS16:AS18)+AS28=0,0,IF(SUM(AS16:AS18)=AS28,0.5,IF(SUM(AS16:AS18)&gt;AS28,1,0)))</f>
        <v>0</v>
      </c>
      <c r="AU16" s="110">
        <f t="shared" si="8"/>
        <v>1926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1926</v>
      </c>
      <c r="BF16" s="215">
        <f t="shared" si="23"/>
        <v>9</v>
      </c>
      <c r="BG16" s="215">
        <f t="shared" si="24"/>
        <v>9</v>
      </c>
      <c r="BH16" s="215">
        <f t="shared" si="9"/>
        <v>232</v>
      </c>
      <c r="BI16" s="215">
        <f t="shared" si="10"/>
        <v>233</v>
      </c>
      <c r="BJ16" s="215">
        <f t="shared" si="11"/>
        <v>265</v>
      </c>
      <c r="BK16" s="215">
        <f t="shared" si="12"/>
        <v>215</v>
      </c>
      <c r="BL16" s="215">
        <f t="shared" si="13"/>
        <v>200</v>
      </c>
      <c r="BM16" s="215">
        <f t="shared" si="14"/>
        <v>184</v>
      </c>
      <c r="BN16" s="215">
        <f t="shared" si="15"/>
        <v>213</v>
      </c>
      <c r="BO16" s="215">
        <f t="shared" si="16"/>
        <v>214</v>
      </c>
      <c r="BP16" s="215">
        <f t="shared" si="17"/>
        <v>170</v>
      </c>
      <c r="BQ16" s="216"/>
      <c r="BR16" s="214"/>
      <c r="BS16" s="215">
        <f t="shared" si="25"/>
        <v>265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3</v>
      </c>
      <c r="BW16" s="215">
        <f t="shared" si="29"/>
        <v>1926</v>
      </c>
      <c r="BX16" s="215">
        <f>IF(COUNTIF(BH16:BP16,"&gt;0")&lt;Spielorte!$A$23,0,BE16/Spielorte!$A$23)</f>
        <v>214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7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3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8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3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790</v>
      </c>
      <c r="E19" s="84">
        <f>IF(AD19="","",AD19)</f>
        <v>2</v>
      </c>
      <c r="F19" s="83">
        <f t="shared" si="0"/>
        <v>971</v>
      </c>
      <c r="G19" s="84">
        <f>IF(AF19="","",AF19)</f>
        <v>2</v>
      </c>
      <c r="H19" s="83">
        <f t="shared" si="1"/>
        <v>879</v>
      </c>
      <c r="I19" s="84">
        <f>IF(AH19="","",AH19)</f>
        <v>2</v>
      </c>
      <c r="J19" s="83">
        <f t="shared" si="2"/>
        <v>792</v>
      </c>
      <c r="K19" s="84">
        <f>IF(AJ19="","",AJ19)</f>
        <v>0</v>
      </c>
      <c r="L19" s="83">
        <f t="shared" si="3"/>
        <v>918</v>
      </c>
      <c r="M19" s="84">
        <f>IF(AL19="","",AL19)</f>
        <v>2</v>
      </c>
      <c r="N19" s="83">
        <f t="shared" si="20"/>
        <v>842</v>
      </c>
      <c r="O19" s="84">
        <f>IF(AN19="","",AN19)</f>
        <v>2</v>
      </c>
      <c r="P19" s="83">
        <f t="shared" si="4"/>
        <v>888</v>
      </c>
      <c r="Q19" s="84">
        <f>IF(AP19="","",AP19)</f>
        <v>0</v>
      </c>
      <c r="R19" s="83">
        <f t="shared" si="5"/>
        <v>813</v>
      </c>
      <c r="S19" s="84">
        <f>IF(AR19="","",AR19)</f>
        <v>2</v>
      </c>
      <c r="T19" s="83">
        <f t="shared" si="6"/>
        <v>815</v>
      </c>
      <c r="U19" s="84">
        <f>IF(AT19="","",AT19)</f>
        <v>2</v>
      </c>
      <c r="V19" s="83">
        <f t="shared" si="7"/>
        <v>7708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790</v>
      </c>
      <c r="AD19" s="121">
        <f>IF(AC19+AC29=0,0,IF(AC19=AC29,1,IF(AC19&gt;AC29,2,0)))</f>
        <v>2</v>
      </c>
      <c r="AE19" s="211">
        <f>ABS(SUM(AE7:AE9))+ABS(SUM(AE10:AE12))+ABS(SUM(AE13:AE15))+ABS(SUM(AE16:AE18))</f>
        <v>971</v>
      </c>
      <c r="AF19" s="121">
        <f>IF(AE19+AE29=0,0,IF(AE19=AE29,1,IF(AE19&gt;AE29,2,0)))</f>
        <v>2</v>
      </c>
      <c r="AG19" s="211">
        <f>ABS(SUM(AG7:AG9))+ABS(SUM(AG10:AG12))+ABS(SUM(AG13:AG15))+ABS(SUM(AG16:AG18))</f>
        <v>879</v>
      </c>
      <c r="AH19" s="121">
        <f>IF(AG19+AG29=0,0,IF(AG19=AG29,1,IF(AG19&gt;AG29,2,0)))</f>
        <v>2</v>
      </c>
      <c r="AI19" s="211">
        <f>ABS(SUM(AI7:AI9))+ABS(SUM(AI10:AI12))+ABS(SUM(AI13:AI15))+ABS(SUM(AI16:AI18))</f>
        <v>792</v>
      </c>
      <c r="AJ19" s="121">
        <f>IF(AI19+AI29=0,0,IF(AI19=AI29,1,IF(AI19&gt;AI29,2,0)))</f>
        <v>0</v>
      </c>
      <c r="AK19" s="211">
        <f>ABS(SUM(AK7:AK9))+ABS(SUM(AK10:AK12))+ABS(SUM(AK13:AK15))+ABS(SUM(AK16:AK18))</f>
        <v>918</v>
      </c>
      <c r="AL19" s="121">
        <f>IF(AK19+AK29=0,0,IF(AK19=AK29,1,IF(AK19&gt;AK29,2,0)))</f>
        <v>2</v>
      </c>
      <c r="AM19" s="211">
        <f>ABS(SUM(AM7:AM9))+ABS(SUM(AM10:AM12))+ABS(SUM(AM13:AM15))+ABS(SUM(AM16:AM18))</f>
        <v>842</v>
      </c>
      <c r="AN19" s="121">
        <f>IF(AM19+AM29=0,0,IF(AM19=AM29,1,IF(AM19&gt;AM29,2,0)))</f>
        <v>2</v>
      </c>
      <c r="AO19" s="211">
        <f>ABS(SUM(AO7:AO9))+ABS(SUM(AO10:AO12))+ABS(SUM(AO13:AO15))+ABS(SUM(AO16:AO18))</f>
        <v>888</v>
      </c>
      <c r="AP19" s="121">
        <f>IF(AO19+AO29=0,0,IF(AO19=AO29,1,IF(AO19&gt;AO29,2,0)))</f>
        <v>0</v>
      </c>
      <c r="AQ19" s="211">
        <f>ABS(SUM(AQ7:AQ9))+ABS(SUM(AQ10:AQ12))+ABS(SUM(AQ13:AQ15))+ABS(SUM(AQ16:AQ18))</f>
        <v>813</v>
      </c>
      <c r="AR19" s="121">
        <f>IF(AQ19+AQ29=0,0,IF(AQ19=AQ29,1,IF(AQ19&gt;AQ29,2,0)))</f>
        <v>2</v>
      </c>
      <c r="AS19" s="211">
        <f>ABS(SUM(AS7:AS9))+ABS(SUM(AS10:AS12))+ABS(SUM(AS13:AS15))+ABS(SUM(AS16:AS18))</f>
        <v>815</v>
      </c>
      <c r="AT19" s="121">
        <f>IF(AS19+AS29=0,0,IF(AS19=AS29,1,IF(AS19&gt;AS29,2,0)))</f>
        <v>2</v>
      </c>
      <c r="AU19" s="122">
        <f>SUM(AC19+AE19+AG19+AI19+AK19+AM19+AO19+AQ19+AS19)</f>
        <v>7708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1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3</v>
      </c>
      <c r="T20" s="86" t="str">
        <f t="shared" si="6"/>
        <v/>
      </c>
      <c r="U20" s="87">
        <f>IF(AT20="","",AT20)</f>
        <v>3.5</v>
      </c>
      <c r="V20" s="86" t="str">
        <f t="shared" si="7"/>
        <v/>
      </c>
      <c r="W20" s="87">
        <f>IF(AV20="","",AV20)</f>
        <v>33.5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5</v>
      </c>
      <c r="AG20" s="86"/>
      <c r="AH20" s="124">
        <f>SUM(AH7:AH19)</f>
        <v>5</v>
      </c>
      <c r="AI20" s="86"/>
      <c r="AJ20" s="124">
        <f>SUM(AJ7:AJ19)</f>
        <v>1</v>
      </c>
      <c r="AK20" s="86"/>
      <c r="AL20" s="124">
        <f>SUM(AL7:AL19)</f>
        <v>5</v>
      </c>
      <c r="AM20" s="86"/>
      <c r="AN20" s="124">
        <f>SUM(AN7:AN19)</f>
        <v>4</v>
      </c>
      <c r="AO20" s="86"/>
      <c r="AP20" s="124">
        <f>SUM(AP7:AP19)</f>
        <v>2</v>
      </c>
      <c r="AQ20" s="86"/>
      <c r="AR20" s="124">
        <f>SUM(AR7:AR19)</f>
        <v>3</v>
      </c>
      <c r="AS20" s="86"/>
      <c r="AT20" s="124">
        <f>SUM(AT7:AT19)</f>
        <v>3.5</v>
      </c>
      <c r="AU20" s="86"/>
      <c r="AV20" s="125">
        <f>SUM(AV7:AV19)</f>
        <v>33.5</v>
      </c>
      <c r="AW20" s="101"/>
      <c r="AX20" s="102"/>
      <c r="BA20" s="212">
        <f>+AV20</f>
        <v>33.5</v>
      </c>
      <c r="BB20" s="213">
        <f>+AU19</f>
        <v>7708</v>
      </c>
      <c r="BC20" s="214">
        <f>+AA2</f>
        <v>1</v>
      </c>
      <c r="BF20" s="215">
        <f>SUM(BF1:BF19)</f>
        <v>36</v>
      </c>
      <c r="BQ20" s="212">
        <f>+BB20/1000000+BA20</f>
        <v>33.507708000000001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6">
        <f t="shared" si="31"/>
        <v>2</v>
      </c>
      <c r="E22" s="356" t="str">
        <f t="shared" si="31"/>
        <v/>
      </c>
      <c r="F22" s="356">
        <f t="shared" si="31"/>
        <v>6</v>
      </c>
      <c r="G22" s="356" t="str">
        <f t="shared" si="31"/>
        <v/>
      </c>
      <c r="H22" s="356">
        <f t="shared" si="31"/>
        <v>10</v>
      </c>
      <c r="I22" s="356" t="str">
        <f t="shared" si="31"/>
        <v/>
      </c>
      <c r="J22" s="356">
        <f t="shared" si="31"/>
        <v>9</v>
      </c>
      <c r="K22" s="356" t="str">
        <f t="shared" si="31"/>
        <v/>
      </c>
      <c r="L22" s="356">
        <f t="shared" ref="L22:U24" si="32">IF(AK22=0,"",AK22)</f>
        <v>4</v>
      </c>
      <c r="M22" s="356" t="str">
        <f t="shared" si="32"/>
        <v/>
      </c>
      <c r="N22" s="356">
        <f t="shared" si="32"/>
        <v>3</v>
      </c>
      <c r="O22" s="356" t="str">
        <f t="shared" si="32"/>
        <v/>
      </c>
      <c r="P22" s="356">
        <f t="shared" si="32"/>
        <v>5</v>
      </c>
      <c r="Q22" s="356" t="str">
        <f t="shared" si="32"/>
        <v/>
      </c>
      <c r="R22" s="356">
        <f t="shared" si="32"/>
        <v>8</v>
      </c>
      <c r="S22" s="356" t="str">
        <f t="shared" si="32"/>
        <v/>
      </c>
      <c r="T22" s="356">
        <f t="shared" si="32"/>
        <v>7</v>
      </c>
      <c r="U22" s="356" t="str">
        <f t="shared" si="32"/>
        <v/>
      </c>
      <c r="V22" s="357"/>
      <c r="W22" s="357"/>
      <c r="AA22" s="88" t="s">
        <v>1797</v>
      </c>
      <c r="AB22" s="89" t="s">
        <v>1798</v>
      </c>
      <c r="AC22" s="370">
        <f>VLOOKUP($AA2,Schlüssel!$A$5:$DG$14,83)</f>
        <v>2</v>
      </c>
      <c r="AD22" s="371"/>
      <c r="AE22" s="370">
        <f>VLOOKUP($AA2,Schlüssel!$A$5:$EK$14,84)</f>
        <v>6</v>
      </c>
      <c r="AF22" s="371"/>
      <c r="AG22" s="370">
        <f>VLOOKUP($AA2,Schlüssel!$A$5:$EK$14,85)</f>
        <v>10</v>
      </c>
      <c r="AH22" s="371"/>
      <c r="AI22" s="370">
        <f>VLOOKUP($AA2,Schlüssel!$A$5:$EK$14,86)</f>
        <v>9</v>
      </c>
      <c r="AJ22" s="371"/>
      <c r="AK22" s="370">
        <f>VLOOKUP($AA2,Schlüssel!$A$5:$EK$14,87)</f>
        <v>4</v>
      </c>
      <c r="AL22" s="371"/>
      <c r="AM22" s="370">
        <f>VLOOKUP($AA2,Schlüssel!$A$5:$EK$14,88)</f>
        <v>3</v>
      </c>
      <c r="AN22" s="371"/>
      <c r="AO22" s="370">
        <f>VLOOKUP($AA2,Schlüssel!$A$5:$EK$14,89)</f>
        <v>5</v>
      </c>
      <c r="AP22" s="371"/>
      <c r="AQ22" s="370">
        <f>VLOOKUP($AA2,Schlüssel!$A$5:$EK$14,90)</f>
        <v>8</v>
      </c>
      <c r="AR22" s="371"/>
      <c r="AS22" s="370">
        <f>VLOOKUP($AA2,Schlüssel!$A$5:$EK$14,91)</f>
        <v>7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8" t="str">
        <f t="shared" si="31"/>
        <v>Bajuwaren München 1</v>
      </c>
      <c r="E23" s="359" t="str">
        <f t="shared" si="31"/>
        <v/>
      </c>
      <c r="F23" s="358" t="str">
        <f t="shared" si="31"/>
        <v>SG Rottendorf 1</v>
      </c>
      <c r="G23" s="359" t="str">
        <f t="shared" si="31"/>
        <v/>
      </c>
      <c r="H23" s="358" t="str">
        <f t="shared" si="31"/>
        <v>High Roller Rosenheim 1</v>
      </c>
      <c r="I23" s="359" t="str">
        <f t="shared" si="31"/>
        <v/>
      </c>
      <c r="J23" s="358" t="str">
        <f t="shared" si="31"/>
        <v>Bowlinghaus Bamberg 1</v>
      </c>
      <c r="K23" s="359" t="str">
        <f t="shared" si="31"/>
        <v/>
      </c>
      <c r="L23" s="358" t="str">
        <f t="shared" si="32"/>
        <v>SG DJK Rimpar</v>
      </c>
      <c r="M23" s="359" t="str">
        <f t="shared" si="32"/>
        <v/>
      </c>
      <c r="N23" s="358" t="str">
        <f t="shared" si="32"/>
        <v>BK München 3</v>
      </c>
      <c r="O23" s="359" t="str">
        <f t="shared" si="32"/>
        <v/>
      </c>
      <c r="P23" s="358" t="str">
        <f t="shared" si="32"/>
        <v>RW Lichtenhof Stein 1</v>
      </c>
      <c r="Q23" s="359" t="str">
        <f t="shared" si="32"/>
        <v/>
      </c>
      <c r="R23" s="358" t="str">
        <f t="shared" si="32"/>
        <v>BC EMAX Unterföhring 2</v>
      </c>
      <c r="S23" s="359" t="str">
        <f t="shared" si="32"/>
        <v/>
      </c>
      <c r="T23" s="358" t="str">
        <f t="shared" si="32"/>
        <v>Schanzer Ingolstadt 1</v>
      </c>
      <c r="U23" s="359" t="str">
        <f t="shared" si="32"/>
        <v/>
      </c>
      <c r="V23" s="363"/>
      <c r="W23" s="363"/>
      <c r="AA23" s="90"/>
      <c r="AB23" s="86"/>
      <c r="AC23" s="358" t="str">
        <f>VLOOKUP(AC22,Schlüssel!$A$5:$K$14,2)</f>
        <v>Bajuwaren München 1</v>
      </c>
      <c r="AD23" s="359"/>
      <c r="AE23" s="358" t="str">
        <f>VLOOKUP(AE22,Schlüssel!$A$5:$K$14,2)</f>
        <v>SG Rottendorf 1</v>
      </c>
      <c r="AF23" s="359"/>
      <c r="AG23" s="358" t="str">
        <f>VLOOKUP(AG22,Schlüssel!$A$5:$K$14,2)</f>
        <v>High Roller Rosenheim 1</v>
      </c>
      <c r="AH23" s="359"/>
      <c r="AI23" s="358" t="str">
        <f>VLOOKUP(AI22,Schlüssel!$A$5:$K$14,2)</f>
        <v>Bowlinghaus Bamberg 1</v>
      </c>
      <c r="AJ23" s="359"/>
      <c r="AK23" s="358" t="str">
        <f>VLOOKUP(AK22,Schlüssel!$A$5:$K$14,2)</f>
        <v>SG DJK Rimpar</v>
      </c>
      <c r="AL23" s="359"/>
      <c r="AM23" s="358" t="str">
        <f>VLOOKUP(AM22,Schlüssel!$A$5:$K$14,2)</f>
        <v>BK München 3</v>
      </c>
      <c r="AN23" s="359"/>
      <c r="AO23" s="358" t="str">
        <f>VLOOKUP(AO22,Schlüssel!$A$5:$K$14,2)</f>
        <v>RW Lichtenhof Stein 1</v>
      </c>
      <c r="AP23" s="359"/>
      <c r="AQ23" s="358" t="str">
        <f>VLOOKUP(AQ22,Schlüssel!$A$5:$K$14,2)</f>
        <v>BC EMAX Unterföhring 2</v>
      </c>
      <c r="AR23" s="359"/>
      <c r="AS23" s="358" t="str">
        <f>VLOOKUP(AS22,Schlüssel!$A$5:$K$14,2)</f>
        <v>Schanzer Ingolstadt 1</v>
      </c>
      <c r="AT23" s="359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60" t="str">
        <f t="shared" si="31"/>
        <v/>
      </c>
      <c r="E24" s="360" t="str">
        <f t="shared" si="31"/>
        <v/>
      </c>
      <c r="F24" s="360" t="str">
        <f t="shared" si="31"/>
        <v/>
      </c>
      <c r="G24" s="360" t="str">
        <f t="shared" si="31"/>
        <v/>
      </c>
      <c r="H24" s="360" t="str">
        <f t="shared" si="31"/>
        <v/>
      </c>
      <c r="I24" s="360" t="str">
        <f t="shared" si="31"/>
        <v/>
      </c>
      <c r="J24" s="360" t="str">
        <f t="shared" si="31"/>
        <v/>
      </c>
      <c r="K24" s="360" t="str">
        <f t="shared" si="31"/>
        <v/>
      </c>
      <c r="L24" s="360" t="str">
        <f t="shared" si="32"/>
        <v/>
      </c>
      <c r="M24" s="360" t="str">
        <f t="shared" si="32"/>
        <v/>
      </c>
      <c r="N24" s="360" t="str">
        <f t="shared" si="32"/>
        <v/>
      </c>
      <c r="O24" s="360" t="str">
        <f t="shared" si="32"/>
        <v/>
      </c>
      <c r="P24" s="360" t="str">
        <f t="shared" si="32"/>
        <v/>
      </c>
      <c r="Q24" s="360" t="str">
        <f t="shared" si="32"/>
        <v/>
      </c>
      <c r="R24" s="360" t="str">
        <f t="shared" si="32"/>
        <v/>
      </c>
      <c r="S24" s="360" t="str">
        <f t="shared" si="32"/>
        <v/>
      </c>
      <c r="T24" s="360" t="str">
        <f t="shared" si="32"/>
        <v/>
      </c>
      <c r="U24" s="361" t="str">
        <f t="shared" si="32"/>
        <v/>
      </c>
      <c r="V24" s="298"/>
      <c r="W24" s="298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4" t="str">
        <f t="shared" ref="B25:C29" si="33">IF(AA25=0,"",AA25)</f>
        <v>Spieler 1</v>
      </c>
      <c r="C25" s="375" t="str">
        <f t="shared" si="33"/>
        <v/>
      </c>
      <c r="D25" s="362">
        <f>IF(AC25=301,"",AC25)</f>
        <v>171</v>
      </c>
      <c r="E25" s="362" t="str">
        <f>IF(AD25=0,"",AD25)</f>
        <v/>
      </c>
      <c r="F25" s="362">
        <f>IF(AE25=301,"",AE25)</f>
        <v>222</v>
      </c>
      <c r="G25" s="362" t="str">
        <f>IF(AF25=0,"",AF25)</f>
        <v/>
      </c>
      <c r="H25" s="362">
        <f>IF(AG25=301,"",AG25)</f>
        <v>204</v>
      </c>
      <c r="I25" s="362" t="str">
        <f>IF(AH25=0,"",AH25)</f>
        <v/>
      </c>
      <c r="J25" s="362">
        <f>IF(AI25=301,"",AI25)</f>
        <v>205</v>
      </c>
      <c r="K25" s="362" t="str">
        <f>IF(AJ25=0,"",AJ25)</f>
        <v/>
      </c>
      <c r="L25" s="362">
        <f>IF(AK25=301,"",AK25)</f>
        <v>160</v>
      </c>
      <c r="M25" s="362" t="str">
        <f>IF(AL25=0,"",AL25)</f>
        <v/>
      </c>
      <c r="N25" s="362">
        <f>IF(AM25=301,"",AM25)</f>
        <v>244</v>
      </c>
      <c r="O25" s="362" t="str">
        <f>IF(AN25=0,"",AN25)</f>
        <v/>
      </c>
      <c r="P25" s="362">
        <f>IF(AO25=301,"",AO25)</f>
        <v>246</v>
      </c>
      <c r="Q25" s="362" t="str">
        <f>IF(AP25=0,"",AP25)</f>
        <v/>
      </c>
      <c r="R25" s="362">
        <f>IF(AQ25=301,"",AQ25)</f>
        <v>193</v>
      </c>
      <c r="S25" s="362" t="str">
        <f>IF(AR25=0,"",AR25)</f>
        <v/>
      </c>
      <c r="T25" s="362">
        <f>IF(AS25=301,"",AS25)</f>
        <v>189</v>
      </c>
      <c r="U25" s="362" t="str">
        <f>IF(AT25=0,"",AT25)</f>
        <v/>
      </c>
      <c r="V25" s="364"/>
      <c r="W25" s="364"/>
      <c r="AA25" s="91" t="s">
        <v>0</v>
      </c>
      <c r="AB25" s="92"/>
      <c r="AC25" s="368">
        <f>ABS(INDEX(AC:AC,MATCH(AC22,$AA:$AA,0)+5)+INDEX(AC:AC,MATCH(AC22,$AA:$AA,0)+6)+INDEX(AC:AC,MATCH(AC22,$AA:$AA,0)+7))</f>
        <v>171</v>
      </c>
      <c r="AD25" s="369"/>
      <c r="AE25" s="368">
        <f>ABS(INDEX(AE:AE,MATCH(AE22,$AA:$AA,0)+5)+INDEX(AE:AE,MATCH(AE22,$AA:$AA,0)+6)+INDEX(AE:AE,MATCH(AE22,$AA:$AA,0)+7))</f>
        <v>222</v>
      </c>
      <c r="AF25" s="369"/>
      <c r="AG25" s="368">
        <f>ABS(INDEX(AG:AG,MATCH(AG22,$AA:$AA,0)+5)+INDEX(AG:AG,MATCH(AG22,$AA:$AA,0)+6)+INDEX(AG:AG,MATCH(AG22,$AA:$AA,0)+7))</f>
        <v>204</v>
      </c>
      <c r="AH25" s="369"/>
      <c r="AI25" s="368">
        <f>ABS(INDEX(AI:AI,MATCH(AI22,$AA:$AA,0)+5)+INDEX(AI:AI,MATCH(AI22,$AA:$AA,0)+6)+INDEX(AI:AI,MATCH(AI22,$AA:$AA,0)+7))</f>
        <v>205</v>
      </c>
      <c r="AJ25" s="369"/>
      <c r="AK25" s="368">
        <f>ABS(INDEX(AK:AK,MATCH(AK22,$AA:$AA,0)+5)+INDEX(AK:AK,MATCH(AK22,$AA:$AA,0)+6)+INDEX(AK:AK,MATCH(AK22,$AA:$AA,0)+7))</f>
        <v>160</v>
      </c>
      <c r="AL25" s="369"/>
      <c r="AM25" s="368">
        <f>ABS(INDEX(AM:AM,MATCH(AM22,$AA:$AA,0)+5)+INDEX(AM:AM,MATCH(AM22,$AA:$AA,0)+6)+INDEX(AM:AM,MATCH(AM22,$AA:$AA,0)+7))</f>
        <v>244</v>
      </c>
      <c r="AN25" s="369"/>
      <c r="AO25" s="368">
        <f>ABS(INDEX(AO:AO,MATCH(AO22,$AA:$AA,0)+5)+INDEX(AO:AO,MATCH(AO22,$AA:$AA,0)+6)+INDEX(AO:AO,MATCH(AO22,$AA:$AA,0)+7))</f>
        <v>246</v>
      </c>
      <c r="AP25" s="369"/>
      <c r="AQ25" s="368">
        <f>ABS(INDEX(AQ:AQ,MATCH(AQ22,$AA:$AA,0)+5)+INDEX(AQ:AQ,MATCH(AQ22,$AA:$AA,0)+6)+INDEX(AQ:AQ,MATCH(AQ22,$AA:$AA,0)+7))</f>
        <v>193</v>
      </c>
      <c r="AR25" s="369"/>
      <c r="AS25" s="368">
        <f>ABS(INDEX(AS:AS,MATCH(AS22,$AA:$AA,0)+5)+INDEX(AS:AS,MATCH(AS22,$AA:$AA,0)+6)+INDEX(AS:AS,MATCH(AS22,$AA:$AA,0)+7))</f>
        <v>189</v>
      </c>
      <c r="AT25" s="369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4" t="str">
        <f t="shared" si="33"/>
        <v>Spieler 2</v>
      </c>
      <c r="C26" s="375" t="str">
        <f t="shared" si="33"/>
        <v/>
      </c>
      <c r="D26" s="362">
        <f>IF(AC26=301,"",AC26)</f>
        <v>200</v>
      </c>
      <c r="E26" s="362" t="str">
        <f>IF(AD26=0,"",AD26)</f>
        <v/>
      </c>
      <c r="F26" s="362">
        <f>IF(AE26=301,"",AE26)</f>
        <v>245</v>
      </c>
      <c r="G26" s="362" t="str">
        <f>IF(AF26=0,"",AF26)</f>
        <v/>
      </c>
      <c r="H26" s="362">
        <f>IF(AG26=301,"",AG26)</f>
        <v>225</v>
      </c>
      <c r="I26" s="362" t="str">
        <f>IF(AH26=0,"",AH26)</f>
        <v/>
      </c>
      <c r="J26" s="362">
        <f>IF(AI26=301,"",AI26)</f>
        <v>227</v>
      </c>
      <c r="K26" s="362" t="str">
        <f>IF(AJ26=0,"",AJ26)</f>
        <v/>
      </c>
      <c r="L26" s="362">
        <f>IF(AK26=301,"",AK26)</f>
        <v>245</v>
      </c>
      <c r="M26" s="362" t="str">
        <f>IF(AL26=0,"",AL26)</f>
        <v/>
      </c>
      <c r="N26" s="362">
        <f>IF(AM26=301,"",AM26)</f>
        <v>182</v>
      </c>
      <c r="O26" s="362" t="str">
        <f>IF(AN26=0,"",AN26)</f>
        <v/>
      </c>
      <c r="P26" s="362">
        <f>IF(AO26=301,"",AO26)</f>
        <v>201</v>
      </c>
      <c r="Q26" s="362" t="str">
        <f>IF(AP26=0,"",AP26)</f>
        <v/>
      </c>
      <c r="R26" s="362">
        <f>IF(AQ26=301,"",AQ26)</f>
        <v>214</v>
      </c>
      <c r="S26" s="362" t="str">
        <f>IF(AR26=0,"",AR26)</f>
        <v/>
      </c>
      <c r="T26" s="362">
        <f>IF(AS26=301,"",AS26)</f>
        <v>185</v>
      </c>
      <c r="U26" s="362" t="str">
        <f>IF(AT26=0,"",AT26)</f>
        <v/>
      </c>
      <c r="V26" s="364"/>
      <c r="W26" s="364"/>
      <c r="AA26" s="91" t="s">
        <v>2</v>
      </c>
      <c r="AB26" s="92"/>
      <c r="AC26" s="366">
        <f>ABS(INDEX(AC:AC,MATCH(AC22,$AA:$AA,0)+8)+INDEX(AC:AC,MATCH(AC22,$AA:$AA,0)+9)+INDEX(AC:AC,MATCH(AC22,$AA:$AA,0)+10))</f>
        <v>200</v>
      </c>
      <c r="AD26" s="367"/>
      <c r="AE26" s="366">
        <f>ABS(INDEX(AE:AE,MATCH(AE22,$AA:$AA,0)+8)+INDEX(AE:AE,MATCH(AE22,$AA:$AA,0)+9)+INDEX(AE:AE,MATCH(AE22,$AA:$AA,0)+10))</f>
        <v>245</v>
      </c>
      <c r="AF26" s="367"/>
      <c r="AG26" s="366">
        <f>ABS(INDEX(AG:AG,MATCH(AG22,$AA:$AA,0)+8)+INDEX(AG:AG,MATCH(AG22,$AA:$AA,0)+9)+INDEX(AG:AG,MATCH(AG22,$AA:$AA,0)+10))</f>
        <v>225</v>
      </c>
      <c r="AH26" s="367"/>
      <c r="AI26" s="366">
        <f>ABS(INDEX(AI:AI,MATCH(AI22,$AA:$AA,0)+8)+INDEX(AI:AI,MATCH(AI22,$AA:$AA,0)+9)+INDEX(AI:AI,MATCH(AI22,$AA:$AA,0)+10))</f>
        <v>227</v>
      </c>
      <c r="AJ26" s="367"/>
      <c r="AK26" s="366">
        <f>ABS(INDEX(AK:AK,MATCH(AK22,$AA:$AA,0)+8)+INDEX(AK:AK,MATCH(AK22,$AA:$AA,0)+9)+INDEX(AK:AK,MATCH(AK22,$AA:$AA,0)+10))</f>
        <v>245</v>
      </c>
      <c r="AL26" s="367"/>
      <c r="AM26" s="366">
        <f>ABS(INDEX(AM:AM,MATCH(AM22,$AA:$AA,0)+8)+INDEX(AM:AM,MATCH(AM22,$AA:$AA,0)+9)+INDEX(AM:AM,MATCH(AM22,$AA:$AA,0)+10))</f>
        <v>182</v>
      </c>
      <c r="AN26" s="367"/>
      <c r="AO26" s="366">
        <f>ABS(INDEX(AO:AO,MATCH(AO22,$AA:$AA,0)+8)+INDEX(AO:AO,MATCH(AO22,$AA:$AA,0)+9)+INDEX(AO:AO,MATCH(AO22,$AA:$AA,0)+10))</f>
        <v>201</v>
      </c>
      <c r="AP26" s="367"/>
      <c r="AQ26" s="366">
        <f>ABS(INDEX(AQ:AQ,MATCH(AQ22,$AA:$AA,0)+8)+INDEX(AQ:AQ,MATCH(AQ22,$AA:$AA,0)+9)+INDEX(AQ:AQ,MATCH(AQ22,$AA:$AA,0)+10))</f>
        <v>214</v>
      </c>
      <c r="AR26" s="367"/>
      <c r="AS26" s="366">
        <f>ABS(INDEX(AS:AS,MATCH(AS22,$AA:$AA,0)+8)+INDEX(AS:AS,MATCH(AS22,$AA:$AA,0)+9)+INDEX(AS:AS,MATCH(AS22,$AA:$AA,0)+10))</f>
        <v>185</v>
      </c>
      <c r="AT26" s="367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4" t="str">
        <f t="shared" si="33"/>
        <v>Spieler 3</v>
      </c>
      <c r="C27" s="375" t="str">
        <f t="shared" si="33"/>
        <v/>
      </c>
      <c r="D27" s="362">
        <f>IF(AC27=301,"",AC27)</f>
        <v>193</v>
      </c>
      <c r="E27" s="362" t="str">
        <f>IF(AD27=0,"",AD27)</f>
        <v/>
      </c>
      <c r="F27" s="362">
        <f>IF(AE27=301,"",AE27)</f>
        <v>209</v>
      </c>
      <c r="G27" s="362" t="str">
        <f>IF(AF27=0,"",AF27)</f>
        <v/>
      </c>
      <c r="H27" s="362">
        <f>IF(AG27=301,"",AG27)</f>
        <v>172</v>
      </c>
      <c r="I27" s="362" t="str">
        <f>IF(AH27=0,"",AH27)</f>
        <v/>
      </c>
      <c r="J27" s="362">
        <f>IF(AI27=301,"",AI27)</f>
        <v>178</v>
      </c>
      <c r="K27" s="362" t="str">
        <f>IF(AJ27=0,"",AJ27)</f>
        <v/>
      </c>
      <c r="L27" s="362">
        <f>IF(AK27=301,"",AK27)</f>
        <v>215</v>
      </c>
      <c r="M27" s="362" t="str">
        <f>IF(AL27=0,"",AL27)</f>
        <v/>
      </c>
      <c r="N27" s="362">
        <f>IF(AM27=301,"",AM27)</f>
        <v>201</v>
      </c>
      <c r="O27" s="362" t="str">
        <f>IF(AN27=0,"",AN27)</f>
        <v/>
      </c>
      <c r="P27" s="362">
        <f>IF(AO27=301,"",AO27)</f>
        <v>237</v>
      </c>
      <c r="Q27" s="362" t="str">
        <f>IF(AP27=0,"",AP27)</f>
        <v/>
      </c>
      <c r="R27" s="362">
        <f>IF(AQ27=301,"",AQ27)</f>
        <v>171</v>
      </c>
      <c r="S27" s="362" t="str">
        <f>IF(AR27=0,"",AR27)</f>
        <v/>
      </c>
      <c r="T27" s="362">
        <f>IF(AS27=301,"",AS27)</f>
        <v>224</v>
      </c>
      <c r="U27" s="362" t="str">
        <f>IF(AT27=0,"",AT27)</f>
        <v/>
      </c>
      <c r="V27" s="364"/>
      <c r="W27" s="364"/>
      <c r="AA27" s="91" t="s">
        <v>3</v>
      </c>
      <c r="AB27" s="92"/>
      <c r="AC27" s="366">
        <f>ABS(INDEX(AC:AC,MATCH(AC22,$AA:$AA,0)+11)+INDEX(AC:AC,MATCH(AC22,$AA:$AA,0)+12)+INDEX(AC:AC,MATCH(AC22,$AA:$AA,0)+13))</f>
        <v>193</v>
      </c>
      <c r="AD27" s="367"/>
      <c r="AE27" s="366">
        <f>ABS(INDEX(AE:AE,MATCH(AE22,$AA:$AA,0)+11)+INDEX(AE:AE,MATCH(AE22,$AA:$AA,0)+12)+INDEX(AE:AE,MATCH(AE22,$AA:$AA,0)+13))</f>
        <v>209</v>
      </c>
      <c r="AF27" s="367"/>
      <c r="AG27" s="366">
        <f>ABS(INDEX(AG:AG,MATCH(AG22,$AA:$AA,0)+11)+INDEX(AG:AG,MATCH(AG22,$AA:$AA,0)+12)+INDEX(AG:AG,MATCH(AG22,$AA:$AA,0)+13))</f>
        <v>172</v>
      </c>
      <c r="AH27" s="367"/>
      <c r="AI27" s="366">
        <f>ABS(INDEX(AI:AI,MATCH(AI22,$AA:$AA,0)+11)+INDEX(AI:AI,MATCH(AI22,$AA:$AA,0)+12)+INDEX(AI:AI,MATCH(AI22,$AA:$AA,0)+13))</f>
        <v>178</v>
      </c>
      <c r="AJ27" s="367"/>
      <c r="AK27" s="366">
        <f>ABS(INDEX(AK:AK,MATCH(AK22,$AA:$AA,0)+11)+INDEX(AK:AK,MATCH(AK22,$AA:$AA,0)+12)+INDEX(AK:AK,MATCH(AK22,$AA:$AA,0)+13))</f>
        <v>215</v>
      </c>
      <c r="AL27" s="367"/>
      <c r="AM27" s="366">
        <f>ABS(INDEX(AM:AM,MATCH(AM22,$AA:$AA,0)+11)+INDEX(AM:AM,MATCH(AM22,$AA:$AA,0)+12)+INDEX(AM:AM,MATCH(AM22,$AA:$AA,0)+13))</f>
        <v>201</v>
      </c>
      <c r="AN27" s="367"/>
      <c r="AO27" s="366">
        <f>ABS(INDEX(AO:AO,MATCH(AO22,$AA:$AA,0)+11)+INDEX(AO:AO,MATCH(AO22,$AA:$AA,0)+12)+INDEX(AO:AO,MATCH(AO22,$AA:$AA,0)+13))</f>
        <v>237</v>
      </c>
      <c r="AP27" s="367"/>
      <c r="AQ27" s="366">
        <f>ABS(INDEX(AQ:AQ,MATCH(AQ22,$AA:$AA,0)+11)+INDEX(AQ:AQ,MATCH(AQ22,$AA:$AA,0)+12)+INDEX(AQ:AQ,MATCH(AQ22,$AA:$AA,0)+13))</f>
        <v>171</v>
      </c>
      <c r="AR27" s="367"/>
      <c r="AS27" s="366">
        <f>ABS(INDEX(AS:AS,MATCH(AS22,$AA:$AA,0)+11)+INDEX(AS:AS,MATCH(AS22,$AA:$AA,0)+12)+INDEX(AS:AS,MATCH(AS22,$AA:$AA,0)+13))</f>
        <v>224</v>
      </c>
      <c r="AT27" s="367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4" t="str">
        <f t="shared" si="33"/>
        <v>Spieler 4</v>
      </c>
      <c r="C28" s="375" t="str">
        <f t="shared" si="33"/>
        <v/>
      </c>
      <c r="D28" s="362">
        <f>IF(AC28=301,"",AC28)</f>
        <v>170</v>
      </c>
      <c r="E28" s="362" t="str">
        <f>IF(AD28=0,"",AD28)</f>
        <v/>
      </c>
      <c r="F28" s="362">
        <f>IF(AE28=301,"",AE28)</f>
        <v>189</v>
      </c>
      <c r="G28" s="362" t="str">
        <f>IF(AF28=0,"",AF28)</f>
        <v/>
      </c>
      <c r="H28" s="362">
        <f>IF(AG28=301,"",AG28)</f>
        <v>216</v>
      </c>
      <c r="I28" s="362" t="str">
        <f>IF(AH28=0,"",AH28)</f>
        <v/>
      </c>
      <c r="J28" s="362">
        <f>IF(AI28=301,"",AI28)</f>
        <v>256</v>
      </c>
      <c r="K28" s="362" t="str">
        <f>IF(AJ28=0,"",AJ28)</f>
        <v/>
      </c>
      <c r="L28" s="362">
        <f>IF(AK28=301,"",AK28)</f>
        <v>170</v>
      </c>
      <c r="M28" s="362" t="str">
        <f>IF(AL28=0,"",AL28)</f>
        <v/>
      </c>
      <c r="N28" s="362">
        <f>IF(AM28=301,"",AM28)</f>
        <v>193</v>
      </c>
      <c r="O28" s="362" t="str">
        <f>IF(AN28=0,"",AN28)</f>
        <v/>
      </c>
      <c r="P28" s="362">
        <f>IF(AO28=301,"",AO28)</f>
        <v>244</v>
      </c>
      <c r="Q28" s="362" t="str">
        <f>IF(AP28=0,"",AP28)</f>
        <v/>
      </c>
      <c r="R28" s="362">
        <f>IF(AQ28=301,"",AQ28)</f>
        <v>218</v>
      </c>
      <c r="S28" s="362" t="str">
        <f>IF(AR28=0,"",AR28)</f>
        <v/>
      </c>
      <c r="T28" s="362">
        <f>IF(AS28=301,"",AS28)</f>
        <v>209</v>
      </c>
      <c r="U28" s="362" t="str">
        <f>IF(AT28=0,"",AT28)</f>
        <v/>
      </c>
      <c r="V28" s="364"/>
      <c r="W28" s="364"/>
      <c r="AA28" s="91" t="s">
        <v>11</v>
      </c>
      <c r="AB28" s="92"/>
      <c r="AC28" s="366">
        <f>ABS(INDEX(AC:AC,MATCH(AC22,$AA:$AA,0)+14)+INDEX(AC:AC,MATCH(AC22,$AA:$AA,0)+15)+INDEX(AC:AC,MATCH(AC22,$AA:$AA,0)+16))</f>
        <v>170</v>
      </c>
      <c r="AD28" s="367"/>
      <c r="AE28" s="366">
        <f>ABS(INDEX(AE:AE,MATCH(AE22,$AA:$AA,0)+14)+INDEX(AE:AE,MATCH(AE22,$AA:$AA,0)+15)+INDEX(AE:AE,MATCH(AE22,$AA:$AA,0)+16))</f>
        <v>189</v>
      </c>
      <c r="AF28" s="367"/>
      <c r="AG28" s="366">
        <f>ABS(INDEX(AG:AG,MATCH(AG22,$AA:$AA,0)+14)+INDEX(AG:AG,MATCH(AG22,$AA:$AA,0)+15)+INDEX(AG:AG,MATCH(AG22,$AA:$AA,0)+16))</f>
        <v>216</v>
      </c>
      <c r="AH28" s="367"/>
      <c r="AI28" s="366">
        <f>ABS(INDEX(AI:AI,MATCH(AI22,$AA:$AA,0)+14)+INDEX(AI:AI,MATCH(AI22,$AA:$AA,0)+15)+INDEX(AI:AI,MATCH(AI22,$AA:$AA,0)+16))</f>
        <v>256</v>
      </c>
      <c r="AJ28" s="367"/>
      <c r="AK28" s="366">
        <f>ABS(INDEX(AK:AK,MATCH(AK22,$AA:$AA,0)+14)+INDEX(AK:AK,MATCH(AK22,$AA:$AA,0)+15)+INDEX(AK:AK,MATCH(AK22,$AA:$AA,0)+16))</f>
        <v>170</v>
      </c>
      <c r="AL28" s="367"/>
      <c r="AM28" s="366">
        <f>ABS(INDEX(AM:AM,MATCH(AM22,$AA:$AA,0)+14)+INDEX(AM:AM,MATCH(AM22,$AA:$AA,0)+15)+INDEX(AM:AM,MATCH(AM22,$AA:$AA,0)+16))</f>
        <v>193</v>
      </c>
      <c r="AN28" s="367"/>
      <c r="AO28" s="366">
        <f>ABS(INDEX(AO:AO,MATCH(AO22,$AA:$AA,0)+14)+INDEX(AO:AO,MATCH(AO22,$AA:$AA,0)+15)+INDEX(AO:AO,MATCH(AO22,$AA:$AA,0)+16))</f>
        <v>244</v>
      </c>
      <c r="AP28" s="367"/>
      <c r="AQ28" s="366">
        <f>ABS(INDEX(AQ:AQ,MATCH(AQ22,$AA:$AA,0)+14)+INDEX(AQ:AQ,MATCH(AQ22,$AA:$AA,0)+15)+INDEX(AQ:AQ,MATCH(AQ22,$AA:$AA,0)+16))</f>
        <v>218</v>
      </c>
      <c r="AR28" s="367"/>
      <c r="AS28" s="366">
        <f>ABS(INDEX(AS:AS,MATCH(AS22,$AA:$AA,0)+14)+INDEX(AS:AS,MATCH(AS22,$AA:$AA,0)+15)+INDEX(AS:AS,MATCH(AS22,$AA:$AA,0)+16))</f>
        <v>209</v>
      </c>
      <c r="AT28" s="367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6" t="str">
        <f t="shared" si="33"/>
        <v>Gesamt</v>
      </c>
      <c r="C29" s="347" t="str">
        <f t="shared" si="33"/>
        <v/>
      </c>
      <c r="D29" s="365">
        <f>IF(AC29=1505,"",AC29)</f>
        <v>734</v>
      </c>
      <c r="E29" s="365" t="str">
        <f>IF(AD29=0,"",AD29)</f>
        <v/>
      </c>
      <c r="F29" s="365">
        <f>IF(AE29=1505,"",AE29)</f>
        <v>865</v>
      </c>
      <c r="G29" s="365" t="str">
        <f>IF(AF29=0,"",AF29)</f>
        <v/>
      </c>
      <c r="H29" s="365">
        <f>IF(AG29=1505,"",AG29)</f>
        <v>817</v>
      </c>
      <c r="I29" s="365" t="str">
        <f>IF(AH29=0,"",AH29)</f>
        <v/>
      </c>
      <c r="J29" s="365">
        <f>IF(AI29=1505,"",AI29)</f>
        <v>866</v>
      </c>
      <c r="K29" s="365" t="str">
        <f>IF(AJ29=0,"",AJ29)</f>
        <v/>
      </c>
      <c r="L29" s="365">
        <f>IF(AK29=1505,"",AK29)</f>
        <v>790</v>
      </c>
      <c r="M29" s="365" t="str">
        <f>IF(AL29=0,"",AL29)</f>
        <v/>
      </c>
      <c r="N29" s="365">
        <f>IF(AM29=1505,"",AM29)</f>
        <v>820</v>
      </c>
      <c r="O29" s="365" t="str">
        <f>IF(AN29=0,"",AN29)</f>
        <v/>
      </c>
      <c r="P29" s="365">
        <f>IF(AO29=1505,"",AO29)</f>
        <v>928</v>
      </c>
      <c r="Q29" s="365" t="str">
        <f>IF(AP29=0,"",AP29)</f>
        <v/>
      </c>
      <c r="R29" s="365">
        <f>IF(AQ29=1505,"",AQ29)</f>
        <v>796</v>
      </c>
      <c r="S29" s="365" t="str">
        <f>IF(AR29=0,"",AR29)</f>
        <v/>
      </c>
      <c r="T29" s="365">
        <f>IF(AS29=1505,"",AS29)</f>
        <v>807</v>
      </c>
      <c r="U29" s="365" t="str">
        <f>IF(AT29=0,"",AT29)</f>
        <v/>
      </c>
      <c r="V29" s="301"/>
      <c r="W29" s="301"/>
      <c r="AA29" s="93" t="s">
        <v>1799</v>
      </c>
      <c r="AB29" s="94"/>
      <c r="AC29" s="346">
        <f>SUM(AC25:AC28)</f>
        <v>734</v>
      </c>
      <c r="AD29" s="347"/>
      <c r="AE29" s="346">
        <f>SUM(AE25:AE28)</f>
        <v>865</v>
      </c>
      <c r="AF29" s="347"/>
      <c r="AG29" s="346">
        <f>SUM(AG25:AG28)</f>
        <v>817</v>
      </c>
      <c r="AH29" s="347"/>
      <c r="AI29" s="346">
        <f>SUM(AI25:AI28)</f>
        <v>866</v>
      </c>
      <c r="AJ29" s="347"/>
      <c r="AK29" s="346">
        <f>SUM(AK25:AK28)</f>
        <v>790</v>
      </c>
      <c r="AL29" s="347"/>
      <c r="AM29" s="346">
        <f>SUM(AM25:AM28)</f>
        <v>820</v>
      </c>
      <c r="AN29" s="347"/>
      <c r="AO29" s="346">
        <f>SUM(AO25:AO28)</f>
        <v>928</v>
      </c>
      <c r="AP29" s="347"/>
      <c r="AQ29" s="346">
        <f>SUM(AQ25:AQ28)</f>
        <v>796</v>
      </c>
      <c r="AR29" s="347"/>
      <c r="AS29" s="346">
        <f>SUM(AS25:AS28)</f>
        <v>807</v>
      </c>
      <c r="AT29" s="347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5" t="str">
        <f>AE31</f>
        <v>Bayernliga Herren</v>
      </c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48"/>
      <c r="S31" s="49" t="s">
        <v>1794</v>
      </c>
      <c r="T31" s="50"/>
      <c r="U31" s="341" t="str">
        <f>AT31</f>
        <v>15.03./16.03.</v>
      </c>
      <c r="V31" s="342"/>
      <c r="W31" s="343"/>
      <c r="X31" s="372"/>
      <c r="Y31" s="373"/>
      <c r="Z31" s="373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41" t="str">
        <f>VLOOKUP(AS32,Spielorte!$A$1:$C$6,2)</f>
        <v>15.03./16.03.</v>
      </c>
      <c r="AU31" s="342"/>
      <c r="AV31" s="34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4" t="str">
        <f>AE32</f>
        <v>Brunnthal Max Munich</v>
      </c>
      <c r="G32" s="344"/>
      <c r="H32" s="344"/>
      <c r="I32" s="344"/>
      <c r="J32" s="344"/>
      <c r="K32" s="344"/>
      <c r="L32" s="344"/>
      <c r="M32" s="344"/>
      <c r="N32" s="344"/>
      <c r="O32" s="344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6" t="s">
        <v>1800</v>
      </c>
      <c r="E35" s="347"/>
      <c r="F35" s="346" t="s">
        <v>1801</v>
      </c>
      <c r="G35" s="347"/>
      <c r="H35" s="346" t="s">
        <v>1802</v>
      </c>
      <c r="I35" s="347"/>
      <c r="J35" s="346" t="s">
        <v>1803</v>
      </c>
      <c r="K35" s="347"/>
      <c r="L35" s="346" t="s">
        <v>1804</v>
      </c>
      <c r="M35" s="347"/>
      <c r="N35" s="346" t="s">
        <v>1805</v>
      </c>
      <c r="O35" s="347"/>
      <c r="P35" s="346" t="s">
        <v>1806</v>
      </c>
      <c r="Q35" s="347"/>
      <c r="R35" s="346" t="s">
        <v>1807</v>
      </c>
      <c r="S35" s="347"/>
      <c r="T35" s="346" t="s">
        <v>1808</v>
      </c>
      <c r="U35" s="347"/>
      <c r="V35" s="354" t="s">
        <v>1799</v>
      </c>
      <c r="W35" s="355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6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171</v>
      </c>
      <c r="E37" s="348">
        <f>IF(AD37="","",AD37)</f>
        <v>0</v>
      </c>
      <c r="F37" s="75">
        <f t="shared" ref="F37:F50" si="34">IF(AE37=0,"",AE37)</f>
        <v>214</v>
      </c>
      <c r="G37" s="348">
        <f>IF(AF37="","",AF37)</f>
        <v>1</v>
      </c>
      <c r="H37" s="75">
        <f t="shared" ref="H37:H50" si="35">IF(AG37=0,"",AG37)</f>
        <v>187</v>
      </c>
      <c r="I37" s="348">
        <f>IF(AH37="","",AH37)</f>
        <v>1</v>
      </c>
      <c r="J37" s="75">
        <f t="shared" ref="J37:J50" si="36">IF(AI37=0,"",AI37)</f>
        <v>258</v>
      </c>
      <c r="K37" s="348">
        <f>IF(AJ37="","",AJ37)</f>
        <v>1</v>
      </c>
      <c r="L37" s="75">
        <f t="shared" ref="L37:L50" si="37">IF(AK37=0,"",AK37)</f>
        <v>239</v>
      </c>
      <c r="M37" s="348">
        <f>IF(AL37="","",AL37)</f>
        <v>1</v>
      </c>
      <c r="N37" s="75">
        <f>IF(AM37=0,"",AM37)</f>
        <v>252</v>
      </c>
      <c r="O37" s="348">
        <f>IF(AN37="","",AN37)</f>
        <v>1</v>
      </c>
      <c r="P37" s="75">
        <f t="shared" ref="P37:P50" si="38">IF(AO37=0,"",AO37)</f>
        <v>196</v>
      </c>
      <c r="Q37" s="348">
        <f>IF(AP37="","",AP37)</f>
        <v>0</v>
      </c>
      <c r="R37" s="75">
        <f t="shared" ref="R37:R50" si="39">IF(AQ37=0,"",AQ37)</f>
        <v>192</v>
      </c>
      <c r="S37" s="348">
        <f>IF(AR37="","",AR37)</f>
        <v>0</v>
      </c>
      <c r="T37" s="75">
        <f t="shared" ref="T37:T50" si="40">IF(AS37=0,"",AS37)</f>
        <v>207</v>
      </c>
      <c r="U37" s="348">
        <f>IF(AT37="","",AT37)</f>
        <v>1</v>
      </c>
      <c r="V37" s="75">
        <f t="shared" ref="V37:V50" si="41">IF(AU37=0,"",AU37)</f>
        <v>1916</v>
      </c>
      <c r="W37" s="348">
        <f>IF(AV37="","",AV37)</f>
        <v>6</v>
      </c>
      <c r="Z37" s="351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171</v>
      </c>
      <c r="AD37" s="109">
        <f>IF(SUM(AC37:AC39)+AC55=0,0,IF(SUM(AC37:AC39)=AC55,0.5,IF(SUM(AC37:AC39)&gt;AC55,1,0)))</f>
        <v>0</v>
      </c>
      <c r="AE37" s="185">
        <v>214</v>
      </c>
      <c r="AF37" s="109">
        <f>IF(SUM(AE37:AE39)+AE55=0,0,IF(SUM(AE37:AE39)=AE55,0.5,IF(SUM(AE37:AE39)&gt;AE55,1,0)))</f>
        <v>1</v>
      </c>
      <c r="AG37" s="185">
        <v>187</v>
      </c>
      <c r="AH37" s="109">
        <f>IF(SUM(AG37:AG39)+AG55=0,0,IF(SUM(AG37:AG39)=AG55,0.5,IF(SUM(AG37:AG39)&gt;AG55,1,0)))</f>
        <v>1</v>
      </c>
      <c r="AI37" s="185">
        <v>258</v>
      </c>
      <c r="AJ37" s="109">
        <f>IF(SUM(AI37:AI39)+AI55=0,0,IF(SUM(AI37:AI39)=AI55,0.5,IF(SUM(AI37:AI39)&gt;AI55,1,0)))</f>
        <v>1</v>
      </c>
      <c r="AK37" s="185">
        <v>239</v>
      </c>
      <c r="AL37" s="109">
        <f>IF(SUM(AK37:AK39)+AK55=0,0,IF(SUM(AK37:AK39)=AK55,0.5,IF(SUM(AK37:AK39)&gt;AK55,1,0)))</f>
        <v>1</v>
      </c>
      <c r="AM37" s="185">
        <v>252</v>
      </c>
      <c r="AN37" s="109">
        <f>IF(SUM(AM37:AM39)+AM55=0,0,IF(SUM(AM37:AM39)=AM55,0.5,IF(SUM(AM37:AM39)&gt;AM55,1,0)))</f>
        <v>1</v>
      </c>
      <c r="AO37" s="185">
        <v>196</v>
      </c>
      <c r="AP37" s="109">
        <f>IF(SUM(AO37:AO39)+AO55=0,0,IF(SUM(AO37:AO39)=AO55,0.5,IF(SUM(AO37:AO39)&gt;AO55,1,0)))</f>
        <v>0</v>
      </c>
      <c r="AQ37" s="185">
        <v>192</v>
      </c>
      <c r="AR37" s="109">
        <f>IF(SUM(AQ37:AQ39)+AQ55=0,0,IF(SUM(AQ37:AQ39)=AQ55,0.5,IF(SUM(AQ37:AQ39)&gt;AQ55,1,0)))</f>
        <v>0</v>
      </c>
      <c r="AS37" s="185">
        <v>207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1916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1916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171</v>
      </c>
      <c r="BI37" s="215">
        <f t="shared" ref="BI37:BI48" si="44">IF(AE37=0,"",AE37)</f>
        <v>214</v>
      </c>
      <c r="BJ37" s="215">
        <f t="shared" ref="BJ37:BJ48" si="45">IF(AG37=0,"",AG37)</f>
        <v>187</v>
      </c>
      <c r="BK37" s="215">
        <f t="shared" ref="BK37:BK48" si="46">IF(AI37=0,"",AI37)</f>
        <v>258</v>
      </c>
      <c r="BL37" s="215">
        <f t="shared" ref="BL37:BL48" si="47">IF(AK37=0,"",AK37)</f>
        <v>239</v>
      </c>
      <c r="BM37" s="215">
        <f t="shared" ref="BM37:BM48" si="48">IF(AM37=0,"",AM37)</f>
        <v>252</v>
      </c>
      <c r="BN37" s="215">
        <f t="shared" ref="BN37:BN48" si="49">IF(AO37=0,"",AO37)</f>
        <v>196</v>
      </c>
      <c r="BO37" s="215">
        <f t="shared" ref="BO37:BO48" si="50">IF(AQ37=0,"",AQ37)</f>
        <v>192</v>
      </c>
      <c r="BP37" s="215">
        <f t="shared" ref="BP37:BP48" si="51">IF(AS37=0,"",AS37)</f>
        <v>207</v>
      </c>
      <c r="BQ37" s="216"/>
      <c r="BR37" s="214"/>
      <c r="BS37" s="215">
        <f>MAX(BH37:BP37)</f>
        <v>258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3</v>
      </c>
      <c r="BW37" s="215">
        <f>SUMIF(BH37:BP37,"&gt;0")</f>
        <v>1916</v>
      </c>
      <c r="BX37" s="215">
        <f>IF(COUNTIF(BH37:BP37,"&gt;0")&lt;Spielorte!$A$23,0,BE37/Spielorte!$A$23)</f>
        <v>212.88888888888889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77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9"/>
      <c r="F38" s="78" t="str">
        <f t="shared" si="34"/>
        <v/>
      </c>
      <c r="G38" s="349"/>
      <c r="H38" s="78" t="str">
        <f t="shared" si="35"/>
        <v/>
      </c>
      <c r="I38" s="349"/>
      <c r="J38" s="78" t="str">
        <f t="shared" si="36"/>
        <v/>
      </c>
      <c r="K38" s="349"/>
      <c r="L38" s="78" t="str">
        <f t="shared" si="37"/>
        <v/>
      </c>
      <c r="M38" s="349"/>
      <c r="N38" s="78" t="str">
        <f t="shared" ref="N38:N50" si="54">IF(AM38=0,"",AM38)</f>
        <v/>
      </c>
      <c r="O38" s="349"/>
      <c r="P38" s="78" t="str">
        <f t="shared" si="38"/>
        <v/>
      </c>
      <c r="Q38" s="349"/>
      <c r="R38" s="78" t="str">
        <f t="shared" si="39"/>
        <v/>
      </c>
      <c r="S38" s="349"/>
      <c r="T38" s="78" t="str">
        <f t="shared" si="40"/>
        <v/>
      </c>
      <c r="U38" s="349"/>
      <c r="V38" s="78" t="str">
        <f t="shared" si="41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3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8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0"/>
      <c r="F39" s="69" t="str">
        <f t="shared" si="34"/>
        <v/>
      </c>
      <c r="G39" s="350"/>
      <c r="H39" s="69" t="str">
        <f t="shared" si="35"/>
        <v/>
      </c>
      <c r="I39" s="350"/>
      <c r="J39" s="69" t="str">
        <f t="shared" si="36"/>
        <v/>
      </c>
      <c r="K39" s="350"/>
      <c r="L39" s="69" t="str">
        <f t="shared" si="37"/>
        <v/>
      </c>
      <c r="M39" s="350"/>
      <c r="N39" s="69" t="str">
        <f t="shared" si="54"/>
        <v/>
      </c>
      <c r="O39" s="350"/>
      <c r="P39" s="69" t="str">
        <f t="shared" si="38"/>
        <v/>
      </c>
      <c r="Q39" s="350"/>
      <c r="R39" s="69" t="str">
        <f t="shared" si="39"/>
        <v/>
      </c>
      <c r="S39" s="350"/>
      <c r="T39" s="69" t="str">
        <f t="shared" si="40"/>
        <v/>
      </c>
      <c r="U39" s="350"/>
      <c r="V39" s="69" t="str">
        <f t="shared" si="41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3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76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200</v>
      </c>
      <c r="E40" s="348">
        <f>IF(AD40="","",AD40)</f>
        <v>0</v>
      </c>
      <c r="F40" s="75">
        <f t="shared" si="34"/>
        <v>211</v>
      </c>
      <c r="G40" s="348">
        <f>IF(AF40="","",AF40)</f>
        <v>1</v>
      </c>
      <c r="H40" s="75">
        <f t="shared" si="35"/>
        <v>175</v>
      </c>
      <c r="I40" s="348">
        <f>IF(AH40="","",AH40)</f>
        <v>0</v>
      </c>
      <c r="J40" s="75">
        <f t="shared" si="36"/>
        <v>225</v>
      </c>
      <c r="K40" s="348">
        <f>IF(AJ40="","",AJ40)</f>
        <v>1</v>
      </c>
      <c r="L40" s="75">
        <f t="shared" si="37"/>
        <v>229</v>
      </c>
      <c r="M40" s="348">
        <f>IF(AL40="","",AL40)</f>
        <v>1</v>
      </c>
      <c r="N40" s="75">
        <f t="shared" si="54"/>
        <v>167</v>
      </c>
      <c r="O40" s="348">
        <f>IF(AN40="","",AN40)</f>
        <v>0</v>
      </c>
      <c r="P40" s="75">
        <f t="shared" si="38"/>
        <v>182</v>
      </c>
      <c r="Q40" s="348">
        <f>IF(AP40="","",AP40)</f>
        <v>1</v>
      </c>
      <c r="R40" s="75">
        <f t="shared" si="39"/>
        <v>163</v>
      </c>
      <c r="S40" s="348">
        <f>IF(AR40="","",AR40)</f>
        <v>0</v>
      </c>
      <c r="T40" s="75">
        <f t="shared" si="40"/>
        <v>202</v>
      </c>
      <c r="U40" s="348">
        <f>IF(AT40="","",AT40)</f>
        <v>0</v>
      </c>
      <c r="V40" s="75">
        <f t="shared" si="41"/>
        <v>1754</v>
      </c>
      <c r="W40" s="348">
        <f>IF(AV40="","",AV40)</f>
        <v>4</v>
      </c>
      <c r="Z40" s="351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200</v>
      </c>
      <c r="AD40" s="109">
        <f>IF(SUM(AC40:AC42)+AC56=0,0,IF(SUM(AC40:AC42)=AC56,0.5,IF(SUM(AC40:AC42)&gt;AC56,1,0)))</f>
        <v>0</v>
      </c>
      <c r="AE40" s="188">
        <v>211</v>
      </c>
      <c r="AF40" s="109">
        <f>IF(SUM(AE40:AE42)+AE56=0,0,IF(SUM(AE40:AE42)=AE56,0.5,IF(SUM(AE40:AE42)&gt;AE56,1,0)))</f>
        <v>1</v>
      </c>
      <c r="AG40" s="188">
        <v>175</v>
      </c>
      <c r="AH40" s="109">
        <f>IF(SUM(AG40:AG42)+AG56=0,0,IF(SUM(AG40:AG42)=AG56,0.5,IF(SUM(AG40:AG42)&gt;AG56,1,0)))</f>
        <v>0</v>
      </c>
      <c r="AI40" s="188">
        <v>225</v>
      </c>
      <c r="AJ40" s="109">
        <f>IF(SUM(AI40:AI42)+AI56=0,0,IF(SUM(AI40:AI42)=AI56,0.5,IF(SUM(AI40:AI42)&gt;AI56,1,0)))</f>
        <v>1</v>
      </c>
      <c r="AK40" s="188">
        <v>229</v>
      </c>
      <c r="AL40" s="109">
        <f>IF(SUM(AK40:AK42)+AK56=0,0,IF(SUM(AK40:AK42)=AK56,0.5,IF(SUM(AK40:AK42)&gt;AK56,1,0)))</f>
        <v>1</v>
      </c>
      <c r="AM40" s="188">
        <v>167</v>
      </c>
      <c r="AN40" s="109">
        <f>IF(SUM(AM40:AM42)+AM56=0,0,IF(SUM(AM40:AM42)=AM56,0.5,IF(SUM(AM40:AM42)&gt;AM56,1,0)))</f>
        <v>0</v>
      </c>
      <c r="AO40" s="188">
        <v>182</v>
      </c>
      <c r="AP40" s="109">
        <f>IF(SUM(AO40:AO42)+AO56=0,0,IF(SUM(AO40:AO42)=AO56,0.5,IF(SUM(AO40:AO42)&gt;AO56,1,0)))</f>
        <v>1</v>
      </c>
      <c r="AQ40" s="188">
        <v>163</v>
      </c>
      <c r="AR40" s="109">
        <f>IF(SUM(AQ40:AQ42)+AQ56=0,0,IF(SUM(AQ40:AQ42)=AQ56,0.5,IF(SUM(AQ40:AQ42)&gt;AQ56,1,0)))</f>
        <v>0</v>
      </c>
      <c r="AS40" s="188">
        <v>202</v>
      </c>
      <c r="AT40" s="109">
        <f>IF(SUM(AS40:AS42)+AS56=0,0,IF(SUM(AS40:AS42)=AS56,0.5,IF(SUM(AS40:AS42)&gt;AS56,1,0)))</f>
        <v>0</v>
      </c>
      <c r="AU40" s="110">
        <f t="shared" si="42"/>
        <v>1754</v>
      </c>
      <c r="AV40" s="111">
        <f>SUM(AD40+AF40+AH40+AJ40+AL40+AN40+AP40+AR40+AT40)</f>
        <v>4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1754</v>
      </c>
      <c r="BF40" s="215">
        <f t="shared" si="57"/>
        <v>9</v>
      </c>
      <c r="BG40" s="215">
        <f t="shared" si="58"/>
        <v>9</v>
      </c>
      <c r="BH40" s="215">
        <f t="shared" si="43"/>
        <v>200</v>
      </c>
      <c r="BI40" s="215">
        <f t="shared" si="44"/>
        <v>211</v>
      </c>
      <c r="BJ40" s="215">
        <f t="shared" si="45"/>
        <v>175</v>
      </c>
      <c r="BK40" s="215">
        <f t="shared" si="46"/>
        <v>225</v>
      </c>
      <c r="BL40" s="215">
        <f t="shared" si="47"/>
        <v>229</v>
      </c>
      <c r="BM40" s="215">
        <f t="shared" si="48"/>
        <v>167</v>
      </c>
      <c r="BN40" s="215">
        <f t="shared" si="49"/>
        <v>182</v>
      </c>
      <c r="BO40" s="215">
        <f t="shared" si="50"/>
        <v>163</v>
      </c>
      <c r="BP40" s="215">
        <f t="shared" si="51"/>
        <v>202</v>
      </c>
      <c r="BQ40" s="216"/>
      <c r="BR40" s="214"/>
      <c r="BS40" s="215">
        <f t="shared" si="59"/>
        <v>229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3</v>
      </c>
      <c r="BW40" s="215">
        <f t="shared" si="63"/>
        <v>1754</v>
      </c>
      <c r="BX40" s="215">
        <f>IF(COUNTIF(BH40:BP40,"&gt;0")&lt;Spielorte!$A$23,0,BE40/Spielorte!$A$23)</f>
        <v>194.88888888888889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77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9"/>
      <c r="F41" s="78" t="str">
        <f t="shared" si="34"/>
        <v/>
      </c>
      <c r="G41" s="349"/>
      <c r="H41" s="78" t="str">
        <f t="shared" si="35"/>
        <v/>
      </c>
      <c r="I41" s="349"/>
      <c r="J41" s="78" t="str">
        <f t="shared" si="36"/>
        <v/>
      </c>
      <c r="K41" s="349"/>
      <c r="L41" s="78" t="str">
        <f t="shared" si="37"/>
        <v/>
      </c>
      <c r="M41" s="349"/>
      <c r="N41" s="78" t="str">
        <f t="shared" si="54"/>
        <v/>
      </c>
      <c r="O41" s="349"/>
      <c r="P41" s="78" t="str">
        <f t="shared" si="38"/>
        <v/>
      </c>
      <c r="Q41" s="349"/>
      <c r="R41" s="78" t="str">
        <f t="shared" si="39"/>
        <v/>
      </c>
      <c r="S41" s="349"/>
      <c r="T41" s="78" t="str">
        <f t="shared" si="40"/>
        <v/>
      </c>
      <c r="U41" s="349"/>
      <c r="V41" s="78" t="str">
        <f t="shared" si="41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3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8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0"/>
      <c r="F42" s="69" t="str">
        <f t="shared" si="34"/>
        <v/>
      </c>
      <c r="G42" s="350"/>
      <c r="H42" s="69" t="str">
        <f t="shared" si="35"/>
        <v/>
      </c>
      <c r="I42" s="350"/>
      <c r="J42" s="69" t="str">
        <f t="shared" si="36"/>
        <v/>
      </c>
      <c r="K42" s="350"/>
      <c r="L42" s="69" t="str">
        <f t="shared" si="37"/>
        <v/>
      </c>
      <c r="M42" s="350"/>
      <c r="N42" s="69" t="str">
        <f t="shared" si="54"/>
        <v/>
      </c>
      <c r="O42" s="350"/>
      <c r="P42" s="69" t="str">
        <f t="shared" si="38"/>
        <v/>
      </c>
      <c r="Q42" s="350"/>
      <c r="R42" s="69" t="str">
        <f t="shared" si="39"/>
        <v/>
      </c>
      <c r="S42" s="350"/>
      <c r="T42" s="69" t="str">
        <f t="shared" si="40"/>
        <v/>
      </c>
      <c r="U42" s="350"/>
      <c r="V42" s="69" t="str">
        <f t="shared" si="41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76" t="s">
        <v>3</v>
      </c>
      <c r="B43" s="73" t="str">
        <f t="shared" si="53"/>
        <v>Reichert, Ralph</v>
      </c>
      <c r="C43" s="74">
        <f t="shared" si="53"/>
        <v>7416</v>
      </c>
      <c r="D43" s="75">
        <f t="shared" si="53"/>
        <v>193</v>
      </c>
      <c r="E43" s="348">
        <f>IF(AD43="","",AD43)</f>
        <v>1</v>
      </c>
      <c r="F43" s="75">
        <f t="shared" si="34"/>
        <v>202</v>
      </c>
      <c r="G43" s="348">
        <f>IF(AF43="","",AF43)</f>
        <v>1</v>
      </c>
      <c r="H43" s="75">
        <f t="shared" si="35"/>
        <v>207</v>
      </c>
      <c r="I43" s="348">
        <f>IF(AH43="","",AH43)</f>
        <v>0</v>
      </c>
      <c r="J43" s="75">
        <f t="shared" si="36"/>
        <v>171</v>
      </c>
      <c r="K43" s="348">
        <f>IF(AJ43="","",AJ43)</f>
        <v>0</v>
      </c>
      <c r="L43" s="75">
        <f t="shared" si="37"/>
        <v>210</v>
      </c>
      <c r="M43" s="348">
        <f>IF(AL43="","",AL43)</f>
        <v>1</v>
      </c>
      <c r="N43" s="75">
        <f t="shared" si="54"/>
        <v>192</v>
      </c>
      <c r="O43" s="348">
        <f>IF(AN43="","",AN43)</f>
        <v>1</v>
      </c>
      <c r="P43" s="75">
        <f t="shared" si="38"/>
        <v>201</v>
      </c>
      <c r="Q43" s="348">
        <f>IF(AP43="","",AP43)</f>
        <v>0</v>
      </c>
      <c r="R43" s="75">
        <f t="shared" si="39"/>
        <v>212</v>
      </c>
      <c r="S43" s="348">
        <f>IF(AR43="","",AR43)</f>
        <v>0</v>
      </c>
      <c r="T43" s="75">
        <f t="shared" si="40"/>
        <v>214</v>
      </c>
      <c r="U43" s="348">
        <f>IF(AT43="","",AT43)</f>
        <v>1</v>
      </c>
      <c r="V43" s="75">
        <f t="shared" si="41"/>
        <v>1802</v>
      </c>
      <c r="W43" s="348">
        <f>IF(AV43="","",AV43)</f>
        <v>5</v>
      </c>
      <c r="Z43" s="351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193</v>
      </c>
      <c r="AD43" s="109">
        <f>IF(SUM(AC43:AC45)+AC57=0,0,IF(SUM(AC43:AC45)=AC57,0.5,IF(SUM(AC43:AC45)&gt;AC57,1,0)))</f>
        <v>1</v>
      </c>
      <c r="AE43" s="188">
        <v>202</v>
      </c>
      <c r="AF43" s="109">
        <f>IF(SUM(AE43:AE45)+AE57=0,0,IF(SUM(AE43:AE45)=AE57,0.5,IF(SUM(AE43:AE45)&gt;AE57,1,0)))</f>
        <v>1</v>
      </c>
      <c r="AG43" s="188">
        <v>207</v>
      </c>
      <c r="AH43" s="109">
        <f>IF(SUM(AG43:AG45)+AG57=0,0,IF(SUM(AG43:AG45)=AG57,0.5,IF(SUM(AG43:AG45)&gt;AG57,1,0)))</f>
        <v>0</v>
      </c>
      <c r="AI43" s="188">
        <v>171</v>
      </c>
      <c r="AJ43" s="109">
        <f>IF(SUM(AI43:AI45)+AI57=0,0,IF(SUM(AI43:AI45)=AI57,0.5,IF(SUM(AI43:AI45)&gt;AI57,1,0)))</f>
        <v>0</v>
      </c>
      <c r="AK43" s="188">
        <v>210</v>
      </c>
      <c r="AL43" s="109">
        <f>IF(SUM(AK43:AK45)+AK57=0,0,IF(SUM(AK43:AK45)=AK57,0.5,IF(SUM(AK43:AK45)&gt;AK57,1,0)))</f>
        <v>1</v>
      </c>
      <c r="AM43" s="188">
        <v>192</v>
      </c>
      <c r="AN43" s="109">
        <f>IF(SUM(AM43:AM45)+AM57=0,0,IF(SUM(AM43:AM45)=AM57,0.5,IF(SUM(AM43:AM45)&gt;AM57,1,0)))</f>
        <v>1</v>
      </c>
      <c r="AO43" s="188">
        <v>201</v>
      </c>
      <c r="AP43" s="109">
        <f>IF(SUM(AO43:AO45)+AO57=0,0,IF(SUM(AO43:AO45)=AO57,0.5,IF(SUM(AO43:AO45)&gt;AO57,1,0)))</f>
        <v>0</v>
      </c>
      <c r="AQ43" s="188">
        <v>212</v>
      </c>
      <c r="AR43" s="109">
        <f>IF(SUM(AQ43:AQ45)+AQ57=0,0,IF(SUM(AQ43:AQ45)=AQ57,0.5,IF(SUM(AQ43:AQ45)&gt;AQ57,1,0)))</f>
        <v>0</v>
      </c>
      <c r="AS43" s="188">
        <v>214</v>
      </c>
      <c r="AT43" s="109">
        <f>IF(SUM(AS43:AS45)+AS57=0,0,IF(SUM(AS43:AS45)=AS57,0.5,IF(SUM(AS43:AS45)&gt;AS57,1,0)))</f>
        <v>1</v>
      </c>
      <c r="AU43" s="110">
        <f t="shared" si="42"/>
        <v>1802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7416</v>
      </c>
      <c r="BE43" s="213">
        <f t="shared" si="56"/>
        <v>1802</v>
      </c>
      <c r="BF43" s="215">
        <f t="shared" si="57"/>
        <v>9</v>
      </c>
      <c r="BG43" s="215">
        <f t="shared" si="58"/>
        <v>9</v>
      </c>
      <c r="BH43" s="215">
        <f t="shared" si="43"/>
        <v>193</v>
      </c>
      <c r="BI43" s="215">
        <f t="shared" si="44"/>
        <v>202</v>
      </c>
      <c r="BJ43" s="215">
        <f t="shared" si="45"/>
        <v>207</v>
      </c>
      <c r="BK43" s="215">
        <f t="shared" si="46"/>
        <v>171</v>
      </c>
      <c r="BL43" s="215">
        <f t="shared" si="47"/>
        <v>210</v>
      </c>
      <c r="BM43" s="215">
        <f t="shared" si="48"/>
        <v>192</v>
      </c>
      <c r="BN43" s="215">
        <f t="shared" si="49"/>
        <v>201</v>
      </c>
      <c r="BO43" s="215">
        <f t="shared" si="50"/>
        <v>212</v>
      </c>
      <c r="BP43" s="215">
        <f t="shared" si="51"/>
        <v>214</v>
      </c>
      <c r="BQ43" s="216"/>
      <c r="BR43" s="214"/>
      <c r="BS43" s="215">
        <f t="shared" si="59"/>
        <v>214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3</v>
      </c>
      <c r="BW43" s="215">
        <f t="shared" si="63"/>
        <v>1802</v>
      </c>
      <c r="BX43" s="215">
        <f>IF(COUNTIF(BH43:BP43,"&gt;0")&lt;Spielorte!$A$23,0,BE43/Spielorte!$A$23)</f>
        <v>200.22222222222223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77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9"/>
      <c r="F44" s="78" t="str">
        <f t="shared" si="34"/>
        <v/>
      </c>
      <c r="G44" s="349"/>
      <c r="H44" s="78" t="str">
        <f t="shared" si="35"/>
        <v/>
      </c>
      <c r="I44" s="349"/>
      <c r="J44" s="78" t="str">
        <f t="shared" si="36"/>
        <v/>
      </c>
      <c r="K44" s="349"/>
      <c r="L44" s="78" t="str">
        <f t="shared" si="37"/>
        <v/>
      </c>
      <c r="M44" s="349"/>
      <c r="N44" s="78" t="str">
        <f t="shared" si="54"/>
        <v/>
      </c>
      <c r="O44" s="349"/>
      <c r="P44" s="78" t="str">
        <f t="shared" si="38"/>
        <v/>
      </c>
      <c r="Q44" s="349"/>
      <c r="R44" s="78" t="str">
        <f t="shared" si="39"/>
        <v/>
      </c>
      <c r="S44" s="349"/>
      <c r="T44" s="78" t="str">
        <f t="shared" si="40"/>
        <v/>
      </c>
      <c r="U44" s="349"/>
      <c r="V44" s="78" t="str">
        <f t="shared" si="41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3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8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0"/>
      <c r="F45" s="69" t="str">
        <f t="shared" si="34"/>
        <v/>
      </c>
      <c r="G45" s="350"/>
      <c r="H45" s="69" t="str">
        <f t="shared" si="35"/>
        <v/>
      </c>
      <c r="I45" s="350"/>
      <c r="J45" s="69" t="str">
        <f t="shared" si="36"/>
        <v/>
      </c>
      <c r="K45" s="350"/>
      <c r="L45" s="69" t="str">
        <f t="shared" si="37"/>
        <v/>
      </c>
      <c r="M45" s="350"/>
      <c r="N45" s="69" t="str">
        <f t="shared" si="54"/>
        <v/>
      </c>
      <c r="O45" s="350"/>
      <c r="P45" s="69" t="str">
        <f t="shared" si="38"/>
        <v/>
      </c>
      <c r="Q45" s="350"/>
      <c r="R45" s="69" t="str">
        <f t="shared" si="39"/>
        <v/>
      </c>
      <c r="S45" s="350"/>
      <c r="T45" s="69" t="str">
        <f t="shared" si="40"/>
        <v/>
      </c>
      <c r="U45" s="350"/>
      <c r="V45" s="69" t="str">
        <f t="shared" si="41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3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76" t="s">
        <v>11</v>
      </c>
      <c r="B46" s="73" t="str">
        <f>IF(AA46=0,"",AA46)</f>
        <v>Lüthje, Volker</v>
      </c>
      <c r="C46" s="74">
        <f t="shared" si="53"/>
        <v>7601</v>
      </c>
      <c r="D46" s="75">
        <f t="shared" si="53"/>
        <v>170</v>
      </c>
      <c r="E46" s="348">
        <f>IF(AD46="","",AD46)</f>
        <v>0</v>
      </c>
      <c r="F46" s="75">
        <f t="shared" si="34"/>
        <v>203</v>
      </c>
      <c r="G46" s="348">
        <f>IF(AF46="","",AF46)</f>
        <v>1</v>
      </c>
      <c r="H46" s="75">
        <f t="shared" si="35"/>
        <v>161</v>
      </c>
      <c r="I46" s="348">
        <f>IF(AH46="","",AH46)</f>
        <v>0</v>
      </c>
      <c r="J46" s="75">
        <f t="shared" si="36"/>
        <v>225</v>
      </c>
      <c r="K46" s="348">
        <f>IF(AJ46="","",AJ46)</f>
        <v>1</v>
      </c>
      <c r="L46" s="75">
        <f t="shared" si="37"/>
        <v>189</v>
      </c>
      <c r="M46" s="348">
        <f>IF(AL46="","",AL46)</f>
        <v>0</v>
      </c>
      <c r="N46" s="75">
        <f t="shared" si="54"/>
        <v>202</v>
      </c>
      <c r="O46" s="348">
        <f>IF(AN46="","",AN46)</f>
        <v>0</v>
      </c>
      <c r="P46" s="75">
        <f t="shared" si="38"/>
        <v>234</v>
      </c>
      <c r="Q46" s="348">
        <f>IF(AP46="","",AP46)</f>
        <v>1</v>
      </c>
      <c r="R46" s="75">
        <f t="shared" si="39"/>
        <v>165</v>
      </c>
      <c r="S46" s="348">
        <f>IF(AR46="","",AR46)</f>
        <v>0</v>
      </c>
      <c r="T46" s="75">
        <f t="shared" si="40"/>
        <v>172</v>
      </c>
      <c r="U46" s="348">
        <f>IF(AT46="","",AT46)</f>
        <v>0</v>
      </c>
      <c r="V46" s="75">
        <f t="shared" si="41"/>
        <v>1721</v>
      </c>
      <c r="W46" s="348">
        <f>IF(AV46="","",AV46)</f>
        <v>3</v>
      </c>
      <c r="Z46" s="351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170</v>
      </c>
      <c r="AD46" s="109">
        <f>IF(SUM(AC46:AC48)+AC58=0,0,IF(SUM(AC46:AC48)=AC58,0.5,IF(SUM(AC46:AC48)&gt;AC58,1,0)))</f>
        <v>0</v>
      </c>
      <c r="AE46" s="188">
        <v>203</v>
      </c>
      <c r="AF46" s="109">
        <f>IF(SUM(AE46:AE48)+AE58=0,0,IF(SUM(AE46:AE48)=AE58,0.5,IF(SUM(AE46:AE48)&gt;AE58,1,0)))</f>
        <v>1</v>
      </c>
      <c r="AG46" s="188">
        <v>161</v>
      </c>
      <c r="AH46" s="109">
        <f>IF(SUM(AG46:AG48)+AG58=0,0,IF(SUM(AG46:AG48)=AG58,0.5,IF(SUM(AG46:AG48)&gt;AG58,1,0)))</f>
        <v>0</v>
      </c>
      <c r="AI46" s="188">
        <v>225</v>
      </c>
      <c r="AJ46" s="109">
        <f>IF(SUM(AI46:AI48)+AI58=0,0,IF(SUM(AI46:AI48)=AI58,0.5,IF(SUM(AI46:AI48)&gt;AI58,1,0)))</f>
        <v>1</v>
      </c>
      <c r="AK46" s="188">
        <v>189</v>
      </c>
      <c r="AL46" s="109">
        <f>IF(SUM(AK46:AK48)+AK58=0,0,IF(SUM(AK46:AK48)=AK58,0.5,IF(SUM(AK46:AK48)&gt;AK58,1,0)))</f>
        <v>0</v>
      </c>
      <c r="AM46" s="188">
        <v>202</v>
      </c>
      <c r="AN46" s="109">
        <f>IF(SUM(AM46:AM48)+AM58=0,0,IF(SUM(AM46:AM48)=AM58,0.5,IF(SUM(AM46:AM48)&gt;AM58,1,0)))</f>
        <v>0</v>
      </c>
      <c r="AO46" s="188">
        <v>234</v>
      </c>
      <c r="AP46" s="109">
        <f>IF(SUM(AO46:AO48)+AO58=0,0,IF(SUM(AO46:AO48)=AO58,0.5,IF(SUM(AO46:AO48)&gt;AO58,1,0)))</f>
        <v>1</v>
      </c>
      <c r="AQ46" s="188">
        <v>165</v>
      </c>
      <c r="AR46" s="109">
        <f>IF(SUM(AQ46:AQ48)+AQ58=0,0,IF(SUM(AQ46:AQ48)=AQ58,0.5,IF(SUM(AQ46:AQ48)&gt;AQ58,1,0)))</f>
        <v>0</v>
      </c>
      <c r="AS46" s="188">
        <v>172</v>
      </c>
      <c r="AT46" s="109">
        <f>IF(SUM(AS46:AS48)+AS58=0,0,IF(SUM(AS46:AS48)=AS58,0.5,IF(SUM(AS46:AS48)&gt;AS58,1,0)))</f>
        <v>0</v>
      </c>
      <c r="AU46" s="110">
        <f t="shared" si="42"/>
        <v>1721</v>
      </c>
      <c r="AV46" s="111">
        <f>SUM(AD46+AF46+AH46+AJ46+AL46+AN46+AP46+AR46+AT46)</f>
        <v>3</v>
      </c>
      <c r="AW46" s="101"/>
      <c r="AX46" s="102"/>
      <c r="AZ46" s="63"/>
      <c r="BA46" s="212"/>
      <c r="BB46" s="213"/>
      <c r="BC46" s="214"/>
      <c r="BD46" s="217">
        <f t="shared" si="55"/>
        <v>7601</v>
      </c>
      <c r="BE46" s="213">
        <f t="shared" si="56"/>
        <v>1721</v>
      </c>
      <c r="BF46" s="215">
        <f t="shared" si="57"/>
        <v>9</v>
      </c>
      <c r="BG46" s="215">
        <f t="shared" si="58"/>
        <v>9</v>
      </c>
      <c r="BH46" s="215">
        <f t="shared" si="43"/>
        <v>170</v>
      </c>
      <c r="BI46" s="215">
        <f t="shared" si="44"/>
        <v>203</v>
      </c>
      <c r="BJ46" s="215">
        <f t="shared" si="45"/>
        <v>161</v>
      </c>
      <c r="BK46" s="215">
        <f t="shared" si="46"/>
        <v>225</v>
      </c>
      <c r="BL46" s="215">
        <f t="shared" si="47"/>
        <v>189</v>
      </c>
      <c r="BM46" s="215">
        <f t="shared" si="48"/>
        <v>202</v>
      </c>
      <c r="BN46" s="215">
        <f t="shared" si="49"/>
        <v>234</v>
      </c>
      <c r="BO46" s="215">
        <f t="shared" si="50"/>
        <v>165</v>
      </c>
      <c r="BP46" s="215">
        <f t="shared" si="51"/>
        <v>172</v>
      </c>
      <c r="BQ46" s="216"/>
      <c r="BR46" s="214"/>
      <c r="BS46" s="215">
        <f t="shared" si="59"/>
        <v>234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3</v>
      </c>
      <c r="BW46" s="215">
        <f t="shared" si="63"/>
        <v>1721</v>
      </c>
      <c r="BX46" s="215">
        <f>IF(COUNTIF(BH46:BP46,"&gt;0")&lt;Spielorte!$A$23,0,BE46/Spielorte!$A$23)</f>
        <v>191.22222222222223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77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9"/>
      <c r="F47" s="78" t="str">
        <f t="shared" si="34"/>
        <v/>
      </c>
      <c r="G47" s="349"/>
      <c r="H47" s="78" t="str">
        <f t="shared" si="35"/>
        <v/>
      </c>
      <c r="I47" s="349"/>
      <c r="J47" s="78" t="str">
        <f t="shared" si="36"/>
        <v/>
      </c>
      <c r="K47" s="349"/>
      <c r="L47" s="78" t="str">
        <f t="shared" si="37"/>
        <v/>
      </c>
      <c r="M47" s="349"/>
      <c r="N47" s="78" t="str">
        <f t="shared" si="54"/>
        <v/>
      </c>
      <c r="O47" s="349"/>
      <c r="P47" s="78" t="str">
        <f t="shared" si="38"/>
        <v/>
      </c>
      <c r="Q47" s="349"/>
      <c r="R47" s="78" t="str">
        <f t="shared" si="39"/>
        <v/>
      </c>
      <c r="S47" s="349"/>
      <c r="T47" s="78" t="str">
        <f t="shared" si="40"/>
        <v/>
      </c>
      <c r="U47" s="349"/>
      <c r="V47" s="78" t="str">
        <f t="shared" si="41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3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8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0"/>
      <c r="F48" s="69" t="str">
        <f t="shared" si="34"/>
        <v/>
      </c>
      <c r="G48" s="350"/>
      <c r="H48" s="69" t="str">
        <f t="shared" si="35"/>
        <v/>
      </c>
      <c r="I48" s="350"/>
      <c r="J48" s="69" t="str">
        <f t="shared" si="36"/>
        <v/>
      </c>
      <c r="K48" s="350"/>
      <c r="L48" s="69" t="str">
        <f t="shared" si="37"/>
        <v/>
      </c>
      <c r="M48" s="350"/>
      <c r="N48" s="69" t="str">
        <f t="shared" si="54"/>
        <v/>
      </c>
      <c r="O48" s="350"/>
      <c r="P48" s="69" t="str">
        <f t="shared" si="38"/>
        <v/>
      </c>
      <c r="Q48" s="350"/>
      <c r="R48" s="69" t="str">
        <f t="shared" si="39"/>
        <v/>
      </c>
      <c r="S48" s="350"/>
      <c r="T48" s="69" t="str">
        <f t="shared" si="40"/>
        <v/>
      </c>
      <c r="U48" s="350"/>
      <c r="V48" s="69" t="str">
        <f t="shared" si="41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3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734</v>
      </c>
      <c r="E49" s="84">
        <f>IF(AD49="","",AD49)</f>
        <v>0</v>
      </c>
      <c r="F49" s="83">
        <f t="shared" si="34"/>
        <v>830</v>
      </c>
      <c r="G49" s="84">
        <f>IF(AF49="","",AF49)</f>
        <v>2</v>
      </c>
      <c r="H49" s="83">
        <f t="shared" si="35"/>
        <v>730</v>
      </c>
      <c r="I49" s="84">
        <f>IF(AH49="","",AH49)</f>
        <v>0</v>
      </c>
      <c r="J49" s="83">
        <f t="shared" si="36"/>
        <v>879</v>
      </c>
      <c r="K49" s="84">
        <f>IF(AJ49="","",AJ49)</f>
        <v>2</v>
      </c>
      <c r="L49" s="83">
        <f t="shared" si="37"/>
        <v>867</v>
      </c>
      <c r="M49" s="84">
        <f>IF(AL49="","",AL49)</f>
        <v>2</v>
      </c>
      <c r="N49" s="83">
        <f t="shared" si="54"/>
        <v>813</v>
      </c>
      <c r="O49" s="84">
        <f>IF(AN49="","",AN49)</f>
        <v>2</v>
      </c>
      <c r="P49" s="83">
        <f t="shared" si="38"/>
        <v>813</v>
      </c>
      <c r="Q49" s="84">
        <f>IF(AP49="","",AP49)</f>
        <v>2</v>
      </c>
      <c r="R49" s="83">
        <f t="shared" si="39"/>
        <v>732</v>
      </c>
      <c r="S49" s="84">
        <f>IF(AR49="","",AR49)</f>
        <v>0</v>
      </c>
      <c r="T49" s="83">
        <f t="shared" si="40"/>
        <v>795</v>
      </c>
      <c r="U49" s="84">
        <f>IF(AT49="","",AT49)</f>
        <v>0</v>
      </c>
      <c r="V49" s="83">
        <f t="shared" si="41"/>
        <v>7193</v>
      </c>
      <c r="W49" s="84">
        <f>IF(AV49="","",AV49)</f>
        <v>10</v>
      </c>
      <c r="AA49" s="81" t="s">
        <v>1799</v>
      </c>
      <c r="AB49" s="120"/>
      <c r="AC49" s="211">
        <f>ABS(SUM(AC37:AC39))+ABS(SUM(AC40:AC42))+ABS(SUM(AC43:AC45))+ABS(SUM(AC46:AC48))</f>
        <v>734</v>
      </c>
      <c r="AD49" s="121">
        <f>IF(AC49+AC59=0,0,IF(AC49=AC59,1,IF(AC49&gt;AC59,2,0)))</f>
        <v>0</v>
      </c>
      <c r="AE49" s="211">
        <f>ABS(SUM(AE37:AE39))+ABS(SUM(AE40:AE42))+ABS(SUM(AE43:AE45))+ABS(SUM(AE46:AE48))</f>
        <v>830</v>
      </c>
      <c r="AF49" s="121">
        <f>IF(AE49+AE59=0,0,IF(AE49=AE59,1,IF(AE49&gt;AE59,2,0)))</f>
        <v>2</v>
      </c>
      <c r="AG49" s="211">
        <f>ABS(SUM(AG37:AG39))+ABS(SUM(AG40:AG42))+ABS(SUM(AG43:AG45))+ABS(SUM(AG46:AG48))</f>
        <v>730</v>
      </c>
      <c r="AH49" s="121">
        <f>IF(AG49+AG59=0,0,IF(AG49=AG59,1,IF(AG49&gt;AG59,2,0)))</f>
        <v>0</v>
      </c>
      <c r="AI49" s="211">
        <f>ABS(SUM(AI37:AI39))+ABS(SUM(AI40:AI42))+ABS(SUM(AI43:AI45))+ABS(SUM(AI46:AI48))</f>
        <v>879</v>
      </c>
      <c r="AJ49" s="121">
        <f>IF(AI49+AI59=0,0,IF(AI49=AI59,1,IF(AI49&gt;AI59,2,0)))</f>
        <v>2</v>
      </c>
      <c r="AK49" s="211">
        <f>ABS(SUM(AK37:AK39))+ABS(SUM(AK40:AK42))+ABS(SUM(AK43:AK45))+ABS(SUM(AK46:AK48))</f>
        <v>867</v>
      </c>
      <c r="AL49" s="121">
        <f>IF(AK49+AK59=0,0,IF(AK49=AK59,1,IF(AK49&gt;AK59,2,0)))</f>
        <v>2</v>
      </c>
      <c r="AM49" s="211">
        <f>ABS(SUM(AM37:AM39))+ABS(SUM(AM40:AM42))+ABS(SUM(AM43:AM45))+ABS(SUM(AM46:AM48))</f>
        <v>813</v>
      </c>
      <c r="AN49" s="121">
        <f>IF(AM49+AM59=0,0,IF(AM49=AM59,1,IF(AM49&gt;AM59,2,0)))</f>
        <v>2</v>
      </c>
      <c r="AO49" s="211">
        <f>ABS(SUM(AO37:AO39))+ABS(SUM(AO40:AO42))+ABS(SUM(AO43:AO45))+ABS(SUM(AO46:AO48))</f>
        <v>813</v>
      </c>
      <c r="AP49" s="121">
        <f>IF(AO49+AO59=0,0,IF(AO49=AO59,1,IF(AO49&gt;AO59,2,0)))</f>
        <v>2</v>
      </c>
      <c r="AQ49" s="211">
        <f>ABS(SUM(AQ37:AQ39))+ABS(SUM(AQ40:AQ42))+ABS(SUM(AQ43:AQ45))+ABS(SUM(AQ46:AQ48))</f>
        <v>732</v>
      </c>
      <c r="AR49" s="121">
        <f>IF(AQ49+AQ59=0,0,IF(AQ49=AQ59,1,IF(AQ49&gt;AQ59,2,0)))</f>
        <v>0</v>
      </c>
      <c r="AS49" s="211">
        <f>ABS(SUM(AS37:AS39))+ABS(SUM(AS40:AS42))+ABS(SUM(AS43:AS45))+ABS(SUM(AS46:AS48))</f>
        <v>795</v>
      </c>
      <c r="AT49" s="121">
        <f>IF(AS49+AS59=0,0,IF(AS49=AS59,1,IF(AS49&gt;AS59,2,0)))</f>
        <v>0</v>
      </c>
      <c r="AU49" s="122">
        <f>SUM(AC49+AE49+AG49+AI49+AK49+AM49+AO49+AQ49+AS49)</f>
        <v>7193</v>
      </c>
      <c r="AV49" s="123">
        <f>SUM(AD49+AF49+AH49+AJ49+AL49+AN49+AP49+AR49+AT49)</f>
        <v>10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6</v>
      </c>
      <c r="H50" s="86" t="str">
        <f t="shared" si="35"/>
        <v/>
      </c>
      <c r="I50" s="87">
        <f>IF(AH50="","",AH50)</f>
        <v>1</v>
      </c>
      <c r="J50" s="86" t="str">
        <f t="shared" si="36"/>
        <v/>
      </c>
      <c r="K50" s="87">
        <f>IF(AJ50="","",AJ50)</f>
        <v>5</v>
      </c>
      <c r="L50" s="86" t="str">
        <f t="shared" si="37"/>
        <v/>
      </c>
      <c r="M50" s="87">
        <f>IF(AL50="","",AL50)</f>
        <v>5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4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2</v>
      </c>
      <c r="V50" s="86" t="str">
        <f t="shared" si="41"/>
        <v/>
      </c>
      <c r="W50" s="87">
        <f>IF(AV50="","",AV50)</f>
        <v>28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6</v>
      </c>
      <c r="AG50" s="86"/>
      <c r="AH50" s="124">
        <f>SUM(AH37:AH49)</f>
        <v>1</v>
      </c>
      <c r="AI50" s="86"/>
      <c r="AJ50" s="124">
        <f>SUM(AJ37:AJ49)</f>
        <v>5</v>
      </c>
      <c r="AK50" s="86"/>
      <c r="AL50" s="124">
        <f>SUM(AL37:AL49)</f>
        <v>5</v>
      </c>
      <c r="AM50" s="86"/>
      <c r="AN50" s="124">
        <f>SUM(AN37:AN49)</f>
        <v>4</v>
      </c>
      <c r="AO50" s="86"/>
      <c r="AP50" s="124">
        <f>SUM(AP37:AP49)</f>
        <v>4</v>
      </c>
      <c r="AQ50" s="86"/>
      <c r="AR50" s="124">
        <f>SUM(AR37:AR49)</f>
        <v>0</v>
      </c>
      <c r="AS50" s="86"/>
      <c r="AT50" s="124">
        <f>SUM(AT37:AT49)</f>
        <v>2</v>
      </c>
      <c r="AU50" s="86"/>
      <c r="AV50" s="125">
        <f>SUM(AV37:AV49)</f>
        <v>28</v>
      </c>
      <c r="AW50" s="101"/>
      <c r="AX50" s="102"/>
      <c r="BA50" s="212">
        <f>+AV50</f>
        <v>28</v>
      </c>
      <c r="BB50" s="213">
        <f>+AU49</f>
        <v>7193</v>
      </c>
      <c r="BC50" s="214">
        <f>+AA32</f>
        <v>2</v>
      </c>
      <c r="BF50" s="215">
        <f>SUM(BF31:BF49)</f>
        <v>36</v>
      </c>
      <c r="BQ50" s="212">
        <f>+BB50/1000000+BA50</f>
        <v>28.007193000000001</v>
      </c>
      <c r="BR50" s="214">
        <f>RANK(BQ50,BQ:BQ)</f>
        <v>6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6">
        <f t="shared" si="65"/>
        <v>1</v>
      </c>
      <c r="E52" s="356" t="str">
        <f t="shared" si="65"/>
        <v/>
      </c>
      <c r="F52" s="356">
        <f t="shared" si="65"/>
        <v>9</v>
      </c>
      <c r="G52" s="356" t="str">
        <f t="shared" si="65"/>
        <v/>
      </c>
      <c r="H52" s="356">
        <f t="shared" si="65"/>
        <v>3</v>
      </c>
      <c r="I52" s="356" t="str">
        <f t="shared" si="65"/>
        <v/>
      </c>
      <c r="J52" s="356">
        <f t="shared" si="65"/>
        <v>10</v>
      </c>
      <c r="K52" s="356" t="str">
        <f t="shared" si="65"/>
        <v/>
      </c>
      <c r="L52" s="356">
        <f t="shared" si="65"/>
        <v>6</v>
      </c>
      <c r="M52" s="356" t="str">
        <f t="shared" si="65"/>
        <v/>
      </c>
      <c r="N52" s="356">
        <f t="shared" si="65"/>
        <v>7</v>
      </c>
      <c r="O52" s="356" t="str">
        <f t="shared" si="65"/>
        <v/>
      </c>
      <c r="P52" s="356">
        <f t="shared" si="65"/>
        <v>8</v>
      </c>
      <c r="Q52" s="356" t="str">
        <f t="shared" si="65"/>
        <v/>
      </c>
      <c r="R52" s="356">
        <f t="shared" ref="L52:U54" si="66">IF(AQ52=0,"",AQ52)</f>
        <v>4</v>
      </c>
      <c r="S52" s="356" t="str">
        <f t="shared" si="66"/>
        <v/>
      </c>
      <c r="T52" s="356">
        <f t="shared" si="66"/>
        <v>5</v>
      </c>
      <c r="U52" s="356" t="str">
        <f t="shared" si="66"/>
        <v/>
      </c>
      <c r="V52" s="357"/>
      <c r="W52" s="357"/>
      <c r="AA52" s="88" t="s">
        <v>1797</v>
      </c>
      <c r="AB52" s="89" t="s">
        <v>1798</v>
      </c>
      <c r="AC52" s="370">
        <f>VLOOKUP($AA32,Schlüssel!$A$5:$DG$14,83)</f>
        <v>1</v>
      </c>
      <c r="AD52" s="371"/>
      <c r="AE52" s="370">
        <f>VLOOKUP($AA32,Schlüssel!$A$5:$EK$14,84)</f>
        <v>9</v>
      </c>
      <c r="AF52" s="371"/>
      <c r="AG52" s="370">
        <f>VLOOKUP($AA32,Schlüssel!$A$5:$EK$14,85)</f>
        <v>3</v>
      </c>
      <c r="AH52" s="371"/>
      <c r="AI52" s="370">
        <f>VLOOKUP($AA32,Schlüssel!$A$5:$EK$14,86)</f>
        <v>10</v>
      </c>
      <c r="AJ52" s="371"/>
      <c r="AK52" s="370">
        <f>VLOOKUP($AA32,Schlüssel!$A$5:$EK$14,87)</f>
        <v>6</v>
      </c>
      <c r="AL52" s="371"/>
      <c r="AM52" s="370">
        <f>VLOOKUP($AA32,Schlüssel!$A$5:$EK$14,88)</f>
        <v>7</v>
      </c>
      <c r="AN52" s="371"/>
      <c r="AO52" s="370">
        <f>VLOOKUP($AA32,Schlüssel!$A$5:$EK$14,89)</f>
        <v>8</v>
      </c>
      <c r="AP52" s="371"/>
      <c r="AQ52" s="370">
        <f>VLOOKUP($AA32,Schlüssel!$A$5:$EK$14,90)</f>
        <v>4</v>
      </c>
      <c r="AR52" s="371"/>
      <c r="AS52" s="370">
        <f>VLOOKUP($AA32,Schlüssel!$A$5:$EK$14,91)</f>
        <v>5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58" t="str">
        <f t="shared" si="67"/>
        <v>BC Comet Nürnberg</v>
      </c>
      <c r="E53" s="359" t="str">
        <f t="shared" si="67"/>
        <v/>
      </c>
      <c r="F53" s="358" t="str">
        <f t="shared" si="67"/>
        <v>Bowlinghaus Bamberg 1</v>
      </c>
      <c r="G53" s="359" t="str">
        <f t="shared" si="67"/>
        <v/>
      </c>
      <c r="H53" s="358" t="str">
        <f t="shared" si="67"/>
        <v>BK München 3</v>
      </c>
      <c r="I53" s="359" t="str">
        <f t="shared" si="67"/>
        <v/>
      </c>
      <c r="J53" s="358" t="str">
        <f t="shared" si="67"/>
        <v>High Roller Rosenheim 1</v>
      </c>
      <c r="K53" s="359" t="str">
        <f t="shared" si="67"/>
        <v/>
      </c>
      <c r="L53" s="358" t="str">
        <f t="shared" si="66"/>
        <v>SG Rottendorf 1</v>
      </c>
      <c r="M53" s="359" t="str">
        <f t="shared" si="66"/>
        <v/>
      </c>
      <c r="N53" s="358" t="str">
        <f t="shared" si="66"/>
        <v>Schanzer Ingolstadt 1</v>
      </c>
      <c r="O53" s="359" t="str">
        <f t="shared" si="66"/>
        <v/>
      </c>
      <c r="P53" s="358" t="str">
        <f t="shared" si="66"/>
        <v>BC EMAX Unterföhring 2</v>
      </c>
      <c r="Q53" s="359" t="str">
        <f t="shared" si="66"/>
        <v/>
      </c>
      <c r="R53" s="358" t="str">
        <f t="shared" si="66"/>
        <v>SG DJK Rimpar</v>
      </c>
      <c r="S53" s="359" t="str">
        <f t="shared" si="66"/>
        <v/>
      </c>
      <c r="T53" s="358" t="str">
        <f t="shared" si="66"/>
        <v>RW Lichtenhof Stein 1</v>
      </c>
      <c r="U53" s="359" t="str">
        <f t="shared" si="66"/>
        <v/>
      </c>
      <c r="V53" s="363"/>
      <c r="W53" s="363"/>
      <c r="AA53" s="90"/>
      <c r="AB53" s="86"/>
      <c r="AC53" s="358" t="str">
        <f>VLOOKUP(AC52,Schlüssel!$A$5:$K$14,2)</f>
        <v>BC Comet Nürnberg</v>
      </c>
      <c r="AD53" s="359"/>
      <c r="AE53" s="358" t="str">
        <f>VLOOKUP(AE52,Schlüssel!$A$5:$K$14,2)</f>
        <v>Bowlinghaus Bamberg 1</v>
      </c>
      <c r="AF53" s="359"/>
      <c r="AG53" s="358" t="str">
        <f>VLOOKUP(AG52,Schlüssel!$A$5:$K$14,2)</f>
        <v>BK München 3</v>
      </c>
      <c r="AH53" s="359"/>
      <c r="AI53" s="358" t="str">
        <f>VLOOKUP(AI52,Schlüssel!$A$5:$K$14,2)</f>
        <v>High Roller Rosenheim 1</v>
      </c>
      <c r="AJ53" s="359"/>
      <c r="AK53" s="358" t="str">
        <f>VLOOKUP(AK52,Schlüssel!$A$5:$K$14,2)</f>
        <v>SG Rottendorf 1</v>
      </c>
      <c r="AL53" s="359"/>
      <c r="AM53" s="358" t="str">
        <f>VLOOKUP(AM52,Schlüssel!$A$5:$K$14,2)</f>
        <v>Schanzer Ingolstadt 1</v>
      </c>
      <c r="AN53" s="359"/>
      <c r="AO53" s="358" t="str">
        <f>VLOOKUP(AO52,Schlüssel!$A$5:$K$14,2)</f>
        <v>BC EMAX Unterföhring 2</v>
      </c>
      <c r="AP53" s="359"/>
      <c r="AQ53" s="358" t="str">
        <f>VLOOKUP(AQ52,Schlüssel!$A$5:$K$14,2)</f>
        <v>SG DJK Rimpar</v>
      </c>
      <c r="AR53" s="359"/>
      <c r="AS53" s="358" t="str">
        <f>VLOOKUP(AS52,Schlüssel!$A$5:$K$14,2)</f>
        <v>RW Lichtenhof Stein 1</v>
      </c>
      <c r="AT53" s="359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60" t="str">
        <f t="shared" si="67"/>
        <v/>
      </c>
      <c r="E54" s="360" t="str">
        <f t="shared" si="67"/>
        <v/>
      </c>
      <c r="F54" s="360" t="str">
        <f t="shared" si="67"/>
        <v/>
      </c>
      <c r="G54" s="360" t="str">
        <f t="shared" si="67"/>
        <v/>
      </c>
      <c r="H54" s="360" t="str">
        <f t="shared" si="67"/>
        <v/>
      </c>
      <c r="I54" s="360" t="str">
        <f t="shared" si="67"/>
        <v/>
      </c>
      <c r="J54" s="360" t="str">
        <f t="shared" si="67"/>
        <v/>
      </c>
      <c r="K54" s="360" t="str">
        <f t="shared" si="67"/>
        <v/>
      </c>
      <c r="L54" s="360" t="str">
        <f t="shared" si="66"/>
        <v/>
      </c>
      <c r="M54" s="360" t="str">
        <f t="shared" si="66"/>
        <v/>
      </c>
      <c r="N54" s="360" t="str">
        <f t="shared" si="66"/>
        <v/>
      </c>
      <c r="O54" s="360" t="str">
        <f t="shared" si="66"/>
        <v/>
      </c>
      <c r="P54" s="360" t="str">
        <f t="shared" si="66"/>
        <v/>
      </c>
      <c r="Q54" s="360" t="str">
        <f t="shared" si="66"/>
        <v/>
      </c>
      <c r="R54" s="360" t="str">
        <f t="shared" si="66"/>
        <v/>
      </c>
      <c r="S54" s="360" t="str">
        <f t="shared" si="66"/>
        <v/>
      </c>
      <c r="T54" s="360" t="str">
        <f t="shared" si="66"/>
        <v/>
      </c>
      <c r="U54" s="361" t="str">
        <f t="shared" si="66"/>
        <v/>
      </c>
      <c r="V54" s="298"/>
      <c r="W54" s="298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4" t="str">
        <f t="shared" ref="B55:C59" si="68">IF(AA55=0,"",AA55)</f>
        <v>Spieler 1</v>
      </c>
      <c r="C55" s="375" t="str">
        <f t="shared" si="68"/>
        <v/>
      </c>
      <c r="D55" s="362">
        <f>IF(AC55=301,"",AC55)</f>
        <v>176</v>
      </c>
      <c r="E55" s="362" t="str">
        <f>IF(AD55=0,"",AD55)</f>
        <v/>
      </c>
      <c r="F55" s="362">
        <f>IF(AE55=301,"",AE55)</f>
        <v>201</v>
      </c>
      <c r="G55" s="362" t="str">
        <f>IF(AF55=0,"",AF55)</f>
        <v/>
      </c>
      <c r="H55" s="362">
        <f>IF(AG55=301,"",AG55)</f>
        <v>185</v>
      </c>
      <c r="I55" s="362" t="str">
        <f>IF(AH55=0,"",AH55)</f>
        <v/>
      </c>
      <c r="J55" s="362">
        <f>IF(AI55=301,"",AI55)</f>
        <v>202</v>
      </c>
      <c r="K55" s="362" t="str">
        <f>IF(AJ55=0,"",AJ55)</f>
        <v/>
      </c>
      <c r="L55" s="362">
        <f>IF(AK55=301,"",AK55)</f>
        <v>185</v>
      </c>
      <c r="M55" s="362" t="str">
        <f>IF(AL55=0,"",AL55)</f>
        <v/>
      </c>
      <c r="N55" s="362">
        <f>IF(AM55=301,"",AM55)</f>
        <v>140</v>
      </c>
      <c r="O55" s="362" t="str">
        <f>IF(AN55=0,"",AN55)</f>
        <v/>
      </c>
      <c r="P55" s="362">
        <f>IF(AO55=301,"",AO55)</f>
        <v>230</v>
      </c>
      <c r="Q55" s="362" t="str">
        <f>IF(AP55=0,"",AP55)</f>
        <v/>
      </c>
      <c r="R55" s="362">
        <f>IF(AQ55=301,"",AQ55)</f>
        <v>209</v>
      </c>
      <c r="S55" s="362" t="str">
        <f>IF(AR55=0,"",AR55)</f>
        <v/>
      </c>
      <c r="T55" s="362">
        <f>IF(AS55=301,"",AS55)</f>
        <v>203</v>
      </c>
      <c r="U55" s="362" t="str">
        <f>IF(AT55=0,"",AT55)</f>
        <v/>
      </c>
      <c r="V55" s="364"/>
      <c r="W55" s="364"/>
      <c r="AA55" s="91" t="s">
        <v>0</v>
      </c>
      <c r="AB55" s="92"/>
      <c r="AC55" s="368">
        <f>ABS(INDEX(AC:AC,MATCH(AC52,$AA:$AA,0)+5)+INDEX(AC:AC,MATCH(AC52,$AA:$AA,0)+6)+INDEX(AC:AC,MATCH(AC52,$AA:$AA,0)+7))</f>
        <v>176</v>
      </c>
      <c r="AD55" s="369"/>
      <c r="AE55" s="368">
        <f>ABS(INDEX(AE:AE,MATCH(AE52,$AA:$AA,0)+5)+INDEX(AE:AE,MATCH(AE52,$AA:$AA,0)+6)+INDEX(AE:AE,MATCH(AE52,$AA:$AA,0)+7))</f>
        <v>201</v>
      </c>
      <c r="AF55" s="369"/>
      <c r="AG55" s="368">
        <f>ABS(INDEX(AG:AG,MATCH(AG52,$AA:$AA,0)+5)+INDEX(AG:AG,MATCH(AG52,$AA:$AA,0)+6)+INDEX(AG:AG,MATCH(AG52,$AA:$AA,0)+7))</f>
        <v>185</v>
      </c>
      <c r="AH55" s="369"/>
      <c r="AI55" s="368">
        <f>ABS(INDEX(AI:AI,MATCH(AI52,$AA:$AA,0)+5)+INDEX(AI:AI,MATCH(AI52,$AA:$AA,0)+6)+INDEX(AI:AI,MATCH(AI52,$AA:$AA,0)+7))</f>
        <v>202</v>
      </c>
      <c r="AJ55" s="369"/>
      <c r="AK55" s="368">
        <f>ABS(INDEX(AK:AK,MATCH(AK52,$AA:$AA,0)+5)+INDEX(AK:AK,MATCH(AK52,$AA:$AA,0)+6)+INDEX(AK:AK,MATCH(AK52,$AA:$AA,0)+7))</f>
        <v>185</v>
      </c>
      <c r="AL55" s="369"/>
      <c r="AM55" s="368">
        <f>ABS(INDEX(AM:AM,MATCH(AM52,$AA:$AA,0)+5)+INDEX(AM:AM,MATCH(AM52,$AA:$AA,0)+6)+INDEX(AM:AM,MATCH(AM52,$AA:$AA,0)+7))</f>
        <v>140</v>
      </c>
      <c r="AN55" s="369"/>
      <c r="AO55" s="368">
        <f>ABS(INDEX(AO:AO,MATCH(AO52,$AA:$AA,0)+5)+INDEX(AO:AO,MATCH(AO52,$AA:$AA,0)+6)+INDEX(AO:AO,MATCH(AO52,$AA:$AA,0)+7))</f>
        <v>230</v>
      </c>
      <c r="AP55" s="369"/>
      <c r="AQ55" s="368">
        <f>ABS(INDEX(AQ:AQ,MATCH(AQ52,$AA:$AA,0)+5)+INDEX(AQ:AQ,MATCH(AQ52,$AA:$AA,0)+6)+INDEX(AQ:AQ,MATCH(AQ52,$AA:$AA,0)+7))</f>
        <v>209</v>
      </c>
      <c r="AR55" s="369"/>
      <c r="AS55" s="368">
        <f>ABS(INDEX(AS:AS,MATCH(AS52,$AA:$AA,0)+5)+INDEX(AS:AS,MATCH(AS52,$AA:$AA,0)+6)+INDEX(AS:AS,MATCH(AS52,$AA:$AA,0)+7))</f>
        <v>203</v>
      </c>
      <c r="AT55" s="369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4" t="str">
        <f t="shared" si="68"/>
        <v>Spieler 2</v>
      </c>
      <c r="C56" s="375" t="str">
        <f t="shared" si="68"/>
        <v/>
      </c>
      <c r="D56" s="362">
        <f>IF(AC56=301,"",AC56)</f>
        <v>220</v>
      </c>
      <c r="E56" s="362" t="str">
        <f>IF(AD56=0,"",AD56)</f>
        <v/>
      </c>
      <c r="F56" s="362">
        <f>IF(AE56=301,"",AE56)</f>
        <v>165</v>
      </c>
      <c r="G56" s="362" t="str">
        <f>IF(AF56=0,"",AF56)</f>
        <v/>
      </c>
      <c r="H56" s="362">
        <f>IF(AG56=301,"",AG56)</f>
        <v>216</v>
      </c>
      <c r="I56" s="362" t="str">
        <f>IF(AH56=0,"",AH56)</f>
        <v/>
      </c>
      <c r="J56" s="362">
        <f>IF(AI56=301,"",AI56)</f>
        <v>200</v>
      </c>
      <c r="K56" s="362" t="str">
        <f>IF(AJ56=0,"",AJ56)</f>
        <v/>
      </c>
      <c r="L56" s="362">
        <f>IF(AK56=301,"",AK56)</f>
        <v>181</v>
      </c>
      <c r="M56" s="362" t="str">
        <f>IF(AL56=0,"",AL56)</f>
        <v/>
      </c>
      <c r="N56" s="362">
        <f>IF(AM56=301,"",AM56)</f>
        <v>181</v>
      </c>
      <c r="O56" s="362" t="str">
        <f>IF(AN56=0,"",AN56)</f>
        <v/>
      </c>
      <c r="P56" s="362">
        <f>IF(AO56=301,"",AO56)</f>
        <v>168</v>
      </c>
      <c r="Q56" s="362" t="str">
        <f>IF(AP56=0,"",AP56)</f>
        <v/>
      </c>
      <c r="R56" s="362">
        <f>IF(AQ56=301,"",AQ56)</f>
        <v>244</v>
      </c>
      <c r="S56" s="362" t="str">
        <f>IF(AR56=0,"",AR56)</f>
        <v/>
      </c>
      <c r="T56" s="362">
        <f>IF(AS56=301,"",AS56)</f>
        <v>205</v>
      </c>
      <c r="U56" s="362" t="str">
        <f>IF(AT56=0,"",AT56)</f>
        <v/>
      </c>
      <c r="V56" s="364"/>
      <c r="W56" s="364"/>
      <c r="AA56" s="91" t="s">
        <v>2</v>
      </c>
      <c r="AB56" s="92"/>
      <c r="AC56" s="366">
        <f>ABS(INDEX(AC:AC,MATCH(AC52,$AA:$AA,0)+8)+INDEX(AC:AC,MATCH(AC52,$AA:$AA,0)+9)+INDEX(AC:AC,MATCH(AC52,$AA:$AA,0)+10))</f>
        <v>220</v>
      </c>
      <c r="AD56" s="367"/>
      <c r="AE56" s="366">
        <f>ABS(INDEX(AE:AE,MATCH(AE52,$AA:$AA,0)+8)+INDEX(AE:AE,MATCH(AE52,$AA:$AA,0)+9)+INDEX(AE:AE,MATCH(AE52,$AA:$AA,0)+10))</f>
        <v>165</v>
      </c>
      <c r="AF56" s="367"/>
      <c r="AG56" s="366">
        <f>ABS(INDEX(AG:AG,MATCH(AG52,$AA:$AA,0)+8)+INDEX(AG:AG,MATCH(AG52,$AA:$AA,0)+9)+INDEX(AG:AG,MATCH(AG52,$AA:$AA,0)+10))</f>
        <v>216</v>
      </c>
      <c r="AH56" s="367"/>
      <c r="AI56" s="366">
        <f>ABS(INDEX(AI:AI,MATCH(AI52,$AA:$AA,0)+8)+INDEX(AI:AI,MATCH(AI52,$AA:$AA,0)+9)+INDEX(AI:AI,MATCH(AI52,$AA:$AA,0)+10))</f>
        <v>200</v>
      </c>
      <c r="AJ56" s="367"/>
      <c r="AK56" s="366">
        <f>ABS(INDEX(AK:AK,MATCH(AK52,$AA:$AA,0)+8)+INDEX(AK:AK,MATCH(AK52,$AA:$AA,0)+9)+INDEX(AK:AK,MATCH(AK52,$AA:$AA,0)+10))</f>
        <v>181</v>
      </c>
      <c r="AL56" s="367"/>
      <c r="AM56" s="366">
        <f>ABS(INDEX(AM:AM,MATCH(AM52,$AA:$AA,0)+8)+INDEX(AM:AM,MATCH(AM52,$AA:$AA,0)+9)+INDEX(AM:AM,MATCH(AM52,$AA:$AA,0)+10))</f>
        <v>181</v>
      </c>
      <c r="AN56" s="367"/>
      <c r="AO56" s="366">
        <f>ABS(INDEX(AO:AO,MATCH(AO52,$AA:$AA,0)+8)+INDEX(AO:AO,MATCH(AO52,$AA:$AA,0)+9)+INDEX(AO:AO,MATCH(AO52,$AA:$AA,0)+10))</f>
        <v>168</v>
      </c>
      <c r="AP56" s="367"/>
      <c r="AQ56" s="366">
        <f>ABS(INDEX(AQ:AQ,MATCH(AQ52,$AA:$AA,0)+8)+INDEX(AQ:AQ,MATCH(AQ52,$AA:$AA,0)+9)+INDEX(AQ:AQ,MATCH(AQ52,$AA:$AA,0)+10))</f>
        <v>244</v>
      </c>
      <c r="AR56" s="367"/>
      <c r="AS56" s="366">
        <f>ABS(INDEX(AS:AS,MATCH(AS52,$AA:$AA,0)+8)+INDEX(AS:AS,MATCH(AS52,$AA:$AA,0)+9)+INDEX(AS:AS,MATCH(AS52,$AA:$AA,0)+10))</f>
        <v>205</v>
      </c>
      <c r="AT56" s="367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4" t="str">
        <f t="shared" si="68"/>
        <v>Spieler 3</v>
      </c>
      <c r="C57" s="375" t="str">
        <f t="shared" si="68"/>
        <v/>
      </c>
      <c r="D57" s="362">
        <f>IF(AC57=301,"",AC57)</f>
        <v>162</v>
      </c>
      <c r="E57" s="362" t="str">
        <f>IF(AD57=0,"",AD57)</f>
        <v/>
      </c>
      <c r="F57" s="362">
        <f>IF(AE57=301,"",AE57)</f>
        <v>167</v>
      </c>
      <c r="G57" s="362" t="str">
        <f>IF(AF57=0,"",AF57)</f>
        <v/>
      </c>
      <c r="H57" s="362">
        <f>IF(AG57=301,"",AG57)</f>
        <v>236</v>
      </c>
      <c r="I57" s="362" t="str">
        <f>IF(AH57=0,"",AH57)</f>
        <v/>
      </c>
      <c r="J57" s="362">
        <f>IF(AI57=301,"",AI57)</f>
        <v>205</v>
      </c>
      <c r="K57" s="362" t="str">
        <f>IF(AJ57=0,"",AJ57)</f>
        <v/>
      </c>
      <c r="L57" s="362">
        <f>IF(AK57=301,"",AK57)</f>
        <v>184</v>
      </c>
      <c r="M57" s="362" t="str">
        <f>IF(AL57=0,"",AL57)</f>
        <v/>
      </c>
      <c r="N57" s="362">
        <f>IF(AM57=301,"",AM57)</f>
        <v>177</v>
      </c>
      <c r="O57" s="362" t="str">
        <f>IF(AN57=0,"",AN57)</f>
        <v/>
      </c>
      <c r="P57" s="362">
        <f>IF(AO57=301,"",AO57)</f>
        <v>205</v>
      </c>
      <c r="Q57" s="362" t="str">
        <f>IF(AP57=0,"",AP57)</f>
        <v/>
      </c>
      <c r="R57" s="362">
        <f>IF(AQ57=301,"",AQ57)</f>
        <v>224</v>
      </c>
      <c r="S57" s="362" t="str">
        <f>IF(AR57=0,"",AR57)</f>
        <v/>
      </c>
      <c r="T57" s="362">
        <f>IF(AS57=301,"",AS57)</f>
        <v>196</v>
      </c>
      <c r="U57" s="362" t="str">
        <f>IF(AT57=0,"",AT57)</f>
        <v/>
      </c>
      <c r="V57" s="364"/>
      <c r="W57" s="364"/>
      <c r="AA57" s="91" t="s">
        <v>3</v>
      </c>
      <c r="AB57" s="92"/>
      <c r="AC57" s="366">
        <f>ABS(INDEX(AC:AC,MATCH(AC52,$AA:$AA,0)+11)+INDEX(AC:AC,MATCH(AC52,$AA:$AA,0)+12)+INDEX(AC:AC,MATCH(AC52,$AA:$AA,0)+13))</f>
        <v>162</v>
      </c>
      <c r="AD57" s="367"/>
      <c r="AE57" s="366">
        <f>ABS(INDEX(AE:AE,MATCH(AE52,$AA:$AA,0)+11)+INDEX(AE:AE,MATCH(AE52,$AA:$AA,0)+12)+INDEX(AE:AE,MATCH(AE52,$AA:$AA,0)+13))</f>
        <v>167</v>
      </c>
      <c r="AF57" s="367"/>
      <c r="AG57" s="366">
        <f>ABS(INDEX(AG:AG,MATCH(AG52,$AA:$AA,0)+11)+INDEX(AG:AG,MATCH(AG52,$AA:$AA,0)+12)+INDEX(AG:AG,MATCH(AG52,$AA:$AA,0)+13))</f>
        <v>236</v>
      </c>
      <c r="AH57" s="367"/>
      <c r="AI57" s="366">
        <f>ABS(INDEX(AI:AI,MATCH(AI52,$AA:$AA,0)+11)+INDEX(AI:AI,MATCH(AI52,$AA:$AA,0)+12)+INDEX(AI:AI,MATCH(AI52,$AA:$AA,0)+13))</f>
        <v>205</v>
      </c>
      <c r="AJ57" s="367"/>
      <c r="AK57" s="366">
        <f>ABS(INDEX(AK:AK,MATCH(AK52,$AA:$AA,0)+11)+INDEX(AK:AK,MATCH(AK52,$AA:$AA,0)+12)+INDEX(AK:AK,MATCH(AK52,$AA:$AA,0)+13))</f>
        <v>184</v>
      </c>
      <c r="AL57" s="367"/>
      <c r="AM57" s="366">
        <f>ABS(INDEX(AM:AM,MATCH(AM52,$AA:$AA,0)+11)+INDEX(AM:AM,MATCH(AM52,$AA:$AA,0)+12)+INDEX(AM:AM,MATCH(AM52,$AA:$AA,0)+13))</f>
        <v>177</v>
      </c>
      <c r="AN57" s="367"/>
      <c r="AO57" s="366">
        <f>ABS(INDEX(AO:AO,MATCH(AO52,$AA:$AA,0)+11)+INDEX(AO:AO,MATCH(AO52,$AA:$AA,0)+12)+INDEX(AO:AO,MATCH(AO52,$AA:$AA,0)+13))</f>
        <v>205</v>
      </c>
      <c r="AP57" s="367"/>
      <c r="AQ57" s="366">
        <f>ABS(INDEX(AQ:AQ,MATCH(AQ52,$AA:$AA,0)+11)+INDEX(AQ:AQ,MATCH(AQ52,$AA:$AA,0)+12)+INDEX(AQ:AQ,MATCH(AQ52,$AA:$AA,0)+13))</f>
        <v>224</v>
      </c>
      <c r="AR57" s="367"/>
      <c r="AS57" s="366">
        <f>ABS(INDEX(AS:AS,MATCH(AS52,$AA:$AA,0)+11)+INDEX(AS:AS,MATCH(AS52,$AA:$AA,0)+12)+INDEX(AS:AS,MATCH(AS52,$AA:$AA,0)+13))</f>
        <v>196</v>
      </c>
      <c r="AT57" s="367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4" t="str">
        <f t="shared" si="68"/>
        <v>Spieler 4</v>
      </c>
      <c r="C58" s="375" t="str">
        <f t="shared" si="68"/>
        <v/>
      </c>
      <c r="D58" s="362">
        <f>IF(AC58=301,"",AC58)</f>
        <v>232</v>
      </c>
      <c r="E58" s="362" t="str">
        <f>IF(AD58=0,"",AD58)</f>
        <v/>
      </c>
      <c r="F58" s="362">
        <f>IF(AE58=301,"",AE58)</f>
        <v>172</v>
      </c>
      <c r="G58" s="362" t="str">
        <f>IF(AF58=0,"",AF58)</f>
        <v/>
      </c>
      <c r="H58" s="362">
        <f>IF(AG58=301,"",AG58)</f>
        <v>169</v>
      </c>
      <c r="I58" s="362" t="str">
        <f>IF(AH58=0,"",AH58)</f>
        <v/>
      </c>
      <c r="J58" s="362">
        <f>IF(AI58=301,"",AI58)</f>
        <v>211</v>
      </c>
      <c r="K58" s="362" t="str">
        <f>IF(AJ58=0,"",AJ58)</f>
        <v/>
      </c>
      <c r="L58" s="362">
        <f>IF(AK58=301,"",AK58)</f>
        <v>202</v>
      </c>
      <c r="M58" s="362" t="str">
        <f>IF(AL58=0,"",AL58)</f>
        <v/>
      </c>
      <c r="N58" s="362">
        <f>IF(AM58=301,"",AM58)</f>
        <v>203</v>
      </c>
      <c r="O58" s="362" t="str">
        <f>IF(AN58=0,"",AN58)</f>
        <v/>
      </c>
      <c r="P58" s="362">
        <f>IF(AO58=301,"",AO58)</f>
        <v>193</v>
      </c>
      <c r="Q58" s="362" t="str">
        <f>IF(AP58=0,"",AP58)</f>
        <v/>
      </c>
      <c r="R58" s="362">
        <f>IF(AQ58=301,"",AQ58)</f>
        <v>225</v>
      </c>
      <c r="S58" s="362" t="str">
        <f>IF(AR58=0,"",AR58)</f>
        <v/>
      </c>
      <c r="T58" s="362">
        <f>IF(AS58=301,"",AS58)</f>
        <v>225</v>
      </c>
      <c r="U58" s="362" t="str">
        <f>IF(AT58=0,"",AT58)</f>
        <v/>
      </c>
      <c r="V58" s="364"/>
      <c r="W58" s="364"/>
      <c r="AA58" s="91" t="s">
        <v>11</v>
      </c>
      <c r="AB58" s="92"/>
      <c r="AC58" s="366">
        <f>ABS(INDEX(AC:AC,MATCH(AC52,$AA:$AA,0)+14)+INDEX(AC:AC,MATCH(AC52,$AA:$AA,0)+15)+INDEX(AC:AC,MATCH(AC52,$AA:$AA,0)+16))</f>
        <v>232</v>
      </c>
      <c r="AD58" s="367"/>
      <c r="AE58" s="366">
        <f>ABS(INDEX(AE:AE,MATCH(AE52,$AA:$AA,0)+14)+INDEX(AE:AE,MATCH(AE52,$AA:$AA,0)+15)+INDEX(AE:AE,MATCH(AE52,$AA:$AA,0)+16))</f>
        <v>172</v>
      </c>
      <c r="AF58" s="367"/>
      <c r="AG58" s="366">
        <f>ABS(INDEX(AG:AG,MATCH(AG52,$AA:$AA,0)+14)+INDEX(AG:AG,MATCH(AG52,$AA:$AA,0)+15)+INDEX(AG:AG,MATCH(AG52,$AA:$AA,0)+16))</f>
        <v>169</v>
      </c>
      <c r="AH58" s="367"/>
      <c r="AI58" s="366">
        <f>ABS(INDEX(AI:AI,MATCH(AI52,$AA:$AA,0)+14)+INDEX(AI:AI,MATCH(AI52,$AA:$AA,0)+15)+INDEX(AI:AI,MATCH(AI52,$AA:$AA,0)+16))</f>
        <v>211</v>
      </c>
      <c r="AJ58" s="367"/>
      <c r="AK58" s="366">
        <f>ABS(INDEX(AK:AK,MATCH(AK52,$AA:$AA,0)+14)+INDEX(AK:AK,MATCH(AK52,$AA:$AA,0)+15)+INDEX(AK:AK,MATCH(AK52,$AA:$AA,0)+16))</f>
        <v>202</v>
      </c>
      <c r="AL58" s="367"/>
      <c r="AM58" s="366">
        <f>ABS(INDEX(AM:AM,MATCH(AM52,$AA:$AA,0)+14)+INDEX(AM:AM,MATCH(AM52,$AA:$AA,0)+15)+INDEX(AM:AM,MATCH(AM52,$AA:$AA,0)+16))</f>
        <v>203</v>
      </c>
      <c r="AN58" s="367"/>
      <c r="AO58" s="366">
        <f>ABS(INDEX(AO:AO,MATCH(AO52,$AA:$AA,0)+14)+INDEX(AO:AO,MATCH(AO52,$AA:$AA,0)+15)+INDEX(AO:AO,MATCH(AO52,$AA:$AA,0)+16))</f>
        <v>193</v>
      </c>
      <c r="AP58" s="367"/>
      <c r="AQ58" s="366">
        <f>ABS(INDEX(AQ:AQ,MATCH(AQ52,$AA:$AA,0)+14)+INDEX(AQ:AQ,MATCH(AQ52,$AA:$AA,0)+15)+INDEX(AQ:AQ,MATCH(AQ52,$AA:$AA,0)+16))</f>
        <v>225</v>
      </c>
      <c r="AR58" s="367"/>
      <c r="AS58" s="366">
        <f>ABS(INDEX(AS:AS,MATCH(AS52,$AA:$AA,0)+14)+INDEX(AS:AS,MATCH(AS52,$AA:$AA,0)+15)+INDEX(AS:AS,MATCH(AS52,$AA:$AA,0)+16))</f>
        <v>225</v>
      </c>
      <c r="AT58" s="367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6" t="str">
        <f t="shared" si="68"/>
        <v>Gesamt</v>
      </c>
      <c r="C59" s="347" t="str">
        <f t="shared" si="68"/>
        <v/>
      </c>
      <c r="D59" s="365">
        <f>IF(AC59=1505,"",AC59)</f>
        <v>790</v>
      </c>
      <c r="E59" s="365" t="str">
        <f>IF(AD59=0,"",AD59)</f>
        <v/>
      </c>
      <c r="F59" s="365">
        <f>IF(AE59=1505,"",AE59)</f>
        <v>705</v>
      </c>
      <c r="G59" s="365" t="str">
        <f>IF(AF59=0,"",AF59)</f>
        <v/>
      </c>
      <c r="H59" s="365">
        <f>IF(AG59=1505,"",AG59)</f>
        <v>806</v>
      </c>
      <c r="I59" s="365" t="str">
        <f>IF(AH59=0,"",AH59)</f>
        <v/>
      </c>
      <c r="J59" s="365">
        <f>IF(AI59=1505,"",AI59)</f>
        <v>818</v>
      </c>
      <c r="K59" s="365" t="str">
        <f>IF(AJ59=0,"",AJ59)</f>
        <v/>
      </c>
      <c r="L59" s="365">
        <f>IF(AK59=1505,"",AK59)</f>
        <v>752</v>
      </c>
      <c r="M59" s="365" t="str">
        <f>IF(AL59=0,"",AL59)</f>
        <v/>
      </c>
      <c r="N59" s="365">
        <f>IF(AM59=1505,"",AM59)</f>
        <v>701</v>
      </c>
      <c r="O59" s="365" t="str">
        <f>IF(AN59=0,"",AN59)</f>
        <v/>
      </c>
      <c r="P59" s="365">
        <f>IF(AO59=1505,"",AO59)</f>
        <v>796</v>
      </c>
      <c r="Q59" s="365" t="str">
        <f>IF(AP59=0,"",AP59)</f>
        <v/>
      </c>
      <c r="R59" s="365">
        <f>IF(AQ59=1505,"",AQ59)</f>
        <v>902</v>
      </c>
      <c r="S59" s="365" t="str">
        <f>IF(AR59=0,"",AR59)</f>
        <v/>
      </c>
      <c r="T59" s="365">
        <f>IF(AS59=1505,"",AS59)</f>
        <v>829</v>
      </c>
      <c r="U59" s="365" t="str">
        <f>IF(AT59=0,"",AT59)</f>
        <v/>
      </c>
      <c r="V59" s="301"/>
      <c r="W59" s="301"/>
      <c r="AA59" s="93" t="s">
        <v>1799</v>
      </c>
      <c r="AB59" s="94"/>
      <c r="AC59" s="346">
        <f>SUM(AC55:AC58)</f>
        <v>790</v>
      </c>
      <c r="AD59" s="347"/>
      <c r="AE59" s="346">
        <f>SUM(AE55:AE58)</f>
        <v>705</v>
      </c>
      <c r="AF59" s="347"/>
      <c r="AG59" s="346">
        <f>SUM(AG55:AG58)</f>
        <v>806</v>
      </c>
      <c r="AH59" s="347"/>
      <c r="AI59" s="346">
        <f>SUM(AI55:AI58)</f>
        <v>818</v>
      </c>
      <c r="AJ59" s="347"/>
      <c r="AK59" s="346">
        <f>SUM(AK55:AK58)</f>
        <v>752</v>
      </c>
      <c r="AL59" s="347"/>
      <c r="AM59" s="346">
        <f>SUM(AM55:AM58)</f>
        <v>701</v>
      </c>
      <c r="AN59" s="347"/>
      <c r="AO59" s="346">
        <f>SUM(AO55:AO58)</f>
        <v>796</v>
      </c>
      <c r="AP59" s="347"/>
      <c r="AQ59" s="346">
        <f>SUM(AQ55:AQ58)</f>
        <v>902</v>
      </c>
      <c r="AR59" s="347"/>
      <c r="AS59" s="346">
        <f>SUM(AS55:AS58)</f>
        <v>829</v>
      </c>
      <c r="AT59" s="347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5" t="str">
        <f>AE61</f>
        <v>Bayernliga Herren</v>
      </c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48"/>
      <c r="S61" s="49" t="s">
        <v>1794</v>
      </c>
      <c r="T61" s="50"/>
      <c r="U61" s="341" t="str">
        <f>AT61</f>
        <v>15.03./16.03.</v>
      </c>
      <c r="V61" s="342"/>
      <c r="W61" s="343"/>
      <c r="X61" s="372"/>
      <c r="Y61" s="373"/>
      <c r="Z61" s="373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41" t="str">
        <f>VLOOKUP(AS62,Spielorte!$A$1:$C$6,2)</f>
        <v>15.03./16.03.</v>
      </c>
      <c r="AU61" s="342"/>
      <c r="AV61" s="34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4" t="str">
        <f>AE62</f>
        <v>Brunnthal Max Munich</v>
      </c>
      <c r="G62" s="344"/>
      <c r="H62" s="344"/>
      <c r="I62" s="344"/>
      <c r="J62" s="344"/>
      <c r="K62" s="344"/>
      <c r="L62" s="344"/>
      <c r="M62" s="344"/>
      <c r="N62" s="344"/>
      <c r="O62" s="344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6" t="s">
        <v>1800</v>
      </c>
      <c r="E65" s="347"/>
      <c r="F65" s="346" t="s">
        <v>1801</v>
      </c>
      <c r="G65" s="347"/>
      <c r="H65" s="346" t="s">
        <v>1802</v>
      </c>
      <c r="I65" s="347"/>
      <c r="J65" s="346" t="s">
        <v>1803</v>
      </c>
      <c r="K65" s="347"/>
      <c r="L65" s="346" t="s">
        <v>1804</v>
      </c>
      <c r="M65" s="347"/>
      <c r="N65" s="346" t="s">
        <v>1805</v>
      </c>
      <c r="O65" s="347"/>
      <c r="P65" s="346" t="s">
        <v>1806</v>
      </c>
      <c r="Q65" s="347"/>
      <c r="R65" s="346" t="s">
        <v>1807</v>
      </c>
      <c r="S65" s="347"/>
      <c r="T65" s="346" t="s">
        <v>1808</v>
      </c>
      <c r="U65" s="347"/>
      <c r="V65" s="354" t="s">
        <v>1799</v>
      </c>
      <c r="W65" s="355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6" t="s">
        <v>0</v>
      </c>
      <c r="B67" s="73" t="str">
        <f>IF(AA67=0,"",AA67)</f>
        <v>Börding, Daniel</v>
      </c>
      <c r="C67" s="74">
        <f>IF(AB67=0,"",AB67)</f>
        <v>7591</v>
      </c>
      <c r="D67" s="75">
        <f>IF(AC67=0,"",AC67)</f>
        <v>199</v>
      </c>
      <c r="E67" s="348">
        <f>IF(AD67="","",AD67)</f>
        <v>0</v>
      </c>
      <c r="F67" s="75">
        <f t="shared" ref="F67:F80" si="69">IF(AE67=0,"",AE67)</f>
        <v>222</v>
      </c>
      <c r="G67" s="348">
        <f>IF(AF67="","",AF67)</f>
        <v>1</v>
      </c>
      <c r="H67" s="75">
        <f t="shared" ref="H67:H80" si="70">IF(AG67=0,"",AG67)</f>
        <v>185</v>
      </c>
      <c r="I67" s="348">
        <f>IF(AH67="","",AH67)</f>
        <v>0</v>
      </c>
      <c r="J67" s="75">
        <f t="shared" ref="J67:J80" si="71">IF(AI67=0,"",AI67)</f>
        <v>158</v>
      </c>
      <c r="K67" s="348">
        <f>IF(AJ67="","",AJ67)</f>
        <v>0</v>
      </c>
      <c r="L67" s="75">
        <f t="shared" ref="L67:L80" si="72">IF(AK67=0,"",AK67)</f>
        <v>200</v>
      </c>
      <c r="M67" s="348">
        <f>IF(AL67="","",AL67)</f>
        <v>1</v>
      </c>
      <c r="N67" s="75">
        <f>IF(AM67=0,"",AM67)</f>
        <v>244</v>
      </c>
      <c r="O67" s="348">
        <f>IF(AN67="","",AN67)</f>
        <v>1</v>
      </c>
      <c r="P67" s="75">
        <f t="shared" ref="P67:P80" si="73">IF(AO67=0,"",AO67)</f>
        <v>179</v>
      </c>
      <c r="Q67" s="348">
        <f>IF(AP67="","",AP67)</f>
        <v>0</v>
      </c>
      <c r="R67" s="75" t="str">
        <f t="shared" ref="R67:R80" si="74">IF(AQ67=0,"",AQ67)</f>
        <v/>
      </c>
      <c r="S67" s="348">
        <f>IF(AR67="","",AR67)</f>
        <v>1</v>
      </c>
      <c r="T67" s="75" t="str">
        <f t="shared" ref="T67:T80" si="75">IF(AS67=0,"",AS67)</f>
        <v/>
      </c>
      <c r="U67" s="348">
        <f>IF(AT67="","",AT67)</f>
        <v>1</v>
      </c>
      <c r="V67" s="75">
        <f t="shared" ref="V67:V80" si="76">IF(AU67=0,"",AU67)</f>
        <v>1387</v>
      </c>
      <c r="W67" s="348">
        <f>IF(AV67="","",AV67)</f>
        <v>5</v>
      </c>
      <c r="Z67" s="351" t="s">
        <v>0</v>
      </c>
      <c r="AA67" s="108" t="str">
        <f>IF(AB67=0,"",VLOOKUP(AB67,Starter!$A$1:$D$199,2,FALSE))</f>
        <v>Börding, Daniel</v>
      </c>
      <c r="AB67" s="99">
        <v>7591</v>
      </c>
      <c r="AC67" s="185">
        <v>199</v>
      </c>
      <c r="AD67" s="109">
        <f>IF(SUM(AC67:AC69)+AC85=0,0,IF(SUM(AC67:AC69)=AC85,0.5,IF(SUM(AC67:AC69)&gt;AC85,1,0)))</f>
        <v>0</v>
      </c>
      <c r="AE67" s="185">
        <v>222</v>
      </c>
      <c r="AF67" s="109">
        <f>IF(SUM(AE67:AE69)+AE85=0,0,IF(SUM(AE67:AE69)=AE85,0.5,IF(SUM(AE67:AE69)&gt;AE85,1,0)))</f>
        <v>1</v>
      </c>
      <c r="AG67" s="185">
        <v>185</v>
      </c>
      <c r="AH67" s="109">
        <f>IF(SUM(AG67:AG69)+AG85=0,0,IF(SUM(AG67:AG69)=AG85,0.5,IF(SUM(AG67:AG69)&gt;AG85,1,0)))</f>
        <v>0</v>
      </c>
      <c r="AI67" s="185">
        <v>158</v>
      </c>
      <c r="AJ67" s="109">
        <f>IF(SUM(AI67:AI69)+AI85=0,0,IF(SUM(AI67:AI69)=AI85,0.5,IF(SUM(AI67:AI69)&gt;AI85,1,0)))</f>
        <v>0</v>
      </c>
      <c r="AK67" s="185">
        <v>200</v>
      </c>
      <c r="AL67" s="109">
        <f>IF(SUM(AK67:AK69)+AK85=0,0,IF(SUM(AK67:AK69)=AK85,0.5,IF(SUM(AK67:AK69)&gt;AK85,1,0)))</f>
        <v>1</v>
      </c>
      <c r="AM67" s="185">
        <v>244</v>
      </c>
      <c r="AN67" s="109">
        <f>IF(SUM(AM67:AM69)+AM85=0,0,IF(SUM(AM67:AM69)=AM85,0.5,IF(SUM(AM67:AM69)&gt;AM85,1,0)))</f>
        <v>1</v>
      </c>
      <c r="AO67" s="185">
        <v>179</v>
      </c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1</v>
      </c>
      <c r="AS67" s="185"/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1387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7591</v>
      </c>
      <c r="BE67" s="213">
        <f>+AU67</f>
        <v>1387</v>
      </c>
      <c r="BF67" s="215">
        <f>COUNT(BH67:BP67)</f>
        <v>7</v>
      </c>
      <c r="BG67" s="215">
        <f>COUNTIF(BH67:BP67,"&gt;0")</f>
        <v>7</v>
      </c>
      <c r="BH67" s="215">
        <f t="shared" ref="BH67:BH78" si="78">IF(AC67=0,"",AC67)</f>
        <v>199</v>
      </c>
      <c r="BI67" s="215">
        <f t="shared" ref="BI67:BI78" si="79">IF(AE67=0,"",AE67)</f>
        <v>222</v>
      </c>
      <c r="BJ67" s="215">
        <f t="shared" ref="BJ67:BJ78" si="80">IF(AG67=0,"",AG67)</f>
        <v>185</v>
      </c>
      <c r="BK67" s="215">
        <f t="shared" ref="BK67:BK78" si="81">IF(AI67=0,"",AI67)</f>
        <v>158</v>
      </c>
      <c r="BL67" s="215">
        <f t="shared" ref="BL67:BL78" si="82">IF(AK67=0,"",AK67)</f>
        <v>200</v>
      </c>
      <c r="BM67" s="215">
        <f t="shared" ref="BM67:BM78" si="83">IF(AM67=0,"",AM67)</f>
        <v>244</v>
      </c>
      <c r="BN67" s="215">
        <f t="shared" ref="BN67:BN78" si="84">IF(AO67=0,"",AO67)</f>
        <v>179</v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244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3</v>
      </c>
      <c r="BW67" s="215">
        <f>SUMIF(BH67:BP67,"&gt;0")</f>
        <v>1387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7"/>
      <c r="B68" s="76" t="str">
        <f t="shared" ref="B68:D80" si="88">IF(AA68=0,"",AA68)</f>
        <v>Hellmessen, Maximilian</v>
      </c>
      <c r="C68" s="77">
        <f t="shared" si="88"/>
        <v>16912</v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>
        <f t="shared" si="74"/>
        <v>227</v>
      </c>
      <c r="S68" s="349"/>
      <c r="T68" s="78">
        <f t="shared" si="75"/>
        <v>258</v>
      </c>
      <c r="U68" s="349"/>
      <c r="V68" s="78">
        <f t="shared" si="76"/>
        <v>485</v>
      </c>
      <c r="W68" s="349"/>
      <c r="Z68" s="352"/>
      <c r="AA68" s="108" t="str">
        <f>IF(AB68=0,"",VLOOKUP(AB68,Starter!$A$1:$D$199,2,FALSE))</f>
        <v>Hellmessen, Maximilian</v>
      </c>
      <c r="AB68" s="98">
        <v>16912</v>
      </c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>
        <v>227</v>
      </c>
      <c r="AR68" s="112"/>
      <c r="AS68" s="186">
        <v>258</v>
      </c>
      <c r="AT68" s="112"/>
      <c r="AU68" s="113">
        <f t="shared" si="77"/>
        <v>485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16912</v>
      </c>
      <c r="BE68" s="213">
        <f t="shared" ref="BE68:BE78" si="91">+AU68</f>
        <v>485</v>
      </c>
      <c r="BF68" s="215">
        <f t="shared" ref="BF68:BF78" si="92">COUNT(BH68:BP68)</f>
        <v>2</v>
      </c>
      <c r="BG68" s="215">
        <f t="shared" ref="BG68:BG78" si="93">COUNTIF(BH68:BP68,"&gt;0")</f>
        <v>2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>
        <f t="shared" si="85"/>
        <v>227</v>
      </c>
      <c r="BP68" s="215">
        <f t="shared" si="86"/>
        <v>258</v>
      </c>
      <c r="BQ68" s="216"/>
      <c r="BR68" s="214"/>
      <c r="BS68" s="215">
        <f t="shared" ref="BS68:BS78" si="94">MAX(BH68:BP68)</f>
        <v>258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3</v>
      </c>
      <c r="BW68" s="215">
        <f t="shared" ref="BW68:BW78" si="98">SUMIF(BH68:BP68,"&gt;0")</f>
        <v>485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8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3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6" t="s">
        <v>2</v>
      </c>
      <c r="B70" s="73" t="str">
        <f t="shared" si="88"/>
        <v>Hellmessen, Maximilian</v>
      </c>
      <c r="C70" s="74">
        <f t="shared" si="88"/>
        <v>16912</v>
      </c>
      <c r="D70" s="75">
        <f t="shared" si="88"/>
        <v>188</v>
      </c>
      <c r="E70" s="348">
        <f>IF(AD70="","",AD70)</f>
        <v>0</v>
      </c>
      <c r="F70" s="75">
        <f t="shared" si="69"/>
        <v>192</v>
      </c>
      <c r="G70" s="348">
        <f>IF(AF70="","",AF70)</f>
        <v>1</v>
      </c>
      <c r="H70" s="75" t="str">
        <f t="shared" si="70"/>
        <v/>
      </c>
      <c r="I70" s="348">
        <f>IF(AH70="","",AH70)</f>
        <v>1</v>
      </c>
      <c r="J70" s="75" t="str">
        <f t="shared" si="71"/>
        <v/>
      </c>
      <c r="K70" s="348">
        <f>IF(AJ70="","",AJ70)</f>
        <v>1</v>
      </c>
      <c r="L70" s="75" t="str">
        <f t="shared" si="72"/>
        <v/>
      </c>
      <c r="M70" s="348">
        <f>IF(AL70="","",AL70)</f>
        <v>1</v>
      </c>
      <c r="N70" s="75" t="str">
        <f t="shared" si="89"/>
        <v/>
      </c>
      <c r="O70" s="348">
        <f>IF(AN70="","",AN70)</f>
        <v>0</v>
      </c>
      <c r="P70" s="75" t="str">
        <f t="shared" si="73"/>
        <v/>
      </c>
      <c r="Q70" s="348">
        <f>IF(AP70="","",AP70)</f>
        <v>1</v>
      </c>
      <c r="R70" s="75" t="str">
        <f t="shared" si="74"/>
        <v/>
      </c>
      <c r="S70" s="348">
        <f>IF(AR70="","",AR70)</f>
        <v>0.5</v>
      </c>
      <c r="T70" s="75" t="str">
        <f t="shared" si="75"/>
        <v/>
      </c>
      <c r="U70" s="348">
        <f>IF(AT70="","",AT70)</f>
        <v>0</v>
      </c>
      <c r="V70" s="75">
        <f t="shared" si="76"/>
        <v>380</v>
      </c>
      <c r="W70" s="348">
        <f>IF(AV70="","",AV70)</f>
        <v>5.5</v>
      </c>
      <c r="Z70" s="351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188</v>
      </c>
      <c r="AD70" s="109">
        <f>IF(SUM(AC70:AC72)+AC86=0,0,IF(SUM(AC70:AC72)=AC86,0.5,IF(SUM(AC70:AC72)&gt;AC86,1,0)))</f>
        <v>0</v>
      </c>
      <c r="AE70" s="188">
        <v>192</v>
      </c>
      <c r="AF70" s="109">
        <f>IF(SUM(AE70:AE72)+AE86=0,0,IF(SUM(AE70:AE72)=AE86,0.5,IF(SUM(AE70:AE72)&gt;AE86,1,0)))</f>
        <v>1</v>
      </c>
      <c r="AG70" s="188"/>
      <c r="AH70" s="109">
        <f>IF(SUM(AG70:AG72)+AG86=0,0,IF(SUM(AG70:AG72)=AG86,0.5,IF(SUM(AG70:AG72)&gt;AG86,1,0)))</f>
        <v>1</v>
      </c>
      <c r="AI70" s="188"/>
      <c r="AJ70" s="109">
        <f>IF(SUM(AI70:AI72)+AI86=0,0,IF(SUM(AI70:AI72)=AI86,0.5,IF(SUM(AI70:AI72)&gt;AI86,1,0)))</f>
        <v>1</v>
      </c>
      <c r="AK70" s="188"/>
      <c r="AL70" s="109">
        <f>IF(SUM(AK70:AK72)+AK86=0,0,IF(SUM(AK70:AK72)=AK86,0.5,IF(SUM(AK70:AK72)&gt;AK86,1,0)))</f>
        <v>1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0.5</v>
      </c>
      <c r="AS70" s="188"/>
      <c r="AT70" s="109">
        <f>IF(SUM(AS70:AS72)+AS86=0,0,IF(SUM(AS70:AS72)=AS86,0.5,IF(SUM(AS70:AS72)&gt;AS86,1,0)))</f>
        <v>0</v>
      </c>
      <c r="AU70" s="110">
        <f t="shared" si="77"/>
        <v>380</v>
      </c>
      <c r="AV70" s="111">
        <f>SUM(AD70+AF70+AH70+AJ70+AL70+AN70+AP70+AR70+AT70)</f>
        <v>5.5</v>
      </c>
      <c r="AW70" s="101"/>
      <c r="AX70" s="102"/>
      <c r="AZ70" s="63"/>
      <c r="BA70" s="212"/>
      <c r="BB70" s="213"/>
      <c r="BC70" s="214"/>
      <c r="BD70" s="217">
        <f t="shared" si="90"/>
        <v>16912</v>
      </c>
      <c r="BE70" s="213">
        <f t="shared" si="91"/>
        <v>380</v>
      </c>
      <c r="BF70" s="215">
        <f t="shared" si="92"/>
        <v>2</v>
      </c>
      <c r="BG70" s="215">
        <f t="shared" si="93"/>
        <v>2</v>
      </c>
      <c r="BH70" s="215">
        <f t="shared" si="78"/>
        <v>188</v>
      </c>
      <c r="BI70" s="215">
        <f t="shared" si="79"/>
        <v>192</v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192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3</v>
      </c>
      <c r="BW70" s="215">
        <f t="shared" si="98"/>
        <v>380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7"/>
      <c r="B71" s="76" t="str">
        <f t="shared" si="88"/>
        <v>Laub, Harald</v>
      </c>
      <c r="C71" s="77">
        <f t="shared" si="88"/>
        <v>7597</v>
      </c>
      <c r="D71" s="78" t="str">
        <f t="shared" si="88"/>
        <v/>
      </c>
      <c r="E71" s="349"/>
      <c r="F71" s="78" t="str">
        <f t="shared" si="69"/>
        <v/>
      </c>
      <c r="G71" s="349"/>
      <c r="H71" s="78">
        <f t="shared" si="70"/>
        <v>216</v>
      </c>
      <c r="I71" s="349"/>
      <c r="J71" s="78">
        <f t="shared" si="71"/>
        <v>236</v>
      </c>
      <c r="K71" s="349"/>
      <c r="L71" s="78">
        <f t="shared" si="72"/>
        <v>228</v>
      </c>
      <c r="M71" s="349"/>
      <c r="N71" s="78">
        <f t="shared" si="89"/>
        <v>182</v>
      </c>
      <c r="O71" s="349"/>
      <c r="P71" s="78">
        <f t="shared" si="73"/>
        <v>203</v>
      </c>
      <c r="Q71" s="349"/>
      <c r="R71" s="78">
        <f t="shared" si="74"/>
        <v>202</v>
      </c>
      <c r="S71" s="349"/>
      <c r="T71" s="78">
        <f t="shared" si="75"/>
        <v>211</v>
      </c>
      <c r="U71" s="349"/>
      <c r="V71" s="78">
        <f t="shared" si="76"/>
        <v>1478</v>
      </c>
      <c r="W71" s="349"/>
      <c r="Z71" s="352"/>
      <c r="AA71" s="108" t="str">
        <f>IF(AB71=0,"",VLOOKUP(AB71,Starter!$A$1:$D$199,2,FALSE))</f>
        <v>Laub, Harald</v>
      </c>
      <c r="AB71" s="98">
        <v>7597</v>
      </c>
      <c r="AC71" s="186"/>
      <c r="AD71" s="112"/>
      <c r="AE71" s="186"/>
      <c r="AF71" s="112"/>
      <c r="AG71" s="186">
        <v>216</v>
      </c>
      <c r="AH71" s="112"/>
      <c r="AI71" s="186">
        <v>236</v>
      </c>
      <c r="AJ71" s="112"/>
      <c r="AK71" s="186">
        <v>228</v>
      </c>
      <c r="AL71" s="112"/>
      <c r="AM71" s="186">
        <v>182</v>
      </c>
      <c r="AN71" s="112"/>
      <c r="AO71" s="190">
        <v>203</v>
      </c>
      <c r="AP71" s="112"/>
      <c r="AQ71" s="190">
        <v>202</v>
      </c>
      <c r="AR71" s="112"/>
      <c r="AS71" s="190">
        <v>211</v>
      </c>
      <c r="AT71" s="112"/>
      <c r="AU71" s="113">
        <f t="shared" si="77"/>
        <v>1478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7597</v>
      </c>
      <c r="BE71" s="213">
        <f t="shared" si="91"/>
        <v>1478</v>
      </c>
      <c r="BF71" s="215">
        <f t="shared" si="92"/>
        <v>7</v>
      </c>
      <c r="BG71" s="215">
        <f t="shared" si="93"/>
        <v>7</v>
      </c>
      <c r="BH71" s="215" t="str">
        <f t="shared" si="78"/>
        <v/>
      </c>
      <c r="BI71" s="215" t="str">
        <f t="shared" si="79"/>
        <v/>
      </c>
      <c r="BJ71" s="215">
        <f t="shared" si="80"/>
        <v>216</v>
      </c>
      <c r="BK71" s="215">
        <f t="shared" si="81"/>
        <v>236</v>
      </c>
      <c r="BL71" s="215">
        <f t="shared" si="82"/>
        <v>228</v>
      </c>
      <c r="BM71" s="215">
        <f t="shared" si="83"/>
        <v>182</v>
      </c>
      <c r="BN71" s="215">
        <f t="shared" si="84"/>
        <v>203</v>
      </c>
      <c r="BO71" s="215">
        <f t="shared" si="85"/>
        <v>202</v>
      </c>
      <c r="BP71" s="215">
        <f t="shared" si="86"/>
        <v>211</v>
      </c>
      <c r="BQ71" s="216"/>
      <c r="BR71" s="214"/>
      <c r="BS71" s="215">
        <f t="shared" si="94"/>
        <v>236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3</v>
      </c>
      <c r="BW71" s="215">
        <f t="shared" si="98"/>
        <v>1478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8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3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6" t="s">
        <v>3</v>
      </c>
      <c r="B73" s="73" t="str">
        <f t="shared" si="88"/>
        <v>Hinterwimmer, Georg</v>
      </c>
      <c r="C73" s="74">
        <f t="shared" si="88"/>
        <v>7867</v>
      </c>
      <c r="D73" s="75">
        <f t="shared" si="88"/>
        <v>227</v>
      </c>
      <c r="E73" s="348">
        <f>IF(AD73="","",AD73)</f>
        <v>1</v>
      </c>
      <c r="F73" s="75">
        <f t="shared" si="69"/>
        <v>226</v>
      </c>
      <c r="G73" s="348">
        <f>IF(AF73="","",AF73)</f>
        <v>1</v>
      </c>
      <c r="H73" s="75">
        <f t="shared" si="70"/>
        <v>236</v>
      </c>
      <c r="I73" s="348">
        <f>IF(AH73="","",AH73)</f>
        <v>1</v>
      </c>
      <c r="J73" s="75">
        <f t="shared" si="71"/>
        <v>222</v>
      </c>
      <c r="K73" s="348">
        <f>IF(AJ73="","",AJ73)</f>
        <v>0</v>
      </c>
      <c r="L73" s="75">
        <f t="shared" si="72"/>
        <v>216</v>
      </c>
      <c r="M73" s="348">
        <f>IF(AL73="","",AL73)</f>
        <v>1</v>
      </c>
      <c r="N73" s="75">
        <f t="shared" si="89"/>
        <v>201</v>
      </c>
      <c r="O73" s="348">
        <f>IF(AN73="","",AN73)</f>
        <v>0</v>
      </c>
      <c r="P73" s="75">
        <f t="shared" si="73"/>
        <v>277</v>
      </c>
      <c r="Q73" s="348">
        <f>IF(AP73="","",AP73)</f>
        <v>1</v>
      </c>
      <c r="R73" s="75">
        <f t="shared" si="74"/>
        <v>211</v>
      </c>
      <c r="S73" s="348">
        <f>IF(AR73="","",AR73)</f>
        <v>1</v>
      </c>
      <c r="T73" s="75">
        <f t="shared" si="75"/>
        <v>196</v>
      </c>
      <c r="U73" s="348">
        <f>IF(AT73="","",AT73)</f>
        <v>0</v>
      </c>
      <c r="V73" s="75">
        <f t="shared" si="76"/>
        <v>2012</v>
      </c>
      <c r="W73" s="348">
        <f>IF(AV73="","",AV73)</f>
        <v>6</v>
      </c>
      <c r="Z73" s="351" t="s">
        <v>3</v>
      </c>
      <c r="AA73" s="108" t="str">
        <f>IF(AB73=0,"",VLOOKUP(AB73,Starter!$A$1:$D$199,2,FALSE))</f>
        <v>Hinterwimmer, Georg</v>
      </c>
      <c r="AB73" s="99">
        <v>7867</v>
      </c>
      <c r="AC73" s="188">
        <v>227</v>
      </c>
      <c r="AD73" s="109">
        <f>IF(SUM(AC73:AC75)+AC87=0,0,IF(SUM(AC73:AC75)=AC87,0.5,IF(SUM(AC73:AC75)&gt;AC87,1,0)))</f>
        <v>1</v>
      </c>
      <c r="AE73" s="188">
        <v>226</v>
      </c>
      <c r="AF73" s="109">
        <f>IF(SUM(AE73:AE75)+AE87=0,0,IF(SUM(AE73:AE75)=AE87,0.5,IF(SUM(AE73:AE75)&gt;AE87,1,0)))</f>
        <v>1</v>
      </c>
      <c r="AG73" s="188">
        <v>236</v>
      </c>
      <c r="AH73" s="109">
        <f>IF(SUM(AG73:AG75)+AG87=0,0,IF(SUM(AG73:AG75)=AG87,0.5,IF(SUM(AG73:AG75)&gt;AG87,1,0)))</f>
        <v>1</v>
      </c>
      <c r="AI73" s="188">
        <v>222</v>
      </c>
      <c r="AJ73" s="109">
        <f>IF(SUM(AI73:AI75)+AI87=0,0,IF(SUM(AI73:AI75)=AI87,0.5,IF(SUM(AI73:AI75)&gt;AI87,1,0)))</f>
        <v>0</v>
      </c>
      <c r="AK73" s="188">
        <v>216</v>
      </c>
      <c r="AL73" s="109">
        <f>IF(SUM(AK73:AK75)+AK87=0,0,IF(SUM(AK73:AK75)=AK87,0.5,IF(SUM(AK73:AK75)&gt;AK87,1,0)))</f>
        <v>1</v>
      </c>
      <c r="AM73" s="188">
        <v>201</v>
      </c>
      <c r="AN73" s="109">
        <f>IF(SUM(AM73:AM75)+AM87=0,0,IF(SUM(AM73:AM75)=AM87,0.5,IF(SUM(AM73:AM75)&gt;AM87,1,0)))</f>
        <v>0</v>
      </c>
      <c r="AO73" s="188">
        <v>277</v>
      </c>
      <c r="AP73" s="109">
        <f>IF(SUM(AO73:AO75)+AO87=0,0,IF(SUM(AO73:AO75)=AO87,0.5,IF(SUM(AO73:AO75)&gt;AO87,1,0)))</f>
        <v>1</v>
      </c>
      <c r="AQ73" s="188">
        <v>211</v>
      </c>
      <c r="AR73" s="109">
        <f>IF(SUM(AQ73:AQ75)+AQ87=0,0,IF(SUM(AQ73:AQ75)=AQ87,0.5,IF(SUM(AQ73:AQ75)&gt;AQ87,1,0)))</f>
        <v>1</v>
      </c>
      <c r="AS73" s="188">
        <v>196</v>
      </c>
      <c r="AT73" s="109">
        <f>IF(SUM(AS73:AS75)+AS87=0,0,IF(SUM(AS73:AS75)=AS87,0.5,IF(SUM(AS73:AS75)&gt;AS87,1,0)))</f>
        <v>0</v>
      </c>
      <c r="AU73" s="110">
        <f t="shared" si="77"/>
        <v>2012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7867</v>
      </c>
      <c r="BE73" s="213">
        <f t="shared" si="91"/>
        <v>2012</v>
      </c>
      <c r="BF73" s="215">
        <f t="shared" si="92"/>
        <v>9</v>
      </c>
      <c r="BG73" s="215">
        <f t="shared" si="93"/>
        <v>9</v>
      </c>
      <c r="BH73" s="215">
        <f t="shared" si="78"/>
        <v>227</v>
      </c>
      <c r="BI73" s="215">
        <f t="shared" si="79"/>
        <v>226</v>
      </c>
      <c r="BJ73" s="215">
        <f t="shared" si="80"/>
        <v>236</v>
      </c>
      <c r="BK73" s="215">
        <f t="shared" si="81"/>
        <v>222</v>
      </c>
      <c r="BL73" s="215">
        <f t="shared" si="82"/>
        <v>216</v>
      </c>
      <c r="BM73" s="215">
        <f t="shared" si="83"/>
        <v>201</v>
      </c>
      <c r="BN73" s="215">
        <f t="shared" si="84"/>
        <v>277</v>
      </c>
      <c r="BO73" s="215">
        <f t="shared" si="85"/>
        <v>211</v>
      </c>
      <c r="BP73" s="215">
        <f t="shared" si="86"/>
        <v>196</v>
      </c>
      <c r="BQ73" s="216"/>
      <c r="BR73" s="214"/>
      <c r="BS73" s="215">
        <f t="shared" si="94"/>
        <v>277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3</v>
      </c>
      <c r="BW73" s="215">
        <f t="shared" si="98"/>
        <v>2012</v>
      </c>
      <c r="BX73" s="215">
        <f>IF(COUNTIF(BH73:BP73,"&gt;0")&lt;Spielorte!$A$23,0,BE73/Spielorte!$A$23)</f>
        <v>223.55555555555554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7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 t="str">
        <f t="shared" si="72"/>
        <v/>
      </c>
      <c r="M74" s="349"/>
      <c r="N74" s="78" t="str">
        <f t="shared" si="89"/>
        <v/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 t="str">
        <f t="shared" si="76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3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8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3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6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300</v>
      </c>
      <c r="E76" s="348">
        <f>IF(AD76="","",AD76)</f>
        <v>1</v>
      </c>
      <c r="F76" s="75">
        <f t="shared" si="69"/>
        <v>184</v>
      </c>
      <c r="G76" s="348">
        <f>IF(AF76="","",AF76)</f>
        <v>0</v>
      </c>
      <c r="H76" s="75">
        <f t="shared" si="70"/>
        <v>169</v>
      </c>
      <c r="I76" s="348">
        <f>IF(AH76="","",AH76)</f>
        <v>1</v>
      </c>
      <c r="J76" s="75">
        <f t="shared" si="71"/>
        <v>201</v>
      </c>
      <c r="K76" s="348">
        <f>IF(AJ76="","",AJ76)</f>
        <v>0</v>
      </c>
      <c r="L76" s="75">
        <f t="shared" si="72"/>
        <v>241</v>
      </c>
      <c r="M76" s="348">
        <f>IF(AL76="","",AL76)</f>
        <v>1</v>
      </c>
      <c r="N76" s="75">
        <f t="shared" si="89"/>
        <v>193</v>
      </c>
      <c r="O76" s="348">
        <f>IF(AN76="","",AN76)</f>
        <v>1</v>
      </c>
      <c r="P76" s="75">
        <f t="shared" si="73"/>
        <v>239</v>
      </c>
      <c r="Q76" s="348">
        <f>IF(AP76="","",AP76)</f>
        <v>1</v>
      </c>
      <c r="R76" s="75">
        <f t="shared" si="74"/>
        <v>266</v>
      </c>
      <c r="S76" s="348">
        <f>IF(AR76="","",AR76)</f>
        <v>1</v>
      </c>
      <c r="T76" s="75">
        <f t="shared" si="75"/>
        <v>220</v>
      </c>
      <c r="U76" s="348">
        <f>IF(AT76="","",AT76)</f>
        <v>1</v>
      </c>
      <c r="V76" s="75">
        <f t="shared" si="76"/>
        <v>2013</v>
      </c>
      <c r="W76" s="348">
        <f>IF(AV76="","",AV76)</f>
        <v>7</v>
      </c>
      <c r="Z76" s="351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300</v>
      </c>
      <c r="AD76" s="109">
        <f>IF(SUM(AC76:AC78)+AC88=0,0,IF(SUM(AC76:AC78)=AC88,0.5,IF(SUM(AC76:AC78)&gt;AC88,1,0)))</f>
        <v>1</v>
      </c>
      <c r="AE76" s="188">
        <v>184</v>
      </c>
      <c r="AF76" s="109">
        <f>IF(SUM(AE76:AE78)+AE88=0,0,IF(SUM(AE76:AE78)=AE88,0.5,IF(SUM(AE76:AE78)&gt;AE88,1,0)))</f>
        <v>0</v>
      </c>
      <c r="AG76" s="188">
        <v>169</v>
      </c>
      <c r="AH76" s="109">
        <f>IF(SUM(AG76:AG78)+AG88=0,0,IF(SUM(AG76:AG78)=AG88,0.5,IF(SUM(AG76:AG78)&gt;AG88,1,0)))</f>
        <v>1</v>
      </c>
      <c r="AI76" s="188">
        <v>201</v>
      </c>
      <c r="AJ76" s="109">
        <f>IF(SUM(AI76:AI78)+AI88=0,0,IF(SUM(AI76:AI78)=AI88,0.5,IF(SUM(AI76:AI78)&gt;AI88,1,0)))</f>
        <v>0</v>
      </c>
      <c r="AK76" s="188">
        <v>241</v>
      </c>
      <c r="AL76" s="109">
        <f>IF(SUM(AK76:AK78)+AK88=0,0,IF(SUM(AK76:AK78)=AK88,0.5,IF(SUM(AK76:AK78)&gt;AK88,1,0)))</f>
        <v>1</v>
      </c>
      <c r="AM76" s="188">
        <v>193</v>
      </c>
      <c r="AN76" s="109">
        <f>IF(SUM(AM76:AM78)+AM88=0,0,IF(SUM(AM76:AM78)=AM88,0.5,IF(SUM(AM76:AM78)&gt;AM88,1,0)))</f>
        <v>1</v>
      </c>
      <c r="AO76" s="188">
        <v>239</v>
      </c>
      <c r="AP76" s="109">
        <f>IF(SUM(AO76:AO78)+AO88=0,0,IF(SUM(AO76:AO78)=AO88,0.5,IF(SUM(AO76:AO78)&gt;AO88,1,0)))</f>
        <v>1</v>
      </c>
      <c r="AQ76" s="188">
        <v>266</v>
      </c>
      <c r="AR76" s="109">
        <f>IF(SUM(AQ76:AQ78)+AQ88=0,0,IF(SUM(AQ76:AQ78)=AQ88,0.5,IF(SUM(AQ76:AQ78)&gt;AQ88,1,0)))</f>
        <v>1</v>
      </c>
      <c r="AS76" s="188">
        <v>220</v>
      </c>
      <c r="AT76" s="109">
        <f>IF(SUM(AS76:AS78)+AS88=0,0,IF(SUM(AS76:AS78)=AS88,0.5,IF(SUM(AS76:AS78)&gt;AS88,1,0)))</f>
        <v>1</v>
      </c>
      <c r="AU76" s="110">
        <f t="shared" si="77"/>
        <v>2013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2013</v>
      </c>
      <c r="BF76" s="215">
        <f t="shared" si="92"/>
        <v>9</v>
      </c>
      <c r="BG76" s="215">
        <f t="shared" si="93"/>
        <v>9</v>
      </c>
      <c r="BH76" s="215">
        <f t="shared" si="78"/>
        <v>300</v>
      </c>
      <c r="BI76" s="215">
        <f t="shared" si="79"/>
        <v>184</v>
      </c>
      <c r="BJ76" s="215">
        <f t="shared" si="80"/>
        <v>169</v>
      </c>
      <c r="BK76" s="215">
        <f t="shared" si="81"/>
        <v>201</v>
      </c>
      <c r="BL76" s="215">
        <f t="shared" si="82"/>
        <v>241</v>
      </c>
      <c r="BM76" s="215">
        <f t="shared" si="83"/>
        <v>193</v>
      </c>
      <c r="BN76" s="215">
        <f t="shared" si="84"/>
        <v>239</v>
      </c>
      <c r="BO76" s="215">
        <f t="shared" si="85"/>
        <v>266</v>
      </c>
      <c r="BP76" s="215">
        <f t="shared" si="86"/>
        <v>220</v>
      </c>
      <c r="BQ76" s="216"/>
      <c r="BR76" s="214"/>
      <c r="BS76" s="215">
        <f t="shared" si="94"/>
        <v>300</v>
      </c>
      <c r="BT76" s="215">
        <f t="shared" si="95"/>
        <v>300.00000007599999</v>
      </c>
      <c r="BU76" s="215" t="str">
        <f t="shared" si="96"/>
        <v>BK München 3</v>
      </c>
      <c r="BV76" s="214">
        <f t="shared" si="97"/>
        <v>1</v>
      </c>
      <c r="BW76" s="215">
        <f t="shared" si="98"/>
        <v>2013</v>
      </c>
      <c r="BX76" s="215">
        <f>IF(COUNTIF(BH76:BP76,"&gt;0")&lt;Spielorte!$A$23,0,BE76/Spielorte!$A$23)</f>
        <v>223.66666666666666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7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3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8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3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914</v>
      </c>
      <c r="E79" s="84">
        <f>IF(AD79="","",AD79)</f>
        <v>2</v>
      </c>
      <c r="F79" s="83">
        <f t="shared" si="69"/>
        <v>824</v>
      </c>
      <c r="G79" s="84">
        <f>IF(AF79="","",AF79)</f>
        <v>2</v>
      </c>
      <c r="H79" s="83">
        <f t="shared" si="70"/>
        <v>806</v>
      </c>
      <c r="I79" s="84">
        <f>IF(AH79="","",AH79)</f>
        <v>2</v>
      </c>
      <c r="J79" s="83">
        <f t="shared" si="71"/>
        <v>817</v>
      </c>
      <c r="K79" s="84">
        <f>IF(AJ79="","",AJ79)</f>
        <v>0</v>
      </c>
      <c r="L79" s="83">
        <f t="shared" si="72"/>
        <v>885</v>
      </c>
      <c r="M79" s="84">
        <f>IF(AL79="","",AL79)</f>
        <v>2</v>
      </c>
      <c r="N79" s="83">
        <f t="shared" si="89"/>
        <v>820</v>
      </c>
      <c r="O79" s="84">
        <f>IF(AN79="","",AN79)</f>
        <v>0</v>
      </c>
      <c r="P79" s="83">
        <f t="shared" si="73"/>
        <v>898</v>
      </c>
      <c r="Q79" s="84">
        <f>IF(AP79="","",AP79)</f>
        <v>2</v>
      </c>
      <c r="R79" s="83">
        <f t="shared" si="74"/>
        <v>906</v>
      </c>
      <c r="S79" s="84">
        <f>IF(AR79="","",AR79)</f>
        <v>2</v>
      </c>
      <c r="T79" s="83">
        <f t="shared" si="75"/>
        <v>885</v>
      </c>
      <c r="U79" s="84">
        <f>IF(AT79="","",AT79)</f>
        <v>2</v>
      </c>
      <c r="V79" s="83">
        <f t="shared" si="76"/>
        <v>7755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914</v>
      </c>
      <c r="AD79" s="121">
        <f>IF(AC79+AC89=0,0,IF(AC79=AC89,1,IF(AC79&gt;AC89,2,0)))</f>
        <v>2</v>
      </c>
      <c r="AE79" s="211">
        <f>ABS(SUM(AE67:AE69))+ABS(SUM(AE70:AE72))+ABS(SUM(AE73:AE75))+ABS(SUM(AE76:AE78))</f>
        <v>824</v>
      </c>
      <c r="AF79" s="121">
        <f>IF(AE79+AE89=0,0,IF(AE79=AE89,1,IF(AE79&gt;AE89,2,0)))</f>
        <v>2</v>
      </c>
      <c r="AG79" s="211">
        <f>ABS(SUM(AG67:AG69))+ABS(SUM(AG70:AG72))+ABS(SUM(AG73:AG75))+ABS(SUM(AG76:AG78))</f>
        <v>806</v>
      </c>
      <c r="AH79" s="121">
        <f>IF(AG79+AG89=0,0,IF(AG79=AG89,1,IF(AG79&gt;AG89,2,0)))</f>
        <v>2</v>
      </c>
      <c r="AI79" s="211">
        <f>ABS(SUM(AI67:AI69))+ABS(SUM(AI70:AI72))+ABS(SUM(AI73:AI75))+ABS(SUM(AI76:AI78))</f>
        <v>817</v>
      </c>
      <c r="AJ79" s="121">
        <f>IF(AI79+AI89=0,0,IF(AI79=AI89,1,IF(AI79&gt;AI89,2,0)))</f>
        <v>0</v>
      </c>
      <c r="AK79" s="211">
        <f>ABS(SUM(AK67:AK69))+ABS(SUM(AK70:AK72))+ABS(SUM(AK73:AK75))+ABS(SUM(AK76:AK78))</f>
        <v>885</v>
      </c>
      <c r="AL79" s="121">
        <f>IF(AK79+AK89=0,0,IF(AK79=AK89,1,IF(AK79&gt;AK89,2,0)))</f>
        <v>2</v>
      </c>
      <c r="AM79" s="211">
        <f>ABS(SUM(AM67:AM69))+ABS(SUM(AM70:AM72))+ABS(SUM(AM73:AM75))+ABS(SUM(AM76:AM78))</f>
        <v>820</v>
      </c>
      <c r="AN79" s="121">
        <f>IF(AM79+AM89=0,0,IF(AM79=AM89,1,IF(AM79&gt;AM89,2,0)))</f>
        <v>0</v>
      </c>
      <c r="AO79" s="211">
        <f>ABS(SUM(AO67:AO69))+ABS(SUM(AO70:AO72))+ABS(SUM(AO73:AO75))+ABS(SUM(AO76:AO78))</f>
        <v>898</v>
      </c>
      <c r="AP79" s="121">
        <f>IF(AO79+AO89=0,0,IF(AO79=AO89,1,IF(AO79&gt;AO89,2,0)))</f>
        <v>2</v>
      </c>
      <c r="AQ79" s="211">
        <f>ABS(SUM(AQ67:AQ69))+ABS(SUM(AQ70:AQ72))+ABS(SUM(AQ73:AQ75))+ABS(SUM(AQ76:AQ78))</f>
        <v>906</v>
      </c>
      <c r="AR79" s="121">
        <f>IF(AQ79+AQ89=0,0,IF(AQ79=AQ89,1,IF(AQ79&gt;AQ89,2,0)))</f>
        <v>2</v>
      </c>
      <c r="AS79" s="211">
        <f>ABS(SUM(AS67:AS69))+ABS(SUM(AS70:AS72))+ABS(SUM(AS73:AS75))+ABS(SUM(AS76:AS78))</f>
        <v>885</v>
      </c>
      <c r="AT79" s="121">
        <f>IF(AS79+AS89=0,0,IF(AS79=AS89,1,IF(AS79&gt;AS89,2,0)))</f>
        <v>2</v>
      </c>
      <c r="AU79" s="122">
        <f>SUM(AC79+AE79+AG79+AI79+AK79+AM79+AO79+AQ79+AS79)</f>
        <v>7755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5</v>
      </c>
      <c r="J80" s="86" t="str">
        <f t="shared" si="71"/>
        <v/>
      </c>
      <c r="K80" s="87">
        <f>IF(AJ80="","",AJ80)</f>
        <v>1</v>
      </c>
      <c r="L80" s="86" t="str">
        <f t="shared" si="72"/>
        <v/>
      </c>
      <c r="M80" s="87">
        <f>IF(AL80="","",AL80)</f>
        <v>6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5</v>
      </c>
      <c r="R80" s="86" t="str">
        <f t="shared" si="74"/>
        <v/>
      </c>
      <c r="S80" s="87">
        <f>IF(AR80="","",AR80)</f>
        <v>5.5</v>
      </c>
      <c r="T80" s="86" t="str">
        <f t="shared" si="75"/>
        <v/>
      </c>
      <c r="U80" s="87">
        <f>IF(AT80="","",AT80)</f>
        <v>4</v>
      </c>
      <c r="V80" s="86" t="str">
        <f t="shared" si="76"/>
        <v/>
      </c>
      <c r="W80" s="87">
        <f>IF(AV80="","",AV80)</f>
        <v>37.5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1</v>
      </c>
      <c r="AK80" s="86"/>
      <c r="AL80" s="124">
        <f>SUM(AL67:AL79)</f>
        <v>6</v>
      </c>
      <c r="AM80" s="86"/>
      <c r="AN80" s="124">
        <f>SUM(AN67:AN79)</f>
        <v>2</v>
      </c>
      <c r="AO80" s="86"/>
      <c r="AP80" s="124">
        <f>SUM(AP67:AP79)</f>
        <v>5</v>
      </c>
      <c r="AQ80" s="86"/>
      <c r="AR80" s="124">
        <f>SUM(AR67:AR79)</f>
        <v>5.5</v>
      </c>
      <c r="AS80" s="86"/>
      <c r="AT80" s="124">
        <f>SUM(AT67:AT79)</f>
        <v>4</v>
      </c>
      <c r="AU80" s="86"/>
      <c r="AV80" s="125">
        <f>SUM(AV67:AV79)</f>
        <v>37.5</v>
      </c>
      <c r="AW80" s="101"/>
      <c r="AX80" s="102"/>
      <c r="BA80" s="212">
        <f>+AV80</f>
        <v>37.5</v>
      </c>
      <c r="BB80" s="213">
        <f>+AU79</f>
        <v>7755</v>
      </c>
      <c r="BC80" s="214">
        <f>+AA62</f>
        <v>3</v>
      </c>
      <c r="BF80" s="215">
        <f>SUM(BF61:BF79)</f>
        <v>36</v>
      </c>
      <c r="BQ80" s="212">
        <f>+BB80/1000000+BA80</f>
        <v>37.507755000000003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6">
        <f t="shared" si="100"/>
        <v>4</v>
      </c>
      <c r="E82" s="356" t="str">
        <f t="shared" si="100"/>
        <v/>
      </c>
      <c r="F82" s="356">
        <f t="shared" si="100"/>
        <v>7</v>
      </c>
      <c r="G82" s="356" t="str">
        <f t="shared" si="100"/>
        <v/>
      </c>
      <c r="H82" s="356">
        <f t="shared" si="100"/>
        <v>2</v>
      </c>
      <c r="I82" s="356" t="str">
        <f t="shared" si="100"/>
        <v/>
      </c>
      <c r="J82" s="356">
        <f t="shared" si="100"/>
        <v>5</v>
      </c>
      <c r="K82" s="356" t="str">
        <f t="shared" si="100"/>
        <v/>
      </c>
      <c r="L82" s="356">
        <f t="shared" si="100"/>
        <v>8</v>
      </c>
      <c r="M82" s="356" t="str">
        <f t="shared" si="100"/>
        <v/>
      </c>
      <c r="N82" s="356">
        <f t="shared" si="100"/>
        <v>1</v>
      </c>
      <c r="O82" s="356" t="str">
        <f t="shared" si="100"/>
        <v/>
      </c>
      <c r="P82" s="356">
        <f t="shared" si="100"/>
        <v>10</v>
      </c>
      <c r="Q82" s="356" t="str">
        <f t="shared" si="100"/>
        <v/>
      </c>
      <c r="R82" s="356">
        <f t="shared" ref="L82:U84" si="101">IF(AQ82=0,"",AQ82)</f>
        <v>9</v>
      </c>
      <c r="S82" s="356" t="str">
        <f t="shared" si="101"/>
        <v/>
      </c>
      <c r="T82" s="356">
        <f t="shared" si="101"/>
        <v>6</v>
      </c>
      <c r="U82" s="356" t="str">
        <f t="shared" si="101"/>
        <v/>
      </c>
      <c r="V82" s="357"/>
      <c r="W82" s="357"/>
      <c r="AA82" s="88" t="s">
        <v>1797</v>
      </c>
      <c r="AB82" s="89" t="s">
        <v>1798</v>
      </c>
      <c r="AC82" s="370">
        <f>VLOOKUP($AA62,Schlüssel!$A$5:$DG$14,83)</f>
        <v>4</v>
      </c>
      <c r="AD82" s="371"/>
      <c r="AE82" s="370">
        <f>VLOOKUP($AA62,Schlüssel!$A$5:$EK$14,84)</f>
        <v>7</v>
      </c>
      <c r="AF82" s="371"/>
      <c r="AG82" s="370">
        <f>VLOOKUP($AA62,Schlüssel!$A$5:$EK$14,85)</f>
        <v>2</v>
      </c>
      <c r="AH82" s="371"/>
      <c r="AI82" s="370">
        <f>VLOOKUP($AA62,Schlüssel!$A$5:$EK$14,86)</f>
        <v>5</v>
      </c>
      <c r="AJ82" s="371"/>
      <c r="AK82" s="370">
        <f>VLOOKUP($AA62,Schlüssel!$A$5:$EK$14,87)</f>
        <v>8</v>
      </c>
      <c r="AL82" s="371"/>
      <c r="AM82" s="370">
        <f>VLOOKUP($AA62,Schlüssel!$A$5:$EK$14,88)</f>
        <v>1</v>
      </c>
      <c r="AN82" s="371"/>
      <c r="AO82" s="370">
        <f>VLOOKUP($AA62,Schlüssel!$A$5:$EK$14,89)</f>
        <v>10</v>
      </c>
      <c r="AP82" s="371"/>
      <c r="AQ82" s="370">
        <f>VLOOKUP($AA62,Schlüssel!$A$5:$EK$14,90)</f>
        <v>9</v>
      </c>
      <c r="AR82" s="371"/>
      <c r="AS82" s="370">
        <f>VLOOKUP($AA62,Schlüssel!$A$5:$EK$14,91)</f>
        <v>6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58" t="str">
        <f t="shared" si="102"/>
        <v>SG DJK Rimpar</v>
      </c>
      <c r="E83" s="359" t="str">
        <f t="shared" si="102"/>
        <v/>
      </c>
      <c r="F83" s="358" t="str">
        <f t="shared" si="102"/>
        <v>Schanzer Ingolstadt 1</v>
      </c>
      <c r="G83" s="359" t="str">
        <f t="shared" si="102"/>
        <v/>
      </c>
      <c r="H83" s="358" t="str">
        <f t="shared" si="102"/>
        <v>Bajuwaren München 1</v>
      </c>
      <c r="I83" s="359" t="str">
        <f t="shared" si="102"/>
        <v/>
      </c>
      <c r="J83" s="358" t="str">
        <f t="shared" si="102"/>
        <v>RW Lichtenhof Stein 1</v>
      </c>
      <c r="K83" s="359" t="str">
        <f t="shared" si="102"/>
        <v/>
      </c>
      <c r="L83" s="358" t="str">
        <f t="shared" si="101"/>
        <v>BC EMAX Unterföhring 2</v>
      </c>
      <c r="M83" s="359" t="str">
        <f t="shared" si="101"/>
        <v/>
      </c>
      <c r="N83" s="358" t="str">
        <f t="shared" si="101"/>
        <v>BC Comet Nürnberg</v>
      </c>
      <c r="O83" s="359" t="str">
        <f t="shared" si="101"/>
        <v/>
      </c>
      <c r="P83" s="358" t="str">
        <f t="shared" si="101"/>
        <v>High Roller Rosenheim 1</v>
      </c>
      <c r="Q83" s="359" t="str">
        <f t="shared" si="101"/>
        <v/>
      </c>
      <c r="R83" s="358" t="str">
        <f t="shared" si="101"/>
        <v>Bowlinghaus Bamberg 1</v>
      </c>
      <c r="S83" s="359" t="str">
        <f t="shared" si="101"/>
        <v/>
      </c>
      <c r="T83" s="358" t="str">
        <f t="shared" si="101"/>
        <v>SG Rottendorf 1</v>
      </c>
      <c r="U83" s="359" t="str">
        <f t="shared" si="101"/>
        <v/>
      </c>
      <c r="V83" s="363"/>
      <c r="W83" s="363"/>
      <c r="AA83" s="90"/>
      <c r="AB83" s="86"/>
      <c r="AC83" s="358" t="str">
        <f>VLOOKUP(AC82,Schlüssel!$A$5:$K$14,2)</f>
        <v>SG DJK Rimpar</v>
      </c>
      <c r="AD83" s="359"/>
      <c r="AE83" s="358" t="str">
        <f>VLOOKUP(AE82,Schlüssel!$A$5:$K$14,2)</f>
        <v>Schanzer Ingolstadt 1</v>
      </c>
      <c r="AF83" s="359"/>
      <c r="AG83" s="358" t="str">
        <f>VLOOKUP(AG82,Schlüssel!$A$5:$K$14,2)</f>
        <v>Bajuwaren München 1</v>
      </c>
      <c r="AH83" s="359"/>
      <c r="AI83" s="358" t="str">
        <f>VLOOKUP(AI82,Schlüssel!$A$5:$K$14,2)</f>
        <v>RW Lichtenhof Stein 1</v>
      </c>
      <c r="AJ83" s="359"/>
      <c r="AK83" s="358" t="str">
        <f>VLOOKUP(AK82,Schlüssel!$A$5:$K$14,2)</f>
        <v>BC EMAX Unterföhring 2</v>
      </c>
      <c r="AL83" s="359"/>
      <c r="AM83" s="358" t="str">
        <f>VLOOKUP(AM82,Schlüssel!$A$5:$K$14,2)</f>
        <v>BC Comet Nürnberg</v>
      </c>
      <c r="AN83" s="359"/>
      <c r="AO83" s="358" t="str">
        <f>VLOOKUP(AO82,Schlüssel!$A$5:$K$14,2)</f>
        <v>High Roller Rosenheim 1</v>
      </c>
      <c r="AP83" s="359"/>
      <c r="AQ83" s="358" t="str">
        <f>VLOOKUP(AQ82,Schlüssel!$A$5:$K$14,2)</f>
        <v>Bowlinghaus Bamberg 1</v>
      </c>
      <c r="AR83" s="359"/>
      <c r="AS83" s="358" t="str">
        <f>VLOOKUP(AS82,Schlüssel!$A$5:$K$14,2)</f>
        <v>SG Rottendorf 1</v>
      </c>
      <c r="AT83" s="359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60" t="str">
        <f t="shared" si="102"/>
        <v/>
      </c>
      <c r="E84" s="360" t="str">
        <f t="shared" si="102"/>
        <v/>
      </c>
      <c r="F84" s="360" t="str">
        <f t="shared" si="102"/>
        <v/>
      </c>
      <c r="G84" s="360" t="str">
        <f t="shared" si="102"/>
        <v/>
      </c>
      <c r="H84" s="360" t="str">
        <f t="shared" si="102"/>
        <v/>
      </c>
      <c r="I84" s="360" t="str">
        <f t="shared" si="102"/>
        <v/>
      </c>
      <c r="J84" s="360" t="str">
        <f t="shared" si="102"/>
        <v/>
      </c>
      <c r="K84" s="360" t="str">
        <f t="shared" si="102"/>
        <v/>
      </c>
      <c r="L84" s="360" t="str">
        <f t="shared" si="101"/>
        <v/>
      </c>
      <c r="M84" s="360" t="str">
        <f t="shared" si="101"/>
        <v/>
      </c>
      <c r="N84" s="360" t="str">
        <f t="shared" si="101"/>
        <v/>
      </c>
      <c r="O84" s="360" t="str">
        <f t="shared" si="101"/>
        <v/>
      </c>
      <c r="P84" s="360" t="str">
        <f t="shared" si="101"/>
        <v/>
      </c>
      <c r="Q84" s="360" t="str">
        <f t="shared" si="101"/>
        <v/>
      </c>
      <c r="R84" s="360" t="str">
        <f t="shared" si="101"/>
        <v/>
      </c>
      <c r="S84" s="360" t="str">
        <f t="shared" si="101"/>
        <v/>
      </c>
      <c r="T84" s="360" t="str">
        <f t="shared" si="101"/>
        <v/>
      </c>
      <c r="U84" s="361" t="str">
        <f t="shared" si="101"/>
        <v/>
      </c>
      <c r="V84" s="298"/>
      <c r="W84" s="298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4" t="str">
        <f t="shared" ref="B85:C89" si="103">IF(AA85=0,"",AA85)</f>
        <v>Spieler 1</v>
      </c>
      <c r="C85" s="375" t="str">
        <f t="shared" si="103"/>
        <v/>
      </c>
      <c r="D85" s="362">
        <f>IF(AC85=301,"",AC85)</f>
        <v>247</v>
      </c>
      <c r="E85" s="362" t="str">
        <f>IF(AD85=0,"",AD85)</f>
        <v/>
      </c>
      <c r="F85" s="362">
        <f>IF(AE85=301,"",AE85)</f>
        <v>145</v>
      </c>
      <c r="G85" s="362" t="str">
        <f>IF(AF85=0,"",AF85)</f>
        <v/>
      </c>
      <c r="H85" s="362">
        <f>IF(AG85=301,"",AG85)</f>
        <v>187</v>
      </c>
      <c r="I85" s="362" t="str">
        <f>IF(AH85=0,"",AH85)</f>
        <v/>
      </c>
      <c r="J85" s="362">
        <f>IF(AI85=301,"",AI85)</f>
        <v>203</v>
      </c>
      <c r="K85" s="362" t="str">
        <f>IF(AJ85=0,"",AJ85)</f>
        <v/>
      </c>
      <c r="L85" s="362">
        <f>IF(AK85=301,"",AK85)</f>
        <v>165</v>
      </c>
      <c r="M85" s="362" t="str">
        <f>IF(AL85=0,"",AL85)</f>
        <v/>
      </c>
      <c r="N85" s="362">
        <f>IF(AM85=301,"",AM85)</f>
        <v>200</v>
      </c>
      <c r="O85" s="362" t="str">
        <f>IF(AN85=0,"",AN85)</f>
        <v/>
      </c>
      <c r="P85" s="362">
        <f>IF(AO85=301,"",AO85)</f>
        <v>226</v>
      </c>
      <c r="Q85" s="362" t="str">
        <f>IF(AP85=0,"",AP85)</f>
        <v/>
      </c>
      <c r="R85" s="362">
        <f>IF(AQ85=301,"",AQ85)</f>
        <v>189</v>
      </c>
      <c r="S85" s="362" t="str">
        <f>IF(AR85=0,"",AR85)</f>
        <v/>
      </c>
      <c r="T85" s="362">
        <f>IF(AS85=301,"",AS85)</f>
        <v>169</v>
      </c>
      <c r="U85" s="362" t="str">
        <f>IF(AT85=0,"",AT85)</f>
        <v/>
      </c>
      <c r="V85" s="364"/>
      <c r="W85" s="364"/>
      <c r="AA85" s="91" t="s">
        <v>0</v>
      </c>
      <c r="AB85" s="92"/>
      <c r="AC85" s="368">
        <f>ABS(INDEX(AC:AC,MATCH(AC82,$AA:$AA,0)+5)+INDEX(AC:AC,MATCH(AC82,$AA:$AA,0)+6)+INDEX(AC:AC,MATCH(AC82,$AA:$AA,0)+7))</f>
        <v>247</v>
      </c>
      <c r="AD85" s="369"/>
      <c r="AE85" s="368">
        <f>ABS(INDEX(AE:AE,MATCH(AE82,$AA:$AA,0)+5)+INDEX(AE:AE,MATCH(AE82,$AA:$AA,0)+6)+INDEX(AE:AE,MATCH(AE82,$AA:$AA,0)+7))</f>
        <v>145</v>
      </c>
      <c r="AF85" s="369"/>
      <c r="AG85" s="368">
        <f>ABS(INDEX(AG:AG,MATCH(AG82,$AA:$AA,0)+5)+INDEX(AG:AG,MATCH(AG82,$AA:$AA,0)+6)+INDEX(AG:AG,MATCH(AG82,$AA:$AA,0)+7))</f>
        <v>187</v>
      </c>
      <c r="AH85" s="369"/>
      <c r="AI85" s="368">
        <f>ABS(INDEX(AI:AI,MATCH(AI82,$AA:$AA,0)+5)+INDEX(AI:AI,MATCH(AI82,$AA:$AA,0)+6)+INDEX(AI:AI,MATCH(AI82,$AA:$AA,0)+7))</f>
        <v>203</v>
      </c>
      <c r="AJ85" s="369"/>
      <c r="AK85" s="368">
        <f>ABS(INDEX(AK:AK,MATCH(AK82,$AA:$AA,0)+5)+INDEX(AK:AK,MATCH(AK82,$AA:$AA,0)+6)+INDEX(AK:AK,MATCH(AK82,$AA:$AA,0)+7))</f>
        <v>165</v>
      </c>
      <c r="AL85" s="369"/>
      <c r="AM85" s="368">
        <f>ABS(INDEX(AM:AM,MATCH(AM82,$AA:$AA,0)+5)+INDEX(AM:AM,MATCH(AM82,$AA:$AA,0)+6)+INDEX(AM:AM,MATCH(AM82,$AA:$AA,0)+7))</f>
        <v>200</v>
      </c>
      <c r="AN85" s="369"/>
      <c r="AO85" s="368">
        <f>ABS(INDEX(AO:AO,MATCH(AO82,$AA:$AA,0)+5)+INDEX(AO:AO,MATCH(AO82,$AA:$AA,0)+6)+INDEX(AO:AO,MATCH(AO82,$AA:$AA,0)+7))</f>
        <v>226</v>
      </c>
      <c r="AP85" s="369"/>
      <c r="AQ85" s="368">
        <f>ABS(INDEX(AQ:AQ,MATCH(AQ82,$AA:$AA,0)+5)+INDEX(AQ:AQ,MATCH(AQ82,$AA:$AA,0)+6)+INDEX(AQ:AQ,MATCH(AQ82,$AA:$AA,0)+7))</f>
        <v>189</v>
      </c>
      <c r="AR85" s="369"/>
      <c r="AS85" s="368">
        <f>ABS(INDEX(AS:AS,MATCH(AS82,$AA:$AA,0)+5)+INDEX(AS:AS,MATCH(AS82,$AA:$AA,0)+6)+INDEX(AS:AS,MATCH(AS82,$AA:$AA,0)+7))</f>
        <v>169</v>
      </c>
      <c r="AT85" s="369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4" t="str">
        <f t="shared" si="103"/>
        <v>Spieler 2</v>
      </c>
      <c r="C86" s="375" t="str">
        <f t="shared" si="103"/>
        <v/>
      </c>
      <c r="D86" s="362">
        <f>IF(AC86=301,"",AC86)</f>
        <v>244</v>
      </c>
      <c r="E86" s="362" t="str">
        <f>IF(AD86=0,"",AD86)</f>
        <v/>
      </c>
      <c r="F86" s="362">
        <f>IF(AE86=301,"",AE86)</f>
        <v>178</v>
      </c>
      <c r="G86" s="362" t="str">
        <f>IF(AF86=0,"",AF86)</f>
        <v/>
      </c>
      <c r="H86" s="362">
        <f>IF(AG86=301,"",AG86)</f>
        <v>175</v>
      </c>
      <c r="I86" s="362" t="str">
        <f>IF(AH86=0,"",AH86)</f>
        <v/>
      </c>
      <c r="J86" s="362">
        <f>IF(AI86=301,"",AI86)</f>
        <v>189</v>
      </c>
      <c r="K86" s="362" t="str">
        <f>IF(AJ86=0,"",AJ86)</f>
        <v/>
      </c>
      <c r="L86" s="362">
        <f>IF(AK86=301,"",AK86)</f>
        <v>194</v>
      </c>
      <c r="M86" s="362" t="str">
        <f>IF(AL86=0,"",AL86)</f>
        <v/>
      </c>
      <c r="N86" s="362">
        <f>IF(AM86=301,"",AM86)</f>
        <v>236</v>
      </c>
      <c r="O86" s="362" t="str">
        <f>IF(AN86=0,"",AN86)</f>
        <v/>
      </c>
      <c r="P86" s="362">
        <f>IF(AO86=301,"",AO86)</f>
        <v>171</v>
      </c>
      <c r="Q86" s="362" t="str">
        <f>IF(AP86=0,"",AP86)</f>
        <v/>
      </c>
      <c r="R86" s="362">
        <f>IF(AQ86=301,"",AQ86)</f>
        <v>202</v>
      </c>
      <c r="S86" s="362" t="str">
        <f>IF(AR86=0,"",AR86)</f>
        <v/>
      </c>
      <c r="T86" s="362">
        <f>IF(AS86=301,"",AS86)</f>
        <v>223</v>
      </c>
      <c r="U86" s="362" t="str">
        <f>IF(AT86=0,"",AT86)</f>
        <v/>
      </c>
      <c r="V86" s="364"/>
      <c r="W86" s="364"/>
      <c r="AA86" s="91" t="s">
        <v>2</v>
      </c>
      <c r="AB86" s="92"/>
      <c r="AC86" s="366">
        <f>ABS(INDEX(AC:AC,MATCH(AC82,$AA:$AA,0)+8)+INDEX(AC:AC,MATCH(AC82,$AA:$AA,0)+9)+INDEX(AC:AC,MATCH(AC82,$AA:$AA,0)+10))</f>
        <v>244</v>
      </c>
      <c r="AD86" s="367"/>
      <c r="AE86" s="366">
        <f>ABS(INDEX(AE:AE,MATCH(AE82,$AA:$AA,0)+8)+INDEX(AE:AE,MATCH(AE82,$AA:$AA,0)+9)+INDEX(AE:AE,MATCH(AE82,$AA:$AA,0)+10))</f>
        <v>178</v>
      </c>
      <c r="AF86" s="367"/>
      <c r="AG86" s="366">
        <f>ABS(INDEX(AG:AG,MATCH(AG82,$AA:$AA,0)+8)+INDEX(AG:AG,MATCH(AG82,$AA:$AA,0)+9)+INDEX(AG:AG,MATCH(AG82,$AA:$AA,0)+10))</f>
        <v>175</v>
      </c>
      <c r="AH86" s="367"/>
      <c r="AI86" s="366">
        <f>ABS(INDEX(AI:AI,MATCH(AI82,$AA:$AA,0)+8)+INDEX(AI:AI,MATCH(AI82,$AA:$AA,0)+9)+INDEX(AI:AI,MATCH(AI82,$AA:$AA,0)+10))</f>
        <v>189</v>
      </c>
      <c r="AJ86" s="367"/>
      <c r="AK86" s="366">
        <f>ABS(INDEX(AK:AK,MATCH(AK82,$AA:$AA,0)+8)+INDEX(AK:AK,MATCH(AK82,$AA:$AA,0)+9)+INDEX(AK:AK,MATCH(AK82,$AA:$AA,0)+10))</f>
        <v>194</v>
      </c>
      <c r="AL86" s="367"/>
      <c r="AM86" s="366">
        <f>ABS(INDEX(AM:AM,MATCH(AM82,$AA:$AA,0)+8)+INDEX(AM:AM,MATCH(AM82,$AA:$AA,0)+9)+INDEX(AM:AM,MATCH(AM82,$AA:$AA,0)+10))</f>
        <v>236</v>
      </c>
      <c r="AN86" s="367"/>
      <c r="AO86" s="366">
        <f>ABS(INDEX(AO:AO,MATCH(AO82,$AA:$AA,0)+8)+INDEX(AO:AO,MATCH(AO82,$AA:$AA,0)+9)+INDEX(AO:AO,MATCH(AO82,$AA:$AA,0)+10))</f>
        <v>171</v>
      </c>
      <c r="AP86" s="367"/>
      <c r="AQ86" s="366">
        <f>ABS(INDEX(AQ:AQ,MATCH(AQ82,$AA:$AA,0)+8)+INDEX(AQ:AQ,MATCH(AQ82,$AA:$AA,0)+9)+INDEX(AQ:AQ,MATCH(AQ82,$AA:$AA,0)+10))</f>
        <v>202</v>
      </c>
      <c r="AR86" s="367"/>
      <c r="AS86" s="366">
        <f>ABS(INDEX(AS:AS,MATCH(AS82,$AA:$AA,0)+8)+INDEX(AS:AS,MATCH(AS82,$AA:$AA,0)+9)+INDEX(AS:AS,MATCH(AS82,$AA:$AA,0)+10))</f>
        <v>223</v>
      </c>
      <c r="AT86" s="367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4" t="str">
        <f t="shared" si="103"/>
        <v>Spieler 3</v>
      </c>
      <c r="C87" s="375" t="str">
        <f t="shared" si="103"/>
        <v/>
      </c>
      <c r="D87" s="362">
        <f>IF(AC87=301,"",AC87)</f>
        <v>183</v>
      </c>
      <c r="E87" s="362" t="str">
        <f>IF(AD87=0,"",AD87)</f>
        <v/>
      </c>
      <c r="F87" s="362">
        <f>IF(AE87=301,"",AE87)</f>
        <v>224</v>
      </c>
      <c r="G87" s="362" t="str">
        <f>IF(AF87=0,"",AF87)</f>
        <v/>
      </c>
      <c r="H87" s="362">
        <f>IF(AG87=301,"",AG87)</f>
        <v>207</v>
      </c>
      <c r="I87" s="362" t="str">
        <f>IF(AH87=0,"",AH87)</f>
        <v/>
      </c>
      <c r="J87" s="362">
        <f>IF(AI87=301,"",AI87)</f>
        <v>247</v>
      </c>
      <c r="K87" s="362" t="str">
        <f>IF(AJ87=0,"",AJ87)</f>
        <v/>
      </c>
      <c r="L87" s="362">
        <f>IF(AK87=301,"",AK87)</f>
        <v>212</v>
      </c>
      <c r="M87" s="362" t="str">
        <f>IF(AL87=0,"",AL87)</f>
        <v/>
      </c>
      <c r="N87" s="362">
        <f>IF(AM87=301,"",AM87)</f>
        <v>222</v>
      </c>
      <c r="O87" s="362" t="str">
        <f>IF(AN87=0,"",AN87)</f>
        <v/>
      </c>
      <c r="P87" s="362">
        <f>IF(AO87=301,"",AO87)</f>
        <v>172</v>
      </c>
      <c r="Q87" s="362" t="str">
        <f>IF(AP87=0,"",AP87)</f>
        <v/>
      </c>
      <c r="R87" s="362">
        <f>IF(AQ87=301,"",AQ87)</f>
        <v>166</v>
      </c>
      <c r="S87" s="362" t="str">
        <f>IF(AR87=0,"",AR87)</f>
        <v/>
      </c>
      <c r="T87" s="362">
        <f>IF(AS87=301,"",AS87)</f>
        <v>213</v>
      </c>
      <c r="U87" s="362" t="str">
        <f>IF(AT87=0,"",AT87)</f>
        <v/>
      </c>
      <c r="V87" s="364"/>
      <c r="W87" s="364"/>
      <c r="AA87" s="91" t="s">
        <v>3</v>
      </c>
      <c r="AB87" s="92"/>
      <c r="AC87" s="366">
        <f>ABS(INDEX(AC:AC,MATCH(AC82,$AA:$AA,0)+11)+INDEX(AC:AC,MATCH(AC82,$AA:$AA,0)+12)+INDEX(AC:AC,MATCH(AC82,$AA:$AA,0)+13))</f>
        <v>183</v>
      </c>
      <c r="AD87" s="367"/>
      <c r="AE87" s="366">
        <f>ABS(INDEX(AE:AE,MATCH(AE82,$AA:$AA,0)+11)+INDEX(AE:AE,MATCH(AE82,$AA:$AA,0)+12)+INDEX(AE:AE,MATCH(AE82,$AA:$AA,0)+13))</f>
        <v>224</v>
      </c>
      <c r="AF87" s="367"/>
      <c r="AG87" s="366">
        <f>ABS(INDEX(AG:AG,MATCH(AG82,$AA:$AA,0)+11)+INDEX(AG:AG,MATCH(AG82,$AA:$AA,0)+12)+INDEX(AG:AG,MATCH(AG82,$AA:$AA,0)+13))</f>
        <v>207</v>
      </c>
      <c r="AH87" s="367"/>
      <c r="AI87" s="366">
        <f>ABS(INDEX(AI:AI,MATCH(AI82,$AA:$AA,0)+11)+INDEX(AI:AI,MATCH(AI82,$AA:$AA,0)+12)+INDEX(AI:AI,MATCH(AI82,$AA:$AA,0)+13))</f>
        <v>247</v>
      </c>
      <c r="AJ87" s="367"/>
      <c r="AK87" s="366">
        <f>ABS(INDEX(AK:AK,MATCH(AK82,$AA:$AA,0)+11)+INDEX(AK:AK,MATCH(AK82,$AA:$AA,0)+12)+INDEX(AK:AK,MATCH(AK82,$AA:$AA,0)+13))</f>
        <v>212</v>
      </c>
      <c r="AL87" s="367"/>
      <c r="AM87" s="366">
        <f>ABS(INDEX(AM:AM,MATCH(AM82,$AA:$AA,0)+11)+INDEX(AM:AM,MATCH(AM82,$AA:$AA,0)+12)+INDEX(AM:AM,MATCH(AM82,$AA:$AA,0)+13))</f>
        <v>222</v>
      </c>
      <c r="AN87" s="367"/>
      <c r="AO87" s="366">
        <f>ABS(INDEX(AO:AO,MATCH(AO82,$AA:$AA,0)+11)+INDEX(AO:AO,MATCH(AO82,$AA:$AA,0)+12)+INDEX(AO:AO,MATCH(AO82,$AA:$AA,0)+13))</f>
        <v>172</v>
      </c>
      <c r="AP87" s="367"/>
      <c r="AQ87" s="366">
        <f>ABS(INDEX(AQ:AQ,MATCH(AQ82,$AA:$AA,0)+11)+INDEX(AQ:AQ,MATCH(AQ82,$AA:$AA,0)+12)+INDEX(AQ:AQ,MATCH(AQ82,$AA:$AA,0)+13))</f>
        <v>166</v>
      </c>
      <c r="AR87" s="367"/>
      <c r="AS87" s="366">
        <f>ABS(INDEX(AS:AS,MATCH(AS82,$AA:$AA,0)+11)+INDEX(AS:AS,MATCH(AS82,$AA:$AA,0)+12)+INDEX(AS:AS,MATCH(AS82,$AA:$AA,0)+13))</f>
        <v>213</v>
      </c>
      <c r="AT87" s="367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4" t="str">
        <f t="shared" si="103"/>
        <v>Spieler 4</v>
      </c>
      <c r="C88" s="375" t="str">
        <f t="shared" si="103"/>
        <v/>
      </c>
      <c r="D88" s="362">
        <f>IF(AC88=301,"",AC88)</f>
        <v>186</v>
      </c>
      <c r="E88" s="362" t="str">
        <f>IF(AD88=0,"",AD88)</f>
        <v/>
      </c>
      <c r="F88" s="362">
        <f>IF(AE88=301,"",AE88)</f>
        <v>223</v>
      </c>
      <c r="G88" s="362" t="str">
        <f>IF(AF88=0,"",AF88)</f>
        <v/>
      </c>
      <c r="H88" s="362">
        <f>IF(AG88=301,"",AG88)</f>
        <v>161</v>
      </c>
      <c r="I88" s="362" t="str">
        <f>IF(AH88=0,"",AH88)</f>
        <v/>
      </c>
      <c r="J88" s="362">
        <f>IF(AI88=301,"",AI88)</f>
        <v>223</v>
      </c>
      <c r="K88" s="362" t="str">
        <f>IF(AJ88=0,"",AJ88)</f>
        <v/>
      </c>
      <c r="L88" s="362">
        <f>IF(AK88=301,"",AK88)</f>
        <v>212</v>
      </c>
      <c r="M88" s="362" t="str">
        <f>IF(AL88=0,"",AL88)</f>
        <v/>
      </c>
      <c r="N88" s="362">
        <f>IF(AM88=301,"",AM88)</f>
        <v>184</v>
      </c>
      <c r="O88" s="362" t="str">
        <f>IF(AN88=0,"",AN88)</f>
        <v/>
      </c>
      <c r="P88" s="362">
        <f>IF(AO88=301,"",AO88)</f>
        <v>163</v>
      </c>
      <c r="Q88" s="362" t="str">
        <f>IF(AP88=0,"",AP88)</f>
        <v/>
      </c>
      <c r="R88" s="362">
        <f>IF(AQ88=301,"",AQ88)</f>
        <v>205</v>
      </c>
      <c r="S88" s="362" t="str">
        <f>IF(AR88=0,"",AR88)</f>
        <v/>
      </c>
      <c r="T88" s="362">
        <f>IF(AS88=301,"",AS88)</f>
        <v>181</v>
      </c>
      <c r="U88" s="362" t="str">
        <f>IF(AT88=0,"",AT88)</f>
        <v/>
      </c>
      <c r="V88" s="364"/>
      <c r="W88" s="364"/>
      <c r="AA88" s="91" t="s">
        <v>11</v>
      </c>
      <c r="AB88" s="92"/>
      <c r="AC88" s="366">
        <f>ABS(INDEX(AC:AC,MATCH(AC82,$AA:$AA,0)+14)+INDEX(AC:AC,MATCH(AC82,$AA:$AA,0)+15)+INDEX(AC:AC,MATCH(AC82,$AA:$AA,0)+16))</f>
        <v>186</v>
      </c>
      <c r="AD88" s="367"/>
      <c r="AE88" s="366">
        <f>ABS(INDEX(AE:AE,MATCH(AE82,$AA:$AA,0)+14)+INDEX(AE:AE,MATCH(AE82,$AA:$AA,0)+15)+INDEX(AE:AE,MATCH(AE82,$AA:$AA,0)+16))</f>
        <v>223</v>
      </c>
      <c r="AF88" s="367"/>
      <c r="AG88" s="366">
        <f>ABS(INDEX(AG:AG,MATCH(AG82,$AA:$AA,0)+14)+INDEX(AG:AG,MATCH(AG82,$AA:$AA,0)+15)+INDEX(AG:AG,MATCH(AG82,$AA:$AA,0)+16))</f>
        <v>161</v>
      </c>
      <c r="AH88" s="367"/>
      <c r="AI88" s="366">
        <f>ABS(INDEX(AI:AI,MATCH(AI82,$AA:$AA,0)+14)+INDEX(AI:AI,MATCH(AI82,$AA:$AA,0)+15)+INDEX(AI:AI,MATCH(AI82,$AA:$AA,0)+16))</f>
        <v>223</v>
      </c>
      <c r="AJ88" s="367"/>
      <c r="AK88" s="366">
        <f>ABS(INDEX(AK:AK,MATCH(AK82,$AA:$AA,0)+14)+INDEX(AK:AK,MATCH(AK82,$AA:$AA,0)+15)+INDEX(AK:AK,MATCH(AK82,$AA:$AA,0)+16))</f>
        <v>212</v>
      </c>
      <c r="AL88" s="367"/>
      <c r="AM88" s="366">
        <f>ABS(INDEX(AM:AM,MATCH(AM82,$AA:$AA,0)+14)+INDEX(AM:AM,MATCH(AM82,$AA:$AA,0)+15)+INDEX(AM:AM,MATCH(AM82,$AA:$AA,0)+16))</f>
        <v>184</v>
      </c>
      <c r="AN88" s="367"/>
      <c r="AO88" s="366">
        <f>ABS(INDEX(AO:AO,MATCH(AO82,$AA:$AA,0)+14)+INDEX(AO:AO,MATCH(AO82,$AA:$AA,0)+15)+INDEX(AO:AO,MATCH(AO82,$AA:$AA,0)+16))</f>
        <v>163</v>
      </c>
      <c r="AP88" s="367"/>
      <c r="AQ88" s="366">
        <f>ABS(INDEX(AQ:AQ,MATCH(AQ82,$AA:$AA,0)+14)+INDEX(AQ:AQ,MATCH(AQ82,$AA:$AA,0)+15)+INDEX(AQ:AQ,MATCH(AQ82,$AA:$AA,0)+16))</f>
        <v>205</v>
      </c>
      <c r="AR88" s="367"/>
      <c r="AS88" s="366">
        <f>ABS(INDEX(AS:AS,MATCH(AS82,$AA:$AA,0)+14)+INDEX(AS:AS,MATCH(AS82,$AA:$AA,0)+15)+INDEX(AS:AS,MATCH(AS82,$AA:$AA,0)+16))</f>
        <v>181</v>
      </c>
      <c r="AT88" s="367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6" t="str">
        <f t="shared" si="103"/>
        <v>Gesamt</v>
      </c>
      <c r="C89" s="347" t="str">
        <f t="shared" si="103"/>
        <v/>
      </c>
      <c r="D89" s="365">
        <f>IF(AC89=1505,"",AC89)</f>
        <v>860</v>
      </c>
      <c r="E89" s="365" t="str">
        <f>IF(AD89=0,"",AD89)</f>
        <v/>
      </c>
      <c r="F89" s="365">
        <f>IF(AE89=1505,"",AE89)</f>
        <v>770</v>
      </c>
      <c r="G89" s="365" t="str">
        <f>IF(AF89=0,"",AF89)</f>
        <v/>
      </c>
      <c r="H89" s="365">
        <f>IF(AG89=1505,"",AG89)</f>
        <v>730</v>
      </c>
      <c r="I89" s="365" t="str">
        <f>IF(AH89=0,"",AH89)</f>
        <v/>
      </c>
      <c r="J89" s="365">
        <f>IF(AI89=1505,"",AI89)</f>
        <v>862</v>
      </c>
      <c r="K89" s="365" t="str">
        <f>IF(AJ89=0,"",AJ89)</f>
        <v/>
      </c>
      <c r="L89" s="365">
        <f>IF(AK89=1505,"",AK89)</f>
        <v>783</v>
      </c>
      <c r="M89" s="365" t="str">
        <f>IF(AL89=0,"",AL89)</f>
        <v/>
      </c>
      <c r="N89" s="365">
        <f>IF(AM89=1505,"",AM89)</f>
        <v>842</v>
      </c>
      <c r="O89" s="365" t="str">
        <f>IF(AN89=0,"",AN89)</f>
        <v/>
      </c>
      <c r="P89" s="365">
        <f>IF(AO89=1505,"",AO89)</f>
        <v>732</v>
      </c>
      <c r="Q89" s="365" t="str">
        <f>IF(AP89=0,"",AP89)</f>
        <v/>
      </c>
      <c r="R89" s="365">
        <f>IF(AQ89=1505,"",AQ89)</f>
        <v>762</v>
      </c>
      <c r="S89" s="365" t="str">
        <f>IF(AR89=0,"",AR89)</f>
        <v/>
      </c>
      <c r="T89" s="365">
        <f>IF(AS89=1505,"",AS89)</f>
        <v>786</v>
      </c>
      <c r="U89" s="365" t="str">
        <f>IF(AT89=0,"",AT89)</f>
        <v/>
      </c>
      <c r="V89" s="301"/>
      <c r="W89" s="301"/>
      <c r="AA89" s="93" t="s">
        <v>1799</v>
      </c>
      <c r="AB89" s="94"/>
      <c r="AC89" s="346">
        <f>SUM(AC85:AC88)</f>
        <v>860</v>
      </c>
      <c r="AD89" s="347"/>
      <c r="AE89" s="346">
        <f>SUM(AE85:AE88)</f>
        <v>770</v>
      </c>
      <c r="AF89" s="347"/>
      <c r="AG89" s="346">
        <f>SUM(AG85:AG88)</f>
        <v>730</v>
      </c>
      <c r="AH89" s="347"/>
      <c r="AI89" s="346">
        <f>SUM(AI85:AI88)</f>
        <v>862</v>
      </c>
      <c r="AJ89" s="347"/>
      <c r="AK89" s="346">
        <f>SUM(AK85:AK88)</f>
        <v>783</v>
      </c>
      <c r="AL89" s="347"/>
      <c r="AM89" s="346">
        <f>SUM(AM85:AM88)</f>
        <v>842</v>
      </c>
      <c r="AN89" s="347"/>
      <c r="AO89" s="346">
        <f>SUM(AO85:AO88)</f>
        <v>732</v>
      </c>
      <c r="AP89" s="347"/>
      <c r="AQ89" s="346">
        <f>SUM(AQ85:AQ88)</f>
        <v>762</v>
      </c>
      <c r="AR89" s="347"/>
      <c r="AS89" s="346">
        <f>SUM(AS85:AS88)</f>
        <v>786</v>
      </c>
      <c r="AT89" s="347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5" t="str">
        <f>AE91</f>
        <v>Bayernliga Herren</v>
      </c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48"/>
      <c r="S91" s="49" t="s">
        <v>1794</v>
      </c>
      <c r="T91" s="50"/>
      <c r="U91" s="341" t="str">
        <f>AT91</f>
        <v>15.03./16.03.</v>
      </c>
      <c r="V91" s="342"/>
      <c r="W91" s="343"/>
      <c r="X91" s="372"/>
      <c r="Y91" s="373"/>
      <c r="Z91" s="373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41" t="str">
        <f>VLOOKUP(AS92,Spielorte!$A$1:$C$6,2)</f>
        <v>15.03./16.03.</v>
      </c>
      <c r="AU91" s="342"/>
      <c r="AV91" s="34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4" t="str">
        <f>AE92</f>
        <v>Brunnthal Max Munich</v>
      </c>
      <c r="G92" s="344"/>
      <c r="H92" s="344"/>
      <c r="I92" s="344"/>
      <c r="J92" s="344"/>
      <c r="K92" s="344"/>
      <c r="L92" s="344"/>
      <c r="M92" s="344"/>
      <c r="N92" s="344"/>
      <c r="O92" s="344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6" t="s">
        <v>1800</v>
      </c>
      <c r="E95" s="347"/>
      <c r="F95" s="346" t="s">
        <v>1801</v>
      </c>
      <c r="G95" s="347"/>
      <c r="H95" s="346" t="s">
        <v>1802</v>
      </c>
      <c r="I95" s="347"/>
      <c r="J95" s="346" t="s">
        <v>1803</v>
      </c>
      <c r="K95" s="347"/>
      <c r="L95" s="346" t="s">
        <v>1804</v>
      </c>
      <c r="M95" s="347"/>
      <c r="N95" s="346" t="s">
        <v>1805</v>
      </c>
      <c r="O95" s="347"/>
      <c r="P95" s="346" t="s">
        <v>1806</v>
      </c>
      <c r="Q95" s="347"/>
      <c r="R95" s="346" t="s">
        <v>1807</v>
      </c>
      <c r="S95" s="347"/>
      <c r="T95" s="346" t="s">
        <v>1808</v>
      </c>
      <c r="U95" s="347"/>
      <c r="V95" s="354" t="s">
        <v>1799</v>
      </c>
      <c r="W95" s="355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6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247</v>
      </c>
      <c r="E97" s="348">
        <f>IF(AD97="","",AD97)</f>
        <v>1</v>
      </c>
      <c r="F97" s="75">
        <f t="shared" ref="F97:F110" si="104">IF(AE97=0,"",AE97)</f>
        <v>205</v>
      </c>
      <c r="G97" s="348">
        <f>IF(AF97="","",AF97)</f>
        <v>0</v>
      </c>
      <c r="H97" s="75">
        <f t="shared" ref="H97:H110" si="105">IF(AG97=0,"",AG97)</f>
        <v>234</v>
      </c>
      <c r="I97" s="348">
        <f>IF(AH97="","",AH97)</f>
        <v>1</v>
      </c>
      <c r="J97" s="75">
        <f t="shared" ref="J97:J110" si="106">IF(AI97=0,"",AI97)</f>
        <v>229</v>
      </c>
      <c r="K97" s="348">
        <f>IF(AJ97="","",AJ97)</f>
        <v>1</v>
      </c>
      <c r="L97" s="75">
        <f t="shared" ref="L97:L110" si="107">IF(AK97=0,"",AK97)</f>
        <v>160</v>
      </c>
      <c r="M97" s="348">
        <f>IF(AL97="","",AL97)</f>
        <v>0</v>
      </c>
      <c r="N97" s="75">
        <f>IF(AM97=0,"",AM97)</f>
        <v>247</v>
      </c>
      <c r="O97" s="348">
        <f>IF(AN97="","",AN97)</f>
        <v>1</v>
      </c>
      <c r="P97" s="75">
        <f t="shared" ref="P97:P110" si="108">IF(AO97=0,"",AO97)</f>
        <v>220</v>
      </c>
      <c r="Q97" s="348">
        <f>IF(AP97="","",AP97)</f>
        <v>0</v>
      </c>
      <c r="R97" s="75">
        <f t="shared" ref="R97:R110" si="109">IF(AQ97=0,"",AQ97)</f>
        <v>209</v>
      </c>
      <c r="S97" s="348">
        <f>IF(AR97="","",AR97)</f>
        <v>1</v>
      </c>
      <c r="T97" s="75">
        <f t="shared" ref="T97:T110" si="110">IF(AS97=0,"",AS97)</f>
        <v>221</v>
      </c>
      <c r="U97" s="348">
        <f>IF(AT97="","",AT97)</f>
        <v>1</v>
      </c>
      <c r="V97" s="75">
        <f t="shared" ref="V97:V110" si="111">IF(AU97=0,"",AU97)</f>
        <v>1972</v>
      </c>
      <c r="W97" s="348">
        <f>IF(AV97="","",AV97)</f>
        <v>6</v>
      </c>
      <c r="Z97" s="351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247</v>
      </c>
      <c r="AD97" s="109">
        <f>IF(SUM(AC97:AC99)+AC115=0,0,IF(SUM(AC97:AC99)=AC115,0.5,IF(SUM(AC97:AC99)&gt;AC115,1,0)))</f>
        <v>1</v>
      </c>
      <c r="AE97" s="185">
        <v>205</v>
      </c>
      <c r="AF97" s="109">
        <f>IF(SUM(AE97:AE99)+AE115=0,0,IF(SUM(AE97:AE99)=AE115,0.5,IF(SUM(AE97:AE99)&gt;AE115,1,0)))</f>
        <v>0</v>
      </c>
      <c r="AG97" s="185">
        <v>234</v>
      </c>
      <c r="AH97" s="109">
        <f>IF(SUM(AG97:AG99)+AG115=0,0,IF(SUM(AG97:AG99)=AG115,0.5,IF(SUM(AG97:AG99)&gt;AG115,1,0)))</f>
        <v>1</v>
      </c>
      <c r="AI97" s="185">
        <v>229</v>
      </c>
      <c r="AJ97" s="109">
        <f>IF(SUM(AI97:AI99)+AI115=0,0,IF(SUM(AI97:AI99)=AI115,0.5,IF(SUM(AI97:AI99)&gt;AI115,1,0)))</f>
        <v>1</v>
      </c>
      <c r="AK97" s="185">
        <v>160</v>
      </c>
      <c r="AL97" s="109">
        <f>IF(SUM(AK97:AK99)+AK115=0,0,IF(SUM(AK97:AK99)=AK115,0.5,IF(SUM(AK97:AK99)&gt;AK115,1,0)))</f>
        <v>0</v>
      </c>
      <c r="AM97" s="185">
        <v>247</v>
      </c>
      <c r="AN97" s="109">
        <f>IF(SUM(AM97:AM99)+AM115=0,0,IF(SUM(AM97:AM99)=AM115,0.5,IF(SUM(AM97:AM99)&gt;AM115,1,0)))</f>
        <v>1</v>
      </c>
      <c r="AO97" s="185">
        <v>220</v>
      </c>
      <c r="AP97" s="109">
        <f>IF(SUM(AO97:AO99)+AO115=0,0,IF(SUM(AO97:AO99)=AO115,0.5,IF(SUM(AO97:AO99)&gt;AO115,1,0)))</f>
        <v>0</v>
      </c>
      <c r="AQ97" s="185">
        <v>209</v>
      </c>
      <c r="AR97" s="109">
        <f>IF(SUM(AQ97:AQ99)+AQ115=0,0,IF(SUM(AQ97:AQ99)=AQ115,0.5,IF(SUM(AQ97:AQ99)&gt;AQ115,1,0)))</f>
        <v>1</v>
      </c>
      <c r="AS97" s="185">
        <v>221</v>
      </c>
      <c r="AT97" s="109">
        <f>IF(SUM(AS97:AS99)+AS115=0,0,IF(SUM(AS97:AS99)=AS115,0.5,IF(SUM(AS97:AS99)&gt;AS115,1,0)))</f>
        <v>1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1972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1972</v>
      </c>
      <c r="BF97" s="215">
        <f>COUNT(BH97:BP97)</f>
        <v>9</v>
      </c>
      <c r="BG97" s="215">
        <f>COUNTIF(BH97:BP97,"&gt;0")</f>
        <v>9</v>
      </c>
      <c r="BH97" s="215">
        <f t="shared" ref="BH97:BH108" si="113">IF(AC97=0,"",AC97)</f>
        <v>247</v>
      </c>
      <c r="BI97" s="215">
        <f t="shared" ref="BI97:BI108" si="114">IF(AE97=0,"",AE97)</f>
        <v>205</v>
      </c>
      <c r="BJ97" s="215">
        <f t="shared" ref="BJ97:BJ108" si="115">IF(AG97=0,"",AG97)</f>
        <v>234</v>
      </c>
      <c r="BK97" s="215">
        <f t="shared" ref="BK97:BK108" si="116">IF(AI97=0,"",AI97)</f>
        <v>229</v>
      </c>
      <c r="BL97" s="215">
        <f t="shared" ref="BL97:BL108" si="117">IF(AK97=0,"",AK97)</f>
        <v>160</v>
      </c>
      <c r="BM97" s="215">
        <f t="shared" ref="BM97:BM108" si="118">IF(AM97=0,"",AM97)</f>
        <v>247</v>
      </c>
      <c r="BN97" s="215">
        <f t="shared" ref="BN97:BN108" si="119">IF(AO97=0,"",AO97)</f>
        <v>220</v>
      </c>
      <c r="BO97" s="215">
        <f t="shared" ref="BO97:BO108" si="120">IF(AQ97=0,"",AQ97)</f>
        <v>209</v>
      </c>
      <c r="BP97" s="215">
        <f t="shared" ref="BP97:BP108" si="121">IF(AS97=0,"",AS97)</f>
        <v>221</v>
      </c>
      <c r="BQ97" s="216"/>
      <c r="BR97" s="214"/>
      <c r="BS97" s="215">
        <f>MAX(BH97:BP97)</f>
        <v>247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3</v>
      </c>
      <c r="BW97" s="215">
        <f>SUMIF(BH97:BP97,"&gt;0")</f>
        <v>1972</v>
      </c>
      <c r="BX97" s="215">
        <f>IF(COUNTIF(BH97:BP97,"&gt;0")&lt;Spielorte!$A$23,0,BE97/Spielorte!$A$23)</f>
        <v>219.11111111111111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77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9"/>
      <c r="F98" s="78" t="str">
        <f t="shared" si="104"/>
        <v/>
      </c>
      <c r="G98" s="349"/>
      <c r="H98" s="78" t="str">
        <f t="shared" si="105"/>
        <v/>
      </c>
      <c r="I98" s="349"/>
      <c r="J98" s="78" t="str">
        <f t="shared" si="106"/>
        <v/>
      </c>
      <c r="K98" s="349"/>
      <c r="L98" s="78" t="str">
        <f t="shared" si="107"/>
        <v/>
      </c>
      <c r="M98" s="349"/>
      <c r="N98" s="78" t="str">
        <f t="shared" ref="N98:N110" si="124">IF(AM98=0,"",AM98)</f>
        <v/>
      </c>
      <c r="O98" s="349"/>
      <c r="P98" s="78" t="str">
        <f t="shared" si="108"/>
        <v/>
      </c>
      <c r="Q98" s="349"/>
      <c r="R98" s="78" t="str">
        <f t="shared" si="109"/>
        <v/>
      </c>
      <c r="S98" s="349"/>
      <c r="T98" s="78" t="str">
        <f t="shared" si="110"/>
        <v/>
      </c>
      <c r="U98" s="349"/>
      <c r="V98" s="78" t="str">
        <f t="shared" si="111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8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0"/>
      <c r="F99" s="69" t="str">
        <f t="shared" si="104"/>
        <v/>
      </c>
      <c r="G99" s="350"/>
      <c r="H99" s="69" t="str">
        <f t="shared" si="105"/>
        <v/>
      </c>
      <c r="I99" s="350"/>
      <c r="J99" s="69" t="str">
        <f t="shared" si="106"/>
        <v/>
      </c>
      <c r="K99" s="350"/>
      <c r="L99" s="69" t="str">
        <f t="shared" si="107"/>
        <v/>
      </c>
      <c r="M99" s="350"/>
      <c r="N99" s="69" t="str">
        <f t="shared" si="124"/>
        <v/>
      </c>
      <c r="O99" s="350"/>
      <c r="P99" s="69" t="str">
        <f t="shared" si="108"/>
        <v/>
      </c>
      <c r="Q99" s="350"/>
      <c r="R99" s="69" t="str">
        <f t="shared" si="109"/>
        <v/>
      </c>
      <c r="S99" s="350"/>
      <c r="T99" s="69" t="str">
        <f t="shared" si="110"/>
        <v/>
      </c>
      <c r="U99" s="350"/>
      <c r="V99" s="69" t="str">
        <f t="shared" si="111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3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76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244</v>
      </c>
      <c r="E100" s="348">
        <f>IF(AD100="","",AD100)</f>
        <v>1</v>
      </c>
      <c r="F100" s="75">
        <f t="shared" si="104"/>
        <v>235</v>
      </c>
      <c r="G100" s="348">
        <f>IF(AF100="","",AF100)</f>
        <v>1</v>
      </c>
      <c r="H100" s="75">
        <f t="shared" si="105"/>
        <v>223</v>
      </c>
      <c r="I100" s="348">
        <f>IF(AH100="","",AH100)</f>
        <v>1</v>
      </c>
      <c r="J100" s="75">
        <f t="shared" si="106"/>
        <v>205</v>
      </c>
      <c r="K100" s="348">
        <f>IF(AJ100="","",AJ100)</f>
        <v>1</v>
      </c>
      <c r="L100" s="75">
        <f t="shared" si="107"/>
        <v>245</v>
      </c>
      <c r="M100" s="348">
        <f>IF(AL100="","",AL100)</f>
        <v>1</v>
      </c>
      <c r="N100" s="75">
        <f t="shared" si="124"/>
        <v>256</v>
      </c>
      <c r="O100" s="348">
        <f>IF(AN100="","",AN100)</f>
        <v>1</v>
      </c>
      <c r="P100" s="75">
        <f t="shared" si="108"/>
        <v>166</v>
      </c>
      <c r="Q100" s="348">
        <f>IF(AP100="","",AP100)</f>
        <v>1</v>
      </c>
      <c r="R100" s="75">
        <f t="shared" si="109"/>
        <v>244</v>
      </c>
      <c r="S100" s="348">
        <f>IF(AR100="","",AR100)</f>
        <v>1</v>
      </c>
      <c r="T100" s="75">
        <f t="shared" si="110"/>
        <v>205</v>
      </c>
      <c r="U100" s="348">
        <f>IF(AT100="","",AT100)</f>
        <v>1</v>
      </c>
      <c r="V100" s="75">
        <f t="shared" si="111"/>
        <v>2023</v>
      </c>
      <c r="W100" s="348">
        <f>IF(AV100="","",AV100)</f>
        <v>9</v>
      </c>
      <c r="Z100" s="351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244</v>
      </c>
      <c r="AD100" s="109">
        <f>IF(SUM(AC100:AC102)+AC116=0,0,IF(SUM(AC100:AC102)=AC116,0.5,IF(SUM(AC100:AC102)&gt;AC116,1,0)))</f>
        <v>1</v>
      </c>
      <c r="AE100" s="188">
        <v>235</v>
      </c>
      <c r="AF100" s="109">
        <f>IF(SUM(AE100:AE102)+AE116=0,0,IF(SUM(AE100:AE102)=AE116,0.5,IF(SUM(AE100:AE102)&gt;AE116,1,0)))</f>
        <v>1</v>
      </c>
      <c r="AG100" s="188">
        <v>223</v>
      </c>
      <c r="AH100" s="109">
        <f>IF(SUM(AG100:AG102)+AG116=0,0,IF(SUM(AG100:AG102)=AG116,0.5,IF(SUM(AG100:AG102)&gt;AG116,1,0)))</f>
        <v>1</v>
      </c>
      <c r="AI100" s="188">
        <v>205</v>
      </c>
      <c r="AJ100" s="109">
        <f>IF(SUM(AI100:AI102)+AI116=0,0,IF(SUM(AI100:AI102)=AI116,0.5,IF(SUM(AI100:AI102)&gt;AI116,1,0)))</f>
        <v>1</v>
      </c>
      <c r="AK100" s="188">
        <v>245</v>
      </c>
      <c r="AL100" s="109">
        <f>IF(SUM(AK100:AK102)+AK116=0,0,IF(SUM(AK100:AK102)=AK116,0.5,IF(SUM(AK100:AK102)&gt;AK116,1,0)))</f>
        <v>1</v>
      </c>
      <c r="AM100" s="188">
        <v>256</v>
      </c>
      <c r="AN100" s="109">
        <f>IF(SUM(AM100:AM102)+AM116=0,0,IF(SUM(AM100:AM102)=AM116,0.5,IF(SUM(AM100:AM102)&gt;AM116,1,0)))</f>
        <v>1</v>
      </c>
      <c r="AO100" s="188">
        <v>166</v>
      </c>
      <c r="AP100" s="109">
        <f>IF(SUM(AO100:AO102)+AO116=0,0,IF(SUM(AO100:AO102)=AO116,0.5,IF(SUM(AO100:AO102)&gt;AO116,1,0)))</f>
        <v>1</v>
      </c>
      <c r="AQ100" s="188">
        <v>244</v>
      </c>
      <c r="AR100" s="109">
        <f>IF(SUM(AQ100:AQ102)+AQ116=0,0,IF(SUM(AQ100:AQ102)=AQ116,0.5,IF(SUM(AQ100:AQ102)&gt;AQ116,1,0)))</f>
        <v>1</v>
      </c>
      <c r="AS100" s="188">
        <v>205</v>
      </c>
      <c r="AT100" s="109">
        <f>IF(SUM(AS100:AS102)+AS116=0,0,IF(SUM(AS100:AS102)=AS116,0.5,IF(SUM(AS100:AS102)&gt;AS116,1,0)))</f>
        <v>1</v>
      </c>
      <c r="AU100" s="110">
        <f t="shared" si="112"/>
        <v>2023</v>
      </c>
      <c r="AV100" s="111">
        <f>SUM(AD100+AF100+AH100+AJ100+AL100+AN100+AP100+AR100+AT100)</f>
        <v>9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2023</v>
      </c>
      <c r="BF100" s="215">
        <f t="shared" si="127"/>
        <v>9</v>
      </c>
      <c r="BG100" s="215">
        <f t="shared" si="128"/>
        <v>9</v>
      </c>
      <c r="BH100" s="215">
        <f t="shared" si="113"/>
        <v>244</v>
      </c>
      <c r="BI100" s="215">
        <f t="shared" si="114"/>
        <v>235</v>
      </c>
      <c r="BJ100" s="215">
        <f t="shared" si="115"/>
        <v>223</v>
      </c>
      <c r="BK100" s="215">
        <f t="shared" si="116"/>
        <v>205</v>
      </c>
      <c r="BL100" s="215">
        <f t="shared" si="117"/>
        <v>245</v>
      </c>
      <c r="BM100" s="215">
        <f t="shared" si="118"/>
        <v>256</v>
      </c>
      <c r="BN100" s="215">
        <f t="shared" si="119"/>
        <v>166</v>
      </c>
      <c r="BO100" s="215">
        <f t="shared" si="120"/>
        <v>244</v>
      </c>
      <c r="BP100" s="215">
        <f t="shared" si="121"/>
        <v>205</v>
      </c>
      <c r="BQ100" s="216"/>
      <c r="BR100" s="214"/>
      <c r="BS100" s="215">
        <f t="shared" si="129"/>
        <v>256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3</v>
      </c>
      <c r="BW100" s="215">
        <f t="shared" si="133"/>
        <v>2023</v>
      </c>
      <c r="BX100" s="215">
        <f>IF(COUNTIF(BH100:BP100,"&gt;0")&lt;Spielorte!$A$23,0,BE100/Spielorte!$A$23)</f>
        <v>224.77777777777777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77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9"/>
      <c r="F101" s="78" t="str">
        <f t="shared" si="104"/>
        <v/>
      </c>
      <c r="G101" s="349"/>
      <c r="H101" s="78" t="str">
        <f t="shared" si="105"/>
        <v/>
      </c>
      <c r="I101" s="349"/>
      <c r="J101" s="78" t="str">
        <f t="shared" si="106"/>
        <v/>
      </c>
      <c r="K101" s="349"/>
      <c r="L101" s="78" t="str">
        <f t="shared" si="107"/>
        <v/>
      </c>
      <c r="M101" s="349"/>
      <c r="N101" s="78" t="str">
        <f t="shared" si="124"/>
        <v/>
      </c>
      <c r="O101" s="349"/>
      <c r="P101" s="78" t="str">
        <f t="shared" si="108"/>
        <v/>
      </c>
      <c r="Q101" s="349"/>
      <c r="R101" s="78" t="str">
        <f t="shared" si="109"/>
        <v/>
      </c>
      <c r="S101" s="349"/>
      <c r="T101" s="78" t="str">
        <f t="shared" si="110"/>
        <v/>
      </c>
      <c r="U101" s="349"/>
      <c r="V101" s="78" t="str">
        <f t="shared" si="111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3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8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0"/>
      <c r="F102" s="69" t="str">
        <f t="shared" si="104"/>
        <v/>
      </c>
      <c r="G102" s="350"/>
      <c r="H102" s="69" t="str">
        <f t="shared" si="105"/>
        <v/>
      </c>
      <c r="I102" s="350"/>
      <c r="J102" s="69" t="str">
        <f t="shared" si="106"/>
        <v/>
      </c>
      <c r="K102" s="350"/>
      <c r="L102" s="69" t="str">
        <f t="shared" si="107"/>
        <v/>
      </c>
      <c r="M102" s="350"/>
      <c r="N102" s="69" t="str">
        <f t="shared" si="124"/>
        <v/>
      </c>
      <c r="O102" s="350"/>
      <c r="P102" s="69" t="str">
        <f t="shared" si="108"/>
        <v/>
      </c>
      <c r="Q102" s="350"/>
      <c r="R102" s="69" t="str">
        <f t="shared" si="109"/>
        <v/>
      </c>
      <c r="S102" s="350"/>
      <c r="T102" s="69" t="str">
        <f t="shared" si="110"/>
        <v/>
      </c>
      <c r="U102" s="350"/>
      <c r="V102" s="69" t="str">
        <f t="shared" si="111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3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76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183</v>
      </c>
      <c r="E103" s="348">
        <f>IF(AD103="","",AD103)</f>
        <v>0</v>
      </c>
      <c r="F103" s="75">
        <f t="shared" si="104"/>
        <v>200</v>
      </c>
      <c r="G103" s="348">
        <f>IF(AF103="","",AF103)</f>
        <v>1</v>
      </c>
      <c r="H103" s="75">
        <f t="shared" si="105"/>
        <v>163</v>
      </c>
      <c r="I103" s="348">
        <f>IF(AH103="","",AH103)</f>
        <v>0</v>
      </c>
      <c r="J103" s="75" t="str">
        <f t="shared" si="106"/>
        <v/>
      </c>
      <c r="K103" s="348">
        <f>IF(AJ103="","",AJ103)</f>
        <v>0</v>
      </c>
      <c r="L103" s="75" t="str">
        <f t="shared" si="107"/>
        <v/>
      </c>
      <c r="M103" s="348">
        <f>IF(AL103="","",AL103)</f>
        <v>0</v>
      </c>
      <c r="N103" s="75" t="str">
        <f t="shared" si="124"/>
        <v/>
      </c>
      <c r="O103" s="348">
        <f>IF(AN103="","",AN103)</f>
        <v>1</v>
      </c>
      <c r="P103" s="75" t="str">
        <f t="shared" si="108"/>
        <v/>
      </c>
      <c r="Q103" s="348">
        <f>IF(AP103="","",AP103)</f>
        <v>0</v>
      </c>
      <c r="R103" s="75" t="str">
        <f t="shared" si="109"/>
        <v/>
      </c>
      <c r="S103" s="348">
        <f>IF(AR103="","",AR103)</f>
        <v>1</v>
      </c>
      <c r="T103" s="75" t="str">
        <f t="shared" si="110"/>
        <v/>
      </c>
      <c r="U103" s="348">
        <f>IF(AT103="","",AT103)</f>
        <v>0</v>
      </c>
      <c r="V103" s="75">
        <f t="shared" si="111"/>
        <v>546</v>
      </c>
      <c r="W103" s="348">
        <f>IF(AV103="","",AV103)</f>
        <v>3</v>
      </c>
      <c r="Z103" s="351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183</v>
      </c>
      <c r="AD103" s="109">
        <f>IF(SUM(AC103:AC105)+AC117=0,0,IF(SUM(AC103:AC105)=AC117,0.5,IF(SUM(AC103:AC105)&gt;AC117,1,0)))</f>
        <v>0</v>
      </c>
      <c r="AE103" s="188">
        <v>200</v>
      </c>
      <c r="AF103" s="109">
        <f>IF(SUM(AE103:AE105)+AE117=0,0,IF(SUM(AE103:AE105)=AE117,0.5,IF(SUM(AE103:AE105)&gt;AE117,1,0)))</f>
        <v>1</v>
      </c>
      <c r="AG103" s="188">
        <v>163</v>
      </c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1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1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546</v>
      </c>
      <c r="AV103" s="111">
        <f>SUM(AD103+AF103+AH103+AJ103+AL103+AN103+AP103+AR103+AT103)</f>
        <v>3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546</v>
      </c>
      <c r="BF103" s="215">
        <f t="shared" si="127"/>
        <v>3</v>
      </c>
      <c r="BG103" s="215">
        <f t="shared" si="128"/>
        <v>3</v>
      </c>
      <c r="BH103" s="215">
        <f t="shared" si="113"/>
        <v>183</v>
      </c>
      <c r="BI103" s="215">
        <f t="shared" si="114"/>
        <v>200</v>
      </c>
      <c r="BJ103" s="215">
        <f t="shared" si="115"/>
        <v>163</v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200</v>
      </c>
      <c r="BT103" s="215">
        <f t="shared" si="130"/>
        <v>0</v>
      </c>
      <c r="BU103" s="215" t="str">
        <f t="shared" si="131"/>
        <v>SG DJK Rimpar</v>
      </c>
      <c r="BV103" s="214">
        <f t="shared" si="132"/>
        <v>3</v>
      </c>
      <c r="BW103" s="215">
        <f t="shared" si="133"/>
        <v>546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77"/>
      <c r="B104" s="76" t="str">
        <f t="shared" si="123"/>
        <v>Plaschka, Nico</v>
      </c>
      <c r="C104" s="77">
        <f t="shared" si="123"/>
        <v>38039</v>
      </c>
      <c r="D104" s="78" t="str">
        <f t="shared" si="123"/>
        <v/>
      </c>
      <c r="E104" s="349"/>
      <c r="F104" s="78" t="str">
        <f t="shared" si="104"/>
        <v/>
      </c>
      <c r="G104" s="349"/>
      <c r="H104" s="78" t="str">
        <f t="shared" si="105"/>
        <v/>
      </c>
      <c r="I104" s="349"/>
      <c r="J104" s="78">
        <f t="shared" si="106"/>
        <v>199</v>
      </c>
      <c r="K104" s="349"/>
      <c r="L104" s="78">
        <f t="shared" si="107"/>
        <v>215</v>
      </c>
      <c r="M104" s="349"/>
      <c r="N104" s="78">
        <f t="shared" si="124"/>
        <v>185</v>
      </c>
      <c r="O104" s="349"/>
      <c r="P104" s="78">
        <f t="shared" si="108"/>
        <v>169</v>
      </c>
      <c r="Q104" s="349"/>
      <c r="R104" s="78">
        <f t="shared" si="109"/>
        <v>224</v>
      </c>
      <c r="S104" s="349"/>
      <c r="T104" s="78">
        <f t="shared" si="110"/>
        <v>169</v>
      </c>
      <c r="U104" s="349"/>
      <c r="V104" s="78">
        <f t="shared" si="111"/>
        <v>1161</v>
      </c>
      <c r="W104" s="349"/>
      <c r="Z104" s="352"/>
      <c r="AA104" s="108" t="str">
        <f>IF(AB104=0,"",VLOOKUP(AB104,Starter!$A$1:$D$199,2,FALSE))</f>
        <v>Plaschka, Nico</v>
      </c>
      <c r="AB104" s="98">
        <v>38039</v>
      </c>
      <c r="AC104" s="186"/>
      <c r="AD104" s="112"/>
      <c r="AE104" s="186"/>
      <c r="AF104" s="112"/>
      <c r="AG104" s="186"/>
      <c r="AH104" s="112"/>
      <c r="AI104" s="186">
        <v>199</v>
      </c>
      <c r="AJ104" s="112"/>
      <c r="AK104" s="186">
        <v>215</v>
      </c>
      <c r="AL104" s="112"/>
      <c r="AM104" s="186">
        <v>185</v>
      </c>
      <c r="AN104" s="112"/>
      <c r="AO104" s="186">
        <v>169</v>
      </c>
      <c r="AP104" s="112"/>
      <c r="AQ104" s="186">
        <v>224</v>
      </c>
      <c r="AR104" s="112"/>
      <c r="AS104" s="186">
        <v>169</v>
      </c>
      <c r="AT104" s="112"/>
      <c r="AU104" s="113">
        <f t="shared" si="112"/>
        <v>1161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38039</v>
      </c>
      <c r="BE104" s="213">
        <f t="shared" si="126"/>
        <v>1161</v>
      </c>
      <c r="BF104" s="215">
        <f t="shared" si="127"/>
        <v>6</v>
      </c>
      <c r="BG104" s="215">
        <f t="shared" si="128"/>
        <v>6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>
        <f t="shared" si="116"/>
        <v>199</v>
      </c>
      <c r="BL104" s="215">
        <f t="shared" si="117"/>
        <v>215</v>
      </c>
      <c r="BM104" s="215">
        <f t="shared" si="118"/>
        <v>185</v>
      </c>
      <c r="BN104" s="215">
        <f t="shared" si="119"/>
        <v>169</v>
      </c>
      <c r="BO104" s="215">
        <f t="shared" si="120"/>
        <v>224</v>
      </c>
      <c r="BP104" s="215">
        <f t="shared" si="121"/>
        <v>169</v>
      </c>
      <c r="BQ104" s="216"/>
      <c r="BR104" s="214"/>
      <c r="BS104" s="215">
        <f t="shared" si="129"/>
        <v>224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3</v>
      </c>
      <c r="BW104" s="215">
        <f t="shared" si="133"/>
        <v>1161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8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0"/>
      <c r="F105" s="69" t="str">
        <f t="shared" si="104"/>
        <v/>
      </c>
      <c r="G105" s="350"/>
      <c r="H105" s="69" t="str">
        <f t="shared" si="105"/>
        <v/>
      </c>
      <c r="I105" s="350"/>
      <c r="J105" s="69" t="str">
        <f t="shared" si="106"/>
        <v/>
      </c>
      <c r="K105" s="350"/>
      <c r="L105" s="69" t="str">
        <f t="shared" si="107"/>
        <v/>
      </c>
      <c r="M105" s="350"/>
      <c r="N105" s="69" t="str">
        <f t="shared" si="124"/>
        <v/>
      </c>
      <c r="O105" s="350"/>
      <c r="P105" s="69" t="str">
        <f t="shared" si="108"/>
        <v/>
      </c>
      <c r="Q105" s="350"/>
      <c r="R105" s="69" t="str">
        <f t="shared" si="109"/>
        <v/>
      </c>
      <c r="S105" s="350"/>
      <c r="T105" s="69" t="str">
        <f t="shared" si="110"/>
        <v/>
      </c>
      <c r="U105" s="350"/>
      <c r="V105" s="69" t="str">
        <f t="shared" si="111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3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76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186</v>
      </c>
      <c r="E106" s="348">
        <f>IF(AD106="","",AD106)</f>
        <v>0</v>
      </c>
      <c r="F106" s="75">
        <f t="shared" si="104"/>
        <v>199</v>
      </c>
      <c r="G106" s="348">
        <f>IF(AF106="","",AF106)</f>
        <v>0</v>
      </c>
      <c r="H106" s="75">
        <f t="shared" si="105"/>
        <v>204</v>
      </c>
      <c r="I106" s="348">
        <f>IF(AH106="","",AH106)</f>
        <v>0</v>
      </c>
      <c r="J106" s="75">
        <f t="shared" si="106"/>
        <v>203</v>
      </c>
      <c r="K106" s="348">
        <f>IF(AJ106="","",AJ106)</f>
        <v>0</v>
      </c>
      <c r="L106" s="75">
        <f t="shared" si="107"/>
        <v>170</v>
      </c>
      <c r="M106" s="348">
        <f>IF(AL106="","",AL106)</f>
        <v>0</v>
      </c>
      <c r="N106" s="75">
        <f t="shared" si="124"/>
        <v>178</v>
      </c>
      <c r="O106" s="348">
        <f>IF(AN106="","",AN106)</f>
        <v>1</v>
      </c>
      <c r="P106" s="75">
        <f t="shared" si="108"/>
        <v>166</v>
      </c>
      <c r="Q106" s="348">
        <f>IF(AP106="","",AP106)</f>
        <v>0</v>
      </c>
      <c r="R106" s="75" t="str">
        <f t="shared" si="109"/>
        <v/>
      </c>
      <c r="S106" s="348">
        <f>IF(AR106="","",AR106)</f>
        <v>1</v>
      </c>
      <c r="T106" s="75" t="str">
        <f t="shared" si="110"/>
        <v/>
      </c>
      <c r="U106" s="348">
        <f>IF(AT106="","",AT106)</f>
        <v>1</v>
      </c>
      <c r="V106" s="75">
        <f t="shared" si="111"/>
        <v>1306</v>
      </c>
      <c r="W106" s="348">
        <f>IF(AV106="","",AV106)</f>
        <v>3</v>
      </c>
      <c r="Z106" s="351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186</v>
      </c>
      <c r="AD106" s="109">
        <f>IF(SUM(AC106:AC108)+AC118=0,0,IF(SUM(AC106:AC108)=AC118,0.5,IF(SUM(AC106:AC108)&gt;AC118,1,0)))</f>
        <v>0</v>
      </c>
      <c r="AE106" s="188">
        <v>199</v>
      </c>
      <c r="AF106" s="109">
        <f>IF(SUM(AE106:AE108)+AE118=0,0,IF(SUM(AE106:AE108)=AE118,0.5,IF(SUM(AE106:AE108)&gt;AE118,1,0)))</f>
        <v>0</v>
      </c>
      <c r="AG106" s="188">
        <v>204</v>
      </c>
      <c r="AH106" s="109">
        <f>IF(SUM(AG106:AG108)+AG118=0,0,IF(SUM(AG106:AG108)=AG118,0.5,IF(SUM(AG106:AG108)&gt;AG118,1,0)))</f>
        <v>0</v>
      </c>
      <c r="AI106" s="188">
        <v>203</v>
      </c>
      <c r="AJ106" s="109">
        <f>IF(SUM(AI106:AI108)+AI118=0,0,IF(SUM(AI106:AI108)=AI118,0.5,IF(SUM(AI106:AI108)&gt;AI118,1,0)))</f>
        <v>0</v>
      </c>
      <c r="AK106" s="188">
        <v>170</v>
      </c>
      <c r="AL106" s="109">
        <f>IF(SUM(AK106:AK108)+AK118=0,0,IF(SUM(AK106:AK108)=AK118,0.5,IF(SUM(AK106:AK108)&gt;AK118,1,0)))</f>
        <v>0</v>
      </c>
      <c r="AM106" s="188">
        <v>178</v>
      </c>
      <c r="AN106" s="109">
        <f>IF(SUM(AM106:AM108)+AM118=0,0,IF(SUM(AM106:AM108)=AM118,0.5,IF(SUM(AM106:AM108)&gt;AM118,1,0)))</f>
        <v>1</v>
      </c>
      <c r="AO106" s="188">
        <v>166</v>
      </c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1</v>
      </c>
      <c r="AS106" s="188"/>
      <c r="AT106" s="109">
        <f>IF(SUM(AS106:AS108)+AS118=0,0,IF(SUM(AS106:AS108)=AS118,0.5,IF(SUM(AS106:AS108)&gt;AS118,1,0)))</f>
        <v>1</v>
      </c>
      <c r="AU106" s="110">
        <f t="shared" si="112"/>
        <v>1306</v>
      </c>
      <c r="AV106" s="111">
        <f>SUM(AD106+AF106+AH106+AJ106+AL106+AN106+AP106+AR106+AT106)</f>
        <v>3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1306</v>
      </c>
      <c r="BF106" s="215">
        <f t="shared" si="127"/>
        <v>7</v>
      </c>
      <c r="BG106" s="215">
        <f t="shared" si="128"/>
        <v>7</v>
      </c>
      <c r="BH106" s="215">
        <f t="shared" si="113"/>
        <v>186</v>
      </c>
      <c r="BI106" s="215">
        <f t="shared" si="114"/>
        <v>199</v>
      </c>
      <c r="BJ106" s="215">
        <f t="shared" si="115"/>
        <v>204</v>
      </c>
      <c r="BK106" s="215">
        <f t="shared" si="116"/>
        <v>203</v>
      </c>
      <c r="BL106" s="215">
        <f t="shared" si="117"/>
        <v>170</v>
      </c>
      <c r="BM106" s="215">
        <f t="shared" si="118"/>
        <v>178</v>
      </c>
      <c r="BN106" s="215">
        <f t="shared" si="119"/>
        <v>166</v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204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3</v>
      </c>
      <c r="BW106" s="215">
        <f t="shared" si="133"/>
        <v>1306</v>
      </c>
      <c r="BX106" s="215">
        <f>IF(COUNTIF(BH106:BP106,"&gt;0")&lt;Spielorte!$A$23,0,BE106/Spielorte!$A$23)</f>
        <v>0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77"/>
      <c r="B107" s="76" t="str">
        <f>IF(AA107=0,"",AA107)</f>
        <v>Gräfe, Sebastian</v>
      </c>
      <c r="C107" s="77">
        <f t="shared" si="123"/>
        <v>38687</v>
      </c>
      <c r="D107" s="78" t="str">
        <f t="shared" si="123"/>
        <v/>
      </c>
      <c r="E107" s="349"/>
      <c r="F107" s="78" t="str">
        <f t="shared" si="104"/>
        <v/>
      </c>
      <c r="G107" s="349"/>
      <c r="H107" s="78" t="str">
        <f t="shared" si="105"/>
        <v/>
      </c>
      <c r="I107" s="349"/>
      <c r="J107" s="78" t="str">
        <f t="shared" si="106"/>
        <v/>
      </c>
      <c r="K107" s="349"/>
      <c r="L107" s="78" t="str">
        <f t="shared" si="107"/>
        <v/>
      </c>
      <c r="M107" s="349"/>
      <c r="N107" s="78" t="str">
        <f t="shared" si="124"/>
        <v/>
      </c>
      <c r="O107" s="349"/>
      <c r="P107" s="78" t="str">
        <f t="shared" si="108"/>
        <v/>
      </c>
      <c r="Q107" s="349"/>
      <c r="R107" s="78">
        <f t="shared" si="109"/>
        <v>225</v>
      </c>
      <c r="S107" s="349"/>
      <c r="T107" s="78">
        <f t="shared" si="110"/>
        <v>233</v>
      </c>
      <c r="U107" s="349"/>
      <c r="V107" s="78">
        <f t="shared" si="111"/>
        <v>458</v>
      </c>
      <c r="W107" s="349"/>
      <c r="Z107" s="352"/>
      <c r="AA107" s="108" t="str">
        <f>IF(AB107=0,"",VLOOKUP(AB107,Starter!$A$1:$D$199,2,FALSE))</f>
        <v>Gräfe, Sebastian</v>
      </c>
      <c r="AB107" s="98">
        <v>38687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>
        <v>225</v>
      </c>
      <c r="AR107" s="112"/>
      <c r="AS107" s="186">
        <v>233</v>
      </c>
      <c r="AT107" s="112"/>
      <c r="AU107" s="113">
        <f t="shared" si="112"/>
        <v>458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38687</v>
      </c>
      <c r="BE107" s="213">
        <f t="shared" si="126"/>
        <v>458</v>
      </c>
      <c r="BF107" s="215">
        <f t="shared" si="127"/>
        <v>2</v>
      </c>
      <c r="BG107" s="215">
        <f t="shared" si="128"/>
        <v>2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>
        <f t="shared" si="120"/>
        <v>225</v>
      </c>
      <c r="BP107" s="215">
        <f t="shared" si="121"/>
        <v>233</v>
      </c>
      <c r="BQ107" s="216"/>
      <c r="BR107" s="214"/>
      <c r="BS107" s="215">
        <f t="shared" si="129"/>
        <v>233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3</v>
      </c>
      <c r="BW107" s="215">
        <f t="shared" si="133"/>
        <v>458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8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0"/>
      <c r="F108" s="69" t="str">
        <f t="shared" si="104"/>
        <v/>
      </c>
      <c r="G108" s="350"/>
      <c r="H108" s="69" t="str">
        <f t="shared" si="105"/>
        <v/>
      </c>
      <c r="I108" s="350"/>
      <c r="J108" s="69" t="str">
        <f t="shared" si="106"/>
        <v/>
      </c>
      <c r="K108" s="350"/>
      <c r="L108" s="69" t="str">
        <f t="shared" si="107"/>
        <v/>
      </c>
      <c r="M108" s="350"/>
      <c r="N108" s="69" t="str">
        <f t="shared" si="124"/>
        <v/>
      </c>
      <c r="O108" s="350"/>
      <c r="P108" s="69" t="str">
        <f t="shared" si="108"/>
        <v/>
      </c>
      <c r="Q108" s="350"/>
      <c r="R108" s="69" t="str">
        <f t="shared" si="109"/>
        <v/>
      </c>
      <c r="S108" s="350"/>
      <c r="T108" s="69" t="str">
        <f t="shared" si="110"/>
        <v/>
      </c>
      <c r="U108" s="350"/>
      <c r="V108" s="69" t="str">
        <f t="shared" si="111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>
        <f t="shared" si="123"/>
        <v>860</v>
      </c>
      <c r="E109" s="84">
        <f>IF(AD109="","",AD109)</f>
        <v>0</v>
      </c>
      <c r="F109" s="83">
        <f t="shared" si="104"/>
        <v>839</v>
      </c>
      <c r="G109" s="84">
        <f>IF(AF109="","",AF109)</f>
        <v>0</v>
      </c>
      <c r="H109" s="83">
        <f t="shared" si="105"/>
        <v>824</v>
      </c>
      <c r="I109" s="84">
        <f>IF(AH109="","",AH109)</f>
        <v>2</v>
      </c>
      <c r="J109" s="83">
        <f t="shared" si="106"/>
        <v>836</v>
      </c>
      <c r="K109" s="84">
        <f>IF(AJ109="","",AJ109)</f>
        <v>0</v>
      </c>
      <c r="L109" s="83">
        <f t="shared" si="107"/>
        <v>790</v>
      </c>
      <c r="M109" s="84">
        <f>IF(AL109="","",AL109)</f>
        <v>0</v>
      </c>
      <c r="N109" s="83">
        <f t="shared" si="124"/>
        <v>866</v>
      </c>
      <c r="O109" s="84">
        <f>IF(AN109="","",AN109)</f>
        <v>2</v>
      </c>
      <c r="P109" s="83">
        <f t="shared" si="108"/>
        <v>721</v>
      </c>
      <c r="Q109" s="84">
        <f>IF(AP109="","",AP109)</f>
        <v>0</v>
      </c>
      <c r="R109" s="83">
        <f t="shared" si="109"/>
        <v>902</v>
      </c>
      <c r="S109" s="84">
        <f>IF(AR109="","",AR109)</f>
        <v>2</v>
      </c>
      <c r="T109" s="83">
        <f t="shared" si="110"/>
        <v>828</v>
      </c>
      <c r="U109" s="84">
        <f>IF(AT109="","",AT109)</f>
        <v>2</v>
      </c>
      <c r="V109" s="83">
        <f t="shared" si="111"/>
        <v>7466</v>
      </c>
      <c r="W109" s="84">
        <f>IF(AV109="","",AV109)</f>
        <v>8</v>
      </c>
      <c r="AA109" s="81" t="s">
        <v>1799</v>
      </c>
      <c r="AB109" s="120"/>
      <c r="AC109" s="211">
        <f>ABS(SUM(AC97:AC99))+ABS(SUM(AC100:AC102))+ABS(SUM(AC103:AC105))+ABS(SUM(AC106:AC108))</f>
        <v>860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839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824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836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790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866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721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902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828</v>
      </c>
      <c r="AT109" s="121">
        <f>IF(AS109+AS119=0,0,IF(AS109=AS119,1,IF(AS109&gt;AS119,2,0)))</f>
        <v>2</v>
      </c>
      <c r="AU109" s="122">
        <f>SUM(AC109+AE109+AG109+AI109+AK109+AM109+AO109+AQ109+AS109)</f>
        <v>7466</v>
      </c>
      <c r="AV109" s="123">
        <f>SUM(AD109+AF109+AH109+AJ109+AL109+AN109+AP109+AR109+AT109)</f>
        <v>8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2</v>
      </c>
      <c r="F110" s="86" t="str">
        <f t="shared" si="104"/>
        <v/>
      </c>
      <c r="G110" s="87">
        <f>IF(AF110="","",AF110)</f>
        <v>2</v>
      </c>
      <c r="H110" s="86" t="str">
        <f t="shared" si="105"/>
        <v/>
      </c>
      <c r="I110" s="87">
        <f>IF(AH110="","",AH110)</f>
        <v>4</v>
      </c>
      <c r="J110" s="86" t="str">
        <f t="shared" si="106"/>
        <v/>
      </c>
      <c r="K110" s="87">
        <f>IF(AJ110="","",AJ110)</f>
        <v>2</v>
      </c>
      <c r="L110" s="86" t="str">
        <f t="shared" si="107"/>
        <v/>
      </c>
      <c r="M110" s="87">
        <f>IF(AL110="","",AL110)</f>
        <v>1</v>
      </c>
      <c r="N110" s="86" t="str">
        <f t="shared" si="124"/>
        <v/>
      </c>
      <c r="O110" s="87">
        <f>IF(AN110="","",AN110)</f>
        <v>6</v>
      </c>
      <c r="P110" s="86" t="str">
        <f t="shared" si="108"/>
        <v/>
      </c>
      <c r="Q110" s="87">
        <f>IF(AP110="","",AP110)</f>
        <v>1</v>
      </c>
      <c r="R110" s="86" t="str">
        <f t="shared" si="109"/>
        <v/>
      </c>
      <c r="S110" s="87">
        <f>IF(AR110="","",AR110)</f>
        <v>6</v>
      </c>
      <c r="T110" s="86" t="str">
        <f t="shared" si="110"/>
        <v/>
      </c>
      <c r="U110" s="87">
        <f>IF(AT110="","",AT110)</f>
        <v>5</v>
      </c>
      <c r="V110" s="86" t="str">
        <f t="shared" si="111"/>
        <v/>
      </c>
      <c r="W110" s="87">
        <f>IF(AV110="","",AV110)</f>
        <v>29</v>
      </c>
      <c r="AA110" s="85" t="s">
        <v>1814</v>
      </c>
      <c r="AB110" s="86"/>
      <c r="AC110" s="86"/>
      <c r="AD110" s="124">
        <f>SUM(AD97:AD109)</f>
        <v>2</v>
      </c>
      <c r="AE110" s="86"/>
      <c r="AF110" s="124">
        <f>SUM(AF97:AF109)</f>
        <v>2</v>
      </c>
      <c r="AG110" s="86"/>
      <c r="AH110" s="124">
        <f>SUM(AH97:AH109)</f>
        <v>4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6</v>
      </c>
      <c r="AO110" s="86"/>
      <c r="AP110" s="124">
        <f>SUM(AP97:AP109)</f>
        <v>1</v>
      </c>
      <c r="AQ110" s="86"/>
      <c r="AR110" s="124">
        <f>SUM(AR97:AR109)</f>
        <v>6</v>
      </c>
      <c r="AS110" s="86"/>
      <c r="AT110" s="124">
        <f>SUM(AT97:AT109)</f>
        <v>5</v>
      </c>
      <c r="AU110" s="86"/>
      <c r="AV110" s="125">
        <f>SUM(AV97:AV109)</f>
        <v>29</v>
      </c>
      <c r="AW110" s="101"/>
      <c r="AX110" s="102"/>
      <c r="BA110" s="212">
        <f>+AV110</f>
        <v>29</v>
      </c>
      <c r="BB110" s="213">
        <f>+AU109</f>
        <v>7466</v>
      </c>
      <c r="BC110" s="214">
        <f>+AA92</f>
        <v>4</v>
      </c>
      <c r="BF110" s="215">
        <f>SUM(BF91:BF109)</f>
        <v>36</v>
      </c>
      <c r="BQ110" s="212">
        <f>+BB110/1000000+BA110</f>
        <v>29.007466000000001</v>
      </c>
      <c r="BR110" s="214">
        <f>RANK(BQ110,BQ:BQ)</f>
        <v>3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6">
        <f t="shared" si="135"/>
        <v>3</v>
      </c>
      <c r="E112" s="356" t="str">
        <f t="shared" si="135"/>
        <v/>
      </c>
      <c r="F112" s="356">
        <f t="shared" si="135"/>
        <v>8</v>
      </c>
      <c r="G112" s="356" t="str">
        <f t="shared" si="135"/>
        <v/>
      </c>
      <c r="H112" s="356">
        <f t="shared" si="135"/>
        <v>5</v>
      </c>
      <c r="I112" s="356" t="str">
        <f t="shared" si="135"/>
        <v/>
      </c>
      <c r="J112" s="356">
        <f t="shared" si="135"/>
        <v>7</v>
      </c>
      <c r="K112" s="356" t="str">
        <f t="shared" si="135"/>
        <v/>
      </c>
      <c r="L112" s="356">
        <f t="shared" si="135"/>
        <v>1</v>
      </c>
      <c r="M112" s="356" t="str">
        <f t="shared" si="135"/>
        <v/>
      </c>
      <c r="N112" s="356">
        <f t="shared" si="135"/>
        <v>10</v>
      </c>
      <c r="O112" s="356" t="str">
        <f t="shared" si="135"/>
        <v/>
      </c>
      <c r="P112" s="356">
        <f t="shared" si="135"/>
        <v>6</v>
      </c>
      <c r="Q112" s="356" t="str">
        <f t="shared" si="135"/>
        <v/>
      </c>
      <c r="R112" s="356">
        <f t="shared" ref="L112:U114" si="136">IF(AQ112=0,"",AQ112)</f>
        <v>2</v>
      </c>
      <c r="S112" s="356" t="str">
        <f t="shared" si="136"/>
        <v/>
      </c>
      <c r="T112" s="356">
        <f t="shared" si="136"/>
        <v>9</v>
      </c>
      <c r="U112" s="356" t="str">
        <f t="shared" si="136"/>
        <v/>
      </c>
      <c r="V112" s="357"/>
      <c r="W112" s="357"/>
      <c r="AA112" s="88" t="s">
        <v>1797</v>
      </c>
      <c r="AB112" s="89" t="s">
        <v>1798</v>
      </c>
      <c r="AC112" s="370">
        <f>VLOOKUP($AA92,Schlüssel!$A$5:$DG$14,83)</f>
        <v>3</v>
      </c>
      <c r="AD112" s="371"/>
      <c r="AE112" s="370">
        <f>VLOOKUP($AA92,Schlüssel!$A$5:$EK$14,84)</f>
        <v>8</v>
      </c>
      <c r="AF112" s="371"/>
      <c r="AG112" s="370">
        <f>VLOOKUP($AA92,Schlüssel!$A$5:$EK$14,85)</f>
        <v>5</v>
      </c>
      <c r="AH112" s="371"/>
      <c r="AI112" s="370">
        <f>VLOOKUP($AA92,Schlüssel!$A$5:$EK$14,86)</f>
        <v>7</v>
      </c>
      <c r="AJ112" s="371"/>
      <c r="AK112" s="370">
        <f>VLOOKUP($AA92,Schlüssel!$A$5:$EK$14,87)</f>
        <v>1</v>
      </c>
      <c r="AL112" s="371"/>
      <c r="AM112" s="370">
        <f>VLOOKUP($AA92,Schlüssel!$A$5:$EK$14,88)</f>
        <v>10</v>
      </c>
      <c r="AN112" s="371"/>
      <c r="AO112" s="370">
        <f>VLOOKUP($AA92,Schlüssel!$A$5:$EK$14,89)</f>
        <v>6</v>
      </c>
      <c r="AP112" s="371"/>
      <c r="AQ112" s="370">
        <f>VLOOKUP($AA92,Schlüssel!$A$5:$EK$14,90)</f>
        <v>2</v>
      </c>
      <c r="AR112" s="371"/>
      <c r="AS112" s="370">
        <f>VLOOKUP($AA92,Schlüssel!$A$5:$EK$14,91)</f>
        <v>9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58" t="str">
        <f t="shared" si="137"/>
        <v>BK München 3</v>
      </c>
      <c r="E113" s="359" t="str">
        <f t="shared" si="137"/>
        <v/>
      </c>
      <c r="F113" s="358" t="str">
        <f t="shared" si="137"/>
        <v>BC EMAX Unterföhring 2</v>
      </c>
      <c r="G113" s="359" t="str">
        <f t="shared" si="137"/>
        <v/>
      </c>
      <c r="H113" s="358" t="str">
        <f t="shared" si="137"/>
        <v>RW Lichtenhof Stein 1</v>
      </c>
      <c r="I113" s="359" t="str">
        <f t="shared" si="137"/>
        <v/>
      </c>
      <c r="J113" s="358" t="str">
        <f t="shared" si="137"/>
        <v>Schanzer Ingolstadt 1</v>
      </c>
      <c r="K113" s="359" t="str">
        <f t="shared" si="137"/>
        <v/>
      </c>
      <c r="L113" s="358" t="str">
        <f t="shared" si="136"/>
        <v>BC Comet Nürnberg</v>
      </c>
      <c r="M113" s="359" t="str">
        <f t="shared" si="136"/>
        <v/>
      </c>
      <c r="N113" s="358" t="str">
        <f t="shared" si="136"/>
        <v>High Roller Rosenheim 1</v>
      </c>
      <c r="O113" s="359" t="str">
        <f t="shared" si="136"/>
        <v/>
      </c>
      <c r="P113" s="358" t="str">
        <f t="shared" si="136"/>
        <v>SG Rottendorf 1</v>
      </c>
      <c r="Q113" s="359" t="str">
        <f t="shared" si="136"/>
        <v/>
      </c>
      <c r="R113" s="358" t="str">
        <f t="shared" si="136"/>
        <v>Bajuwaren München 1</v>
      </c>
      <c r="S113" s="359" t="str">
        <f t="shared" si="136"/>
        <v/>
      </c>
      <c r="T113" s="358" t="str">
        <f t="shared" si="136"/>
        <v>Bowlinghaus Bamberg 1</v>
      </c>
      <c r="U113" s="359" t="str">
        <f t="shared" si="136"/>
        <v/>
      </c>
      <c r="V113" s="363"/>
      <c r="W113" s="363"/>
      <c r="AA113" s="90"/>
      <c r="AB113" s="86"/>
      <c r="AC113" s="358" t="str">
        <f>VLOOKUP(AC112,Schlüssel!$A$5:$K$14,2)</f>
        <v>BK München 3</v>
      </c>
      <c r="AD113" s="359"/>
      <c r="AE113" s="358" t="str">
        <f>VLOOKUP(AE112,Schlüssel!$A$5:$K$14,2)</f>
        <v>BC EMAX Unterföhring 2</v>
      </c>
      <c r="AF113" s="359"/>
      <c r="AG113" s="358" t="str">
        <f>VLOOKUP(AG112,Schlüssel!$A$5:$K$14,2)</f>
        <v>RW Lichtenhof Stein 1</v>
      </c>
      <c r="AH113" s="359"/>
      <c r="AI113" s="358" t="str">
        <f>VLOOKUP(AI112,Schlüssel!$A$5:$K$14,2)</f>
        <v>Schanzer Ingolstadt 1</v>
      </c>
      <c r="AJ113" s="359"/>
      <c r="AK113" s="358" t="str">
        <f>VLOOKUP(AK112,Schlüssel!$A$5:$K$14,2)</f>
        <v>BC Comet Nürnberg</v>
      </c>
      <c r="AL113" s="359"/>
      <c r="AM113" s="358" t="str">
        <f>VLOOKUP(AM112,Schlüssel!$A$5:$K$14,2)</f>
        <v>High Roller Rosenheim 1</v>
      </c>
      <c r="AN113" s="359"/>
      <c r="AO113" s="358" t="str">
        <f>VLOOKUP(AO112,Schlüssel!$A$5:$K$14,2)</f>
        <v>SG Rottendorf 1</v>
      </c>
      <c r="AP113" s="359"/>
      <c r="AQ113" s="358" t="str">
        <f>VLOOKUP(AQ112,Schlüssel!$A$5:$K$14,2)</f>
        <v>Bajuwaren München 1</v>
      </c>
      <c r="AR113" s="359"/>
      <c r="AS113" s="358" t="str">
        <f>VLOOKUP(AS112,Schlüssel!$A$5:$K$14,2)</f>
        <v>Bowlinghaus Bamberg 1</v>
      </c>
      <c r="AT113" s="359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60" t="str">
        <f t="shared" si="137"/>
        <v/>
      </c>
      <c r="E114" s="360" t="str">
        <f t="shared" si="137"/>
        <v/>
      </c>
      <c r="F114" s="360" t="str">
        <f t="shared" si="137"/>
        <v/>
      </c>
      <c r="G114" s="360" t="str">
        <f t="shared" si="137"/>
        <v/>
      </c>
      <c r="H114" s="360" t="str">
        <f t="shared" si="137"/>
        <v/>
      </c>
      <c r="I114" s="360" t="str">
        <f t="shared" si="137"/>
        <v/>
      </c>
      <c r="J114" s="360" t="str">
        <f t="shared" si="137"/>
        <v/>
      </c>
      <c r="K114" s="360" t="str">
        <f t="shared" si="137"/>
        <v/>
      </c>
      <c r="L114" s="360" t="str">
        <f t="shared" si="136"/>
        <v/>
      </c>
      <c r="M114" s="360" t="str">
        <f t="shared" si="136"/>
        <v/>
      </c>
      <c r="N114" s="360" t="str">
        <f t="shared" si="136"/>
        <v/>
      </c>
      <c r="O114" s="360" t="str">
        <f t="shared" si="136"/>
        <v/>
      </c>
      <c r="P114" s="360" t="str">
        <f t="shared" si="136"/>
        <v/>
      </c>
      <c r="Q114" s="360" t="str">
        <f t="shared" si="136"/>
        <v/>
      </c>
      <c r="R114" s="360" t="str">
        <f t="shared" si="136"/>
        <v/>
      </c>
      <c r="S114" s="360" t="str">
        <f t="shared" si="136"/>
        <v/>
      </c>
      <c r="T114" s="360" t="str">
        <f t="shared" si="136"/>
        <v/>
      </c>
      <c r="U114" s="361" t="str">
        <f t="shared" si="136"/>
        <v/>
      </c>
      <c r="V114" s="298"/>
      <c r="W114" s="298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4" t="str">
        <f t="shared" ref="B115:C119" si="138">IF(AA115=0,"",AA115)</f>
        <v>Spieler 1</v>
      </c>
      <c r="C115" s="375" t="str">
        <f t="shared" si="138"/>
        <v/>
      </c>
      <c r="D115" s="362">
        <f>IF(AC115=301,"",AC115)</f>
        <v>199</v>
      </c>
      <c r="E115" s="362" t="str">
        <f>IF(AD115=0,"",AD115)</f>
        <v/>
      </c>
      <c r="F115" s="362">
        <f>IF(AE115=301,"",AE115)</f>
        <v>209</v>
      </c>
      <c r="G115" s="362" t="str">
        <f>IF(AF115=0,"",AF115)</f>
        <v/>
      </c>
      <c r="H115" s="362">
        <f>IF(AG115=301,"",AG115)</f>
        <v>157</v>
      </c>
      <c r="I115" s="362" t="str">
        <f>IF(AH115=0,"",AH115)</f>
        <v/>
      </c>
      <c r="J115" s="362">
        <f>IF(AI115=301,"",AI115)</f>
        <v>201</v>
      </c>
      <c r="K115" s="362" t="str">
        <f>IF(AJ115=0,"",AJ115)</f>
        <v/>
      </c>
      <c r="L115" s="362">
        <f>IF(AK115=301,"",AK115)</f>
        <v>266</v>
      </c>
      <c r="M115" s="362" t="str">
        <f>IF(AL115=0,"",AL115)</f>
        <v/>
      </c>
      <c r="N115" s="362">
        <f>IF(AM115=301,"",AM115)</f>
        <v>194</v>
      </c>
      <c r="O115" s="362" t="str">
        <f>IF(AN115=0,"",AN115)</f>
        <v/>
      </c>
      <c r="P115" s="362">
        <f>IF(AO115=301,"",AO115)</f>
        <v>235</v>
      </c>
      <c r="Q115" s="362" t="str">
        <f>IF(AP115=0,"",AP115)</f>
        <v/>
      </c>
      <c r="R115" s="362">
        <f>IF(AQ115=301,"",AQ115)</f>
        <v>192</v>
      </c>
      <c r="S115" s="362" t="str">
        <f>IF(AR115=0,"",AR115)</f>
        <v/>
      </c>
      <c r="T115" s="362">
        <f>IF(AS115=301,"",AS115)</f>
        <v>172</v>
      </c>
      <c r="U115" s="362" t="str">
        <f>IF(AT115=0,"",AT115)</f>
        <v/>
      </c>
      <c r="V115" s="364"/>
      <c r="W115" s="364"/>
      <c r="AA115" s="91" t="s">
        <v>0</v>
      </c>
      <c r="AB115" s="92"/>
      <c r="AC115" s="368">
        <f>ABS(INDEX(AC:AC,MATCH(AC112,$AA:$AA,0)+5)+INDEX(AC:AC,MATCH(AC112,$AA:$AA,0)+6)+INDEX(AC:AC,MATCH(AC112,$AA:$AA,0)+7))</f>
        <v>199</v>
      </c>
      <c r="AD115" s="369"/>
      <c r="AE115" s="368">
        <f>ABS(INDEX(AE:AE,MATCH(AE112,$AA:$AA,0)+5)+INDEX(AE:AE,MATCH(AE112,$AA:$AA,0)+6)+INDEX(AE:AE,MATCH(AE112,$AA:$AA,0)+7))</f>
        <v>209</v>
      </c>
      <c r="AF115" s="369"/>
      <c r="AG115" s="368">
        <f>ABS(INDEX(AG:AG,MATCH(AG112,$AA:$AA,0)+5)+INDEX(AG:AG,MATCH(AG112,$AA:$AA,0)+6)+INDEX(AG:AG,MATCH(AG112,$AA:$AA,0)+7))</f>
        <v>157</v>
      </c>
      <c r="AH115" s="369"/>
      <c r="AI115" s="368">
        <f>ABS(INDEX(AI:AI,MATCH(AI112,$AA:$AA,0)+5)+INDEX(AI:AI,MATCH(AI112,$AA:$AA,0)+6)+INDEX(AI:AI,MATCH(AI112,$AA:$AA,0)+7))</f>
        <v>201</v>
      </c>
      <c r="AJ115" s="369"/>
      <c r="AK115" s="368">
        <f>ABS(INDEX(AK:AK,MATCH(AK112,$AA:$AA,0)+5)+INDEX(AK:AK,MATCH(AK112,$AA:$AA,0)+6)+INDEX(AK:AK,MATCH(AK112,$AA:$AA,0)+7))</f>
        <v>266</v>
      </c>
      <c r="AL115" s="369"/>
      <c r="AM115" s="368">
        <f>ABS(INDEX(AM:AM,MATCH(AM112,$AA:$AA,0)+5)+INDEX(AM:AM,MATCH(AM112,$AA:$AA,0)+6)+INDEX(AM:AM,MATCH(AM112,$AA:$AA,0)+7))</f>
        <v>194</v>
      </c>
      <c r="AN115" s="369"/>
      <c r="AO115" s="368">
        <f>ABS(INDEX(AO:AO,MATCH(AO112,$AA:$AA,0)+5)+INDEX(AO:AO,MATCH(AO112,$AA:$AA,0)+6)+INDEX(AO:AO,MATCH(AO112,$AA:$AA,0)+7))</f>
        <v>235</v>
      </c>
      <c r="AP115" s="369"/>
      <c r="AQ115" s="368">
        <f>ABS(INDEX(AQ:AQ,MATCH(AQ112,$AA:$AA,0)+5)+INDEX(AQ:AQ,MATCH(AQ112,$AA:$AA,0)+6)+INDEX(AQ:AQ,MATCH(AQ112,$AA:$AA,0)+7))</f>
        <v>192</v>
      </c>
      <c r="AR115" s="369"/>
      <c r="AS115" s="368">
        <f>ABS(INDEX(AS:AS,MATCH(AS112,$AA:$AA,0)+5)+INDEX(AS:AS,MATCH(AS112,$AA:$AA,0)+6)+INDEX(AS:AS,MATCH(AS112,$AA:$AA,0)+7))</f>
        <v>172</v>
      </c>
      <c r="AT115" s="369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4" t="str">
        <f t="shared" si="138"/>
        <v>Spieler 2</v>
      </c>
      <c r="C116" s="375" t="str">
        <f t="shared" si="138"/>
        <v/>
      </c>
      <c r="D116" s="362">
        <f>IF(AC116=301,"",AC116)</f>
        <v>188</v>
      </c>
      <c r="E116" s="362" t="str">
        <f>IF(AD116=0,"",AD116)</f>
        <v/>
      </c>
      <c r="F116" s="362">
        <f>IF(AE116=301,"",AE116)</f>
        <v>225</v>
      </c>
      <c r="G116" s="362" t="str">
        <f>IF(AF116=0,"",AF116)</f>
        <v/>
      </c>
      <c r="H116" s="362">
        <f>IF(AG116=301,"",AG116)</f>
        <v>157</v>
      </c>
      <c r="I116" s="362" t="str">
        <f>IF(AH116=0,"",AH116)</f>
        <v/>
      </c>
      <c r="J116" s="362">
        <f>IF(AI116=301,"",AI116)</f>
        <v>182</v>
      </c>
      <c r="K116" s="362" t="str">
        <f>IF(AJ116=0,"",AJ116)</f>
        <v/>
      </c>
      <c r="L116" s="362">
        <f>IF(AK116=301,"",AK116)</f>
        <v>224</v>
      </c>
      <c r="M116" s="362" t="str">
        <f>IF(AL116=0,"",AL116)</f>
        <v/>
      </c>
      <c r="N116" s="362">
        <f>IF(AM116=301,"",AM116)</f>
        <v>172</v>
      </c>
      <c r="O116" s="362" t="str">
        <f>IF(AN116=0,"",AN116)</f>
        <v/>
      </c>
      <c r="P116" s="362">
        <f>IF(AO116=301,"",AO116)</f>
        <v>160</v>
      </c>
      <c r="Q116" s="362" t="str">
        <f>IF(AP116=0,"",AP116)</f>
        <v/>
      </c>
      <c r="R116" s="362">
        <f>IF(AQ116=301,"",AQ116)</f>
        <v>163</v>
      </c>
      <c r="S116" s="362" t="str">
        <f>IF(AR116=0,"",AR116)</f>
        <v/>
      </c>
      <c r="T116" s="362">
        <f>IF(AS116=301,"",AS116)</f>
        <v>186</v>
      </c>
      <c r="U116" s="362" t="str">
        <f>IF(AT116=0,"",AT116)</f>
        <v/>
      </c>
      <c r="V116" s="364"/>
      <c r="W116" s="364"/>
      <c r="AA116" s="91" t="s">
        <v>2</v>
      </c>
      <c r="AB116" s="92"/>
      <c r="AC116" s="366">
        <f>ABS(INDEX(AC:AC,MATCH(AC112,$AA:$AA,0)+8)+INDEX(AC:AC,MATCH(AC112,$AA:$AA,0)+9)+INDEX(AC:AC,MATCH(AC112,$AA:$AA,0)+10))</f>
        <v>188</v>
      </c>
      <c r="AD116" s="367"/>
      <c r="AE116" s="366">
        <f>ABS(INDEX(AE:AE,MATCH(AE112,$AA:$AA,0)+8)+INDEX(AE:AE,MATCH(AE112,$AA:$AA,0)+9)+INDEX(AE:AE,MATCH(AE112,$AA:$AA,0)+10))</f>
        <v>225</v>
      </c>
      <c r="AF116" s="367"/>
      <c r="AG116" s="366">
        <f>ABS(INDEX(AG:AG,MATCH(AG112,$AA:$AA,0)+8)+INDEX(AG:AG,MATCH(AG112,$AA:$AA,0)+9)+INDEX(AG:AG,MATCH(AG112,$AA:$AA,0)+10))</f>
        <v>157</v>
      </c>
      <c r="AH116" s="367"/>
      <c r="AI116" s="366">
        <f>ABS(INDEX(AI:AI,MATCH(AI112,$AA:$AA,0)+8)+INDEX(AI:AI,MATCH(AI112,$AA:$AA,0)+9)+INDEX(AI:AI,MATCH(AI112,$AA:$AA,0)+10))</f>
        <v>182</v>
      </c>
      <c r="AJ116" s="367"/>
      <c r="AK116" s="366">
        <f>ABS(INDEX(AK:AK,MATCH(AK112,$AA:$AA,0)+8)+INDEX(AK:AK,MATCH(AK112,$AA:$AA,0)+9)+INDEX(AK:AK,MATCH(AK112,$AA:$AA,0)+10))</f>
        <v>224</v>
      </c>
      <c r="AL116" s="367"/>
      <c r="AM116" s="366">
        <f>ABS(INDEX(AM:AM,MATCH(AM112,$AA:$AA,0)+8)+INDEX(AM:AM,MATCH(AM112,$AA:$AA,0)+9)+INDEX(AM:AM,MATCH(AM112,$AA:$AA,0)+10))</f>
        <v>172</v>
      </c>
      <c r="AN116" s="367"/>
      <c r="AO116" s="366">
        <f>ABS(INDEX(AO:AO,MATCH(AO112,$AA:$AA,0)+8)+INDEX(AO:AO,MATCH(AO112,$AA:$AA,0)+9)+INDEX(AO:AO,MATCH(AO112,$AA:$AA,0)+10))</f>
        <v>160</v>
      </c>
      <c r="AP116" s="367"/>
      <c r="AQ116" s="366">
        <f>ABS(INDEX(AQ:AQ,MATCH(AQ112,$AA:$AA,0)+8)+INDEX(AQ:AQ,MATCH(AQ112,$AA:$AA,0)+9)+INDEX(AQ:AQ,MATCH(AQ112,$AA:$AA,0)+10))</f>
        <v>163</v>
      </c>
      <c r="AR116" s="367"/>
      <c r="AS116" s="366">
        <f>ABS(INDEX(AS:AS,MATCH(AS112,$AA:$AA,0)+8)+INDEX(AS:AS,MATCH(AS112,$AA:$AA,0)+9)+INDEX(AS:AS,MATCH(AS112,$AA:$AA,0)+10))</f>
        <v>186</v>
      </c>
      <c r="AT116" s="367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4" t="str">
        <f t="shared" si="138"/>
        <v>Spieler 3</v>
      </c>
      <c r="C117" s="375" t="str">
        <f t="shared" si="138"/>
        <v/>
      </c>
      <c r="D117" s="362">
        <f>IF(AC117=301,"",AC117)</f>
        <v>227</v>
      </c>
      <c r="E117" s="362" t="str">
        <f>IF(AD117=0,"",AD117)</f>
        <v/>
      </c>
      <c r="F117" s="362">
        <f>IF(AE117=301,"",AE117)</f>
        <v>193</v>
      </c>
      <c r="G117" s="362" t="str">
        <f>IF(AF117=0,"",AF117)</f>
        <v/>
      </c>
      <c r="H117" s="362">
        <f>IF(AG117=301,"",AG117)</f>
        <v>196</v>
      </c>
      <c r="I117" s="362" t="str">
        <f>IF(AH117=0,"",AH117)</f>
        <v/>
      </c>
      <c r="J117" s="362">
        <f>IF(AI117=301,"",AI117)</f>
        <v>255</v>
      </c>
      <c r="K117" s="362" t="str">
        <f>IF(AJ117=0,"",AJ117)</f>
        <v/>
      </c>
      <c r="L117" s="362">
        <f>IF(AK117=301,"",AK117)</f>
        <v>228</v>
      </c>
      <c r="M117" s="362" t="str">
        <f>IF(AL117=0,"",AL117)</f>
        <v/>
      </c>
      <c r="N117" s="362">
        <f>IF(AM117=301,"",AM117)</f>
        <v>170</v>
      </c>
      <c r="O117" s="362" t="str">
        <f>IF(AN117=0,"",AN117)</f>
        <v/>
      </c>
      <c r="P117" s="362">
        <f>IF(AO117=301,"",AO117)</f>
        <v>188</v>
      </c>
      <c r="Q117" s="362" t="str">
        <f>IF(AP117=0,"",AP117)</f>
        <v/>
      </c>
      <c r="R117" s="362">
        <f>IF(AQ117=301,"",AQ117)</f>
        <v>212</v>
      </c>
      <c r="S117" s="362" t="str">
        <f>IF(AR117=0,"",AR117)</f>
        <v/>
      </c>
      <c r="T117" s="362">
        <f>IF(AS117=301,"",AS117)</f>
        <v>234</v>
      </c>
      <c r="U117" s="362" t="str">
        <f>IF(AT117=0,"",AT117)</f>
        <v/>
      </c>
      <c r="V117" s="364"/>
      <c r="W117" s="364"/>
      <c r="AA117" s="91" t="s">
        <v>3</v>
      </c>
      <c r="AB117" s="92"/>
      <c r="AC117" s="366">
        <f>ABS(INDEX(AC:AC,MATCH(AC112,$AA:$AA,0)+11)+INDEX(AC:AC,MATCH(AC112,$AA:$AA,0)+12)+INDEX(AC:AC,MATCH(AC112,$AA:$AA,0)+13))</f>
        <v>227</v>
      </c>
      <c r="AD117" s="367"/>
      <c r="AE117" s="366">
        <f>ABS(INDEX(AE:AE,MATCH(AE112,$AA:$AA,0)+11)+INDEX(AE:AE,MATCH(AE112,$AA:$AA,0)+12)+INDEX(AE:AE,MATCH(AE112,$AA:$AA,0)+13))</f>
        <v>193</v>
      </c>
      <c r="AF117" s="367"/>
      <c r="AG117" s="366">
        <f>ABS(INDEX(AG:AG,MATCH(AG112,$AA:$AA,0)+11)+INDEX(AG:AG,MATCH(AG112,$AA:$AA,0)+12)+INDEX(AG:AG,MATCH(AG112,$AA:$AA,0)+13))</f>
        <v>196</v>
      </c>
      <c r="AH117" s="367"/>
      <c r="AI117" s="366">
        <f>ABS(INDEX(AI:AI,MATCH(AI112,$AA:$AA,0)+11)+INDEX(AI:AI,MATCH(AI112,$AA:$AA,0)+12)+INDEX(AI:AI,MATCH(AI112,$AA:$AA,0)+13))</f>
        <v>255</v>
      </c>
      <c r="AJ117" s="367"/>
      <c r="AK117" s="366">
        <f>ABS(INDEX(AK:AK,MATCH(AK112,$AA:$AA,0)+11)+INDEX(AK:AK,MATCH(AK112,$AA:$AA,0)+12)+INDEX(AK:AK,MATCH(AK112,$AA:$AA,0)+13))</f>
        <v>228</v>
      </c>
      <c r="AL117" s="367"/>
      <c r="AM117" s="366">
        <f>ABS(INDEX(AM:AM,MATCH(AM112,$AA:$AA,0)+11)+INDEX(AM:AM,MATCH(AM112,$AA:$AA,0)+12)+INDEX(AM:AM,MATCH(AM112,$AA:$AA,0)+13))</f>
        <v>170</v>
      </c>
      <c r="AN117" s="367"/>
      <c r="AO117" s="366">
        <f>ABS(INDEX(AO:AO,MATCH(AO112,$AA:$AA,0)+11)+INDEX(AO:AO,MATCH(AO112,$AA:$AA,0)+12)+INDEX(AO:AO,MATCH(AO112,$AA:$AA,0)+13))</f>
        <v>188</v>
      </c>
      <c r="AP117" s="367"/>
      <c r="AQ117" s="366">
        <f>ABS(INDEX(AQ:AQ,MATCH(AQ112,$AA:$AA,0)+11)+INDEX(AQ:AQ,MATCH(AQ112,$AA:$AA,0)+12)+INDEX(AQ:AQ,MATCH(AQ112,$AA:$AA,0)+13))</f>
        <v>212</v>
      </c>
      <c r="AR117" s="367"/>
      <c r="AS117" s="366">
        <f>ABS(INDEX(AS:AS,MATCH(AS112,$AA:$AA,0)+11)+INDEX(AS:AS,MATCH(AS112,$AA:$AA,0)+12)+INDEX(AS:AS,MATCH(AS112,$AA:$AA,0)+13))</f>
        <v>234</v>
      </c>
      <c r="AT117" s="367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4" t="str">
        <f t="shared" si="138"/>
        <v>Spieler 4</v>
      </c>
      <c r="C118" s="375" t="str">
        <f t="shared" si="138"/>
        <v/>
      </c>
      <c r="D118" s="362">
        <f>IF(AC118=301,"",AC118)</f>
        <v>300</v>
      </c>
      <c r="E118" s="362" t="str">
        <f>IF(AD118=0,"",AD118)</f>
        <v/>
      </c>
      <c r="F118" s="362">
        <f>IF(AE118=301,"",AE118)</f>
        <v>243</v>
      </c>
      <c r="G118" s="362" t="str">
        <f>IF(AF118=0,"",AF118)</f>
        <v/>
      </c>
      <c r="H118" s="362">
        <f>IF(AG118=301,"",AG118)</f>
        <v>267</v>
      </c>
      <c r="I118" s="362" t="str">
        <f>IF(AH118=0,"",AH118)</f>
        <v/>
      </c>
      <c r="J118" s="362">
        <f>IF(AI118=301,"",AI118)</f>
        <v>228</v>
      </c>
      <c r="K118" s="362" t="str">
        <f>IF(AJ118=0,"",AJ118)</f>
        <v/>
      </c>
      <c r="L118" s="362">
        <f>IF(AK118=301,"",AK118)</f>
        <v>200</v>
      </c>
      <c r="M118" s="362" t="str">
        <f>IF(AL118=0,"",AL118)</f>
        <v/>
      </c>
      <c r="N118" s="362">
        <f>IF(AM118=301,"",AM118)</f>
        <v>171</v>
      </c>
      <c r="O118" s="362" t="str">
        <f>IF(AN118=0,"",AN118)</f>
        <v/>
      </c>
      <c r="P118" s="362">
        <f>IF(AO118=301,"",AO118)</f>
        <v>180</v>
      </c>
      <c r="Q118" s="362" t="str">
        <f>IF(AP118=0,"",AP118)</f>
        <v/>
      </c>
      <c r="R118" s="362">
        <f>IF(AQ118=301,"",AQ118)</f>
        <v>165</v>
      </c>
      <c r="S118" s="362" t="str">
        <f>IF(AR118=0,"",AR118)</f>
        <v/>
      </c>
      <c r="T118" s="362">
        <f>IF(AS118=301,"",AS118)</f>
        <v>162</v>
      </c>
      <c r="U118" s="362" t="str">
        <f>IF(AT118=0,"",AT118)</f>
        <v/>
      </c>
      <c r="V118" s="364"/>
      <c r="W118" s="364"/>
      <c r="AA118" s="91" t="s">
        <v>11</v>
      </c>
      <c r="AB118" s="92"/>
      <c r="AC118" s="366">
        <f>ABS(INDEX(AC:AC,MATCH(AC112,$AA:$AA,0)+14)+INDEX(AC:AC,MATCH(AC112,$AA:$AA,0)+15)+INDEX(AC:AC,MATCH(AC112,$AA:$AA,0)+16))</f>
        <v>300</v>
      </c>
      <c r="AD118" s="367"/>
      <c r="AE118" s="366">
        <f>ABS(INDEX(AE:AE,MATCH(AE112,$AA:$AA,0)+14)+INDEX(AE:AE,MATCH(AE112,$AA:$AA,0)+15)+INDEX(AE:AE,MATCH(AE112,$AA:$AA,0)+16))</f>
        <v>243</v>
      </c>
      <c r="AF118" s="367"/>
      <c r="AG118" s="366">
        <f>ABS(INDEX(AG:AG,MATCH(AG112,$AA:$AA,0)+14)+INDEX(AG:AG,MATCH(AG112,$AA:$AA,0)+15)+INDEX(AG:AG,MATCH(AG112,$AA:$AA,0)+16))</f>
        <v>267</v>
      </c>
      <c r="AH118" s="367"/>
      <c r="AI118" s="366">
        <f>ABS(INDEX(AI:AI,MATCH(AI112,$AA:$AA,0)+14)+INDEX(AI:AI,MATCH(AI112,$AA:$AA,0)+15)+INDEX(AI:AI,MATCH(AI112,$AA:$AA,0)+16))</f>
        <v>228</v>
      </c>
      <c r="AJ118" s="367"/>
      <c r="AK118" s="366">
        <f>ABS(INDEX(AK:AK,MATCH(AK112,$AA:$AA,0)+14)+INDEX(AK:AK,MATCH(AK112,$AA:$AA,0)+15)+INDEX(AK:AK,MATCH(AK112,$AA:$AA,0)+16))</f>
        <v>200</v>
      </c>
      <c r="AL118" s="367"/>
      <c r="AM118" s="366">
        <f>ABS(INDEX(AM:AM,MATCH(AM112,$AA:$AA,0)+14)+INDEX(AM:AM,MATCH(AM112,$AA:$AA,0)+15)+INDEX(AM:AM,MATCH(AM112,$AA:$AA,0)+16))</f>
        <v>171</v>
      </c>
      <c r="AN118" s="367"/>
      <c r="AO118" s="366">
        <f>ABS(INDEX(AO:AO,MATCH(AO112,$AA:$AA,0)+14)+INDEX(AO:AO,MATCH(AO112,$AA:$AA,0)+15)+INDEX(AO:AO,MATCH(AO112,$AA:$AA,0)+16))</f>
        <v>180</v>
      </c>
      <c r="AP118" s="367"/>
      <c r="AQ118" s="366">
        <f>ABS(INDEX(AQ:AQ,MATCH(AQ112,$AA:$AA,0)+14)+INDEX(AQ:AQ,MATCH(AQ112,$AA:$AA,0)+15)+INDEX(AQ:AQ,MATCH(AQ112,$AA:$AA,0)+16))</f>
        <v>165</v>
      </c>
      <c r="AR118" s="367"/>
      <c r="AS118" s="366">
        <f>ABS(INDEX(AS:AS,MATCH(AS112,$AA:$AA,0)+14)+INDEX(AS:AS,MATCH(AS112,$AA:$AA,0)+15)+INDEX(AS:AS,MATCH(AS112,$AA:$AA,0)+16))</f>
        <v>162</v>
      </c>
      <c r="AT118" s="367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6" t="str">
        <f t="shared" si="138"/>
        <v>Gesamt</v>
      </c>
      <c r="C119" s="347" t="str">
        <f t="shared" si="138"/>
        <v/>
      </c>
      <c r="D119" s="365">
        <f>IF(AC119=1505,"",AC119)</f>
        <v>914</v>
      </c>
      <c r="E119" s="365" t="str">
        <f>IF(AD119=0,"",AD119)</f>
        <v/>
      </c>
      <c r="F119" s="365">
        <f>IF(AE119=1505,"",AE119)</f>
        <v>870</v>
      </c>
      <c r="G119" s="365" t="str">
        <f>IF(AF119=0,"",AF119)</f>
        <v/>
      </c>
      <c r="H119" s="365">
        <f>IF(AG119=1505,"",AG119)</f>
        <v>777</v>
      </c>
      <c r="I119" s="365" t="str">
        <f>IF(AH119=0,"",AH119)</f>
        <v/>
      </c>
      <c r="J119" s="365">
        <f>IF(AI119=1505,"",AI119)</f>
        <v>866</v>
      </c>
      <c r="K119" s="365" t="str">
        <f>IF(AJ119=0,"",AJ119)</f>
        <v/>
      </c>
      <c r="L119" s="365">
        <f>IF(AK119=1505,"",AK119)</f>
        <v>918</v>
      </c>
      <c r="M119" s="365" t="str">
        <f>IF(AL119=0,"",AL119)</f>
        <v/>
      </c>
      <c r="N119" s="365">
        <f>IF(AM119=1505,"",AM119)</f>
        <v>707</v>
      </c>
      <c r="O119" s="365" t="str">
        <f>IF(AN119=0,"",AN119)</f>
        <v/>
      </c>
      <c r="P119" s="365">
        <f>IF(AO119=1505,"",AO119)</f>
        <v>763</v>
      </c>
      <c r="Q119" s="365" t="str">
        <f>IF(AP119=0,"",AP119)</f>
        <v/>
      </c>
      <c r="R119" s="365">
        <f>IF(AQ119=1505,"",AQ119)</f>
        <v>732</v>
      </c>
      <c r="S119" s="365" t="str">
        <f>IF(AR119=0,"",AR119)</f>
        <v/>
      </c>
      <c r="T119" s="365">
        <f>IF(AS119=1505,"",AS119)</f>
        <v>754</v>
      </c>
      <c r="U119" s="365" t="str">
        <f>IF(AT119=0,"",AT119)</f>
        <v/>
      </c>
      <c r="V119" s="301"/>
      <c r="W119" s="301"/>
      <c r="AA119" s="93" t="s">
        <v>1799</v>
      </c>
      <c r="AB119" s="94"/>
      <c r="AC119" s="346">
        <f>SUM(AC115:AC118)</f>
        <v>914</v>
      </c>
      <c r="AD119" s="347"/>
      <c r="AE119" s="346">
        <f>SUM(AE115:AE118)</f>
        <v>870</v>
      </c>
      <c r="AF119" s="347"/>
      <c r="AG119" s="346">
        <f>SUM(AG115:AG118)</f>
        <v>777</v>
      </c>
      <c r="AH119" s="347"/>
      <c r="AI119" s="346">
        <f>SUM(AI115:AI118)</f>
        <v>866</v>
      </c>
      <c r="AJ119" s="347"/>
      <c r="AK119" s="346">
        <f>SUM(AK115:AK118)</f>
        <v>918</v>
      </c>
      <c r="AL119" s="347"/>
      <c r="AM119" s="346">
        <f>SUM(AM115:AM118)</f>
        <v>707</v>
      </c>
      <c r="AN119" s="347"/>
      <c r="AO119" s="346">
        <f>SUM(AO115:AO118)</f>
        <v>763</v>
      </c>
      <c r="AP119" s="347"/>
      <c r="AQ119" s="346">
        <f>SUM(AQ115:AQ118)</f>
        <v>732</v>
      </c>
      <c r="AR119" s="347"/>
      <c r="AS119" s="346">
        <f>SUM(AS115:AS118)</f>
        <v>754</v>
      </c>
      <c r="AT119" s="347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5" t="str">
        <f>AE121</f>
        <v>Bayernliga Herren</v>
      </c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48"/>
      <c r="S121" s="49" t="s">
        <v>1794</v>
      </c>
      <c r="T121" s="50"/>
      <c r="U121" s="341" t="str">
        <f>AT121</f>
        <v>15.03./16.03.</v>
      </c>
      <c r="V121" s="342"/>
      <c r="W121" s="343"/>
      <c r="X121" s="372"/>
      <c r="Y121" s="373"/>
      <c r="Z121" s="373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41" t="str">
        <f>VLOOKUP(AS122,Spielorte!$A$1:$C$6,2)</f>
        <v>15.03./16.03.</v>
      </c>
      <c r="AU121" s="342"/>
      <c r="AV121" s="34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4" t="str">
        <f>AE122</f>
        <v>Brunnthal Max Munich</v>
      </c>
      <c r="G122" s="344"/>
      <c r="H122" s="344"/>
      <c r="I122" s="344"/>
      <c r="J122" s="344"/>
      <c r="K122" s="344"/>
      <c r="L122" s="344"/>
      <c r="M122" s="344"/>
      <c r="N122" s="344"/>
      <c r="O122" s="344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6" t="s">
        <v>1800</v>
      </c>
      <c r="E125" s="347"/>
      <c r="F125" s="346" t="s">
        <v>1801</v>
      </c>
      <c r="G125" s="347"/>
      <c r="H125" s="346" t="s">
        <v>1802</v>
      </c>
      <c r="I125" s="347"/>
      <c r="J125" s="346" t="s">
        <v>1803</v>
      </c>
      <c r="K125" s="347"/>
      <c r="L125" s="346" t="s">
        <v>1804</v>
      </c>
      <c r="M125" s="347"/>
      <c r="N125" s="346" t="s">
        <v>1805</v>
      </c>
      <c r="O125" s="347"/>
      <c r="P125" s="346" t="s">
        <v>1806</v>
      </c>
      <c r="Q125" s="347"/>
      <c r="R125" s="346" t="s">
        <v>1807</v>
      </c>
      <c r="S125" s="347"/>
      <c r="T125" s="346" t="s">
        <v>1808</v>
      </c>
      <c r="U125" s="347"/>
      <c r="V125" s="354" t="s">
        <v>1799</v>
      </c>
      <c r="W125" s="355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6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191</v>
      </c>
      <c r="E127" s="348">
        <f>IF(AD127="","",AD127)</f>
        <v>0</v>
      </c>
      <c r="F127" s="75">
        <f t="shared" ref="F127:F140" si="139">IF(AE127=0,"",AE127)</f>
        <v>170</v>
      </c>
      <c r="G127" s="348">
        <f>IF(AF127="","",AF127)</f>
        <v>0</v>
      </c>
      <c r="H127" s="75">
        <f t="shared" ref="H127:H140" si="140">IF(AG127=0,"",AG127)</f>
        <v>157</v>
      </c>
      <c r="I127" s="348">
        <f>IF(AH127="","",AH127)</f>
        <v>0</v>
      </c>
      <c r="J127" s="75">
        <f t="shared" ref="J127:J140" si="141">IF(AI127=0,"",AI127)</f>
        <v>203</v>
      </c>
      <c r="K127" s="348">
        <f>IF(AJ127="","",AJ127)</f>
        <v>1</v>
      </c>
      <c r="L127" s="75">
        <f t="shared" ref="L127:L140" si="142">IF(AK127=0,"",AK127)</f>
        <v>237</v>
      </c>
      <c r="M127" s="348">
        <f>IF(AL127="","",AL127)</f>
        <v>1</v>
      </c>
      <c r="N127" s="75">
        <f>IF(AM127=0,"",AM127)</f>
        <v>190</v>
      </c>
      <c r="O127" s="348">
        <f>IF(AN127="","",AN127)</f>
        <v>0</v>
      </c>
      <c r="P127" s="75">
        <f t="shared" ref="P127:P140" si="143">IF(AO127=0,"",AO127)</f>
        <v>246</v>
      </c>
      <c r="Q127" s="348">
        <f>IF(AP127="","",AP127)</f>
        <v>0</v>
      </c>
      <c r="R127" s="75">
        <f t="shared" ref="R127:R140" si="144">IF(AQ127=0,"",AQ127)</f>
        <v>274</v>
      </c>
      <c r="S127" s="348">
        <f>IF(AR127="","",AR127)</f>
        <v>1</v>
      </c>
      <c r="T127" s="75">
        <f t="shared" ref="T127:T140" si="145">IF(AS127=0,"",AS127)</f>
        <v>203</v>
      </c>
      <c r="U127" s="348">
        <f>IF(AT127="","",AT127)</f>
        <v>0</v>
      </c>
      <c r="V127" s="75">
        <f t="shared" ref="V127:V140" si="146">IF(AU127=0,"",AU127)</f>
        <v>1871</v>
      </c>
      <c r="W127" s="348">
        <f>IF(AV127="","",AV127)</f>
        <v>3</v>
      </c>
      <c r="Z127" s="351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191</v>
      </c>
      <c r="AD127" s="109">
        <f>IF(SUM(AC127:AC129)+AC145=0,0,IF(SUM(AC127:AC129)=AC145,0.5,IF(SUM(AC127:AC129)&gt;AC145,1,0)))</f>
        <v>0</v>
      </c>
      <c r="AE127" s="185">
        <v>170</v>
      </c>
      <c r="AF127" s="109">
        <f>IF(SUM(AE127:AE129)+AE145=0,0,IF(SUM(AE127:AE129)=AE145,0.5,IF(SUM(AE127:AE129)&gt;AE145,1,0)))</f>
        <v>0</v>
      </c>
      <c r="AG127" s="185">
        <v>157</v>
      </c>
      <c r="AH127" s="109">
        <f>IF(SUM(AG127:AG129)+AG145=0,0,IF(SUM(AG127:AG129)=AG145,0.5,IF(SUM(AG127:AG129)&gt;AG145,1,0)))</f>
        <v>0</v>
      </c>
      <c r="AI127" s="185">
        <v>203</v>
      </c>
      <c r="AJ127" s="109">
        <f>IF(SUM(AI127:AI129)+AI145=0,0,IF(SUM(AI127:AI129)=AI145,0.5,IF(SUM(AI127:AI129)&gt;AI145,1,0)))</f>
        <v>1</v>
      </c>
      <c r="AK127" s="185">
        <v>237</v>
      </c>
      <c r="AL127" s="109">
        <f>IF(SUM(AK127:AK129)+AK145=0,0,IF(SUM(AK127:AK129)=AK145,0.5,IF(SUM(AK127:AK129)&gt;AK145,1,0)))</f>
        <v>1</v>
      </c>
      <c r="AM127" s="185">
        <v>190</v>
      </c>
      <c r="AN127" s="109">
        <f>IF(SUM(AM127:AM129)+AM145=0,0,IF(SUM(AM127:AM129)=AM145,0.5,IF(SUM(AM127:AM129)&gt;AM145,1,0)))</f>
        <v>0</v>
      </c>
      <c r="AO127" s="185">
        <v>246</v>
      </c>
      <c r="AP127" s="109">
        <f>IF(SUM(AO127:AO129)+AO145=0,0,IF(SUM(AO127:AO129)=AO145,0.5,IF(SUM(AO127:AO129)&gt;AO145,1,0)))</f>
        <v>0</v>
      </c>
      <c r="AQ127" s="185">
        <v>274</v>
      </c>
      <c r="AR127" s="109">
        <f>IF(SUM(AQ127:AQ129)+AQ145=0,0,IF(SUM(AQ127:AQ129)=AQ145,0.5,IF(SUM(AQ127:AQ129)&gt;AQ145,1,0)))</f>
        <v>1</v>
      </c>
      <c r="AS127" s="185">
        <v>203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1871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1871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191</v>
      </c>
      <c r="BI127" s="215">
        <f t="shared" ref="BI127:BI138" si="149">IF(AE127=0,"",AE127)</f>
        <v>170</v>
      </c>
      <c r="BJ127" s="215">
        <f t="shared" ref="BJ127:BJ138" si="150">IF(AG127=0,"",AG127)</f>
        <v>157</v>
      </c>
      <c r="BK127" s="215">
        <f t="shared" ref="BK127:BK138" si="151">IF(AI127=0,"",AI127)</f>
        <v>203</v>
      </c>
      <c r="BL127" s="215">
        <f t="shared" ref="BL127:BL138" si="152">IF(AK127=0,"",AK127)</f>
        <v>237</v>
      </c>
      <c r="BM127" s="215">
        <f t="shared" ref="BM127:BM138" si="153">IF(AM127=0,"",AM127)</f>
        <v>190</v>
      </c>
      <c r="BN127" s="215">
        <f t="shared" ref="BN127:BN138" si="154">IF(AO127=0,"",AO127)</f>
        <v>246</v>
      </c>
      <c r="BO127" s="215">
        <f t="shared" ref="BO127:BO138" si="155">IF(AQ127=0,"",AQ127)</f>
        <v>274</v>
      </c>
      <c r="BP127" s="215">
        <f t="shared" ref="BP127:BP138" si="156">IF(AS127=0,"",AS127)</f>
        <v>203</v>
      </c>
      <c r="BQ127" s="216"/>
      <c r="BR127" s="214"/>
      <c r="BS127" s="215">
        <f>MAX(BH127:BP127)</f>
        <v>274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3</v>
      </c>
      <c r="BW127" s="215">
        <f>SUMIF(BH127:BP127,"&gt;0")</f>
        <v>1871</v>
      </c>
      <c r="BX127" s="215">
        <f>IF(COUNTIF(BH127:BP127,"&gt;0")&lt;Spielorte!$A$23,0,BE127/Spielorte!$A$23)</f>
        <v>207.88888888888889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77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9"/>
      <c r="F128" s="78" t="str">
        <f t="shared" si="139"/>
        <v/>
      </c>
      <c r="G128" s="349"/>
      <c r="H128" s="78" t="str">
        <f t="shared" si="140"/>
        <v/>
      </c>
      <c r="I128" s="349"/>
      <c r="J128" s="78" t="str">
        <f t="shared" si="141"/>
        <v/>
      </c>
      <c r="K128" s="349"/>
      <c r="L128" s="78" t="str">
        <f t="shared" si="142"/>
        <v/>
      </c>
      <c r="M128" s="349"/>
      <c r="N128" s="78" t="str">
        <f t="shared" ref="N128:N140" si="159">IF(AM128=0,"",AM128)</f>
        <v/>
      </c>
      <c r="O128" s="349"/>
      <c r="P128" s="78" t="str">
        <f t="shared" si="143"/>
        <v/>
      </c>
      <c r="Q128" s="349"/>
      <c r="R128" s="78" t="str">
        <f t="shared" si="144"/>
        <v/>
      </c>
      <c r="S128" s="349"/>
      <c r="T128" s="78" t="str">
        <f t="shared" si="145"/>
        <v/>
      </c>
      <c r="U128" s="349"/>
      <c r="V128" s="78" t="str">
        <f t="shared" si="146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3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8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0"/>
      <c r="F129" s="69" t="str">
        <f t="shared" si="139"/>
        <v/>
      </c>
      <c r="G129" s="350"/>
      <c r="H129" s="69" t="str">
        <f t="shared" si="140"/>
        <v/>
      </c>
      <c r="I129" s="350"/>
      <c r="J129" s="69" t="str">
        <f t="shared" si="141"/>
        <v/>
      </c>
      <c r="K129" s="350"/>
      <c r="L129" s="69" t="str">
        <f t="shared" si="142"/>
        <v/>
      </c>
      <c r="M129" s="350"/>
      <c r="N129" s="69" t="str">
        <f t="shared" si="159"/>
        <v/>
      </c>
      <c r="O129" s="350"/>
      <c r="P129" s="69" t="str">
        <f t="shared" si="143"/>
        <v/>
      </c>
      <c r="Q129" s="350"/>
      <c r="R129" s="69" t="str">
        <f t="shared" si="144"/>
        <v/>
      </c>
      <c r="S129" s="350"/>
      <c r="T129" s="69" t="str">
        <f t="shared" si="145"/>
        <v/>
      </c>
      <c r="U129" s="350"/>
      <c r="V129" s="69" t="str">
        <f t="shared" si="146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3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76" t="s">
        <v>2</v>
      </c>
      <c r="B130" s="73" t="str">
        <f t="shared" si="158"/>
        <v>Moser, Thomas</v>
      </c>
      <c r="C130" s="74">
        <f t="shared" si="158"/>
        <v>38907</v>
      </c>
      <c r="D130" s="75">
        <f t="shared" si="158"/>
        <v>200</v>
      </c>
      <c r="E130" s="348">
        <f>IF(AD130="","",AD130)</f>
        <v>1</v>
      </c>
      <c r="F130" s="75">
        <f t="shared" si="139"/>
        <v>195</v>
      </c>
      <c r="G130" s="348">
        <f>IF(AF130="","",AF130)</f>
        <v>0</v>
      </c>
      <c r="H130" s="75">
        <f t="shared" si="140"/>
        <v>157</v>
      </c>
      <c r="I130" s="348">
        <f>IF(AH130="","",AH130)</f>
        <v>0</v>
      </c>
      <c r="J130" s="75" t="str">
        <f t="shared" si="141"/>
        <v/>
      </c>
      <c r="K130" s="348">
        <f>IF(AJ130="","",AJ130)</f>
        <v>0</v>
      </c>
      <c r="L130" s="75">
        <f t="shared" si="142"/>
        <v>137</v>
      </c>
      <c r="M130" s="348">
        <f>IF(AL130="","",AL130)</f>
        <v>0</v>
      </c>
      <c r="N130" s="75" t="str">
        <f t="shared" si="159"/>
        <v/>
      </c>
      <c r="O130" s="348">
        <f>IF(AN130="","",AN130)</f>
        <v>0</v>
      </c>
      <c r="P130" s="75" t="str">
        <f t="shared" si="143"/>
        <v/>
      </c>
      <c r="Q130" s="348">
        <f>IF(AP130="","",AP130)</f>
        <v>0</v>
      </c>
      <c r="R130" s="75" t="str">
        <f t="shared" si="144"/>
        <v/>
      </c>
      <c r="S130" s="348">
        <f>IF(AR130="","",AR130)</f>
        <v>1</v>
      </c>
      <c r="T130" s="75" t="str">
        <f t="shared" si="145"/>
        <v/>
      </c>
      <c r="U130" s="348">
        <f>IF(AT130="","",AT130)</f>
        <v>1</v>
      </c>
      <c r="V130" s="75">
        <f t="shared" si="146"/>
        <v>689</v>
      </c>
      <c r="W130" s="348">
        <f>IF(AV130="","",AV130)</f>
        <v>3</v>
      </c>
      <c r="Z130" s="351" t="s">
        <v>2</v>
      </c>
      <c r="AA130" s="108" t="str">
        <f>IF(AB130=0,"",VLOOKUP(AB130,Starter!$A$1:$D$199,2,FALSE))</f>
        <v>Moser, Thomas</v>
      </c>
      <c r="AB130" s="99">
        <v>38907</v>
      </c>
      <c r="AC130" s="188">
        <v>200</v>
      </c>
      <c r="AD130" s="109">
        <f>IF(SUM(AC130:AC132)+AC146=0,0,IF(SUM(AC130:AC132)=AC146,0.5,IF(SUM(AC130:AC132)&gt;AC146,1,0)))</f>
        <v>1</v>
      </c>
      <c r="AE130" s="188">
        <v>195</v>
      </c>
      <c r="AF130" s="109">
        <f>IF(SUM(AE130:AE132)+AE146=0,0,IF(SUM(AE130:AE132)=AE146,0.5,IF(SUM(AE130:AE132)&gt;AE146,1,0)))</f>
        <v>0</v>
      </c>
      <c r="AG130" s="188">
        <v>157</v>
      </c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>
        <v>137</v>
      </c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1</v>
      </c>
      <c r="AU130" s="110">
        <f t="shared" si="147"/>
        <v>689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60"/>
        <v>38907</v>
      </c>
      <c r="BE130" s="213">
        <f t="shared" si="161"/>
        <v>689</v>
      </c>
      <c r="BF130" s="215">
        <f t="shared" si="162"/>
        <v>4</v>
      </c>
      <c r="BG130" s="215">
        <f t="shared" si="163"/>
        <v>4</v>
      </c>
      <c r="BH130" s="215">
        <f t="shared" si="148"/>
        <v>200</v>
      </c>
      <c r="BI130" s="215">
        <f t="shared" si="149"/>
        <v>195</v>
      </c>
      <c r="BJ130" s="215">
        <f t="shared" si="150"/>
        <v>157</v>
      </c>
      <c r="BK130" s="215" t="str">
        <f t="shared" si="151"/>
        <v/>
      </c>
      <c r="BL130" s="215">
        <f t="shared" si="152"/>
        <v>137</v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200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3</v>
      </c>
      <c r="BW130" s="215">
        <f t="shared" si="168"/>
        <v>689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77"/>
      <c r="B131" s="76" t="str">
        <f t="shared" si="158"/>
        <v>Breitenstein, Alexander Kurt</v>
      </c>
      <c r="C131" s="77">
        <f t="shared" si="158"/>
        <v>16469</v>
      </c>
      <c r="D131" s="78" t="str">
        <f t="shared" si="158"/>
        <v/>
      </c>
      <c r="E131" s="349"/>
      <c r="F131" s="78" t="str">
        <f t="shared" si="139"/>
        <v/>
      </c>
      <c r="G131" s="349"/>
      <c r="H131" s="78" t="str">
        <f t="shared" si="140"/>
        <v/>
      </c>
      <c r="I131" s="349"/>
      <c r="J131" s="78">
        <f t="shared" si="141"/>
        <v>189</v>
      </c>
      <c r="K131" s="349"/>
      <c r="L131" s="78" t="str">
        <f t="shared" si="142"/>
        <v/>
      </c>
      <c r="M131" s="349"/>
      <c r="N131" s="78">
        <f t="shared" si="159"/>
        <v>195</v>
      </c>
      <c r="O131" s="349"/>
      <c r="P131" s="78">
        <f t="shared" si="143"/>
        <v>201</v>
      </c>
      <c r="Q131" s="349"/>
      <c r="R131" s="78">
        <f t="shared" si="144"/>
        <v>190</v>
      </c>
      <c r="S131" s="349"/>
      <c r="T131" s="78">
        <f t="shared" si="145"/>
        <v>205</v>
      </c>
      <c r="U131" s="349"/>
      <c r="V131" s="78">
        <f t="shared" si="146"/>
        <v>980</v>
      </c>
      <c r="W131" s="349"/>
      <c r="Z131" s="352"/>
      <c r="AA131" s="108" t="str">
        <f>IF(AB131=0,"",VLOOKUP(AB131,Starter!$A$1:$D$199,2,FALSE))</f>
        <v>Breitenstein, Alexander Kurt</v>
      </c>
      <c r="AB131" s="98">
        <v>16469</v>
      </c>
      <c r="AC131" s="186"/>
      <c r="AD131" s="112"/>
      <c r="AE131" s="186"/>
      <c r="AF131" s="112"/>
      <c r="AG131" s="186"/>
      <c r="AH131" s="112"/>
      <c r="AI131" s="186">
        <v>189</v>
      </c>
      <c r="AJ131" s="112"/>
      <c r="AK131" s="186"/>
      <c r="AL131" s="112"/>
      <c r="AM131" s="186">
        <v>195</v>
      </c>
      <c r="AN131" s="112"/>
      <c r="AO131" s="190">
        <v>201</v>
      </c>
      <c r="AP131" s="112"/>
      <c r="AQ131" s="190">
        <v>190</v>
      </c>
      <c r="AR131" s="112"/>
      <c r="AS131" s="190">
        <v>205</v>
      </c>
      <c r="AT131" s="112"/>
      <c r="AU131" s="113">
        <f t="shared" si="147"/>
        <v>980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16469</v>
      </c>
      <c r="BE131" s="213">
        <f t="shared" si="161"/>
        <v>980</v>
      </c>
      <c r="BF131" s="215">
        <f t="shared" si="162"/>
        <v>5</v>
      </c>
      <c r="BG131" s="215">
        <f t="shared" si="163"/>
        <v>5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>
        <f t="shared" si="151"/>
        <v>189</v>
      </c>
      <c r="BL131" s="215" t="str">
        <f t="shared" si="152"/>
        <v/>
      </c>
      <c r="BM131" s="215">
        <f t="shared" si="153"/>
        <v>195</v>
      </c>
      <c r="BN131" s="215">
        <f t="shared" si="154"/>
        <v>201</v>
      </c>
      <c r="BO131" s="215">
        <f t="shared" si="155"/>
        <v>190</v>
      </c>
      <c r="BP131" s="215">
        <f t="shared" si="156"/>
        <v>205</v>
      </c>
      <c r="BQ131" s="216"/>
      <c r="BR131" s="214"/>
      <c r="BS131" s="215">
        <f t="shared" si="164"/>
        <v>205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3</v>
      </c>
      <c r="BW131" s="215">
        <f t="shared" si="168"/>
        <v>980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8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0"/>
      <c r="F132" s="69" t="str">
        <f t="shared" si="139"/>
        <v/>
      </c>
      <c r="G132" s="350"/>
      <c r="H132" s="69" t="str">
        <f t="shared" si="140"/>
        <v/>
      </c>
      <c r="I132" s="350"/>
      <c r="J132" s="69" t="str">
        <f t="shared" si="141"/>
        <v/>
      </c>
      <c r="K132" s="350"/>
      <c r="L132" s="69" t="str">
        <f t="shared" si="142"/>
        <v/>
      </c>
      <c r="M132" s="350"/>
      <c r="N132" s="69" t="str">
        <f t="shared" si="159"/>
        <v/>
      </c>
      <c r="O132" s="350"/>
      <c r="P132" s="69" t="str">
        <f t="shared" si="143"/>
        <v/>
      </c>
      <c r="Q132" s="350"/>
      <c r="R132" s="69" t="str">
        <f t="shared" si="144"/>
        <v/>
      </c>
      <c r="S132" s="350"/>
      <c r="T132" s="69" t="str">
        <f t="shared" si="145"/>
        <v/>
      </c>
      <c r="U132" s="350"/>
      <c r="V132" s="69" t="str">
        <f t="shared" si="146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3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76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215</v>
      </c>
      <c r="E133" s="348">
        <f>IF(AD133="","",AD133)</f>
        <v>1</v>
      </c>
      <c r="F133" s="75">
        <f t="shared" si="139"/>
        <v>172</v>
      </c>
      <c r="G133" s="348">
        <f>IF(AF133="","",AF133)</f>
        <v>0</v>
      </c>
      <c r="H133" s="75">
        <f t="shared" si="140"/>
        <v>196</v>
      </c>
      <c r="I133" s="348">
        <f>IF(AH133="","",AH133)</f>
        <v>1</v>
      </c>
      <c r="J133" s="75">
        <f t="shared" si="141"/>
        <v>247</v>
      </c>
      <c r="K133" s="348">
        <f>IF(AJ133="","",AJ133)</f>
        <v>1</v>
      </c>
      <c r="L133" s="75">
        <f t="shared" si="142"/>
        <v>186</v>
      </c>
      <c r="M133" s="348">
        <f>IF(AL133="","",AL133)</f>
        <v>1</v>
      </c>
      <c r="N133" s="75">
        <f t="shared" si="159"/>
        <v>190</v>
      </c>
      <c r="O133" s="348">
        <f>IF(AN133="","",AN133)</f>
        <v>0</v>
      </c>
      <c r="P133" s="75">
        <f t="shared" si="143"/>
        <v>237</v>
      </c>
      <c r="Q133" s="348">
        <f>IF(AP133="","",AP133)</f>
        <v>1</v>
      </c>
      <c r="R133" s="75">
        <f t="shared" si="144"/>
        <v>150</v>
      </c>
      <c r="S133" s="348">
        <f>IF(AR133="","",AR133)</f>
        <v>0</v>
      </c>
      <c r="T133" s="75">
        <f t="shared" si="145"/>
        <v>196</v>
      </c>
      <c r="U133" s="348">
        <f>IF(AT133="","",AT133)</f>
        <v>0</v>
      </c>
      <c r="V133" s="75">
        <f t="shared" si="146"/>
        <v>1789</v>
      </c>
      <c r="W133" s="348">
        <f>IF(AV133="","",AV133)</f>
        <v>5</v>
      </c>
      <c r="Z133" s="351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215</v>
      </c>
      <c r="AD133" s="109">
        <f>IF(SUM(AC133:AC135)+AC147=0,0,IF(SUM(AC133:AC135)=AC147,0.5,IF(SUM(AC133:AC135)&gt;AC147,1,0)))</f>
        <v>1</v>
      </c>
      <c r="AE133" s="188">
        <v>172</v>
      </c>
      <c r="AF133" s="109">
        <f>IF(SUM(AE133:AE135)+AE147=0,0,IF(SUM(AE133:AE135)=AE147,0.5,IF(SUM(AE133:AE135)&gt;AE147,1,0)))</f>
        <v>0</v>
      </c>
      <c r="AG133" s="188">
        <v>196</v>
      </c>
      <c r="AH133" s="109">
        <f>IF(SUM(AG133:AG135)+AG147=0,0,IF(SUM(AG133:AG135)=AG147,0.5,IF(SUM(AG133:AG135)&gt;AG147,1,0)))</f>
        <v>1</v>
      </c>
      <c r="AI133" s="188">
        <v>247</v>
      </c>
      <c r="AJ133" s="109">
        <f>IF(SUM(AI133:AI135)+AI147=0,0,IF(SUM(AI133:AI135)=AI147,0.5,IF(SUM(AI133:AI135)&gt;AI147,1,0)))</f>
        <v>1</v>
      </c>
      <c r="AK133" s="188">
        <v>186</v>
      </c>
      <c r="AL133" s="109">
        <f>IF(SUM(AK133:AK135)+AK147=0,0,IF(SUM(AK133:AK135)=AK147,0.5,IF(SUM(AK133:AK135)&gt;AK147,1,0)))</f>
        <v>1</v>
      </c>
      <c r="AM133" s="188">
        <v>190</v>
      </c>
      <c r="AN133" s="109">
        <f>IF(SUM(AM133:AM135)+AM147=0,0,IF(SUM(AM133:AM135)=AM147,0.5,IF(SUM(AM133:AM135)&gt;AM147,1,0)))</f>
        <v>0</v>
      </c>
      <c r="AO133" s="188">
        <v>237</v>
      </c>
      <c r="AP133" s="109">
        <f>IF(SUM(AO133:AO135)+AO147=0,0,IF(SUM(AO133:AO135)=AO147,0.5,IF(SUM(AO133:AO135)&gt;AO147,1,0)))</f>
        <v>1</v>
      </c>
      <c r="AQ133" s="188">
        <v>150</v>
      </c>
      <c r="AR133" s="109">
        <f>IF(SUM(AQ133:AQ135)+AQ147=0,0,IF(SUM(AQ133:AQ135)=AQ147,0.5,IF(SUM(AQ133:AQ135)&gt;AQ147,1,0)))</f>
        <v>0</v>
      </c>
      <c r="AS133" s="188">
        <v>196</v>
      </c>
      <c r="AT133" s="109">
        <f>IF(SUM(AS133:AS135)+AS147=0,0,IF(SUM(AS133:AS135)=AS147,0.5,IF(SUM(AS133:AS135)&gt;AS147,1,0)))</f>
        <v>0</v>
      </c>
      <c r="AU133" s="110">
        <f t="shared" si="147"/>
        <v>1789</v>
      </c>
      <c r="AV133" s="111">
        <f>SUM(AD133+AF133+AH133+AJ133+AL133+AN133+AP133+AR133+AT133)</f>
        <v>5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1789</v>
      </c>
      <c r="BF133" s="215">
        <f t="shared" si="162"/>
        <v>9</v>
      </c>
      <c r="BG133" s="215">
        <f t="shared" si="163"/>
        <v>9</v>
      </c>
      <c r="BH133" s="215">
        <f t="shared" si="148"/>
        <v>215</v>
      </c>
      <c r="BI133" s="215">
        <f t="shared" si="149"/>
        <v>172</v>
      </c>
      <c r="BJ133" s="215">
        <f t="shared" si="150"/>
        <v>196</v>
      </c>
      <c r="BK133" s="215">
        <f t="shared" si="151"/>
        <v>247</v>
      </c>
      <c r="BL133" s="215">
        <f t="shared" si="152"/>
        <v>186</v>
      </c>
      <c r="BM133" s="215">
        <f t="shared" si="153"/>
        <v>190</v>
      </c>
      <c r="BN133" s="215">
        <f t="shared" si="154"/>
        <v>237</v>
      </c>
      <c r="BO133" s="215">
        <f t="shared" si="155"/>
        <v>150</v>
      </c>
      <c r="BP133" s="215">
        <f t="shared" si="156"/>
        <v>196</v>
      </c>
      <c r="BQ133" s="216"/>
      <c r="BR133" s="214"/>
      <c r="BS133" s="215">
        <f t="shared" si="164"/>
        <v>247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3</v>
      </c>
      <c r="BW133" s="215">
        <f t="shared" si="168"/>
        <v>1789</v>
      </c>
      <c r="BX133" s="215">
        <f>IF(COUNTIF(BH133:BP133,"&gt;0")&lt;Spielorte!$A$23,0,BE133/Spielorte!$A$23)</f>
        <v>198.77777777777777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77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9"/>
      <c r="F134" s="78" t="str">
        <f t="shared" si="139"/>
        <v/>
      </c>
      <c r="G134" s="349"/>
      <c r="H134" s="78" t="str">
        <f t="shared" si="140"/>
        <v/>
      </c>
      <c r="I134" s="349"/>
      <c r="J134" s="78" t="str">
        <f t="shared" si="141"/>
        <v/>
      </c>
      <c r="K134" s="349"/>
      <c r="L134" s="78" t="str">
        <f t="shared" si="142"/>
        <v/>
      </c>
      <c r="M134" s="349"/>
      <c r="N134" s="78" t="str">
        <f t="shared" si="159"/>
        <v/>
      </c>
      <c r="O134" s="349"/>
      <c r="P134" s="78" t="str">
        <f t="shared" si="143"/>
        <v/>
      </c>
      <c r="Q134" s="349"/>
      <c r="R134" s="78" t="str">
        <f t="shared" si="144"/>
        <v/>
      </c>
      <c r="S134" s="349"/>
      <c r="T134" s="78" t="str">
        <f t="shared" si="145"/>
        <v/>
      </c>
      <c r="U134" s="349"/>
      <c r="V134" s="78" t="str">
        <f t="shared" si="146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3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8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0"/>
      <c r="F135" s="69" t="str">
        <f t="shared" si="139"/>
        <v/>
      </c>
      <c r="G135" s="350"/>
      <c r="H135" s="69" t="str">
        <f t="shared" si="140"/>
        <v/>
      </c>
      <c r="I135" s="350"/>
      <c r="J135" s="69" t="str">
        <f t="shared" si="141"/>
        <v/>
      </c>
      <c r="K135" s="350"/>
      <c r="L135" s="69" t="str">
        <f t="shared" si="142"/>
        <v/>
      </c>
      <c r="M135" s="350"/>
      <c r="N135" s="69" t="str">
        <f t="shared" si="159"/>
        <v/>
      </c>
      <c r="O135" s="350"/>
      <c r="P135" s="69" t="str">
        <f t="shared" si="143"/>
        <v/>
      </c>
      <c r="Q135" s="350"/>
      <c r="R135" s="69" t="str">
        <f t="shared" si="144"/>
        <v/>
      </c>
      <c r="S135" s="350"/>
      <c r="T135" s="69" t="str">
        <f t="shared" si="145"/>
        <v/>
      </c>
      <c r="U135" s="350"/>
      <c r="V135" s="69" t="str">
        <f t="shared" si="146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3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76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222</v>
      </c>
      <c r="E136" s="348">
        <f>IF(AD136="","",AD136)</f>
        <v>0</v>
      </c>
      <c r="F136" s="75">
        <f t="shared" si="139"/>
        <v>245</v>
      </c>
      <c r="G136" s="348">
        <f>IF(AF136="","",AF136)</f>
        <v>1</v>
      </c>
      <c r="H136" s="75">
        <f t="shared" si="140"/>
        <v>267</v>
      </c>
      <c r="I136" s="348">
        <f>IF(AH136="","",AH136)</f>
        <v>1</v>
      </c>
      <c r="J136" s="75">
        <f t="shared" si="141"/>
        <v>223</v>
      </c>
      <c r="K136" s="348">
        <f>IF(AJ136="","",AJ136)</f>
        <v>1</v>
      </c>
      <c r="L136" s="75">
        <f t="shared" si="142"/>
        <v>268</v>
      </c>
      <c r="M136" s="348">
        <f>IF(AL136="","",AL136)</f>
        <v>1</v>
      </c>
      <c r="N136" s="75">
        <f t="shared" si="159"/>
        <v>222</v>
      </c>
      <c r="O136" s="348">
        <f>IF(AN136="","",AN136)</f>
        <v>1</v>
      </c>
      <c r="P136" s="75">
        <f t="shared" si="143"/>
        <v>244</v>
      </c>
      <c r="Q136" s="348">
        <f>IF(AP136="","",AP136)</f>
        <v>1</v>
      </c>
      <c r="R136" s="75">
        <f t="shared" si="144"/>
        <v>220</v>
      </c>
      <c r="S136" s="348">
        <f>IF(AR136="","",AR136)</f>
        <v>0</v>
      </c>
      <c r="T136" s="75">
        <f t="shared" si="145"/>
        <v>225</v>
      </c>
      <c r="U136" s="348">
        <f>IF(AT136="","",AT136)</f>
        <v>1</v>
      </c>
      <c r="V136" s="75">
        <f t="shared" si="146"/>
        <v>2136</v>
      </c>
      <c r="W136" s="348">
        <f>IF(AV136="","",AV136)</f>
        <v>7</v>
      </c>
      <c r="Z136" s="351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222</v>
      </c>
      <c r="AD136" s="109">
        <f>IF(SUM(AC136:AC138)+AC148=0,0,IF(SUM(AC136:AC138)=AC148,0.5,IF(SUM(AC136:AC138)&gt;AC148,1,0)))</f>
        <v>0</v>
      </c>
      <c r="AE136" s="188">
        <v>245</v>
      </c>
      <c r="AF136" s="109">
        <f>IF(SUM(AE136:AE138)+AE148=0,0,IF(SUM(AE136:AE138)=AE148,0.5,IF(SUM(AE136:AE138)&gt;AE148,1,0)))</f>
        <v>1</v>
      </c>
      <c r="AG136" s="188">
        <v>267</v>
      </c>
      <c r="AH136" s="109">
        <f>IF(SUM(AG136:AG138)+AG148=0,0,IF(SUM(AG136:AG138)=AG148,0.5,IF(SUM(AG136:AG138)&gt;AG148,1,0)))</f>
        <v>1</v>
      </c>
      <c r="AI136" s="188">
        <v>223</v>
      </c>
      <c r="AJ136" s="109">
        <f>IF(SUM(AI136:AI138)+AI148=0,0,IF(SUM(AI136:AI138)=AI148,0.5,IF(SUM(AI136:AI138)&gt;AI148,1,0)))</f>
        <v>1</v>
      </c>
      <c r="AK136" s="188">
        <v>268</v>
      </c>
      <c r="AL136" s="109">
        <f>IF(SUM(AK136:AK138)+AK148=0,0,IF(SUM(AK136:AK138)=AK148,0.5,IF(SUM(AK136:AK138)&gt;AK148,1,0)))</f>
        <v>1</v>
      </c>
      <c r="AM136" s="188">
        <v>222</v>
      </c>
      <c r="AN136" s="109">
        <f>IF(SUM(AM136:AM138)+AM148=0,0,IF(SUM(AM136:AM138)=AM148,0.5,IF(SUM(AM136:AM138)&gt;AM148,1,0)))</f>
        <v>1</v>
      </c>
      <c r="AO136" s="188">
        <v>244</v>
      </c>
      <c r="AP136" s="109">
        <f>IF(SUM(AO136:AO138)+AO148=0,0,IF(SUM(AO136:AO138)=AO148,0.5,IF(SUM(AO136:AO138)&gt;AO148,1,0)))</f>
        <v>1</v>
      </c>
      <c r="AQ136" s="188">
        <v>220</v>
      </c>
      <c r="AR136" s="109">
        <f>IF(SUM(AQ136:AQ138)+AQ148=0,0,IF(SUM(AQ136:AQ138)=AQ148,0.5,IF(SUM(AQ136:AQ138)&gt;AQ148,1,0)))</f>
        <v>0</v>
      </c>
      <c r="AS136" s="188">
        <v>225</v>
      </c>
      <c r="AT136" s="109">
        <f>IF(SUM(AS136:AS138)+AS148=0,0,IF(SUM(AS136:AS138)=AS148,0.5,IF(SUM(AS136:AS138)&gt;AS148,1,0)))</f>
        <v>1</v>
      </c>
      <c r="AU136" s="110">
        <f t="shared" si="147"/>
        <v>2136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2136</v>
      </c>
      <c r="BF136" s="215">
        <f t="shared" si="162"/>
        <v>9</v>
      </c>
      <c r="BG136" s="215">
        <f t="shared" si="163"/>
        <v>9</v>
      </c>
      <c r="BH136" s="215">
        <f t="shared" si="148"/>
        <v>222</v>
      </c>
      <c r="BI136" s="215">
        <f t="shared" si="149"/>
        <v>245</v>
      </c>
      <c r="BJ136" s="215">
        <f t="shared" si="150"/>
        <v>267</v>
      </c>
      <c r="BK136" s="215">
        <f t="shared" si="151"/>
        <v>223</v>
      </c>
      <c r="BL136" s="215">
        <f t="shared" si="152"/>
        <v>268</v>
      </c>
      <c r="BM136" s="215">
        <f t="shared" si="153"/>
        <v>222</v>
      </c>
      <c r="BN136" s="215">
        <f t="shared" si="154"/>
        <v>244</v>
      </c>
      <c r="BO136" s="215">
        <f t="shared" si="155"/>
        <v>220</v>
      </c>
      <c r="BP136" s="215">
        <f t="shared" si="156"/>
        <v>225</v>
      </c>
      <c r="BQ136" s="216"/>
      <c r="BR136" s="214"/>
      <c r="BS136" s="215">
        <f t="shared" si="164"/>
        <v>268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3</v>
      </c>
      <c r="BW136" s="215">
        <f t="shared" si="168"/>
        <v>2136</v>
      </c>
      <c r="BX136" s="215">
        <f>IF(COUNTIF(BH136:BP136,"&gt;0")&lt;Spielorte!$A$23,0,BE136/Spielorte!$A$23)</f>
        <v>237.33333333333334</v>
      </c>
      <c r="BY136" s="215">
        <f t="shared" si="169"/>
        <v>237.33333346933335</v>
      </c>
      <c r="BZ136" s="214">
        <f t="shared" si="157"/>
        <v>1</v>
      </c>
    </row>
    <row r="137" spans="1:78" ht="17.100000000000001" customHeight="1" x14ac:dyDescent="0.25">
      <c r="A137" s="377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9"/>
      <c r="F137" s="78" t="str">
        <f t="shared" si="139"/>
        <v/>
      </c>
      <c r="G137" s="349"/>
      <c r="H137" s="78" t="str">
        <f t="shared" si="140"/>
        <v/>
      </c>
      <c r="I137" s="349"/>
      <c r="J137" s="78" t="str">
        <f t="shared" si="141"/>
        <v/>
      </c>
      <c r="K137" s="349"/>
      <c r="L137" s="78" t="str">
        <f t="shared" si="142"/>
        <v/>
      </c>
      <c r="M137" s="349"/>
      <c r="N137" s="78" t="str">
        <f t="shared" si="159"/>
        <v/>
      </c>
      <c r="O137" s="349"/>
      <c r="P137" s="78" t="str">
        <f t="shared" si="143"/>
        <v/>
      </c>
      <c r="Q137" s="349"/>
      <c r="R137" s="78" t="str">
        <f t="shared" si="144"/>
        <v/>
      </c>
      <c r="S137" s="349"/>
      <c r="T137" s="78" t="str">
        <f t="shared" si="145"/>
        <v/>
      </c>
      <c r="U137" s="349"/>
      <c r="V137" s="78" t="str">
        <f t="shared" si="146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3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8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0"/>
      <c r="F138" s="69" t="str">
        <f t="shared" si="139"/>
        <v/>
      </c>
      <c r="G138" s="350"/>
      <c r="H138" s="69" t="str">
        <f t="shared" si="140"/>
        <v/>
      </c>
      <c r="I138" s="350"/>
      <c r="J138" s="69" t="str">
        <f t="shared" si="141"/>
        <v/>
      </c>
      <c r="K138" s="350"/>
      <c r="L138" s="69" t="str">
        <f t="shared" si="142"/>
        <v/>
      </c>
      <c r="M138" s="350"/>
      <c r="N138" s="69" t="str">
        <f t="shared" si="159"/>
        <v/>
      </c>
      <c r="O138" s="350"/>
      <c r="P138" s="69" t="str">
        <f t="shared" si="143"/>
        <v/>
      </c>
      <c r="Q138" s="350"/>
      <c r="R138" s="69" t="str">
        <f t="shared" si="144"/>
        <v/>
      </c>
      <c r="S138" s="350"/>
      <c r="T138" s="69" t="str">
        <f t="shared" si="145"/>
        <v/>
      </c>
      <c r="U138" s="350"/>
      <c r="V138" s="69" t="str">
        <f t="shared" si="146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3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828</v>
      </c>
      <c r="E139" s="84">
        <f>IF(AD139="","",AD139)</f>
        <v>0</v>
      </c>
      <c r="F139" s="83">
        <f t="shared" si="139"/>
        <v>782</v>
      </c>
      <c r="G139" s="84">
        <f>IF(AF139="","",AF139)</f>
        <v>0</v>
      </c>
      <c r="H139" s="83">
        <f t="shared" si="140"/>
        <v>777</v>
      </c>
      <c r="I139" s="84">
        <f>IF(AH139="","",AH139)</f>
        <v>0</v>
      </c>
      <c r="J139" s="83">
        <f t="shared" si="141"/>
        <v>862</v>
      </c>
      <c r="K139" s="84">
        <f>IF(AJ139="","",AJ139)</f>
        <v>2</v>
      </c>
      <c r="L139" s="83">
        <f t="shared" si="142"/>
        <v>828</v>
      </c>
      <c r="M139" s="84">
        <f>IF(AL139="","",AL139)</f>
        <v>2</v>
      </c>
      <c r="N139" s="83">
        <f t="shared" si="159"/>
        <v>797</v>
      </c>
      <c r="O139" s="84">
        <f>IF(AN139="","",AN139)</f>
        <v>0</v>
      </c>
      <c r="P139" s="83">
        <f t="shared" si="143"/>
        <v>928</v>
      </c>
      <c r="Q139" s="84">
        <f>IF(AP139="","",AP139)</f>
        <v>2</v>
      </c>
      <c r="R139" s="83">
        <f t="shared" si="144"/>
        <v>834</v>
      </c>
      <c r="S139" s="84">
        <f>IF(AR139="","",AR139)</f>
        <v>2</v>
      </c>
      <c r="T139" s="83">
        <f t="shared" si="145"/>
        <v>829</v>
      </c>
      <c r="U139" s="84">
        <f>IF(AT139="","",AT139)</f>
        <v>2</v>
      </c>
      <c r="V139" s="83">
        <f t="shared" si="146"/>
        <v>7465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828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782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777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862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828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797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928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834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829</v>
      </c>
      <c r="AT139" s="121">
        <f>IF(AS139+AS149=0,0,IF(AS139=AS149,1,IF(AS139&gt;AS149,2,0)))</f>
        <v>2</v>
      </c>
      <c r="AU139" s="122">
        <f>SUM(AC139+AE139+AG139+AI139+AK139+AM139+AO139+AQ139+AS139)</f>
        <v>7465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2</v>
      </c>
      <c r="J140" s="86" t="str">
        <f t="shared" si="141"/>
        <v/>
      </c>
      <c r="K140" s="87">
        <f>IF(AJ140="","",AJ140)</f>
        <v>5</v>
      </c>
      <c r="L140" s="86" t="str">
        <f t="shared" si="142"/>
        <v/>
      </c>
      <c r="M140" s="87">
        <f>IF(AL140="","",AL140)</f>
        <v>5</v>
      </c>
      <c r="N140" s="86" t="str">
        <f t="shared" si="159"/>
        <v/>
      </c>
      <c r="O140" s="87">
        <f>IF(AN140="","",AN140)</f>
        <v>1</v>
      </c>
      <c r="P140" s="86" t="str">
        <f t="shared" si="143"/>
        <v/>
      </c>
      <c r="Q140" s="87">
        <f>IF(AP140="","",AP140)</f>
        <v>4</v>
      </c>
      <c r="R140" s="86" t="str">
        <f t="shared" si="144"/>
        <v/>
      </c>
      <c r="S140" s="87">
        <f>IF(AR140="","",AR140)</f>
        <v>4</v>
      </c>
      <c r="T140" s="86" t="str">
        <f t="shared" si="145"/>
        <v/>
      </c>
      <c r="U140" s="87">
        <f>IF(AT140="","",AT140)</f>
        <v>4</v>
      </c>
      <c r="V140" s="86" t="str">
        <f t="shared" si="146"/>
        <v/>
      </c>
      <c r="W140" s="87">
        <f>IF(AV140="","",AV140)</f>
        <v>28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2</v>
      </c>
      <c r="AI140" s="86"/>
      <c r="AJ140" s="124">
        <f>SUM(AJ127:AJ139)</f>
        <v>5</v>
      </c>
      <c r="AK140" s="86"/>
      <c r="AL140" s="124">
        <f>SUM(AL127:AL139)</f>
        <v>5</v>
      </c>
      <c r="AM140" s="86"/>
      <c r="AN140" s="124">
        <f>SUM(AN127:AN139)</f>
        <v>1</v>
      </c>
      <c r="AO140" s="86"/>
      <c r="AP140" s="124">
        <f>SUM(AP127:AP139)</f>
        <v>4</v>
      </c>
      <c r="AQ140" s="86"/>
      <c r="AR140" s="124">
        <f>SUM(AR127:AR139)</f>
        <v>4</v>
      </c>
      <c r="AS140" s="86"/>
      <c r="AT140" s="124">
        <f>SUM(AT127:AT139)</f>
        <v>4</v>
      </c>
      <c r="AU140" s="86"/>
      <c r="AV140" s="125">
        <f>SUM(AV127:AV139)</f>
        <v>28</v>
      </c>
      <c r="AW140" s="101"/>
      <c r="AX140" s="102"/>
      <c r="BA140" s="212">
        <f>+AV140</f>
        <v>28</v>
      </c>
      <c r="BB140" s="213">
        <f>+AU139</f>
        <v>7465</v>
      </c>
      <c r="BC140" s="214">
        <f>+AA122</f>
        <v>5</v>
      </c>
      <c r="BF140" s="215">
        <f>SUM(BF121:BF139)</f>
        <v>36</v>
      </c>
      <c r="BQ140" s="212">
        <f>+BB140/1000000+BA140</f>
        <v>28.007465</v>
      </c>
      <c r="BR140" s="214">
        <f>RANK(BQ140,BQ:BQ)</f>
        <v>4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6">
        <f t="shared" si="170"/>
        <v>6</v>
      </c>
      <c r="E142" s="356" t="str">
        <f t="shared" si="170"/>
        <v/>
      </c>
      <c r="F142" s="356">
        <f t="shared" si="170"/>
        <v>10</v>
      </c>
      <c r="G142" s="356" t="str">
        <f t="shared" si="170"/>
        <v/>
      </c>
      <c r="H142" s="356">
        <f t="shared" si="170"/>
        <v>4</v>
      </c>
      <c r="I142" s="356" t="str">
        <f t="shared" si="170"/>
        <v/>
      </c>
      <c r="J142" s="356">
        <f t="shared" si="170"/>
        <v>3</v>
      </c>
      <c r="K142" s="356" t="str">
        <f t="shared" si="170"/>
        <v/>
      </c>
      <c r="L142" s="356">
        <f t="shared" si="170"/>
        <v>9</v>
      </c>
      <c r="M142" s="356" t="str">
        <f t="shared" si="170"/>
        <v/>
      </c>
      <c r="N142" s="356">
        <f t="shared" si="170"/>
        <v>8</v>
      </c>
      <c r="O142" s="356" t="str">
        <f t="shared" si="170"/>
        <v/>
      </c>
      <c r="P142" s="356">
        <f t="shared" si="170"/>
        <v>1</v>
      </c>
      <c r="Q142" s="356" t="str">
        <f t="shared" si="170"/>
        <v/>
      </c>
      <c r="R142" s="356">
        <f t="shared" ref="L142:U144" si="171">IF(AQ142=0,"",AQ142)</f>
        <v>7</v>
      </c>
      <c r="S142" s="356" t="str">
        <f t="shared" si="171"/>
        <v/>
      </c>
      <c r="T142" s="356">
        <f t="shared" si="171"/>
        <v>2</v>
      </c>
      <c r="U142" s="356" t="str">
        <f t="shared" si="171"/>
        <v/>
      </c>
      <c r="V142" s="357"/>
      <c r="W142" s="357"/>
      <c r="AA142" s="88" t="s">
        <v>1797</v>
      </c>
      <c r="AB142" s="89" t="s">
        <v>1798</v>
      </c>
      <c r="AC142" s="370">
        <f>VLOOKUP($AA122,Schlüssel!$A$5:$DG$14,83)</f>
        <v>6</v>
      </c>
      <c r="AD142" s="371"/>
      <c r="AE142" s="370">
        <f>VLOOKUP($AA122,Schlüssel!$A$5:$EK$14,84)</f>
        <v>10</v>
      </c>
      <c r="AF142" s="371"/>
      <c r="AG142" s="370">
        <f>VLOOKUP($AA122,Schlüssel!$A$5:$EK$14,85)</f>
        <v>4</v>
      </c>
      <c r="AH142" s="371"/>
      <c r="AI142" s="370">
        <f>VLOOKUP($AA122,Schlüssel!$A$5:$EK$14,86)</f>
        <v>3</v>
      </c>
      <c r="AJ142" s="371"/>
      <c r="AK142" s="370">
        <f>VLOOKUP($AA122,Schlüssel!$A$5:$EK$14,87)</f>
        <v>9</v>
      </c>
      <c r="AL142" s="371"/>
      <c r="AM142" s="370">
        <f>VLOOKUP($AA122,Schlüssel!$A$5:$EK$14,88)</f>
        <v>8</v>
      </c>
      <c r="AN142" s="371"/>
      <c r="AO142" s="370">
        <f>VLOOKUP($AA122,Schlüssel!$A$5:$EK$14,89)</f>
        <v>1</v>
      </c>
      <c r="AP142" s="371"/>
      <c r="AQ142" s="370">
        <f>VLOOKUP($AA122,Schlüssel!$A$5:$EK$14,90)</f>
        <v>7</v>
      </c>
      <c r="AR142" s="371"/>
      <c r="AS142" s="370">
        <f>VLOOKUP($AA122,Schlüssel!$A$5:$EK$14,91)</f>
        <v>2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58" t="str">
        <f t="shared" si="172"/>
        <v>SG Rottendorf 1</v>
      </c>
      <c r="E143" s="359" t="str">
        <f t="shared" si="172"/>
        <v/>
      </c>
      <c r="F143" s="358" t="str">
        <f t="shared" si="172"/>
        <v>High Roller Rosenheim 1</v>
      </c>
      <c r="G143" s="359" t="str">
        <f t="shared" si="172"/>
        <v/>
      </c>
      <c r="H143" s="358" t="str">
        <f t="shared" si="172"/>
        <v>SG DJK Rimpar</v>
      </c>
      <c r="I143" s="359" t="str">
        <f t="shared" si="172"/>
        <v/>
      </c>
      <c r="J143" s="358" t="str">
        <f t="shared" si="172"/>
        <v>BK München 3</v>
      </c>
      <c r="K143" s="359" t="str">
        <f t="shared" si="172"/>
        <v/>
      </c>
      <c r="L143" s="358" t="str">
        <f t="shared" si="171"/>
        <v>Bowlinghaus Bamberg 1</v>
      </c>
      <c r="M143" s="359" t="str">
        <f t="shared" si="171"/>
        <v/>
      </c>
      <c r="N143" s="358" t="str">
        <f t="shared" si="171"/>
        <v>BC EMAX Unterföhring 2</v>
      </c>
      <c r="O143" s="359" t="str">
        <f t="shared" si="171"/>
        <v/>
      </c>
      <c r="P143" s="358" t="str">
        <f t="shared" si="171"/>
        <v>BC Comet Nürnberg</v>
      </c>
      <c r="Q143" s="359" t="str">
        <f t="shared" si="171"/>
        <v/>
      </c>
      <c r="R143" s="358" t="str">
        <f t="shared" si="171"/>
        <v>Schanzer Ingolstadt 1</v>
      </c>
      <c r="S143" s="359" t="str">
        <f t="shared" si="171"/>
        <v/>
      </c>
      <c r="T143" s="358" t="str">
        <f t="shared" si="171"/>
        <v>Bajuwaren München 1</v>
      </c>
      <c r="U143" s="359" t="str">
        <f t="shared" si="171"/>
        <v/>
      </c>
      <c r="V143" s="363"/>
      <c r="W143" s="363"/>
      <c r="AA143" s="90"/>
      <c r="AB143" s="86"/>
      <c r="AC143" s="358" t="str">
        <f>VLOOKUP(AC142,Schlüssel!$A$5:$K$14,2)</f>
        <v>SG Rottendorf 1</v>
      </c>
      <c r="AD143" s="359"/>
      <c r="AE143" s="358" t="str">
        <f>VLOOKUP(AE142,Schlüssel!$A$5:$K$14,2)</f>
        <v>High Roller Rosenheim 1</v>
      </c>
      <c r="AF143" s="359"/>
      <c r="AG143" s="358" t="str">
        <f>VLOOKUP(AG142,Schlüssel!$A$5:$K$14,2)</f>
        <v>SG DJK Rimpar</v>
      </c>
      <c r="AH143" s="359"/>
      <c r="AI143" s="358" t="str">
        <f>VLOOKUP(AI142,Schlüssel!$A$5:$K$14,2)</f>
        <v>BK München 3</v>
      </c>
      <c r="AJ143" s="359"/>
      <c r="AK143" s="358" t="str">
        <f>VLOOKUP(AK142,Schlüssel!$A$5:$K$14,2)</f>
        <v>Bowlinghaus Bamberg 1</v>
      </c>
      <c r="AL143" s="359"/>
      <c r="AM143" s="358" t="str">
        <f>VLOOKUP(AM142,Schlüssel!$A$5:$K$14,2)</f>
        <v>BC EMAX Unterföhring 2</v>
      </c>
      <c r="AN143" s="359"/>
      <c r="AO143" s="358" t="str">
        <f>VLOOKUP(AO142,Schlüssel!$A$5:$K$14,2)</f>
        <v>BC Comet Nürnberg</v>
      </c>
      <c r="AP143" s="359"/>
      <c r="AQ143" s="358" t="str">
        <f>VLOOKUP(AQ142,Schlüssel!$A$5:$K$14,2)</f>
        <v>Schanzer Ingolstadt 1</v>
      </c>
      <c r="AR143" s="359"/>
      <c r="AS143" s="358" t="str">
        <f>VLOOKUP(AS142,Schlüssel!$A$5:$K$14,2)</f>
        <v>Bajuwaren München 1</v>
      </c>
      <c r="AT143" s="359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60" t="str">
        <f t="shared" si="172"/>
        <v/>
      </c>
      <c r="E144" s="360" t="str">
        <f t="shared" si="172"/>
        <v/>
      </c>
      <c r="F144" s="360" t="str">
        <f t="shared" si="172"/>
        <v/>
      </c>
      <c r="G144" s="360" t="str">
        <f t="shared" si="172"/>
        <v/>
      </c>
      <c r="H144" s="360" t="str">
        <f t="shared" si="172"/>
        <v/>
      </c>
      <c r="I144" s="360" t="str">
        <f t="shared" si="172"/>
        <v/>
      </c>
      <c r="J144" s="360" t="str">
        <f t="shared" si="172"/>
        <v/>
      </c>
      <c r="K144" s="360" t="str">
        <f t="shared" si="172"/>
        <v/>
      </c>
      <c r="L144" s="360" t="str">
        <f t="shared" si="171"/>
        <v/>
      </c>
      <c r="M144" s="360" t="str">
        <f t="shared" si="171"/>
        <v/>
      </c>
      <c r="N144" s="360" t="str">
        <f t="shared" si="171"/>
        <v/>
      </c>
      <c r="O144" s="360" t="str">
        <f t="shared" si="171"/>
        <v/>
      </c>
      <c r="P144" s="360" t="str">
        <f t="shared" si="171"/>
        <v/>
      </c>
      <c r="Q144" s="360" t="str">
        <f t="shared" si="171"/>
        <v/>
      </c>
      <c r="R144" s="360" t="str">
        <f t="shared" si="171"/>
        <v/>
      </c>
      <c r="S144" s="360" t="str">
        <f t="shared" si="171"/>
        <v/>
      </c>
      <c r="T144" s="360" t="str">
        <f t="shared" si="171"/>
        <v/>
      </c>
      <c r="U144" s="361" t="str">
        <f t="shared" si="171"/>
        <v/>
      </c>
      <c r="V144" s="298"/>
      <c r="W144" s="298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4" t="str">
        <f t="shared" ref="B145:C149" si="173">IF(AA145=0,"",AA145)</f>
        <v>Spieler 1</v>
      </c>
      <c r="C145" s="375" t="str">
        <f t="shared" si="173"/>
        <v/>
      </c>
      <c r="D145" s="362">
        <f>IF(AC145=301,"",AC145)</f>
        <v>266</v>
      </c>
      <c r="E145" s="362" t="str">
        <f>IF(AD145=0,"",AD145)</f>
        <v/>
      </c>
      <c r="F145" s="362">
        <f>IF(AE145=301,"",AE145)</f>
        <v>206</v>
      </c>
      <c r="G145" s="362" t="str">
        <f>IF(AF145=0,"",AF145)</f>
        <v/>
      </c>
      <c r="H145" s="362">
        <f>IF(AG145=301,"",AG145)</f>
        <v>234</v>
      </c>
      <c r="I145" s="362" t="str">
        <f>IF(AH145=0,"",AH145)</f>
        <v/>
      </c>
      <c r="J145" s="362">
        <f>IF(AI145=301,"",AI145)</f>
        <v>158</v>
      </c>
      <c r="K145" s="362" t="str">
        <f>IF(AJ145=0,"",AJ145)</f>
        <v/>
      </c>
      <c r="L145" s="362">
        <f>IF(AK145=301,"",AK145)</f>
        <v>209</v>
      </c>
      <c r="M145" s="362" t="str">
        <f>IF(AL145=0,"",AL145)</f>
        <v/>
      </c>
      <c r="N145" s="362">
        <f>IF(AM145=301,"",AM145)</f>
        <v>214</v>
      </c>
      <c r="O145" s="362" t="str">
        <f>IF(AN145=0,"",AN145)</f>
        <v/>
      </c>
      <c r="P145" s="362">
        <f>IF(AO145=301,"",AO145)</f>
        <v>279</v>
      </c>
      <c r="Q145" s="362" t="str">
        <f>IF(AP145=0,"",AP145)</f>
        <v/>
      </c>
      <c r="R145" s="362">
        <f>IF(AQ145=301,"",AQ145)</f>
        <v>211</v>
      </c>
      <c r="S145" s="362" t="str">
        <f>IF(AR145=0,"",AR145)</f>
        <v/>
      </c>
      <c r="T145" s="362">
        <f>IF(AS145=301,"",AS145)</f>
        <v>207</v>
      </c>
      <c r="U145" s="362" t="str">
        <f>IF(AT145=0,"",AT145)</f>
        <v/>
      </c>
      <c r="V145" s="364"/>
      <c r="W145" s="364"/>
      <c r="AA145" s="91" t="s">
        <v>0</v>
      </c>
      <c r="AB145" s="92"/>
      <c r="AC145" s="368">
        <f>ABS(INDEX(AC:AC,MATCH(AC142,$AA:$AA,0)+5)+INDEX(AC:AC,MATCH(AC142,$AA:$AA,0)+6)+INDEX(AC:AC,MATCH(AC142,$AA:$AA,0)+7))</f>
        <v>266</v>
      </c>
      <c r="AD145" s="369"/>
      <c r="AE145" s="368">
        <f>ABS(INDEX(AE:AE,MATCH(AE142,$AA:$AA,0)+5)+INDEX(AE:AE,MATCH(AE142,$AA:$AA,0)+6)+INDEX(AE:AE,MATCH(AE142,$AA:$AA,0)+7))</f>
        <v>206</v>
      </c>
      <c r="AF145" s="369"/>
      <c r="AG145" s="368">
        <f>ABS(INDEX(AG:AG,MATCH(AG142,$AA:$AA,0)+5)+INDEX(AG:AG,MATCH(AG142,$AA:$AA,0)+6)+INDEX(AG:AG,MATCH(AG142,$AA:$AA,0)+7))</f>
        <v>234</v>
      </c>
      <c r="AH145" s="369"/>
      <c r="AI145" s="368">
        <f>ABS(INDEX(AI:AI,MATCH(AI142,$AA:$AA,0)+5)+INDEX(AI:AI,MATCH(AI142,$AA:$AA,0)+6)+INDEX(AI:AI,MATCH(AI142,$AA:$AA,0)+7))</f>
        <v>158</v>
      </c>
      <c r="AJ145" s="369"/>
      <c r="AK145" s="368">
        <f>ABS(INDEX(AK:AK,MATCH(AK142,$AA:$AA,0)+5)+INDEX(AK:AK,MATCH(AK142,$AA:$AA,0)+6)+INDEX(AK:AK,MATCH(AK142,$AA:$AA,0)+7))</f>
        <v>209</v>
      </c>
      <c r="AL145" s="369"/>
      <c r="AM145" s="368">
        <f>ABS(INDEX(AM:AM,MATCH(AM142,$AA:$AA,0)+5)+INDEX(AM:AM,MATCH(AM142,$AA:$AA,0)+6)+INDEX(AM:AM,MATCH(AM142,$AA:$AA,0)+7))</f>
        <v>214</v>
      </c>
      <c r="AN145" s="369"/>
      <c r="AO145" s="368">
        <f>ABS(INDEX(AO:AO,MATCH(AO142,$AA:$AA,0)+5)+INDEX(AO:AO,MATCH(AO142,$AA:$AA,0)+6)+INDEX(AO:AO,MATCH(AO142,$AA:$AA,0)+7))</f>
        <v>279</v>
      </c>
      <c r="AP145" s="369"/>
      <c r="AQ145" s="368">
        <f>ABS(INDEX(AQ:AQ,MATCH(AQ142,$AA:$AA,0)+5)+INDEX(AQ:AQ,MATCH(AQ142,$AA:$AA,0)+6)+INDEX(AQ:AQ,MATCH(AQ142,$AA:$AA,0)+7))</f>
        <v>211</v>
      </c>
      <c r="AR145" s="369"/>
      <c r="AS145" s="368">
        <f>ABS(INDEX(AS:AS,MATCH(AS142,$AA:$AA,0)+5)+INDEX(AS:AS,MATCH(AS142,$AA:$AA,0)+6)+INDEX(AS:AS,MATCH(AS142,$AA:$AA,0)+7))</f>
        <v>207</v>
      </c>
      <c r="AT145" s="369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4" t="str">
        <f t="shared" si="173"/>
        <v>Spieler 2</v>
      </c>
      <c r="C146" s="375" t="str">
        <f t="shared" si="173"/>
        <v/>
      </c>
      <c r="D146" s="362">
        <f>IF(AC146=301,"",AC146)</f>
        <v>193</v>
      </c>
      <c r="E146" s="362" t="str">
        <f>IF(AD146=0,"",AD146)</f>
        <v/>
      </c>
      <c r="F146" s="362">
        <f>IF(AE146=301,"",AE146)</f>
        <v>223</v>
      </c>
      <c r="G146" s="362" t="str">
        <f>IF(AF146=0,"",AF146)</f>
        <v/>
      </c>
      <c r="H146" s="362">
        <f>IF(AG146=301,"",AG146)</f>
        <v>223</v>
      </c>
      <c r="I146" s="362" t="str">
        <f>IF(AH146=0,"",AH146)</f>
        <v/>
      </c>
      <c r="J146" s="362">
        <f>IF(AI146=301,"",AI146)</f>
        <v>236</v>
      </c>
      <c r="K146" s="362" t="str">
        <f>IF(AJ146=0,"",AJ146)</f>
        <v/>
      </c>
      <c r="L146" s="362">
        <f>IF(AK146=301,"",AK146)</f>
        <v>190</v>
      </c>
      <c r="M146" s="362" t="str">
        <f>IF(AL146=0,"",AL146)</f>
        <v/>
      </c>
      <c r="N146" s="362">
        <f>IF(AM146=301,"",AM146)</f>
        <v>214</v>
      </c>
      <c r="O146" s="362" t="str">
        <f>IF(AN146=0,"",AN146)</f>
        <v/>
      </c>
      <c r="P146" s="362">
        <f>IF(AO146=301,"",AO146)</f>
        <v>216</v>
      </c>
      <c r="Q146" s="362" t="str">
        <f>IF(AP146=0,"",AP146)</f>
        <v/>
      </c>
      <c r="R146" s="362">
        <f>IF(AQ146=301,"",AQ146)</f>
        <v>128</v>
      </c>
      <c r="S146" s="362" t="str">
        <f>IF(AR146=0,"",AR146)</f>
        <v/>
      </c>
      <c r="T146" s="362">
        <f>IF(AS146=301,"",AS146)</f>
        <v>202</v>
      </c>
      <c r="U146" s="362" t="str">
        <f>IF(AT146=0,"",AT146)</f>
        <v/>
      </c>
      <c r="V146" s="364"/>
      <c r="W146" s="364"/>
      <c r="AA146" s="91" t="s">
        <v>2</v>
      </c>
      <c r="AB146" s="92"/>
      <c r="AC146" s="366">
        <f>ABS(INDEX(AC:AC,MATCH(AC142,$AA:$AA,0)+8)+INDEX(AC:AC,MATCH(AC142,$AA:$AA,0)+9)+INDEX(AC:AC,MATCH(AC142,$AA:$AA,0)+10))</f>
        <v>193</v>
      </c>
      <c r="AD146" s="367"/>
      <c r="AE146" s="366">
        <f>ABS(INDEX(AE:AE,MATCH(AE142,$AA:$AA,0)+8)+INDEX(AE:AE,MATCH(AE142,$AA:$AA,0)+9)+INDEX(AE:AE,MATCH(AE142,$AA:$AA,0)+10))</f>
        <v>223</v>
      </c>
      <c r="AF146" s="367"/>
      <c r="AG146" s="366">
        <f>ABS(INDEX(AG:AG,MATCH(AG142,$AA:$AA,0)+8)+INDEX(AG:AG,MATCH(AG142,$AA:$AA,0)+9)+INDEX(AG:AG,MATCH(AG142,$AA:$AA,0)+10))</f>
        <v>223</v>
      </c>
      <c r="AH146" s="367"/>
      <c r="AI146" s="366">
        <f>ABS(INDEX(AI:AI,MATCH(AI142,$AA:$AA,0)+8)+INDEX(AI:AI,MATCH(AI142,$AA:$AA,0)+9)+INDEX(AI:AI,MATCH(AI142,$AA:$AA,0)+10))</f>
        <v>236</v>
      </c>
      <c r="AJ146" s="367"/>
      <c r="AK146" s="366">
        <f>ABS(INDEX(AK:AK,MATCH(AK142,$AA:$AA,0)+8)+INDEX(AK:AK,MATCH(AK142,$AA:$AA,0)+9)+INDEX(AK:AK,MATCH(AK142,$AA:$AA,0)+10))</f>
        <v>190</v>
      </c>
      <c r="AL146" s="367"/>
      <c r="AM146" s="366">
        <f>ABS(INDEX(AM:AM,MATCH(AM142,$AA:$AA,0)+8)+INDEX(AM:AM,MATCH(AM142,$AA:$AA,0)+9)+INDEX(AM:AM,MATCH(AM142,$AA:$AA,0)+10))</f>
        <v>214</v>
      </c>
      <c r="AN146" s="367"/>
      <c r="AO146" s="366">
        <f>ABS(INDEX(AO:AO,MATCH(AO142,$AA:$AA,0)+8)+INDEX(AO:AO,MATCH(AO142,$AA:$AA,0)+9)+INDEX(AO:AO,MATCH(AO142,$AA:$AA,0)+10))</f>
        <v>216</v>
      </c>
      <c r="AP146" s="367"/>
      <c r="AQ146" s="366">
        <f>ABS(INDEX(AQ:AQ,MATCH(AQ142,$AA:$AA,0)+8)+INDEX(AQ:AQ,MATCH(AQ142,$AA:$AA,0)+9)+INDEX(AQ:AQ,MATCH(AQ142,$AA:$AA,0)+10))</f>
        <v>128</v>
      </c>
      <c r="AR146" s="367"/>
      <c r="AS146" s="366">
        <f>ABS(INDEX(AS:AS,MATCH(AS142,$AA:$AA,0)+8)+INDEX(AS:AS,MATCH(AS142,$AA:$AA,0)+9)+INDEX(AS:AS,MATCH(AS142,$AA:$AA,0)+10))</f>
        <v>202</v>
      </c>
      <c r="AT146" s="367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4" t="str">
        <f t="shared" si="173"/>
        <v>Spieler 3</v>
      </c>
      <c r="C147" s="375" t="str">
        <f t="shared" si="173"/>
        <v/>
      </c>
      <c r="D147" s="362">
        <f>IF(AC147=301,"",AC147)</f>
        <v>186</v>
      </c>
      <c r="E147" s="362" t="str">
        <f>IF(AD147=0,"",AD147)</f>
        <v/>
      </c>
      <c r="F147" s="362">
        <f>IF(AE147=301,"",AE147)</f>
        <v>192</v>
      </c>
      <c r="G147" s="362" t="str">
        <f>IF(AF147=0,"",AF147)</f>
        <v/>
      </c>
      <c r="H147" s="362">
        <f>IF(AG147=301,"",AG147)</f>
        <v>163</v>
      </c>
      <c r="I147" s="362" t="str">
        <f>IF(AH147=0,"",AH147)</f>
        <v/>
      </c>
      <c r="J147" s="362">
        <f>IF(AI147=301,"",AI147)</f>
        <v>222</v>
      </c>
      <c r="K147" s="362" t="str">
        <f>IF(AJ147=0,"",AJ147)</f>
        <v/>
      </c>
      <c r="L147" s="362">
        <f>IF(AK147=301,"",AK147)</f>
        <v>166</v>
      </c>
      <c r="M147" s="362" t="str">
        <f>IF(AL147=0,"",AL147)</f>
        <v/>
      </c>
      <c r="N147" s="362">
        <f>IF(AM147=301,"",AM147)</f>
        <v>198</v>
      </c>
      <c r="O147" s="362" t="str">
        <f>IF(AN147=0,"",AN147)</f>
        <v/>
      </c>
      <c r="P147" s="362">
        <f>IF(AO147=301,"",AO147)</f>
        <v>180</v>
      </c>
      <c r="Q147" s="362" t="str">
        <f>IF(AP147=0,"",AP147)</f>
        <v/>
      </c>
      <c r="R147" s="362">
        <f>IF(AQ147=301,"",AQ147)</f>
        <v>195</v>
      </c>
      <c r="S147" s="362" t="str">
        <f>IF(AR147=0,"",AR147)</f>
        <v/>
      </c>
      <c r="T147" s="362">
        <f>IF(AS147=301,"",AS147)</f>
        <v>214</v>
      </c>
      <c r="U147" s="362" t="str">
        <f>IF(AT147=0,"",AT147)</f>
        <v/>
      </c>
      <c r="V147" s="364"/>
      <c r="W147" s="364"/>
      <c r="AA147" s="91" t="s">
        <v>3</v>
      </c>
      <c r="AB147" s="92"/>
      <c r="AC147" s="366">
        <f>ABS(INDEX(AC:AC,MATCH(AC142,$AA:$AA,0)+11)+INDEX(AC:AC,MATCH(AC142,$AA:$AA,0)+12)+INDEX(AC:AC,MATCH(AC142,$AA:$AA,0)+13))</f>
        <v>186</v>
      </c>
      <c r="AD147" s="367"/>
      <c r="AE147" s="366">
        <f>ABS(INDEX(AE:AE,MATCH(AE142,$AA:$AA,0)+11)+INDEX(AE:AE,MATCH(AE142,$AA:$AA,0)+12)+INDEX(AE:AE,MATCH(AE142,$AA:$AA,0)+13))</f>
        <v>192</v>
      </c>
      <c r="AF147" s="367"/>
      <c r="AG147" s="366">
        <f>ABS(INDEX(AG:AG,MATCH(AG142,$AA:$AA,0)+11)+INDEX(AG:AG,MATCH(AG142,$AA:$AA,0)+12)+INDEX(AG:AG,MATCH(AG142,$AA:$AA,0)+13))</f>
        <v>163</v>
      </c>
      <c r="AH147" s="367"/>
      <c r="AI147" s="366">
        <f>ABS(INDEX(AI:AI,MATCH(AI142,$AA:$AA,0)+11)+INDEX(AI:AI,MATCH(AI142,$AA:$AA,0)+12)+INDEX(AI:AI,MATCH(AI142,$AA:$AA,0)+13))</f>
        <v>222</v>
      </c>
      <c r="AJ147" s="367"/>
      <c r="AK147" s="366">
        <f>ABS(INDEX(AK:AK,MATCH(AK142,$AA:$AA,0)+11)+INDEX(AK:AK,MATCH(AK142,$AA:$AA,0)+12)+INDEX(AK:AK,MATCH(AK142,$AA:$AA,0)+13))</f>
        <v>166</v>
      </c>
      <c r="AL147" s="367"/>
      <c r="AM147" s="366">
        <f>ABS(INDEX(AM:AM,MATCH(AM142,$AA:$AA,0)+11)+INDEX(AM:AM,MATCH(AM142,$AA:$AA,0)+12)+INDEX(AM:AM,MATCH(AM142,$AA:$AA,0)+13))</f>
        <v>198</v>
      </c>
      <c r="AN147" s="367"/>
      <c r="AO147" s="366">
        <f>ABS(INDEX(AO:AO,MATCH(AO142,$AA:$AA,0)+11)+INDEX(AO:AO,MATCH(AO142,$AA:$AA,0)+12)+INDEX(AO:AO,MATCH(AO142,$AA:$AA,0)+13))</f>
        <v>180</v>
      </c>
      <c r="AP147" s="367"/>
      <c r="AQ147" s="366">
        <f>ABS(INDEX(AQ:AQ,MATCH(AQ142,$AA:$AA,0)+11)+INDEX(AQ:AQ,MATCH(AQ142,$AA:$AA,0)+12)+INDEX(AQ:AQ,MATCH(AQ142,$AA:$AA,0)+13))</f>
        <v>195</v>
      </c>
      <c r="AR147" s="367"/>
      <c r="AS147" s="366">
        <f>ABS(INDEX(AS:AS,MATCH(AS142,$AA:$AA,0)+11)+INDEX(AS:AS,MATCH(AS142,$AA:$AA,0)+12)+INDEX(AS:AS,MATCH(AS142,$AA:$AA,0)+13))</f>
        <v>214</v>
      </c>
      <c r="AT147" s="367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4" t="str">
        <f t="shared" si="173"/>
        <v>Spieler 4</v>
      </c>
      <c r="C148" s="375" t="str">
        <f t="shared" si="173"/>
        <v/>
      </c>
      <c r="D148" s="362">
        <f>IF(AC148=301,"",AC148)</f>
        <v>235</v>
      </c>
      <c r="E148" s="362" t="str">
        <f>IF(AD148=0,"",AD148)</f>
        <v/>
      </c>
      <c r="F148" s="362">
        <f>IF(AE148=301,"",AE148)</f>
        <v>187</v>
      </c>
      <c r="G148" s="362" t="str">
        <f>IF(AF148=0,"",AF148)</f>
        <v/>
      </c>
      <c r="H148" s="362">
        <f>IF(AG148=301,"",AG148)</f>
        <v>204</v>
      </c>
      <c r="I148" s="362" t="str">
        <f>IF(AH148=0,"",AH148)</f>
        <v/>
      </c>
      <c r="J148" s="362">
        <f>IF(AI148=301,"",AI148)</f>
        <v>201</v>
      </c>
      <c r="K148" s="362" t="str">
        <f>IF(AJ148=0,"",AJ148)</f>
        <v/>
      </c>
      <c r="L148" s="362">
        <f>IF(AK148=301,"",AK148)</f>
        <v>244</v>
      </c>
      <c r="M148" s="362" t="str">
        <f>IF(AL148=0,"",AL148)</f>
        <v/>
      </c>
      <c r="N148" s="362">
        <f>IF(AM148=301,"",AM148)</f>
        <v>193</v>
      </c>
      <c r="O148" s="362" t="str">
        <f>IF(AN148=0,"",AN148)</f>
        <v/>
      </c>
      <c r="P148" s="362">
        <f>IF(AO148=301,"",AO148)</f>
        <v>213</v>
      </c>
      <c r="Q148" s="362" t="str">
        <f>IF(AP148=0,"",AP148)</f>
        <v/>
      </c>
      <c r="R148" s="362">
        <f>IF(AQ148=301,"",AQ148)</f>
        <v>256</v>
      </c>
      <c r="S148" s="362" t="str">
        <f>IF(AR148=0,"",AR148)</f>
        <v/>
      </c>
      <c r="T148" s="362">
        <f>IF(AS148=301,"",AS148)</f>
        <v>172</v>
      </c>
      <c r="U148" s="362" t="str">
        <f>IF(AT148=0,"",AT148)</f>
        <v/>
      </c>
      <c r="V148" s="364"/>
      <c r="W148" s="364"/>
      <c r="AA148" s="91" t="s">
        <v>11</v>
      </c>
      <c r="AB148" s="92"/>
      <c r="AC148" s="366">
        <f>ABS(INDEX(AC:AC,MATCH(AC142,$AA:$AA,0)+14)+INDEX(AC:AC,MATCH(AC142,$AA:$AA,0)+15)+INDEX(AC:AC,MATCH(AC142,$AA:$AA,0)+16))</f>
        <v>235</v>
      </c>
      <c r="AD148" s="367"/>
      <c r="AE148" s="366">
        <f>ABS(INDEX(AE:AE,MATCH(AE142,$AA:$AA,0)+14)+INDEX(AE:AE,MATCH(AE142,$AA:$AA,0)+15)+INDEX(AE:AE,MATCH(AE142,$AA:$AA,0)+16))</f>
        <v>187</v>
      </c>
      <c r="AF148" s="367"/>
      <c r="AG148" s="366">
        <f>ABS(INDEX(AG:AG,MATCH(AG142,$AA:$AA,0)+14)+INDEX(AG:AG,MATCH(AG142,$AA:$AA,0)+15)+INDEX(AG:AG,MATCH(AG142,$AA:$AA,0)+16))</f>
        <v>204</v>
      </c>
      <c r="AH148" s="367"/>
      <c r="AI148" s="366">
        <f>ABS(INDEX(AI:AI,MATCH(AI142,$AA:$AA,0)+14)+INDEX(AI:AI,MATCH(AI142,$AA:$AA,0)+15)+INDEX(AI:AI,MATCH(AI142,$AA:$AA,0)+16))</f>
        <v>201</v>
      </c>
      <c r="AJ148" s="367"/>
      <c r="AK148" s="366">
        <f>ABS(INDEX(AK:AK,MATCH(AK142,$AA:$AA,0)+14)+INDEX(AK:AK,MATCH(AK142,$AA:$AA,0)+15)+INDEX(AK:AK,MATCH(AK142,$AA:$AA,0)+16))</f>
        <v>244</v>
      </c>
      <c r="AL148" s="367"/>
      <c r="AM148" s="366">
        <f>ABS(INDEX(AM:AM,MATCH(AM142,$AA:$AA,0)+14)+INDEX(AM:AM,MATCH(AM142,$AA:$AA,0)+15)+INDEX(AM:AM,MATCH(AM142,$AA:$AA,0)+16))</f>
        <v>193</v>
      </c>
      <c r="AN148" s="367"/>
      <c r="AO148" s="366">
        <f>ABS(INDEX(AO:AO,MATCH(AO142,$AA:$AA,0)+14)+INDEX(AO:AO,MATCH(AO142,$AA:$AA,0)+15)+INDEX(AO:AO,MATCH(AO142,$AA:$AA,0)+16))</f>
        <v>213</v>
      </c>
      <c r="AP148" s="367"/>
      <c r="AQ148" s="366">
        <f>ABS(INDEX(AQ:AQ,MATCH(AQ142,$AA:$AA,0)+14)+INDEX(AQ:AQ,MATCH(AQ142,$AA:$AA,0)+15)+INDEX(AQ:AQ,MATCH(AQ142,$AA:$AA,0)+16))</f>
        <v>256</v>
      </c>
      <c r="AR148" s="367"/>
      <c r="AS148" s="366">
        <f>ABS(INDEX(AS:AS,MATCH(AS142,$AA:$AA,0)+14)+INDEX(AS:AS,MATCH(AS142,$AA:$AA,0)+15)+INDEX(AS:AS,MATCH(AS142,$AA:$AA,0)+16))</f>
        <v>172</v>
      </c>
      <c r="AT148" s="367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6" t="str">
        <f t="shared" si="173"/>
        <v>Gesamt</v>
      </c>
      <c r="C149" s="347" t="str">
        <f t="shared" si="173"/>
        <v/>
      </c>
      <c r="D149" s="365">
        <f>IF(AC149=1505,"",AC149)</f>
        <v>880</v>
      </c>
      <c r="E149" s="365" t="str">
        <f>IF(AD149=0,"",AD149)</f>
        <v/>
      </c>
      <c r="F149" s="365">
        <f>IF(AE149=1505,"",AE149)</f>
        <v>808</v>
      </c>
      <c r="G149" s="365" t="str">
        <f>IF(AF149=0,"",AF149)</f>
        <v/>
      </c>
      <c r="H149" s="365">
        <f>IF(AG149=1505,"",AG149)</f>
        <v>824</v>
      </c>
      <c r="I149" s="365" t="str">
        <f>IF(AH149=0,"",AH149)</f>
        <v/>
      </c>
      <c r="J149" s="365">
        <f>IF(AI149=1505,"",AI149)</f>
        <v>817</v>
      </c>
      <c r="K149" s="365" t="str">
        <f>IF(AJ149=0,"",AJ149)</f>
        <v/>
      </c>
      <c r="L149" s="365">
        <f>IF(AK149=1505,"",AK149)</f>
        <v>809</v>
      </c>
      <c r="M149" s="365" t="str">
        <f>IF(AL149=0,"",AL149)</f>
        <v/>
      </c>
      <c r="N149" s="365">
        <f>IF(AM149=1505,"",AM149)</f>
        <v>819</v>
      </c>
      <c r="O149" s="365" t="str">
        <f>IF(AN149=0,"",AN149)</f>
        <v/>
      </c>
      <c r="P149" s="365">
        <f>IF(AO149=1505,"",AO149)</f>
        <v>888</v>
      </c>
      <c r="Q149" s="365" t="str">
        <f>IF(AP149=0,"",AP149)</f>
        <v/>
      </c>
      <c r="R149" s="365">
        <f>IF(AQ149=1505,"",AQ149)</f>
        <v>790</v>
      </c>
      <c r="S149" s="365" t="str">
        <f>IF(AR149=0,"",AR149)</f>
        <v/>
      </c>
      <c r="T149" s="365">
        <f>IF(AS149=1505,"",AS149)</f>
        <v>795</v>
      </c>
      <c r="U149" s="365" t="str">
        <f>IF(AT149=0,"",AT149)</f>
        <v/>
      </c>
      <c r="V149" s="301"/>
      <c r="W149" s="301"/>
      <c r="AA149" s="93" t="s">
        <v>1799</v>
      </c>
      <c r="AB149" s="94"/>
      <c r="AC149" s="346">
        <f>SUM(AC145:AC148)</f>
        <v>880</v>
      </c>
      <c r="AD149" s="347"/>
      <c r="AE149" s="346">
        <f>SUM(AE145:AE148)</f>
        <v>808</v>
      </c>
      <c r="AF149" s="347"/>
      <c r="AG149" s="346">
        <f>SUM(AG145:AG148)</f>
        <v>824</v>
      </c>
      <c r="AH149" s="347"/>
      <c r="AI149" s="346">
        <f>SUM(AI145:AI148)</f>
        <v>817</v>
      </c>
      <c r="AJ149" s="347"/>
      <c r="AK149" s="346">
        <f>SUM(AK145:AK148)</f>
        <v>809</v>
      </c>
      <c r="AL149" s="347"/>
      <c r="AM149" s="346">
        <f>SUM(AM145:AM148)</f>
        <v>819</v>
      </c>
      <c r="AN149" s="347"/>
      <c r="AO149" s="346">
        <f>SUM(AO145:AO148)</f>
        <v>888</v>
      </c>
      <c r="AP149" s="347"/>
      <c r="AQ149" s="346">
        <f>SUM(AQ145:AQ148)</f>
        <v>790</v>
      </c>
      <c r="AR149" s="347"/>
      <c r="AS149" s="346">
        <f>SUM(AS145:AS148)</f>
        <v>795</v>
      </c>
      <c r="AT149" s="347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5" t="str">
        <f>AE151</f>
        <v>Bayernliga Herren</v>
      </c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48"/>
      <c r="S151" s="49" t="s">
        <v>1794</v>
      </c>
      <c r="T151" s="50"/>
      <c r="U151" s="341" t="str">
        <f>AT151</f>
        <v>15.03./16.03.</v>
      </c>
      <c r="V151" s="342"/>
      <c r="W151" s="343"/>
      <c r="X151" s="372"/>
      <c r="Y151" s="373"/>
      <c r="Z151" s="373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41" t="str">
        <f>VLOOKUP(AS152,Spielorte!$A$1:$C$6,2)</f>
        <v>15.03./16.03.</v>
      </c>
      <c r="AU151" s="342"/>
      <c r="AV151" s="34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4" t="str">
        <f>AE152</f>
        <v>Brunnthal Max Munich</v>
      </c>
      <c r="G152" s="344"/>
      <c r="H152" s="344"/>
      <c r="I152" s="344"/>
      <c r="J152" s="344"/>
      <c r="K152" s="344"/>
      <c r="L152" s="344"/>
      <c r="M152" s="344"/>
      <c r="N152" s="344"/>
      <c r="O152" s="344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6" t="s">
        <v>1800</v>
      </c>
      <c r="E155" s="347"/>
      <c r="F155" s="346" t="s">
        <v>1801</v>
      </c>
      <c r="G155" s="347"/>
      <c r="H155" s="346" t="s">
        <v>1802</v>
      </c>
      <c r="I155" s="347"/>
      <c r="J155" s="346" t="s">
        <v>1803</v>
      </c>
      <c r="K155" s="347"/>
      <c r="L155" s="346" t="s">
        <v>1804</v>
      </c>
      <c r="M155" s="347"/>
      <c r="N155" s="346" t="s">
        <v>1805</v>
      </c>
      <c r="O155" s="347"/>
      <c r="P155" s="346" t="s">
        <v>1806</v>
      </c>
      <c r="Q155" s="347"/>
      <c r="R155" s="346" t="s">
        <v>1807</v>
      </c>
      <c r="S155" s="347"/>
      <c r="T155" s="346" t="s">
        <v>1808</v>
      </c>
      <c r="U155" s="347"/>
      <c r="V155" s="354" t="s">
        <v>1799</v>
      </c>
      <c r="W155" s="355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6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266</v>
      </c>
      <c r="E157" s="348">
        <f>IF(AD157="","",AD157)</f>
        <v>1</v>
      </c>
      <c r="F157" s="75">
        <f t="shared" ref="F157:F170" si="174">IF(AE157=0,"",AE157)</f>
        <v>222</v>
      </c>
      <c r="G157" s="348">
        <f>IF(AF157="","",AF157)</f>
        <v>0</v>
      </c>
      <c r="H157" s="75">
        <f t="shared" ref="H157:H170" si="175">IF(AG157=0,"",AG157)</f>
        <v>203</v>
      </c>
      <c r="I157" s="348">
        <f>IF(AH157="","",AH157)</f>
        <v>1</v>
      </c>
      <c r="J157" s="75">
        <f t="shared" ref="J157:J170" si="176">IF(AI157=0,"",AI157)</f>
        <v>213</v>
      </c>
      <c r="K157" s="348">
        <f>IF(AJ157="","",AJ157)</f>
        <v>1</v>
      </c>
      <c r="L157" s="75">
        <f t="shared" ref="L157:L170" si="177">IF(AK157=0,"",AK157)</f>
        <v>185</v>
      </c>
      <c r="M157" s="348">
        <f>IF(AL157="","",AL157)</f>
        <v>0</v>
      </c>
      <c r="N157" s="75">
        <f>IF(AM157=0,"",AM157)</f>
        <v>217</v>
      </c>
      <c r="O157" s="348">
        <f>IF(AN157="","",AN157)</f>
        <v>1</v>
      </c>
      <c r="P157" s="75">
        <f t="shared" ref="P157:P170" si="178">IF(AO157=0,"",AO157)</f>
        <v>235</v>
      </c>
      <c r="Q157" s="348">
        <f>IF(AP157="","",AP157)</f>
        <v>1</v>
      </c>
      <c r="R157" s="75">
        <f t="shared" ref="R157:R170" si="179">IF(AQ157=0,"",AQ157)</f>
        <v>247</v>
      </c>
      <c r="S157" s="348">
        <f>IF(AR157="","",AR157)</f>
        <v>1</v>
      </c>
      <c r="T157" s="75">
        <f t="shared" ref="T157:T170" si="180">IF(AS157=0,"",AS157)</f>
        <v>169</v>
      </c>
      <c r="U157" s="348">
        <f>IF(AT157="","",AT157)</f>
        <v>0</v>
      </c>
      <c r="V157" s="75">
        <f t="shared" ref="V157:V170" si="181">IF(AU157=0,"",AU157)</f>
        <v>1957</v>
      </c>
      <c r="W157" s="348">
        <f>IF(AV157="","",AV157)</f>
        <v>6</v>
      </c>
      <c r="Z157" s="351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266</v>
      </c>
      <c r="AD157" s="109">
        <f>IF(SUM(AC157:AC159)+AC175=0,0,IF(SUM(AC157:AC159)=AC175,0.5,IF(SUM(AC157:AC159)&gt;AC175,1,0)))</f>
        <v>1</v>
      </c>
      <c r="AE157" s="185">
        <v>222</v>
      </c>
      <c r="AF157" s="109">
        <f>IF(SUM(AE157:AE159)+AE175=0,0,IF(SUM(AE157:AE159)=AE175,0.5,IF(SUM(AE157:AE159)&gt;AE175,1,0)))</f>
        <v>0</v>
      </c>
      <c r="AG157" s="185">
        <v>203</v>
      </c>
      <c r="AH157" s="109">
        <f>IF(SUM(AG157:AG159)+AG175=0,0,IF(SUM(AG157:AG159)=AG175,0.5,IF(SUM(AG157:AG159)&gt;AG175,1,0)))</f>
        <v>1</v>
      </c>
      <c r="AI157" s="185">
        <v>213</v>
      </c>
      <c r="AJ157" s="109">
        <f>IF(SUM(AI157:AI159)+AI175=0,0,IF(SUM(AI157:AI159)=AI175,0.5,IF(SUM(AI157:AI159)&gt;AI175,1,0)))</f>
        <v>1</v>
      </c>
      <c r="AK157" s="185">
        <v>185</v>
      </c>
      <c r="AL157" s="109">
        <f>IF(SUM(AK157:AK159)+AK175=0,0,IF(SUM(AK157:AK159)=AK175,0.5,IF(SUM(AK157:AK159)&gt;AK175,1,0)))</f>
        <v>0</v>
      </c>
      <c r="AM157" s="185">
        <v>217</v>
      </c>
      <c r="AN157" s="109">
        <f>IF(SUM(AM157:AM159)+AM175=0,0,IF(SUM(AM157:AM159)=AM175,0.5,IF(SUM(AM157:AM159)&gt;AM175,1,0)))</f>
        <v>1</v>
      </c>
      <c r="AO157" s="185">
        <v>235</v>
      </c>
      <c r="AP157" s="109">
        <f>IF(SUM(AO157:AO159)+AO175=0,0,IF(SUM(AO157:AO159)=AO175,0.5,IF(SUM(AO157:AO159)&gt;AO175,1,0)))</f>
        <v>1</v>
      </c>
      <c r="AQ157" s="185">
        <v>247</v>
      </c>
      <c r="AR157" s="109">
        <f>IF(SUM(AQ157:AQ159)+AQ175=0,0,IF(SUM(AQ157:AQ159)=AQ175,0.5,IF(SUM(AQ157:AQ159)&gt;AQ175,1,0)))</f>
        <v>1</v>
      </c>
      <c r="AS157" s="185">
        <v>169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1957</v>
      </c>
      <c r="AV157" s="111">
        <f>SUM(AD157+AF157+AH157+AJ157+AL157+AN157+AP157+AR157+AT157)</f>
        <v>6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1957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3">IF(AC157=0,"",AC157)</f>
        <v>266</v>
      </c>
      <c r="BI157" s="215">
        <f t="shared" ref="BI157:BI168" si="184">IF(AE157=0,"",AE157)</f>
        <v>222</v>
      </c>
      <c r="BJ157" s="215">
        <f t="shared" ref="BJ157:BJ168" si="185">IF(AG157=0,"",AG157)</f>
        <v>203</v>
      </c>
      <c r="BK157" s="215">
        <f t="shared" ref="BK157:BK168" si="186">IF(AI157=0,"",AI157)</f>
        <v>213</v>
      </c>
      <c r="BL157" s="215">
        <f t="shared" ref="BL157:BL168" si="187">IF(AK157=0,"",AK157)</f>
        <v>185</v>
      </c>
      <c r="BM157" s="215">
        <f t="shared" ref="BM157:BM168" si="188">IF(AM157=0,"",AM157)</f>
        <v>217</v>
      </c>
      <c r="BN157" s="215">
        <f t="shared" ref="BN157:BN168" si="189">IF(AO157=0,"",AO157)</f>
        <v>235</v>
      </c>
      <c r="BO157" s="215">
        <f t="shared" ref="BO157:BO168" si="190">IF(AQ157=0,"",AQ157)</f>
        <v>247</v>
      </c>
      <c r="BP157" s="215">
        <f t="shared" ref="BP157:BP168" si="191">IF(AS157=0,"",AS157)</f>
        <v>169</v>
      </c>
      <c r="BQ157" s="216"/>
      <c r="BR157" s="214"/>
      <c r="BS157" s="215">
        <f>MAX(BH157:BP157)</f>
        <v>266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3</v>
      </c>
      <c r="BW157" s="215">
        <f>SUMIF(BH157:BP157,"&gt;0")</f>
        <v>1957</v>
      </c>
      <c r="BX157" s="215">
        <f>IF(COUNTIF(BH157:BP157,"&gt;0")&lt;Spielorte!$A$23,0,BE157/Spielorte!$A$23)</f>
        <v>217.44444444444446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77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9"/>
      <c r="F158" s="78" t="str">
        <f t="shared" si="174"/>
        <v/>
      </c>
      <c r="G158" s="349"/>
      <c r="H158" s="78" t="str">
        <f t="shared" si="175"/>
        <v/>
      </c>
      <c r="I158" s="349"/>
      <c r="J158" s="78" t="str">
        <f t="shared" si="176"/>
        <v/>
      </c>
      <c r="K158" s="349"/>
      <c r="L158" s="78" t="str">
        <f t="shared" si="177"/>
        <v/>
      </c>
      <c r="M158" s="349"/>
      <c r="N158" s="78" t="str">
        <f t="shared" ref="N158:N170" si="194">IF(AM158=0,"",AM158)</f>
        <v/>
      </c>
      <c r="O158" s="349"/>
      <c r="P158" s="78" t="str">
        <f t="shared" si="178"/>
        <v/>
      </c>
      <c r="Q158" s="349"/>
      <c r="R158" s="78" t="str">
        <f t="shared" si="179"/>
        <v/>
      </c>
      <c r="S158" s="349"/>
      <c r="T158" s="78" t="str">
        <f t="shared" si="180"/>
        <v/>
      </c>
      <c r="U158" s="349"/>
      <c r="V158" s="78" t="str">
        <f t="shared" si="181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3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8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0"/>
      <c r="F159" s="69" t="str">
        <f t="shared" si="174"/>
        <v/>
      </c>
      <c r="G159" s="350"/>
      <c r="H159" s="69" t="str">
        <f t="shared" si="175"/>
        <v/>
      </c>
      <c r="I159" s="350"/>
      <c r="J159" s="69" t="str">
        <f t="shared" si="176"/>
        <v/>
      </c>
      <c r="K159" s="350"/>
      <c r="L159" s="69" t="str">
        <f t="shared" si="177"/>
        <v/>
      </c>
      <c r="M159" s="350"/>
      <c r="N159" s="69" t="str">
        <f t="shared" si="194"/>
        <v/>
      </c>
      <c r="O159" s="350"/>
      <c r="P159" s="69" t="str">
        <f t="shared" si="178"/>
        <v/>
      </c>
      <c r="Q159" s="350"/>
      <c r="R159" s="69" t="str">
        <f t="shared" si="179"/>
        <v/>
      </c>
      <c r="S159" s="350"/>
      <c r="T159" s="69" t="str">
        <f t="shared" si="180"/>
        <v/>
      </c>
      <c r="U159" s="350"/>
      <c r="V159" s="69" t="str">
        <f t="shared" si="181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3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76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193</v>
      </c>
      <c r="E160" s="348">
        <f>IF(AD160="","",AD160)</f>
        <v>0</v>
      </c>
      <c r="F160" s="75">
        <f t="shared" si="174"/>
        <v>245</v>
      </c>
      <c r="G160" s="348">
        <f>IF(AF160="","",AF160)</f>
        <v>1</v>
      </c>
      <c r="H160" s="75">
        <f t="shared" si="175"/>
        <v>211</v>
      </c>
      <c r="I160" s="348">
        <f>IF(AH160="","",AH160)</f>
        <v>1</v>
      </c>
      <c r="J160" s="75">
        <f t="shared" si="176"/>
        <v>195</v>
      </c>
      <c r="K160" s="348">
        <f>IF(AJ160="","",AJ160)</f>
        <v>0</v>
      </c>
      <c r="L160" s="75">
        <f t="shared" si="177"/>
        <v>181</v>
      </c>
      <c r="M160" s="348">
        <f>IF(AL160="","",AL160)</f>
        <v>0</v>
      </c>
      <c r="N160" s="75">
        <f t="shared" si="194"/>
        <v>142</v>
      </c>
      <c r="O160" s="348">
        <f>IF(AN160="","",AN160)</f>
        <v>0</v>
      </c>
      <c r="P160" s="75" t="str">
        <f t="shared" si="178"/>
        <v/>
      </c>
      <c r="Q160" s="348">
        <f>IF(AP160="","",AP160)</f>
        <v>0</v>
      </c>
      <c r="R160" s="75" t="str">
        <f t="shared" si="179"/>
        <v/>
      </c>
      <c r="S160" s="348">
        <f>IF(AR160="","",AR160)</f>
        <v>1</v>
      </c>
      <c r="T160" s="75" t="str">
        <f t="shared" si="180"/>
        <v/>
      </c>
      <c r="U160" s="348">
        <f>IF(AT160="","",AT160)</f>
        <v>1</v>
      </c>
      <c r="V160" s="75">
        <f t="shared" si="181"/>
        <v>1167</v>
      </c>
      <c r="W160" s="348">
        <f>IF(AV160="","",AV160)</f>
        <v>4</v>
      </c>
      <c r="Z160" s="351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193</v>
      </c>
      <c r="AD160" s="109">
        <f>IF(SUM(AC160:AC162)+AC176=0,0,IF(SUM(AC160:AC162)=AC176,0.5,IF(SUM(AC160:AC162)&gt;AC176,1,0)))</f>
        <v>0</v>
      </c>
      <c r="AE160" s="188">
        <v>245</v>
      </c>
      <c r="AF160" s="109">
        <f>IF(SUM(AE160:AE162)+AE176=0,0,IF(SUM(AE160:AE162)=AE176,0.5,IF(SUM(AE160:AE162)&gt;AE176,1,0)))</f>
        <v>1</v>
      </c>
      <c r="AG160" s="188">
        <v>211</v>
      </c>
      <c r="AH160" s="109">
        <f>IF(SUM(AG160:AG162)+AG176=0,0,IF(SUM(AG160:AG162)=AG176,0.5,IF(SUM(AG160:AG162)&gt;AG176,1,0)))</f>
        <v>1</v>
      </c>
      <c r="AI160" s="188">
        <v>195</v>
      </c>
      <c r="AJ160" s="109">
        <f>IF(SUM(AI160:AI162)+AI176=0,0,IF(SUM(AI160:AI162)=AI176,0.5,IF(SUM(AI160:AI162)&gt;AI176,1,0)))</f>
        <v>0</v>
      </c>
      <c r="AK160" s="188">
        <v>181</v>
      </c>
      <c r="AL160" s="109">
        <f>IF(SUM(AK160:AK162)+AK176=0,0,IF(SUM(AK160:AK162)=AK176,0.5,IF(SUM(AK160:AK162)&gt;AK176,1,0)))</f>
        <v>0</v>
      </c>
      <c r="AM160" s="188">
        <v>142</v>
      </c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82"/>
        <v>1167</v>
      </c>
      <c r="AV160" s="111">
        <f>SUM(AD160+AF160+AH160+AJ160+AL160+AN160+AP160+AR160+AT160)</f>
        <v>4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1167</v>
      </c>
      <c r="BF160" s="215">
        <f t="shared" si="197"/>
        <v>6</v>
      </c>
      <c r="BG160" s="215">
        <f t="shared" si="198"/>
        <v>6</v>
      </c>
      <c r="BH160" s="215">
        <f t="shared" si="183"/>
        <v>193</v>
      </c>
      <c r="BI160" s="215">
        <f t="shared" si="184"/>
        <v>245</v>
      </c>
      <c r="BJ160" s="215">
        <f t="shared" si="185"/>
        <v>211</v>
      </c>
      <c r="BK160" s="215">
        <f t="shared" si="186"/>
        <v>195</v>
      </c>
      <c r="BL160" s="215">
        <f t="shared" si="187"/>
        <v>181</v>
      </c>
      <c r="BM160" s="215">
        <f t="shared" si="188"/>
        <v>142</v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245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3</v>
      </c>
      <c r="BW160" s="215">
        <f t="shared" si="203"/>
        <v>1167</v>
      </c>
      <c r="BX160" s="215">
        <f>IF(COUNTIF(BH160:BP160,"&gt;0")&lt;Spielorte!$A$23,0,BE160/Spielorte!$A$23)</f>
        <v>0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77"/>
      <c r="B161" s="76" t="str">
        <f t="shared" si="193"/>
        <v>Wendel, Dominik</v>
      </c>
      <c r="C161" s="77">
        <f t="shared" si="193"/>
        <v>16852</v>
      </c>
      <c r="D161" s="78" t="str">
        <f t="shared" si="193"/>
        <v/>
      </c>
      <c r="E161" s="349"/>
      <c r="F161" s="78" t="str">
        <f t="shared" si="174"/>
        <v/>
      </c>
      <c r="G161" s="349"/>
      <c r="H161" s="78" t="str">
        <f t="shared" si="175"/>
        <v/>
      </c>
      <c r="I161" s="349"/>
      <c r="J161" s="78" t="str">
        <f t="shared" si="176"/>
        <v/>
      </c>
      <c r="K161" s="349"/>
      <c r="L161" s="78" t="str">
        <f t="shared" si="177"/>
        <v/>
      </c>
      <c r="M161" s="349"/>
      <c r="N161" s="78" t="str">
        <f t="shared" si="194"/>
        <v/>
      </c>
      <c r="O161" s="349"/>
      <c r="P161" s="78">
        <f t="shared" si="178"/>
        <v>160</v>
      </c>
      <c r="Q161" s="349"/>
      <c r="R161" s="78">
        <f t="shared" si="179"/>
        <v>213</v>
      </c>
      <c r="S161" s="349"/>
      <c r="T161" s="78">
        <f t="shared" si="180"/>
        <v>223</v>
      </c>
      <c r="U161" s="349"/>
      <c r="V161" s="78">
        <f t="shared" si="181"/>
        <v>596</v>
      </c>
      <c r="W161" s="349"/>
      <c r="Z161" s="352"/>
      <c r="AA161" s="108" t="str">
        <f>IF(AB161=0,"",VLOOKUP(AB161,Starter!$A$1:$D$199,2,FALSE))</f>
        <v>Wendel, Dominik</v>
      </c>
      <c r="AB161" s="98">
        <v>16852</v>
      </c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>
        <v>160</v>
      </c>
      <c r="AP161" s="112"/>
      <c r="AQ161" s="190">
        <v>213</v>
      </c>
      <c r="AR161" s="112"/>
      <c r="AS161" s="190">
        <v>223</v>
      </c>
      <c r="AT161" s="112"/>
      <c r="AU161" s="113">
        <f t="shared" si="182"/>
        <v>596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16852</v>
      </c>
      <c r="BE161" s="213">
        <f t="shared" si="196"/>
        <v>596</v>
      </c>
      <c r="BF161" s="215">
        <f t="shared" si="197"/>
        <v>3</v>
      </c>
      <c r="BG161" s="215">
        <f t="shared" si="198"/>
        <v>3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>
        <f t="shared" si="189"/>
        <v>160</v>
      </c>
      <c r="BO161" s="215">
        <f t="shared" si="190"/>
        <v>213</v>
      </c>
      <c r="BP161" s="215">
        <f t="shared" si="191"/>
        <v>223</v>
      </c>
      <c r="BQ161" s="216"/>
      <c r="BR161" s="214"/>
      <c r="BS161" s="215">
        <f t="shared" si="199"/>
        <v>223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3</v>
      </c>
      <c r="BW161" s="215">
        <f t="shared" si="203"/>
        <v>596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8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0"/>
      <c r="F162" s="69" t="str">
        <f t="shared" si="174"/>
        <v/>
      </c>
      <c r="G162" s="350"/>
      <c r="H162" s="69" t="str">
        <f t="shared" si="175"/>
        <v/>
      </c>
      <c r="I162" s="350"/>
      <c r="J162" s="69" t="str">
        <f t="shared" si="176"/>
        <v/>
      </c>
      <c r="K162" s="350"/>
      <c r="L162" s="69" t="str">
        <f t="shared" si="177"/>
        <v/>
      </c>
      <c r="M162" s="350"/>
      <c r="N162" s="69" t="str">
        <f t="shared" si="194"/>
        <v/>
      </c>
      <c r="O162" s="350"/>
      <c r="P162" s="69" t="str">
        <f t="shared" si="178"/>
        <v/>
      </c>
      <c r="Q162" s="350"/>
      <c r="R162" s="69" t="str">
        <f t="shared" si="179"/>
        <v/>
      </c>
      <c r="S162" s="350"/>
      <c r="T162" s="69" t="str">
        <f t="shared" si="180"/>
        <v/>
      </c>
      <c r="U162" s="350"/>
      <c r="V162" s="69" t="str">
        <f t="shared" si="181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3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76" t="s">
        <v>3</v>
      </c>
      <c r="B163" s="73" t="str">
        <f t="shared" si="193"/>
        <v>Scholz, Alexander</v>
      </c>
      <c r="C163" s="74">
        <f t="shared" si="193"/>
        <v>16352</v>
      </c>
      <c r="D163" s="75">
        <f t="shared" si="193"/>
        <v>186</v>
      </c>
      <c r="E163" s="348">
        <f>IF(AD163="","",AD163)</f>
        <v>0</v>
      </c>
      <c r="F163" s="75">
        <f t="shared" si="174"/>
        <v>209</v>
      </c>
      <c r="G163" s="348">
        <f>IF(AF163="","",AF163)</f>
        <v>0</v>
      </c>
      <c r="H163" s="75">
        <f t="shared" si="175"/>
        <v>172</v>
      </c>
      <c r="I163" s="348">
        <f>IF(AH163="","",AH163)</f>
        <v>1</v>
      </c>
      <c r="J163" s="75">
        <f t="shared" si="176"/>
        <v>191</v>
      </c>
      <c r="K163" s="348">
        <f>IF(AJ163="","",AJ163)</f>
        <v>0</v>
      </c>
      <c r="L163" s="75">
        <f t="shared" si="177"/>
        <v>184</v>
      </c>
      <c r="M163" s="348">
        <f>IF(AL163="","",AL163)</f>
        <v>0</v>
      </c>
      <c r="N163" s="75">
        <f t="shared" si="194"/>
        <v>183</v>
      </c>
      <c r="O163" s="348">
        <f>IF(AN163="","",AN163)</f>
        <v>0</v>
      </c>
      <c r="P163" s="75">
        <f t="shared" si="178"/>
        <v>188</v>
      </c>
      <c r="Q163" s="348">
        <f>IF(AP163="","",AP163)</f>
        <v>1</v>
      </c>
      <c r="R163" s="75">
        <f t="shared" si="179"/>
        <v>179</v>
      </c>
      <c r="S163" s="348">
        <f>IF(AR163="","",AR163)</f>
        <v>0</v>
      </c>
      <c r="T163" s="75">
        <f t="shared" si="180"/>
        <v>213</v>
      </c>
      <c r="U163" s="348">
        <f>IF(AT163="","",AT163)</f>
        <v>1</v>
      </c>
      <c r="V163" s="75">
        <f t="shared" si="181"/>
        <v>1705</v>
      </c>
      <c r="W163" s="348">
        <f>IF(AV163="","",AV163)</f>
        <v>3</v>
      </c>
      <c r="Z163" s="351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186</v>
      </c>
      <c r="AD163" s="109">
        <f>IF(SUM(AC163:AC165)+AC177=0,0,IF(SUM(AC163:AC165)=AC177,0.5,IF(SUM(AC163:AC165)&gt;AC177,1,0)))</f>
        <v>0</v>
      </c>
      <c r="AE163" s="188">
        <v>209</v>
      </c>
      <c r="AF163" s="109">
        <f>IF(SUM(AE163:AE165)+AE177=0,0,IF(SUM(AE163:AE165)=AE177,0.5,IF(SUM(AE163:AE165)&gt;AE177,1,0)))</f>
        <v>0</v>
      </c>
      <c r="AG163" s="188">
        <v>172</v>
      </c>
      <c r="AH163" s="109">
        <f>IF(SUM(AG163:AG165)+AG177=0,0,IF(SUM(AG163:AG165)=AG177,0.5,IF(SUM(AG163:AG165)&gt;AG177,1,0)))</f>
        <v>1</v>
      </c>
      <c r="AI163" s="188">
        <v>191</v>
      </c>
      <c r="AJ163" s="109">
        <f>IF(SUM(AI163:AI165)+AI177=0,0,IF(SUM(AI163:AI165)=AI177,0.5,IF(SUM(AI163:AI165)&gt;AI177,1,0)))</f>
        <v>0</v>
      </c>
      <c r="AK163" s="188">
        <v>184</v>
      </c>
      <c r="AL163" s="109">
        <f>IF(SUM(AK163:AK165)+AK177=0,0,IF(SUM(AK163:AK165)=AK177,0.5,IF(SUM(AK163:AK165)&gt;AK177,1,0)))</f>
        <v>0</v>
      </c>
      <c r="AM163" s="188">
        <v>183</v>
      </c>
      <c r="AN163" s="109">
        <f>IF(SUM(AM163:AM165)+AM177=0,0,IF(SUM(AM163:AM165)=AM177,0.5,IF(SUM(AM163:AM165)&gt;AM177,1,0)))</f>
        <v>0</v>
      </c>
      <c r="AO163" s="188">
        <v>188</v>
      </c>
      <c r="AP163" s="109">
        <f>IF(SUM(AO163:AO165)+AO177=0,0,IF(SUM(AO163:AO165)=AO177,0.5,IF(SUM(AO163:AO165)&gt;AO177,1,0)))</f>
        <v>1</v>
      </c>
      <c r="AQ163" s="188">
        <v>179</v>
      </c>
      <c r="AR163" s="109">
        <f>IF(SUM(AQ163:AQ165)+AQ177=0,0,IF(SUM(AQ163:AQ165)=AQ177,0.5,IF(SUM(AQ163:AQ165)&gt;AQ177,1,0)))</f>
        <v>0</v>
      </c>
      <c r="AS163" s="188">
        <v>213</v>
      </c>
      <c r="AT163" s="109">
        <f>IF(SUM(AS163:AS165)+AS177=0,0,IF(SUM(AS163:AS165)=AS177,0.5,IF(SUM(AS163:AS165)&gt;AS177,1,0)))</f>
        <v>1</v>
      </c>
      <c r="AU163" s="110">
        <f t="shared" si="182"/>
        <v>1705</v>
      </c>
      <c r="AV163" s="111">
        <f>SUM(AD163+AF163+AH163+AJ163+AL163+AN163+AP163+AR163+AT163)</f>
        <v>3</v>
      </c>
      <c r="AW163" s="101"/>
      <c r="AX163" s="102"/>
      <c r="AZ163" s="63"/>
      <c r="BA163" s="212"/>
      <c r="BB163" s="213"/>
      <c r="BC163" s="214"/>
      <c r="BD163" s="217">
        <f t="shared" si="195"/>
        <v>16352</v>
      </c>
      <c r="BE163" s="213">
        <f t="shared" si="196"/>
        <v>1705</v>
      </c>
      <c r="BF163" s="215">
        <f t="shared" si="197"/>
        <v>9</v>
      </c>
      <c r="BG163" s="215">
        <f t="shared" si="198"/>
        <v>9</v>
      </c>
      <c r="BH163" s="215">
        <f t="shared" si="183"/>
        <v>186</v>
      </c>
      <c r="BI163" s="215">
        <f t="shared" si="184"/>
        <v>209</v>
      </c>
      <c r="BJ163" s="215">
        <f t="shared" si="185"/>
        <v>172</v>
      </c>
      <c r="BK163" s="215">
        <f t="shared" si="186"/>
        <v>191</v>
      </c>
      <c r="BL163" s="215">
        <f t="shared" si="187"/>
        <v>184</v>
      </c>
      <c r="BM163" s="215">
        <f t="shared" si="188"/>
        <v>183</v>
      </c>
      <c r="BN163" s="215">
        <f t="shared" si="189"/>
        <v>188</v>
      </c>
      <c r="BO163" s="215">
        <f t="shared" si="190"/>
        <v>179</v>
      </c>
      <c r="BP163" s="215">
        <f t="shared" si="191"/>
        <v>213</v>
      </c>
      <c r="BQ163" s="216"/>
      <c r="BR163" s="214"/>
      <c r="BS163" s="215">
        <f t="shared" si="199"/>
        <v>213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3</v>
      </c>
      <c r="BW163" s="215">
        <f t="shared" si="203"/>
        <v>1705</v>
      </c>
      <c r="BX163" s="215">
        <f>IF(COUNTIF(BH163:BP163,"&gt;0")&lt;Spielorte!$A$23,0,BE163/Spielorte!$A$23)</f>
        <v>189.44444444444446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77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9"/>
      <c r="F164" s="78" t="str">
        <f t="shared" si="174"/>
        <v/>
      </c>
      <c r="G164" s="349"/>
      <c r="H164" s="78" t="str">
        <f t="shared" si="175"/>
        <v/>
      </c>
      <c r="I164" s="349"/>
      <c r="J164" s="78" t="str">
        <f t="shared" si="176"/>
        <v/>
      </c>
      <c r="K164" s="349"/>
      <c r="L164" s="78" t="str">
        <f t="shared" si="177"/>
        <v/>
      </c>
      <c r="M164" s="349"/>
      <c r="N164" s="78" t="str">
        <f t="shared" si="194"/>
        <v/>
      </c>
      <c r="O164" s="349"/>
      <c r="P164" s="78" t="str">
        <f t="shared" si="178"/>
        <v/>
      </c>
      <c r="Q164" s="349"/>
      <c r="R164" s="78" t="str">
        <f t="shared" si="179"/>
        <v/>
      </c>
      <c r="S164" s="349"/>
      <c r="T164" s="78" t="str">
        <f t="shared" si="180"/>
        <v/>
      </c>
      <c r="U164" s="349"/>
      <c r="V164" s="78" t="str">
        <f t="shared" si="181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8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0"/>
      <c r="F165" s="69" t="str">
        <f t="shared" si="174"/>
        <v/>
      </c>
      <c r="G165" s="350"/>
      <c r="H165" s="69" t="str">
        <f t="shared" si="175"/>
        <v/>
      </c>
      <c r="I165" s="350"/>
      <c r="J165" s="69" t="str">
        <f t="shared" si="176"/>
        <v/>
      </c>
      <c r="K165" s="350"/>
      <c r="L165" s="69" t="str">
        <f t="shared" si="177"/>
        <v/>
      </c>
      <c r="M165" s="350"/>
      <c r="N165" s="69" t="str">
        <f t="shared" si="194"/>
        <v/>
      </c>
      <c r="O165" s="350"/>
      <c r="P165" s="69" t="str">
        <f t="shared" si="178"/>
        <v/>
      </c>
      <c r="Q165" s="350"/>
      <c r="R165" s="69" t="str">
        <f t="shared" si="179"/>
        <v/>
      </c>
      <c r="S165" s="350"/>
      <c r="T165" s="69" t="str">
        <f t="shared" si="180"/>
        <v/>
      </c>
      <c r="U165" s="350"/>
      <c r="V165" s="69" t="str">
        <f t="shared" si="181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3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76" t="s">
        <v>11</v>
      </c>
      <c r="B166" s="73" t="str">
        <f>IF(AA166=0,"",AA166)</f>
        <v>Stemmler, Patrick</v>
      </c>
      <c r="C166" s="74">
        <f t="shared" si="193"/>
        <v>16495</v>
      </c>
      <c r="D166" s="75">
        <f t="shared" si="193"/>
        <v>235</v>
      </c>
      <c r="E166" s="348">
        <f>IF(AD166="","",AD166)</f>
        <v>1</v>
      </c>
      <c r="F166" s="75">
        <f t="shared" si="174"/>
        <v>189</v>
      </c>
      <c r="G166" s="348">
        <f>IF(AF166="","",AF166)</f>
        <v>0</v>
      </c>
      <c r="H166" s="75">
        <f t="shared" si="175"/>
        <v>227</v>
      </c>
      <c r="I166" s="348">
        <f>IF(AH166="","",AH166)</f>
        <v>1</v>
      </c>
      <c r="J166" s="75">
        <f t="shared" si="176"/>
        <v>212</v>
      </c>
      <c r="K166" s="348">
        <f>IF(AJ166="","",AJ166)</f>
        <v>1</v>
      </c>
      <c r="L166" s="75">
        <f t="shared" si="177"/>
        <v>202</v>
      </c>
      <c r="M166" s="348">
        <f>IF(AL166="","",AL166)</f>
        <v>1</v>
      </c>
      <c r="N166" s="75">
        <f t="shared" si="194"/>
        <v>206</v>
      </c>
      <c r="O166" s="348">
        <f>IF(AN166="","",AN166)</f>
        <v>1</v>
      </c>
      <c r="P166" s="75">
        <f t="shared" si="178"/>
        <v>180</v>
      </c>
      <c r="Q166" s="348">
        <f>IF(AP166="","",AP166)</f>
        <v>1</v>
      </c>
      <c r="R166" s="75">
        <f t="shared" si="179"/>
        <v>202</v>
      </c>
      <c r="S166" s="348">
        <f>IF(AR166="","",AR166)</f>
        <v>0</v>
      </c>
      <c r="T166" s="75">
        <f t="shared" si="180"/>
        <v>181</v>
      </c>
      <c r="U166" s="348">
        <f>IF(AT166="","",AT166)</f>
        <v>0</v>
      </c>
      <c r="V166" s="75">
        <f t="shared" si="181"/>
        <v>1834</v>
      </c>
      <c r="W166" s="348">
        <f>IF(AV166="","",AV166)</f>
        <v>6</v>
      </c>
      <c r="Z166" s="351" t="s">
        <v>11</v>
      </c>
      <c r="AA166" s="108" t="str">
        <f>IF(AB166=0,"",VLOOKUP(AB166,Starter!$A$1:$D$199,2,FALSE))</f>
        <v>Stemmler, Patrick</v>
      </c>
      <c r="AB166" s="99">
        <v>16495</v>
      </c>
      <c r="AC166" s="188">
        <v>235</v>
      </c>
      <c r="AD166" s="109">
        <f>IF(SUM(AC166:AC168)+AC178=0,0,IF(SUM(AC166:AC168)=AC178,0.5,IF(SUM(AC166:AC168)&gt;AC178,1,0)))</f>
        <v>1</v>
      </c>
      <c r="AE166" s="188">
        <v>189</v>
      </c>
      <c r="AF166" s="109">
        <f>IF(SUM(AE166:AE168)+AE178=0,0,IF(SUM(AE166:AE168)=AE178,0.5,IF(SUM(AE166:AE168)&gt;AE178,1,0)))</f>
        <v>0</v>
      </c>
      <c r="AG166" s="188">
        <v>227</v>
      </c>
      <c r="AH166" s="109">
        <f>IF(SUM(AG166:AG168)+AG178=0,0,IF(SUM(AG166:AG168)=AG178,0.5,IF(SUM(AG166:AG168)&gt;AG178,1,0)))</f>
        <v>1</v>
      </c>
      <c r="AI166" s="188">
        <v>212</v>
      </c>
      <c r="AJ166" s="109">
        <f>IF(SUM(AI166:AI168)+AI178=0,0,IF(SUM(AI166:AI168)=AI178,0.5,IF(SUM(AI166:AI168)&gt;AI178,1,0)))</f>
        <v>1</v>
      </c>
      <c r="AK166" s="188">
        <v>202</v>
      </c>
      <c r="AL166" s="109">
        <f>IF(SUM(AK166:AK168)+AK178=0,0,IF(SUM(AK166:AK168)=AK178,0.5,IF(SUM(AK166:AK168)&gt;AK178,1,0)))</f>
        <v>1</v>
      </c>
      <c r="AM166" s="188">
        <v>206</v>
      </c>
      <c r="AN166" s="109">
        <f>IF(SUM(AM166:AM168)+AM178=0,0,IF(SUM(AM166:AM168)=AM178,0.5,IF(SUM(AM166:AM168)&gt;AM178,1,0)))</f>
        <v>1</v>
      </c>
      <c r="AO166" s="188">
        <v>180</v>
      </c>
      <c r="AP166" s="109">
        <f>IF(SUM(AO166:AO168)+AO178=0,0,IF(SUM(AO166:AO168)=AO178,0.5,IF(SUM(AO166:AO168)&gt;AO178,1,0)))</f>
        <v>1</v>
      </c>
      <c r="AQ166" s="188">
        <v>202</v>
      </c>
      <c r="AR166" s="109">
        <f>IF(SUM(AQ166:AQ168)+AQ178=0,0,IF(SUM(AQ166:AQ168)=AQ178,0.5,IF(SUM(AQ166:AQ168)&gt;AQ178,1,0)))</f>
        <v>0</v>
      </c>
      <c r="AS166" s="188">
        <v>181</v>
      </c>
      <c r="AT166" s="109">
        <f>IF(SUM(AS166:AS168)+AS178=0,0,IF(SUM(AS166:AS168)=AS178,0.5,IF(SUM(AS166:AS168)&gt;AS178,1,0)))</f>
        <v>0</v>
      </c>
      <c r="AU166" s="110">
        <f t="shared" si="182"/>
        <v>1834</v>
      </c>
      <c r="AV166" s="111">
        <f>SUM(AD166+AF166+AH166+AJ166+AL166+AN166+AP166+AR166+AT166)</f>
        <v>6</v>
      </c>
      <c r="AW166" s="101"/>
      <c r="AX166" s="102"/>
      <c r="AZ166" s="63"/>
      <c r="BA166" s="212"/>
      <c r="BB166" s="213"/>
      <c r="BC166" s="214"/>
      <c r="BD166" s="217">
        <f t="shared" si="195"/>
        <v>16495</v>
      </c>
      <c r="BE166" s="213">
        <f t="shared" si="196"/>
        <v>1834</v>
      </c>
      <c r="BF166" s="215">
        <f t="shared" si="197"/>
        <v>9</v>
      </c>
      <c r="BG166" s="215">
        <f t="shared" si="198"/>
        <v>9</v>
      </c>
      <c r="BH166" s="215">
        <f t="shared" si="183"/>
        <v>235</v>
      </c>
      <c r="BI166" s="215">
        <f t="shared" si="184"/>
        <v>189</v>
      </c>
      <c r="BJ166" s="215">
        <f t="shared" si="185"/>
        <v>227</v>
      </c>
      <c r="BK166" s="215">
        <f t="shared" si="186"/>
        <v>212</v>
      </c>
      <c r="BL166" s="215">
        <f t="shared" si="187"/>
        <v>202</v>
      </c>
      <c r="BM166" s="215">
        <f t="shared" si="188"/>
        <v>206</v>
      </c>
      <c r="BN166" s="215">
        <f t="shared" si="189"/>
        <v>180</v>
      </c>
      <c r="BO166" s="215">
        <f t="shared" si="190"/>
        <v>202</v>
      </c>
      <c r="BP166" s="215">
        <f t="shared" si="191"/>
        <v>181</v>
      </c>
      <c r="BQ166" s="216"/>
      <c r="BR166" s="214"/>
      <c r="BS166" s="215">
        <f t="shared" si="199"/>
        <v>235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3</v>
      </c>
      <c r="BW166" s="215">
        <f t="shared" si="203"/>
        <v>1834</v>
      </c>
      <c r="BX166" s="215">
        <f>IF(COUNTIF(BH166:BP166,"&gt;0")&lt;Spielorte!$A$23,0,BE166/Spielorte!$A$23)</f>
        <v>203.77777777777777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77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9"/>
      <c r="F167" s="78" t="str">
        <f t="shared" si="174"/>
        <v/>
      </c>
      <c r="G167" s="349"/>
      <c r="H167" s="78" t="str">
        <f t="shared" si="175"/>
        <v/>
      </c>
      <c r="I167" s="349"/>
      <c r="J167" s="78" t="str">
        <f t="shared" si="176"/>
        <v/>
      </c>
      <c r="K167" s="349"/>
      <c r="L167" s="78" t="str">
        <f t="shared" si="177"/>
        <v/>
      </c>
      <c r="M167" s="349"/>
      <c r="N167" s="78" t="str">
        <f t="shared" si="194"/>
        <v/>
      </c>
      <c r="O167" s="349"/>
      <c r="P167" s="78" t="str">
        <f t="shared" si="178"/>
        <v/>
      </c>
      <c r="Q167" s="349"/>
      <c r="R167" s="78" t="str">
        <f t="shared" si="179"/>
        <v/>
      </c>
      <c r="S167" s="349"/>
      <c r="T167" s="78" t="str">
        <f t="shared" si="180"/>
        <v/>
      </c>
      <c r="U167" s="349"/>
      <c r="V167" s="78" t="str">
        <f t="shared" si="181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3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8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0"/>
      <c r="F168" s="69" t="str">
        <f t="shared" si="174"/>
        <v/>
      </c>
      <c r="G168" s="350"/>
      <c r="H168" s="69" t="str">
        <f t="shared" si="175"/>
        <v/>
      </c>
      <c r="I168" s="350"/>
      <c r="J168" s="69" t="str">
        <f t="shared" si="176"/>
        <v/>
      </c>
      <c r="K168" s="350"/>
      <c r="L168" s="69" t="str">
        <f t="shared" si="177"/>
        <v/>
      </c>
      <c r="M168" s="350"/>
      <c r="N168" s="69" t="str">
        <f t="shared" si="194"/>
        <v/>
      </c>
      <c r="O168" s="350"/>
      <c r="P168" s="69" t="str">
        <f t="shared" si="178"/>
        <v/>
      </c>
      <c r="Q168" s="350"/>
      <c r="R168" s="69" t="str">
        <f t="shared" si="179"/>
        <v/>
      </c>
      <c r="S168" s="350"/>
      <c r="T168" s="69" t="str">
        <f t="shared" si="180"/>
        <v/>
      </c>
      <c r="U168" s="350"/>
      <c r="V168" s="69" t="str">
        <f t="shared" si="181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3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880</v>
      </c>
      <c r="E169" s="84">
        <f>IF(AD169="","",AD169)</f>
        <v>2</v>
      </c>
      <c r="F169" s="83">
        <f t="shared" si="174"/>
        <v>865</v>
      </c>
      <c r="G169" s="84">
        <f>IF(AF169="","",AF169)</f>
        <v>0</v>
      </c>
      <c r="H169" s="83">
        <f t="shared" si="175"/>
        <v>813</v>
      </c>
      <c r="I169" s="84">
        <f>IF(AH169="","",AH169)</f>
        <v>2</v>
      </c>
      <c r="J169" s="83">
        <f t="shared" si="176"/>
        <v>811</v>
      </c>
      <c r="K169" s="84">
        <f>IF(AJ169="","",AJ169)</f>
        <v>0</v>
      </c>
      <c r="L169" s="83">
        <f t="shared" si="177"/>
        <v>752</v>
      </c>
      <c r="M169" s="84">
        <f>IF(AL169="","",AL169)</f>
        <v>0</v>
      </c>
      <c r="N169" s="83">
        <f t="shared" si="194"/>
        <v>748</v>
      </c>
      <c r="O169" s="84">
        <f>IF(AN169="","",AN169)</f>
        <v>0</v>
      </c>
      <c r="P169" s="83">
        <f t="shared" si="178"/>
        <v>763</v>
      </c>
      <c r="Q169" s="84">
        <f>IF(AP169="","",AP169)</f>
        <v>2</v>
      </c>
      <c r="R169" s="83">
        <f t="shared" si="179"/>
        <v>841</v>
      </c>
      <c r="S169" s="84">
        <f>IF(AR169="","",AR169)</f>
        <v>2</v>
      </c>
      <c r="T169" s="83">
        <f t="shared" si="180"/>
        <v>786</v>
      </c>
      <c r="U169" s="84">
        <f>IF(AT169="","",AT169)</f>
        <v>0</v>
      </c>
      <c r="V169" s="83">
        <f t="shared" si="181"/>
        <v>7259</v>
      </c>
      <c r="W169" s="84">
        <f>IF(AV169="","",AV169)</f>
        <v>8</v>
      </c>
      <c r="AA169" s="81" t="s">
        <v>1799</v>
      </c>
      <c r="AB169" s="120"/>
      <c r="AC169" s="211">
        <f>ABS(SUM(AC157:AC159))+ABS(SUM(AC160:AC162))+ABS(SUM(AC163:AC165))+ABS(SUM(AC166:AC168))</f>
        <v>880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865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813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811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752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748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763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841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786</v>
      </c>
      <c r="AT169" s="121">
        <f>IF(AS169+AS179=0,0,IF(AS169=AS179,1,IF(AS169&gt;AS179,2,0)))</f>
        <v>0</v>
      </c>
      <c r="AU169" s="122">
        <f>SUM(AC169+AE169+AG169+AI169+AK169+AM169+AO169+AQ169+AS169)</f>
        <v>7259</v>
      </c>
      <c r="AV169" s="123">
        <f>SUM(AD169+AF169+AH169+AJ169+AL169+AN169+AP169+AR169+AT169)</f>
        <v>8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4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6</v>
      </c>
      <c r="J170" s="86" t="str">
        <f t="shared" si="176"/>
        <v/>
      </c>
      <c r="K170" s="87">
        <f>IF(AJ170="","",AJ170)</f>
        <v>2</v>
      </c>
      <c r="L170" s="86" t="str">
        <f t="shared" si="177"/>
        <v/>
      </c>
      <c r="M170" s="87">
        <f>IF(AL170="","",AL170)</f>
        <v>1</v>
      </c>
      <c r="N170" s="86" t="str">
        <f t="shared" si="194"/>
        <v/>
      </c>
      <c r="O170" s="87">
        <f>IF(AN170="","",AN170)</f>
        <v>2</v>
      </c>
      <c r="P170" s="86" t="str">
        <f t="shared" si="178"/>
        <v/>
      </c>
      <c r="Q170" s="87">
        <f>IF(AP170="","",AP170)</f>
        <v>5</v>
      </c>
      <c r="R170" s="86" t="str">
        <f t="shared" si="179"/>
        <v/>
      </c>
      <c r="S170" s="87">
        <f>IF(AR170="","",AR170)</f>
        <v>4</v>
      </c>
      <c r="T170" s="86" t="str">
        <f t="shared" si="180"/>
        <v/>
      </c>
      <c r="U170" s="87">
        <f>IF(AT170="","",AT170)</f>
        <v>2</v>
      </c>
      <c r="V170" s="86" t="str">
        <f t="shared" si="181"/>
        <v/>
      </c>
      <c r="W170" s="87">
        <f>IF(AV170="","",AV170)</f>
        <v>27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1</v>
      </c>
      <c r="AG170" s="86"/>
      <c r="AH170" s="124">
        <f>SUM(AH157:AH169)</f>
        <v>6</v>
      </c>
      <c r="AI170" s="86"/>
      <c r="AJ170" s="124">
        <f>SUM(AJ157:AJ169)</f>
        <v>2</v>
      </c>
      <c r="AK170" s="86"/>
      <c r="AL170" s="124">
        <f>SUM(AL157:AL169)</f>
        <v>1</v>
      </c>
      <c r="AM170" s="86"/>
      <c r="AN170" s="124">
        <f>SUM(AN157:AN169)</f>
        <v>2</v>
      </c>
      <c r="AO170" s="86"/>
      <c r="AP170" s="124">
        <f>SUM(AP157:AP169)</f>
        <v>5</v>
      </c>
      <c r="AQ170" s="86"/>
      <c r="AR170" s="124">
        <f>SUM(AR157:AR169)</f>
        <v>4</v>
      </c>
      <c r="AS170" s="86"/>
      <c r="AT170" s="124">
        <f>SUM(AT157:AT169)</f>
        <v>2</v>
      </c>
      <c r="AU170" s="86"/>
      <c r="AV170" s="125">
        <f>SUM(AV157:AV169)</f>
        <v>27</v>
      </c>
      <c r="AW170" s="101"/>
      <c r="AX170" s="102"/>
      <c r="BA170" s="212">
        <f>+AV170</f>
        <v>27</v>
      </c>
      <c r="BB170" s="213">
        <f>+AU169</f>
        <v>7259</v>
      </c>
      <c r="BC170" s="214">
        <f>+AA152</f>
        <v>6</v>
      </c>
      <c r="BF170" s="215">
        <f>SUM(BF151:BF169)</f>
        <v>36</v>
      </c>
      <c r="BQ170" s="212">
        <f>+BB170/1000000+BA170</f>
        <v>27.007259000000001</v>
      </c>
      <c r="BR170" s="214">
        <f>RANK(BQ170,BQ:BQ)</f>
        <v>7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6">
        <f t="shared" si="205"/>
        <v>5</v>
      </c>
      <c r="E172" s="356" t="str">
        <f t="shared" si="205"/>
        <v/>
      </c>
      <c r="F172" s="356">
        <f t="shared" si="205"/>
        <v>1</v>
      </c>
      <c r="G172" s="356" t="str">
        <f t="shared" si="205"/>
        <v/>
      </c>
      <c r="H172" s="356">
        <f t="shared" si="205"/>
        <v>7</v>
      </c>
      <c r="I172" s="356" t="str">
        <f t="shared" si="205"/>
        <v/>
      </c>
      <c r="J172" s="356">
        <f t="shared" si="205"/>
        <v>8</v>
      </c>
      <c r="K172" s="356" t="str">
        <f t="shared" si="205"/>
        <v/>
      </c>
      <c r="L172" s="356">
        <f t="shared" si="205"/>
        <v>2</v>
      </c>
      <c r="M172" s="356" t="str">
        <f t="shared" si="205"/>
        <v/>
      </c>
      <c r="N172" s="356">
        <f t="shared" si="205"/>
        <v>9</v>
      </c>
      <c r="O172" s="356" t="str">
        <f t="shared" si="205"/>
        <v/>
      </c>
      <c r="P172" s="356">
        <f t="shared" si="205"/>
        <v>4</v>
      </c>
      <c r="Q172" s="356" t="str">
        <f t="shared" si="205"/>
        <v/>
      </c>
      <c r="R172" s="356">
        <f t="shared" ref="L172:U174" si="206">IF(AQ172=0,"",AQ172)</f>
        <v>10</v>
      </c>
      <c r="S172" s="356" t="str">
        <f t="shared" si="206"/>
        <v/>
      </c>
      <c r="T172" s="356">
        <f t="shared" si="206"/>
        <v>3</v>
      </c>
      <c r="U172" s="356" t="str">
        <f t="shared" si="206"/>
        <v/>
      </c>
      <c r="V172" s="357"/>
      <c r="W172" s="357"/>
      <c r="AA172" s="88" t="s">
        <v>1797</v>
      </c>
      <c r="AB172" s="89" t="s">
        <v>1798</v>
      </c>
      <c r="AC172" s="370">
        <f>VLOOKUP($AA152,Schlüssel!$A$5:$DG$14,83)</f>
        <v>5</v>
      </c>
      <c r="AD172" s="371"/>
      <c r="AE172" s="370">
        <f>VLOOKUP($AA152,Schlüssel!$A$5:$EK$14,84)</f>
        <v>1</v>
      </c>
      <c r="AF172" s="371"/>
      <c r="AG172" s="370">
        <f>VLOOKUP($AA152,Schlüssel!$A$5:$EK$14,85)</f>
        <v>7</v>
      </c>
      <c r="AH172" s="371"/>
      <c r="AI172" s="370">
        <f>VLOOKUP($AA152,Schlüssel!$A$5:$EK$14,86)</f>
        <v>8</v>
      </c>
      <c r="AJ172" s="371"/>
      <c r="AK172" s="370">
        <f>VLOOKUP($AA152,Schlüssel!$A$5:$EK$14,87)</f>
        <v>2</v>
      </c>
      <c r="AL172" s="371"/>
      <c r="AM172" s="370">
        <f>VLOOKUP($AA152,Schlüssel!$A$5:$EK$14,88)</f>
        <v>9</v>
      </c>
      <c r="AN172" s="371"/>
      <c r="AO172" s="370">
        <f>VLOOKUP($AA152,Schlüssel!$A$5:$EK$14,89)</f>
        <v>4</v>
      </c>
      <c r="AP172" s="371"/>
      <c r="AQ172" s="370">
        <f>VLOOKUP($AA152,Schlüssel!$A$5:$EK$14,90)</f>
        <v>10</v>
      </c>
      <c r="AR172" s="371"/>
      <c r="AS172" s="370">
        <f>VLOOKUP($AA152,Schlüssel!$A$5:$EK$14,91)</f>
        <v>3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58" t="str">
        <f t="shared" si="207"/>
        <v>RW Lichtenhof Stein 1</v>
      </c>
      <c r="E173" s="359" t="str">
        <f t="shared" si="207"/>
        <v/>
      </c>
      <c r="F173" s="358" t="str">
        <f t="shared" si="207"/>
        <v>BC Comet Nürnberg</v>
      </c>
      <c r="G173" s="359" t="str">
        <f t="shared" si="207"/>
        <v/>
      </c>
      <c r="H173" s="358" t="str">
        <f t="shared" si="207"/>
        <v>Schanzer Ingolstadt 1</v>
      </c>
      <c r="I173" s="359" t="str">
        <f t="shared" si="207"/>
        <v/>
      </c>
      <c r="J173" s="358" t="str">
        <f t="shared" si="207"/>
        <v>BC EMAX Unterföhring 2</v>
      </c>
      <c r="K173" s="359" t="str">
        <f t="shared" si="207"/>
        <v/>
      </c>
      <c r="L173" s="358" t="str">
        <f t="shared" si="206"/>
        <v>Bajuwaren München 1</v>
      </c>
      <c r="M173" s="359" t="str">
        <f t="shared" si="206"/>
        <v/>
      </c>
      <c r="N173" s="358" t="str">
        <f t="shared" si="206"/>
        <v>Bowlinghaus Bamberg 1</v>
      </c>
      <c r="O173" s="359" t="str">
        <f t="shared" si="206"/>
        <v/>
      </c>
      <c r="P173" s="358" t="str">
        <f t="shared" si="206"/>
        <v>SG DJK Rimpar</v>
      </c>
      <c r="Q173" s="359" t="str">
        <f t="shared" si="206"/>
        <v/>
      </c>
      <c r="R173" s="358" t="str">
        <f t="shared" si="206"/>
        <v>High Roller Rosenheim 1</v>
      </c>
      <c r="S173" s="359" t="str">
        <f t="shared" si="206"/>
        <v/>
      </c>
      <c r="T173" s="358" t="str">
        <f t="shared" si="206"/>
        <v>BK München 3</v>
      </c>
      <c r="U173" s="359" t="str">
        <f t="shared" si="206"/>
        <v/>
      </c>
      <c r="V173" s="363"/>
      <c r="W173" s="363"/>
      <c r="AA173" s="90"/>
      <c r="AB173" s="86"/>
      <c r="AC173" s="358" t="str">
        <f>VLOOKUP(AC172,Schlüssel!$A$5:$K$14,2)</f>
        <v>RW Lichtenhof Stein 1</v>
      </c>
      <c r="AD173" s="359"/>
      <c r="AE173" s="358" t="str">
        <f>VLOOKUP(AE172,Schlüssel!$A$5:$K$14,2)</f>
        <v>BC Comet Nürnberg</v>
      </c>
      <c r="AF173" s="359"/>
      <c r="AG173" s="358" t="str">
        <f>VLOOKUP(AG172,Schlüssel!$A$5:$K$14,2)</f>
        <v>Schanzer Ingolstadt 1</v>
      </c>
      <c r="AH173" s="359"/>
      <c r="AI173" s="358" t="str">
        <f>VLOOKUP(AI172,Schlüssel!$A$5:$K$14,2)</f>
        <v>BC EMAX Unterföhring 2</v>
      </c>
      <c r="AJ173" s="359"/>
      <c r="AK173" s="358" t="str">
        <f>VLOOKUP(AK172,Schlüssel!$A$5:$K$14,2)</f>
        <v>Bajuwaren München 1</v>
      </c>
      <c r="AL173" s="359"/>
      <c r="AM173" s="358" t="str">
        <f>VLOOKUP(AM172,Schlüssel!$A$5:$K$14,2)</f>
        <v>Bowlinghaus Bamberg 1</v>
      </c>
      <c r="AN173" s="359"/>
      <c r="AO173" s="358" t="str">
        <f>VLOOKUP(AO172,Schlüssel!$A$5:$K$14,2)</f>
        <v>SG DJK Rimpar</v>
      </c>
      <c r="AP173" s="359"/>
      <c r="AQ173" s="358" t="str">
        <f>VLOOKUP(AQ172,Schlüssel!$A$5:$K$14,2)</f>
        <v>High Roller Rosenheim 1</v>
      </c>
      <c r="AR173" s="359"/>
      <c r="AS173" s="358" t="str">
        <f>VLOOKUP(AS172,Schlüssel!$A$5:$K$14,2)</f>
        <v>BK München 3</v>
      </c>
      <c r="AT173" s="359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60" t="str">
        <f t="shared" si="207"/>
        <v/>
      </c>
      <c r="E174" s="360" t="str">
        <f t="shared" si="207"/>
        <v/>
      </c>
      <c r="F174" s="360" t="str">
        <f t="shared" si="207"/>
        <v/>
      </c>
      <c r="G174" s="360" t="str">
        <f t="shared" si="207"/>
        <v/>
      </c>
      <c r="H174" s="360" t="str">
        <f t="shared" si="207"/>
        <v/>
      </c>
      <c r="I174" s="360" t="str">
        <f t="shared" si="207"/>
        <v/>
      </c>
      <c r="J174" s="360" t="str">
        <f t="shared" si="207"/>
        <v/>
      </c>
      <c r="K174" s="360" t="str">
        <f t="shared" si="207"/>
        <v/>
      </c>
      <c r="L174" s="360" t="str">
        <f t="shared" si="206"/>
        <v/>
      </c>
      <c r="M174" s="360" t="str">
        <f t="shared" si="206"/>
        <v/>
      </c>
      <c r="N174" s="360" t="str">
        <f t="shared" si="206"/>
        <v/>
      </c>
      <c r="O174" s="360" t="str">
        <f t="shared" si="206"/>
        <v/>
      </c>
      <c r="P174" s="360" t="str">
        <f t="shared" si="206"/>
        <v/>
      </c>
      <c r="Q174" s="360" t="str">
        <f t="shared" si="206"/>
        <v/>
      </c>
      <c r="R174" s="360" t="str">
        <f t="shared" si="206"/>
        <v/>
      </c>
      <c r="S174" s="360" t="str">
        <f t="shared" si="206"/>
        <v/>
      </c>
      <c r="T174" s="360" t="str">
        <f t="shared" si="206"/>
        <v/>
      </c>
      <c r="U174" s="361" t="str">
        <f t="shared" si="206"/>
        <v/>
      </c>
      <c r="V174" s="298"/>
      <c r="W174" s="298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4" t="str">
        <f t="shared" ref="B175:C179" si="208">IF(AA175=0,"",AA175)</f>
        <v>Spieler 1</v>
      </c>
      <c r="C175" s="375" t="str">
        <f t="shared" si="208"/>
        <v/>
      </c>
      <c r="D175" s="362">
        <f>IF(AC175=301,"",AC175)</f>
        <v>191</v>
      </c>
      <c r="E175" s="362" t="str">
        <f>IF(AD175=0,"",AD175)</f>
        <v/>
      </c>
      <c r="F175" s="362">
        <f>IF(AE175=301,"",AE175)</f>
        <v>300</v>
      </c>
      <c r="G175" s="362" t="str">
        <f>IF(AF175=0,"",AF175)</f>
        <v/>
      </c>
      <c r="H175" s="362">
        <f>IF(AG175=301,"",AG175)</f>
        <v>149</v>
      </c>
      <c r="I175" s="362" t="str">
        <f>IF(AH175=0,"",AH175)</f>
        <v/>
      </c>
      <c r="J175" s="362">
        <f>IF(AI175=301,"",AI175)</f>
        <v>175</v>
      </c>
      <c r="K175" s="362" t="str">
        <f>IF(AJ175=0,"",AJ175)</f>
        <v/>
      </c>
      <c r="L175" s="362">
        <f>IF(AK175=301,"",AK175)</f>
        <v>239</v>
      </c>
      <c r="M175" s="362" t="str">
        <f>IF(AL175=0,"",AL175)</f>
        <v/>
      </c>
      <c r="N175" s="362">
        <f>IF(AM175=301,"",AM175)</f>
        <v>202</v>
      </c>
      <c r="O175" s="362" t="str">
        <f>IF(AN175=0,"",AN175)</f>
        <v/>
      </c>
      <c r="P175" s="362">
        <f>IF(AO175=301,"",AO175)</f>
        <v>220</v>
      </c>
      <c r="Q175" s="362" t="str">
        <f>IF(AP175=0,"",AP175)</f>
        <v/>
      </c>
      <c r="R175" s="362">
        <f>IF(AQ175=301,"",AQ175)</f>
        <v>236</v>
      </c>
      <c r="S175" s="362" t="str">
        <f>IF(AR175=0,"",AR175)</f>
        <v/>
      </c>
      <c r="T175" s="362">
        <f>IF(AS175=301,"",AS175)</f>
        <v>258</v>
      </c>
      <c r="U175" s="362" t="str">
        <f>IF(AT175=0,"",AT175)</f>
        <v/>
      </c>
      <c r="V175" s="364"/>
      <c r="W175" s="364"/>
      <c r="AA175" s="91" t="s">
        <v>0</v>
      </c>
      <c r="AB175" s="92"/>
      <c r="AC175" s="368">
        <f>ABS(INDEX(AC:AC,MATCH(AC172,$AA:$AA,0)+5)+INDEX(AC:AC,MATCH(AC172,$AA:$AA,0)+6)+INDEX(AC:AC,MATCH(AC172,$AA:$AA,0)+7))</f>
        <v>191</v>
      </c>
      <c r="AD175" s="369"/>
      <c r="AE175" s="368">
        <f>ABS(INDEX(AE:AE,MATCH(AE172,$AA:$AA,0)+5)+INDEX(AE:AE,MATCH(AE172,$AA:$AA,0)+6)+INDEX(AE:AE,MATCH(AE172,$AA:$AA,0)+7))</f>
        <v>300</v>
      </c>
      <c r="AF175" s="369"/>
      <c r="AG175" s="368">
        <f>ABS(INDEX(AG:AG,MATCH(AG172,$AA:$AA,0)+5)+INDEX(AG:AG,MATCH(AG172,$AA:$AA,0)+6)+INDEX(AG:AG,MATCH(AG172,$AA:$AA,0)+7))</f>
        <v>149</v>
      </c>
      <c r="AH175" s="369"/>
      <c r="AI175" s="368">
        <f>ABS(INDEX(AI:AI,MATCH(AI172,$AA:$AA,0)+5)+INDEX(AI:AI,MATCH(AI172,$AA:$AA,0)+6)+INDEX(AI:AI,MATCH(AI172,$AA:$AA,0)+7))</f>
        <v>175</v>
      </c>
      <c r="AJ175" s="369"/>
      <c r="AK175" s="368">
        <f>ABS(INDEX(AK:AK,MATCH(AK172,$AA:$AA,0)+5)+INDEX(AK:AK,MATCH(AK172,$AA:$AA,0)+6)+INDEX(AK:AK,MATCH(AK172,$AA:$AA,0)+7))</f>
        <v>239</v>
      </c>
      <c r="AL175" s="369"/>
      <c r="AM175" s="368">
        <f>ABS(INDEX(AM:AM,MATCH(AM172,$AA:$AA,0)+5)+INDEX(AM:AM,MATCH(AM172,$AA:$AA,0)+6)+INDEX(AM:AM,MATCH(AM172,$AA:$AA,0)+7))</f>
        <v>202</v>
      </c>
      <c r="AN175" s="369"/>
      <c r="AO175" s="368">
        <f>ABS(INDEX(AO:AO,MATCH(AO172,$AA:$AA,0)+5)+INDEX(AO:AO,MATCH(AO172,$AA:$AA,0)+6)+INDEX(AO:AO,MATCH(AO172,$AA:$AA,0)+7))</f>
        <v>220</v>
      </c>
      <c r="AP175" s="369"/>
      <c r="AQ175" s="368">
        <f>ABS(INDEX(AQ:AQ,MATCH(AQ172,$AA:$AA,0)+5)+INDEX(AQ:AQ,MATCH(AQ172,$AA:$AA,0)+6)+INDEX(AQ:AQ,MATCH(AQ172,$AA:$AA,0)+7))</f>
        <v>236</v>
      </c>
      <c r="AR175" s="369"/>
      <c r="AS175" s="368">
        <f>ABS(INDEX(AS:AS,MATCH(AS172,$AA:$AA,0)+5)+INDEX(AS:AS,MATCH(AS172,$AA:$AA,0)+6)+INDEX(AS:AS,MATCH(AS172,$AA:$AA,0)+7))</f>
        <v>258</v>
      </c>
      <c r="AT175" s="369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4" t="str">
        <f t="shared" si="208"/>
        <v>Spieler 2</v>
      </c>
      <c r="C176" s="375" t="str">
        <f t="shared" si="208"/>
        <v/>
      </c>
      <c r="D176" s="362">
        <f>IF(AC176=301,"",AC176)</f>
        <v>200</v>
      </c>
      <c r="E176" s="362" t="str">
        <f>IF(AD176=0,"",AD176)</f>
        <v/>
      </c>
      <c r="F176" s="362">
        <f>IF(AE176=301,"",AE176)</f>
        <v>224</v>
      </c>
      <c r="G176" s="362" t="str">
        <f>IF(AF176=0,"",AF176)</f>
        <v/>
      </c>
      <c r="H176" s="362">
        <f>IF(AG176=301,"",AG176)</f>
        <v>209</v>
      </c>
      <c r="I176" s="362" t="str">
        <f>IF(AH176=0,"",AH176)</f>
        <v/>
      </c>
      <c r="J176" s="362">
        <f>IF(AI176=301,"",AI176)</f>
        <v>232</v>
      </c>
      <c r="K176" s="362" t="str">
        <f>IF(AJ176=0,"",AJ176)</f>
        <v/>
      </c>
      <c r="L176" s="362">
        <f>IF(AK176=301,"",AK176)</f>
        <v>229</v>
      </c>
      <c r="M176" s="362" t="str">
        <f>IF(AL176=0,"",AL176)</f>
        <v/>
      </c>
      <c r="N176" s="362">
        <f>IF(AM176=301,"",AM176)</f>
        <v>206</v>
      </c>
      <c r="O176" s="362" t="str">
        <f>IF(AN176=0,"",AN176)</f>
        <v/>
      </c>
      <c r="P176" s="362">
        <f>IF(AO176=301,"",AO176)</f>
        <v>166</v>
      </c>
      <c r="Q176" s="362" t="str">
        <f>IF(AP176=0,"",AP176)</f>
        <v/>
      </c>
      <c r="R176" s="362">
        <f>IF(AQ176=301,"",AQ176)</f>
        <v>183</v>
      </c>
      <c r="S176" s="362" t="str">
        <f>IF(AR176=0,"",AR176)</f>
        <v/>
      </c>
      <c r="T176" s="362">
        <f>IF(AS176=301,"",AS176)</f>
        <v>211</v>
      </c>
      <c r="U176" s="362" t="str">
        <f>IF(AT176=0,"",AT176)</f>
        <v/>
      </c>
      <c r="V176" s="364"/>
      <c r="W176" s="364"/>
      <c r="AA176" s="91" t="s">
        <v>2</v>
      </c>
      <c r="AB176" s="92"/>
      <c r="AC176" s="366">
        <f>ABS(INDEX(AC:AC,MATCH(AC172,$AA:$AA,0)+8)+INDEX(AC:AC,MATCH(AC172,$AA:$AA,0)+9)+INDEX(AC:AC,MATCH(AC172,$AA:$AA,0)+10))</f>
        <v>200</v>
      </c>
      <c r="AD176" s="367"/>
      <c r="AE176" s="366">
        <f>ABS(INDEX(AE:AE,MATCH(AE172,$AA:$AA,0)+8)+INDEX(AE:AE,MATCH(AE172,$AA:$AA,0)+9)+INDEX(AE:AE,MATCH(AE172,$AA:$AA,0)+10))</f>
        <v>224</v>
      </c>
      <c r="AF176" s="367"/>
      <c r="AG176" s="366">
        <f>ABS(INDEX(AG:AG,MATCH(AG172,$AA:$AA,0)+8)+INDEX(AG:AG,MATCH(AG172,$AA:$AA,0)+9)+INDEX(AG:AG,MATCH(AG172,$AA:$AA,0)+10))</f>
        <v>209</v>
      </c>
      <c r="AH176" s="367"/>
      <c r="AI176" s="366">
        <f>ABS(INDEX(AI:AI,MATCH(AI172,$AA:$AA,0)+8)+INDEX(AI:AI,MATCH(AI172,$AA:$AA,0)+9)+INDEX(AI:AI,MATCH(AI172,$AA:$AA,0)+10))</f>
        <v>232</v>
      </c>
      <c r="AJ176" s="367"/>
      <c r="AK176" s="366">
        <f>ABS(INDEX(AK:AK,MATCH(AK172,$AA:$AA,0)+8)+INDEX(AK:AK,MATCH(AK172,$AA:$AA,0)+9)+INDEX(AK:AK,MATCH(AK172,$AA:$AA,0)+10))</f>
        <v>229</v>
      </c>
      <c r="AL176" s="367"/>
      <c r="AM176" s="366">
        <f>ABS(INDEX(AM:AM,MATCH(AM172,$AA:$AA,0)+8)+INDEX(AM:AM,MATCH(AM172,$AA:$AA,0)+9)+INDEX(AM:AM,MATCH(AM172,$AA:$AA,0)+10))</f>
        <v>206</v>
      </c>
      <c r="AN176" s="367"/>
      <c r="AO176" s="366">
        <f>ABS(INDEX(AO:AO,MATCH(AO172,$AA:$AA,0)+8)+INDEX(AO:AO,MATCH(AO172,$AA:$AA,0)+9)+INDEX(AO:AO,MATCH(AO172,$AA:$AA,0)+10))</f>
        <v>166</v>
      </c>
      <c r="AP176" s="367"/>
      <c r="AQ176" s="366">
        <f>ABS(INDEX(AQ:AQ,MATCH(AQ172,$AA:$AA,0)+8)+INDEX(AQ:AQ,MATCH(AQ172,$AA:$AA,0)+9)+INDEX(AQ:AQ,MATCH(AQ172,$AA:$AA,0)+10))</f>
        <v>183</v>
      </c>
      <c r="AR176" s="367"/>
      <c r="AS176" s="366">
        <f>ABS(INDEX(AS:AS,MATCH(AS172,$AA:$AA,0)+8)+INDEX(AS:AS,MATCH(AS172,$AA:$AA,0)+9)+INDEX(AS:AS,MATCH(AS172,$AA:$AA,0)+10))</f>
        <v>211</v>
      </c>
      <c r="AT176" s="367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4" t="str">
        <f t="shared" si="208"/>
        <v>Spieler 3</v>
      </c>
      <c r="C177" s="375" t="str">
        <f t="shared" si="208"/>
        <v/>
      </c>
      <c r="D177" s="362">
        <f>IF(AC177=301,"",AC177)</f>
        <v>215</v>
      </c>
      <c r="E177" s="362" t="str">
        <f>IF(AD177=0,"",AD177)</f>
        <v/>
      </c>
      <c r="F177" s="362">
        <f>IF(AE177=301,"",AE177)</f>
        <v>214</v>
      </c>
      <c r="G177" s="362" t="str">
        <f>IF(AF177=0,"",AF177)</f>
        <v/>
      </c>
      <c r="H177" s="362">
        <f>IF(AG177=301,"",AG177)</f>
        <v>161</v>
      </c>
      <c r="I177" s="362" t="str">
        <f>IF(AH177=0,"",AH177)</f>
        <v/>
      </c>
      <c r="J177" s="362">
        <f>IF(AI177=301,"",AI177)</f>
        <v>244</v>
      </c>
      <c r="K177" s="362" t="str">
        <f>IF(AJ177=0,"",AJ177)</f>
        <v/>
      </c>
      <c r="L177" s="362">
        <f>IF(AK177=301,"",AK177)</f>
        <v>210</v>
      </c>
      <c r="M177" s="362" t="str">
        <f>IF(AL177=0,"",AL177)</f>
        <v/>
      </c>
      <c r="N177" s="362">
        <f>IF(AM177=301,"",AM177)</f>
        <v>192</v>
      </c>
      <c r="O177" s="362" t="str">
        <f>IF(AN177=0,"",AN177)</f>
        <v/>
      </c>
      <c r="P177" s="362">
        <f>IF(AO177=301,"",AO177)</f>
        <v>169</v>
      </c>
      <c r="Q177" s="362" t="str">
        <f>IF(AP177=0,"",AP177)</f>
        <v/>
      </c>
      <c r="R177" s="362">
        <f>IF(AQ177=301,"",AQ177)</f>
        <v>182</v>
      </c>
      <c r="S177" s="362" t="str">
        <f>IF(AR177=0,"",AR177)</f>
        <v/>
      </c>
      <c r="T177" s="362">
        <f>IF(AS177=301,"",AS177)</f>
        <v>196</v>
      </c>
      <c r="U177" s="362" t="str">
        <f>IF(AT177=0,"",AT177)</f>
        <v/>
      </c>
      <c r="V177" s="364"/>
      <c r="W177" s="364"/>
      <c r="AA177" s="91" t="s">
        <v>3</v>
      </c>
      <c r="AB177" s="92"/>
      <c r="AC177" s="366">
        <f>ABS(INDEX(AC:AC,MATCH(AC172,$AA:$AA,0)+11)+INDEX(AC:AC,MATCH(AC172,$AA:$AA,0)+12)+INDEX(AC:AC,MATCH(AC172,$AA:$AA,0)+13))</f>
        <v>215</v>
      </c>
      <c r="AD177" s="367"/>
      <c r="AE177" s="366">
        <f>ABS(INDEX(AE:AE,MATCH(AE172,$AA:$AA,0)+11)+INDEX(AE:AE,MATCH(AE172,$AA:$AA,0)+12)+INDEX(AE:AE,MATCH(AE172,$AA:$AA,0)+13))</f>
        <v>214</v>
      </c>
      <c r="AF177" s="367"/>
      <c r="AG177" s="366">
        <f>ABS(INDEX(AG:AG,MATCH(AG172,$AA:$AA,0)+11)+INDEX(AG:AG,MATCH(AG172,$AA:$AA,0)+12)+INDEX(AG:AG,MATCH(AG172,$AA:$AA,0)+13))</f>
        <v>161</v>
      </c>
      <c r="AH177" s="367"/>
      <c r="AI177" s="366">
        <f>ABS(INDEX(AI:AI,MATCH(AI172,$AA:$AA,0)+11)+INDEX(AI:AI,MATCH(AI172,$AA:$AA,0)+12)+INDEX(AI:AI,MATCH(AI172,$AA:$AA,0)+13))</f>
        <v>244</v>
      </c>
      <c r="AJ177" s="367"/>
      <c r="AK177" s="366">
        <f>ABS(INDEX(AK:AK,MATCH(AK172,$AA:$AA,0)+11)+INDEX(AK:AK,MATCH(AK172,$AA:$AA,0)+12)+INDEX(AK:AK,MATCH(AK172,$AA:$AA,0)+13))</f>
        <v>210</v>
      </c>
      <c r="AL177" s="367"/>
      <c r="AM177" s="366">
        <f>ABS(INDEX(AM:AM,MATCH(AM172,$AA:$AA,0)+11)+INDEX(AM:AM,MATCH(AM172,$AA:$AA,0)+12)+INDEX(AM:AM,MATCH(AM172,$AA:$AA,0)+13))</f>
        <v>192</v>
      </c>
      <c r="AN177" s="367"/>
      <c r="AO177" s="366">
        <f>ABS(INDEX(AO:AO,MATCH(AO172,$AA:$AA,0)+11)+INDEX(AO:AO,MATCH(AO172,$AA:$AA,0)+12)+INDEX(AO:AO,MATCH(AO172,$AA:$AA,0)+13))</f>
        <v>169</v>
      </c>
      <c r="AP177" s="367"/>
      <c r="AQ177" s="366">
        <f>ABS(INDEX(AQ:AQ,MATCH(AQ172,$AA:$AA,0)+11)+INDEX(AQ:AQ,MATCH(AQ172,$AA:$AA,0)+12)+INDEX(AQ:AQ,MATCH(AQ172,$AA:$AA,0)+13))</f>
        <v>182</v>
      </c>
      <c r="AR177" s="367"/>
      <c r="AS177" s="366">
        <f>ABS(INDEX(AS:AS,MATCH(AS172,$AA:$AA,0)+11)+INDEX(AS:AS,MATCH(AS172,$AA:$AA,0)+12)+INDEX(AS:AS,MATCH(AS172,$AA:$AA,0)+13))</f>
        <v>196</v>
      </c>
      <c r="AT177" s="367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4" t="str">
        <f t="shared" si="208"/>
        <v>Spieler 4</v>
      </c>
      <c r="C178" s="375" t="str">
        <f t="shared" si="208"/>
        <v/>
      </c>
      <c r="D178" s="362">
        <f>IF(AC178=301,"",AC178)</f>
        <v>222</v>
      </c>
      <c r="E178" s="362" t="str">
        <f>IF(AD178=0,"",AD178)</f>
        <v/>
      </c>
      <c r="F178" s="362">
        <f>IF(AE178=301,"",AE178)</f>
        <v>233</v>
      </c>
      <c r="G178" s="362" t="str">
        <f>IF(AF178=0,"",AF178)</f>
        <v/>
      </c>
      <c r="H178" s="362">
        <f>IF(AG178=301,"",AG178)</f>
        <v>191</v>
      </c>
      <c r="I178" s="362" t="str">
        <f>IF(AH178=0,"",AH178)</f>
        <v/>
      </c>
      <c r="J178" s="362">
        <f>IF(AI178=301,"",AI178)</f>
        <v>200</v>
      </c>
      <c r="K178" s="362" t="str">
        <f>IF(AJ178=0,"",AJ178)</f>
        <v/>
      </c>
      <c r="L178" s="362">
        <f>IF(AK178=301,"",AK178)</f>
        <v>189</v>
      </c>
      <c r="M178" s="362" t="str">
        <f>IF(AL178=0,"",AL178)</f>
        <v/>
      </c>
      <c r="N178" s="362">
        <f>IF(AM178=301,"",AM178)</f>
        <v>193</v>
      </c>
      <c r="O178" s="362" t="str">
        <f>IF(AN178=0,"",AN178)</f>
        <v/>
      </c>
      <c r="P178" s="362">
        <f>IF(AO178=301,"",AO178)</f>
        <v>166</v>
      </c>
      <c r="Q178" s="362" t="str">
        <f>IF(AP178=0,"",AP178)</f>
        <v/>
      </c>
      <c r="R178" s="362">
        <f>IF(AQ178=301,"",AQ178)</f>
        <v>203</v>
      </c>
      <c r="S178" s="362" t="str">
        <f>IF(AR178=0,"",AR178)</f>
        <v/>
      </c>
      <c r="T178" s="362">
        <f>IF(AS178=301,"",AS178)</f>
        <v>220</v>
      </c>
      <c r="U178" s="362" t="str">
        <f>IF(AT178=0,"",AT178)</f>
        <v/>
      </c>
      <c r="V178" s="364"/>
      <c r="W178" s="364"/>
      <c r="AA178" s="91" t="s">
        <v>11</v>
      </c>
      <c r="AB178" s="92"/>
      <c r="AC178" s="366">
        <f>ABS(INDEX(AC:AC,MATCH(AC172,$AA:$AA,0)+14)+INDEX(AC:AC,MATCH(AC172,$AA:$AA,0)+15)+INDEX(AC:AC,MATCH(AC172,$AA:$AA,0)+16))</f>
        <v>222</v>
      </c>
      <c r="AD178" s="367"/>
      <c r="AE178" s="366">
        <f>ABS(INDEX(AE:AE,MATCH(AE172,$AA:$AA,0)+14)+INDEX(AE:AE,MATCH(AE172,$AA:$AA,0)+15)+INDEX(AE:AE,MATCH(AE172,$AA:$AA,0)+16))</f>
        <v>233</v>
      </c>
      <c r="AF178" s="367"/>
      <c r="AG178" s="366">
        <f>ABS(INDEX(AG:AG,MATCH(AG172,$AA:$AA,0)+14)+INDEX(AG:AG,MATCH(AG172,$AA:$AA,0)+15)+INDEX(AG:AG,MATCH(AG172,$AA:$AA,0)+16))</f>
        <v>191</v>
      </c>
      <c r="AH178" s="367"/>
      <c r="AI178" s="366">
        <f>ABS(INDEX(AI:AI,MATCH(AI172,$AA:$AA,0)+14)+INDEX(AI:AI,MATCH(AI172,$AA:$AA,0)+15)+INDEX(AI:AI,MATCH(AI172,$AA:$AA,0)+16))</f>
        <v>200</v>
      </c>
      <c r="AJ178" s="367"/>
      <c r="AK178" s="366">
        <f>ABS(INDEX(AK:AK,MATCH(AK172,$AA:$AA,0)+14)+INDEX(AK:AK,MATCH(AK172,$AA:$AA,0)+15)+INDEX(AK:AK,MATCH(AK172,$AA:$AA,0)+16))</f>
        <v>189</v>
      </c>
      <c r="AL178" s="367"/>
      <c r="AM178" s="366">
        <f>ABS(INDEX(AM:AM,MATCH(AM172,$AA:$AA,0)+14)+INDEX(AM:AM,MATCH(AM172,$AA:$AA,0)+15)+INDEX(AM:AM,MATCH(AM172,$AA:$AA,0)+16))</f>
        <v>193</v>
      </c>
      <c r="AN178" s="367"/>
      <c r="AO178" s="366">
        <f>ABS(INDEX(AO:AO,MATCH(AO172,$AA:$AA,0)+14)+INDEX(AO:AO,MATCH(AO172,$AA:$AA,0)+15)+INDEX(AO:AO,MATCH(AO172,$AA:$AA,0)+16))</f>
        <v>166</v>
      </c>
      <c r="AP178" s="367"/>
      <c r="AQ178" s="366">
        <f>ABS(INDEX(AQ:AQ,MATCH(AQ172,$AA:$AA,0)+14)+INDEX(AQ:AQ,MATCH(AQ172,$AA:$AA,0)+15)+INDEX(AQ:AQ,MATCH(AQ172,$AA:$AA,0)+16))</f>
        <v>203</v>
      </c>
      <c r="AR178" s="367"/>
      <c r="AS178" s="366">
        <f>ABS(INDEX(AS:AS,MATCH(AS172,$AA:$AA,0)+14)+INDEX(AS:AS,MATCH(AS172,$AA:$AA,0)+15)+INDEX(AS:AS,MATCH(AS172,$AA:$AA,0)+16))</f>
        <v>220</v>
      </c>
      <c r="AT178" s="367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6" t="str">
        <f t="shared" si="208"/>
        <v>Gesamt</v>
      </c>
      <c r="C179" s="347" t="str">
        <f t="shared" si="208"/>
        <v/>
      </c>
      <c r="D179" s="365">
        <f>IF(AC179=1505,"",AC179)</f>
        <v>828</v>
      </c>
      <c r="E179" s="365" t="str">
        <f>IF(AD179=0,"",AD179)</f>
        <v/>
      </c>
      <c r="F179" s="365">
        <f>IF(AE179=1505,"",AE179)</f>
        <v>971</v>
      </c>
      <c r="G179" s="365" t="str">
        <f>IF(AF179=0,"",AF179)</f>
        <v/>
      </c>
      <c r="H179" s="365">
        <f>IF(AG179=1505,"",AG179)</f>
        <v>710</v>
      </c>
      <c r="I179" s="365" t="str">
        <f>IF(AH179=0,"",AH179)</f>
        <v/>
      </c>
      <c r="J179" s="365">
        <f>IF(AI179=1505,"",AI179)</f>
        <v>851</v>
      </c>
      <c r="K179" s="365" t="str">
        <f>IF(AJ179=0,"",AJ179)</f>
        <v/>
      </c>
      <c r="L179" s="365">
        <f>IF(AK179=1505,"",AK179)</f>
        <v>867</v>
      </c>
      <c r="M179" s="365" t="str">
        <f>IF(AL179=0,"",AL179)</f>
        <v/>
      </c>
      <c r="N179" s="365">
        <f>IF(AM179=1505,"",AM179)</f>
        <v>793</v>
      </c>
      <c r="O179" s="365" t="str">
        <f>IF(AN179=0,"",AN179)</f>
        <v/>
      </c>
      <c r="P179" s="365">
        <f>IF(AO179=1505,"",AO179)</f>
        <v>721</v>
      </c>
      <c r="Q179" s="365" t="str">
        <f>IF(AP179=0,"",AP179)</f>
        <v/>
      </c>
      <c r="R179" s="365">
        <f>IF(AQ179=1505,"",AQ179)</f>
        <v>804</v>
      </c>
      <c r="S179" s="365" t="str">
        <f>IF(AR179=0,"",AR179)</f>
        <v/>
      </c>
      <c r="T179" s="365">
        <f>IF(AS179=1505,"",AS179)</f>
        <v>885</v>
      </c>
      <c r="U179" s="365" t="str">
        <f>IF(AT179=0,"",AT179)</f>
        <v/>
      </c>
      <c r="V179" s="301"/>
      <c r="W179" s="301"/>
      <c r="AA179" s="93" t="s">
        <v>1799</v>
      </c>
      <c r="AB179" s="94"/>
      <c r="AC179" s="346">
        <f>SUM(AC175:AC178)</f>
        <v>828</v>
      </c>
      <c r="AD179" s="347"/>
      <c r="AE179" s="346">
        <f>SUM(AE175:AE178)</f>
        <v>971</v>
      </c>
      <c r="AF179" s="347"/>
      <c r="AG179" s="346">
        <f>SUM(AG175:AG178)</f>
        <v>710</v>
      </c>
      <c r="AH179" s="347"/>
      <c r="AI179" s="346">
        <f>SUM(AI175:AI178)</f>
        <v>851</v>
      </c>
      <c r="AJ179" s="347"/>
      <c r="AK179" s="346">
        <f>SUM(AK175:AK178)</f>
        <v>867</v>
      </c>
      <c r="AL179" s="347"/>
      <c r="AM179" s="346">
        <f>SUM(AM175:AM178)</f>
        <v>793</v>
      </c>
      <c r="AN179" s="347"/>
      <c r="AO179" s="346">
        <f>SUM(AO175:AO178)</f>
        <v>721</v>
      </c>
      <c r="AP179" s="347"/>
      <c r="AQ179" s="346">
        <f>SUM(AQ175:AQ178)</f>
        <v>804</v>
      </c>
      <c r="AR179" s="347"/>
      <c r="AS179" s="346">
        <f>SUM(AS175:AS178)</f>
        <v>885</v>
      </c>
      <c r="AT179" s="347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5" t="str">
        <f>AE181</f>
        <v>Bayernliga Herren</v>
      </c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48"/>
      <c r="S181" s="49" t="s">
        <v>1794</v>
      </c>
      <c r="T181" s="50"/>
      <c r="U181" s="341" t="str">
        <f>AT181</f>
        <v>15.03./16.03.</v>
      </c>
      <c r="V181" s="342"/>
      <c r="W181" s="343"/>
      <c r="X181" s="372"/>
      <c r="Y181" s="373"/>
      <c r="Z181" s="373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41" t="str">
        <f>VLOOKUP(AS182,Spielorte!$A$1:$C$6,2)</f>
        <v>15.03./16.03.</v>
      </c>
      <c r="AU181" s="342"/>
      <c r="AV181" s="34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4" t="str">
        <f>AE182</f>
        <v>Brunnthal Max Munich</v>
      </c>
      <c r="G182" s="344"/>
      <c r="H182" s="344"/>
      <c r="I182" s="344"/>
      <c r="J182" s="344"/>
      <c r="K182" s="344"/>
      <c r="L182" s="344"/>
      <c r="M182" s="344"/>
      <c r="N182" s="344"/>
      <c r="O182" s="344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6" t="s">
        <v>1800</v>
      </c>
      <c r="E185" s="347"/>
      <c r="F185" s="346" t="s">
        <v>1801</v>
      </c>
      <c r="G185" s="347"/>
      <c r="H185" s="346" t="s">
        <v>1802</v>
      </c>
      <c r="I185" s="347"/>
      <c r="J185" s="346" t="s">
        <v>1803</v>
      </c>
      <c r="K185" s="347"/>
      <c r="L185" s="346" t="s">
        <v>1804</v>
      </c>
      <c r="M185" s="347"/>
      <c r="N185" s="346" t="s">
        <v>1805</v>
      </c>
      <c r="O185" s="347"/>
      <c r="P185" s="346" t="s">
        <v>1806</v>
      </c>
      <c r="Q185" s="347"/>
      <c r="R185" s="346" t="s">
        <v>1807</v>
      </c>
      <c r="S185" s="347"/>
      <c r="T185" s="346" t="s">
        <v>1808</v>
      </c>
      <c r="U185" s="347"/>
      <c r="V185" s="354" t="s">
        <v>1799</v>
      </c>
      <c r="W185" s="355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6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217</v>
      </c>
      <c r="E187" s="348">
        <f>IF(AD187="","",AD187)</f>
        <v>1</v>
      </c>
      <c r="F187" s="75">
        <f t="shared" ref="F187:F200" si="209">IF(AE187=0,"",AE187)</f>
        <v>145</v>
      </c>
      <c r="G187" s="348">
        <f>IF(AF187="","",AF187)</f>
        <v>0</v>
      </c>
      <c r="H187" s="75">
        <f t="shared" ref="H187:H200" si="210">IF(AG187=0,"",AG187)</f>
        <v>149</v>
      </c>
      <c r="I187" s="348">
        <f>IF(AH187="","",AH187)</f>
        <v>0</v>
      </c>
      <c r="J187" s="75">
        <f t="shared" ref="J187:J200" si="211">IF(AI187=0,"",AI187)</f>
        <v>201</v>
      </c>
      <c r="K187" s="348">
        <f>IF(AJ187="","",AJ187)</f>
        <v>0</v>
      </c>
      <c r="L187" s="75">
        <f t="shared" ref="L187:L200" si="212">IF(AK187=0,"",AK187)</f>
        <v>202</v>
      </c>
      <c r="M187" s="348">
        <f>IF(AL187="","",AL187)</f>
        <v>0</v>
      </c>
      <c r="N187" s="75">
        <f>IF(AM187=0,"",AM187)</f>
        <v>140</v>
      </c>
      <c r="O187" s="348">
        <f>IF(AN187="","",AN187)</f>
        <v>0</v>
      </c>
      <c r="P187" s="75">
        <f t="shared" ref="P187:P200" si="213">IF(AO187=0,"",AO187)</f>
        <v>193</v>
      </c>
      <c r="Q187" s="348">
        <f>IF(AP187="","",AP187)</f>
        <v>1</v>
      </c>
      <c r="R187" s="75">
        <f t="shared" ref="R187:R200" si="214">IF(AQ187=0,"",AQ187)</f>
        <v>211</v>
      </c>
      <c r="S187" s="348">
        <f>IF(AR187="","",AR187)</f>
        <v>0</v>
      </c>
      <c r="T187" s="75">
        <f t="shared" ref="T187:T200" si="215">IF(AS187=0,"",AS187)</f>
        <v>189</v>
      </c>
      <c r="U187" s="348">
        <f>IF(AT187="","",AT187)</f>
        <v>0.5</v>
      </c>
      <c r="V187" s="75">
        <f t="shared" ref="V187:V200" si="216">IF(AU187=0,"",AU187)</f>
        <v>1647</v>
      </c>
      <c r="W187" s="348">
        <f>IF(AV187="","",AV187)</f>
        <v>2.5</v>
      </c>
      <c r="Z187" s="351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217</v>
      </c>
      <c r="AD187" s="109">
        <f>IF(SUM(AC187:AC189)+AC205=0,0,IF(SUM(AC187:AC189)=AC205,0.5,IF(SUM(AC187:AC189)&gt;AC205,1,0)))</f>
        <v>1</v>
      </c>
      <c r="AE187" s="185">
        <v>145</v>
      </c>
      <c r="AF187" s="109">
        <f>IF(SUM(AE187:AE189)+AE205=0,0,IF(SUM(AE187:AE189)=AE205,0.5,IF(SUM(AE187:AE189)&gt;AE205,1,0)))</f>
        <v>0</v>
      </c>
      <c r="AG187" s="185">
        <v>149</v>
      </c>
      <c r="AH187" s="109">
        <f>IF(SUM(AG187:AG189)+AG205=0,0,IF(SUM(AG187:AG189)=AG205,0.5,IF(SUM(AG187:AG189)&gt;AG205,1,0)))</f>
        <v>0</v>
      </c>
      <c r="AI187" s="185">
        <v>201</v>
      </c>
      <c r="AJ187" s="109">
        <f>IF(SUM(AI187:AI189)+AI205=0,0,IF(SUM(AI187:AI189)=AI205,0.5,IF(SUM(AI187:AI189)&gt;AI205,1,0)))</f>
        <v>0</v>
      </c>
      <c r="AK187" s="185">
        <v>202</v>
      </c>
      <c r="AL187" s="109">
        <f>IF(SUM(AK187:AK189)+AK205=0,0,IF(SUM(AK187:AK189)=AK205,0.5,IF(SUM(AK187:AK189)&gt;AK205,1,0)))</f>
        <v>0</v>
      </c>
      <c r="AM187" s="185">
        <v>140</v>
      </c>
      <c r="AN187" s="109">
        <f>IF(SUM(AM187:AM189)+AM205=0,0,IF(SUM(AM187:AM189)=AM205,0.5,IF(SUM(AM187:AM189)&gt;AM205,1,0)))</f>
        <v>0</v>
      </c>
      <c r="AO187" s="185">
        <v>193</v>
      </c>
      <c r="AP187" s="109">
        <f>IF(SUM(AO187:AO189)+AO205=0,0,IF(SUM(AO187:AO189)=AO205,0.5,IF(SUM(AO187:AO189)&gt;AO205,1,0)))</f>
        <v>1</v>
      </c>
      <c r="AQ187" s="185">
        <v>211</v>
      </c>
      <c r="AR187" s="109">
        <f>IF(SUM(AQ187:AQ189)+AQ205=0,0,IF(SUM(AQ187:AQ189)=AQ205,0.5,IF(SUM(AQ187:AQ189)&gt;AQ205,1,0)))</f>
        <v>0</v>
      </c>
      <c r="AS187" s="185">
        <v>189</v>
      </c>
      <c r="AT187" s="109">
        <f>IF(SUM(AS187:AS189)+AS205=0,0,IF(SUM(AS187:AS189)=AS205,0.5,IF(SUM(AS187:AS189)&gt;AS205,1,0)))</f>
        <v>0.5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1647</v>
      </c>
      <c r="AV187" s="111">
        <f>SUM(AD187+AF187+AH187+AJ187+AL187+AN187+AP187+AR187+AT187)</f>
        <v>2.5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1647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217</v>
      </c>
      <c r="BI187" s="215">
        <f t="shared" ref="BI187:BI198" si="219">IF(AE187=0,"",AE187)</f>
        <v>145</v>
      </c>
      <c r="BJ187" s="215">
        <f t="shared" ref="BJ187:BJ198" si="220">IF(AG187=0,"",AG187)</f>
        <v>149</v>
      </c>
      <c r="BK187" s="215">
        <f t="shared" ref="BK187:BK198" si="221">IF(AI187=0,"",AI187)</f>
        <v>201</v>
      </c>
      <c r="BL187" s="215">
        <f t="shared" ref="BL187:BL198" si="222">IF(AK187=0,"",AK187)</f>
        <v>202</v>
      </c>
      <c r="BM187" s="215">
        <f t="shared" ref="BM187:BM198" si="223">IF(AM187=0,"",AM187)</f>
        <v>140</v>
      </c>
      <c r="BN187" s="215">
        <f t="shared" ref="BN187:BN198" si="224">IF(AO187=0,"",AO187)</f>
        <v>193</v>
      </c>
      <c r="BO187" s="215">
        <f t="shared" ref="BO187:BO198" si="225">IF(AQ187=0,"",AQ187)</f>
        <v>211</v>
      </c>
      <c r="BP187" s="215">
        <f t="shared" ref="BP187:BP198" si="226">IF(AS187=0,"",AS187)</f>
        <v>189</v>
      </c>
      <c r="BQ187" s="216"/>
      <c r="BR187" s="214"/>
      <c r="BS187" s="215">
        <f>MAX(BH187:BP187)</f>
        <v>217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3</v>
      </c>
      <c r="BW187" s="215">
        <f>SUMIF(BH187:BP187,"&gt;0")</f>
        <v>1647</v>
      </c>
      <c r="BX187" s="215">
        <f>IF(COUNTIF(BH187:BP187,"&gt;0")&lt;Spielorte!$A$23,0,BE187/Spielorte!$A$23)</f>
        <v>183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77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9"/>
      <c r="F188" s="78" t="str">
        <f t="shared" si="209"/>
        <v/>
      </c>
      <c r="G188" s="349"/>
      <c r="H188" s="78" t="str">
        <f t="shared" si="210"/>
        <v/>
      </c>
      <c r="I188" s="349"/>
      <c r="J188" s="78" t="str">
        <f t="shared" si="211"/>
        <v/>
      </c>
      <c r="K188" s="349"/>
      <c r="L188" s="78" t="str">
        <f t="shared" si="212"/>
        <v/>
      </c>
      <c r="M188" s="349"/>
      <c r="N188" s="78" t="str">
        <f t="shared" ref="N188:N200" si="229">IF(AM188=0,"",AM188)</f>
        <v/>
      </c>
      <c r="O188" s="349"/>
      <c r="P188" s="78" t="str">
        <f t="shared" si="213"/>
        <v/>
      </c>
      <c r="Q188" s="349"/>
      <c r="R188" s="78" t="str">
        <f t="shared" si="214"/>
        <v/>
      </c>
      <c r="S188" s="349"/>
      <c r="T188" s="78" t="str">
        <f t="shared" si="215"/>
        <v/>
      </c>
      <c r="U188" s="349"/>
      <c r="V188" s="78" t="str">
        <f t="shared" si="216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3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8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0"/>
      <c r="F189" s="69" t="str">
        <f t="shared" si="209"/>
        <v/>
      </c>
      <c r="G189" s="350"/>
      <c r="H189" s="69" t="str">
        <f t="shared" si="210"/>
        <v/>
      </c>
      <c r="I189" s="350"/>
      <c r="J189" s="69" t="str">
        <f t="shared" si="211"/>
        <v/>
      </c>
      <c r="K189" s="350"/>
      <c r="L189" s="69" t="str">
        <f t="shared" si="212"/>
        <v/>
      </c>
      <c r="M189" s="350"/>
      <c r="N189" s="69" t="str">
        <f t="shared" si="229"/>
        <v/>
      </c>
      <c r="O189" s="350"/>
      <c r="P189" s="69" t="str">
        <f t="shared" si="213"/>
        <v/>
      </c>
      <c r="Q189" s="350"/>
      <c r="R189" s="69" t="str">
        <f t="shared" si="214"/>
        <v/>
      </c>
      <c r="S189" s="350"/>
      <c r="T189" s="69" t="str">
        <f t="shared" si="215"/>
        <v/>
      </c>
      <c r="U189" s="350"/>
      <c r="V189" s="69" t="str">
        <f t="shared" si="216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3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76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182</v>
      </c>
      <c r="E190" s="348">
        <f>IF(AD190="","",AD190)</f>
        <v>0</v>
      </c>
      <c r="F190" s="75">
        <f t="shared" si="209"/>
        <v>178</v>
      </c>
      <c r="G190" s="348">
        <f>IF(AF190="","",AF190)</f>
        <v>0</v>
      </c>
      <c r="H190" s="75">
        <f t="shared" si="210"/>
        <v>209</v>
      </c>
      <c r="I190" s="348">
        <f>IF(AH190="","",AH190)</f>
        <v>0</v>
      </c>
      <c r="J190" s="75">
        <f t="shared" si="211"/>
        <v>182</v>
      </c>
      <c r="K190" s="348">
        <f>IF(AJ190="","",AJ190)</f>
        <v>0</v>
      </c>
      <c r="L190" s="75">
        <f t="shared" si="212"/>
        <v>164</v>
      </c>
      <c r="M190" s="348">
        <f>IF(AL190="","",AL190)</f>
        <v>0</v>
      </c>
      <c r="N190" s="75">
        <f t="shared" si="229"/>
        <v>181</v>
      </c>
      <c r="O190" s="348">
        <f>IF(AN190="","",AN190)</f>
        <v>1</v>
      </c>
      <c r="P190" s="75">
        <f t="shared" si="213"/>
        <v>190</v>
      </c>
      <c r="Q190" s="348">
        <f>IF(AP190="","",AP190)</f>
        <v>1</v>
      </c>
      <c r="R190" s="75">
        <f t="shared" si="214"/>
        <v>128</v>
      </c>
      <c r="S190" s="348">
        <f>IF(AR190="","",AR190)</f>
        <v>0</v>
      </c>
      <c r="T190" s="75">
        <f t="shared" si="215"/>
        <v>185</v>
      </c>
      <c r="U190" s="348">
        <f>IF(AT190="","",AT190)</f>
        <v>0</v>
      </c>
      <c r="V190" s="75">
        <f t="shared" si="216"/>
        <v>1599</v>
      </c>
      <c r="W190" s="348">
        <f>IF(AV190="","",AV190)</f>
        <v>2</v>
      </c>
      <c r="Z190" s="351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182</v>
      </c>
      <c r="AD190" s="109">
        <f>IF(SUM(AC190:AC192)+AC206=0,0,IF(SUM(AC190:AC192)=AC206,0.5,IF(SUM(AC190:AC192)&gt;AC206,1,0)))</f>
        <v>0</v>
      </c>
      <c r="AE190" s="188">
        <v>178</v>
      </c>
      <c r="AF190" s="109">
        <f>IF(SUM(AE190:AE192)+AE206=0,0,IF(SUM(AE190:AE192)=AE206,0.5,IF(SUM(AE190:AE192)&gt;AE206,1,0)))</f>
        <v>0</v>
      </c>
      <c r="AG190" s="188">
        <v>209</v>
      </c>
      <c r="AH190" s="109">
        <f>IF(SUM(AG190:AG192)+AG206=0,0,IF(SUM(AG190:AG192)=AG206,0.5,IF(SUM(AG190:AG192)&gt;AG206,1,0)))</f>
        <v>0</v>
      </c>
      <c r="AI190" s="188">
        <v>182</v>
      </c>
      <c r="AJ190" s="109">
        <f>IF(SUM(AI190:AI192)+AI206=0,0,IF(SUM(AI190:AI192)=AI206,0.5,IF(SUM(AI190:AI192)&gt;AI206,1,0)))</f>
        <v>0</v>
      </c>
      <c r="AK190" s="188">
        <v>164</v>
      </c>
      <c r="AL190" s="109">
        <f>IF(SUM(AK190:AK192)+AK206=0,0,IF(SUM(AK190:AK192)=AK206,0.5,IF(SUM(AK190:AK192)&gt;AK206,1,0)))</f>
        <v>0</v>
      </c>
      <c r="AM190" s="188">
        <v>181</v>
      </c>
      <c r="AN190" s="109">
        <f>IF(SUM(AM190:AM192)+AM206=0,0,IF(SUM(AM190:AM192)=AM206,0.5,IF(SUM(AM190:AM192)&gt;AM206,1,0)))</f>
        <v>1</v>
      </c>
      <c r="AO190" s="188">
        <v>190</v>
      </c>
      <c r="AP190" s="109">
        <f>IF(SUM(AO190:AO192)+AO206=0,0,IF(SUM(AO190:AO192)=AO206,0.5,IF(SUM(AO190:AO192)&gt;AO206,1,0)))</f>
        <v>1</v>
      </c>
      <c r="AQ190" s="188">
        <v>128</v>
      </c>
      <c r="AR190" s="109">
        <f>IF(SUM(AQ190:AQ192)+AQ206=0,0,IF(SUM(AQ190:AQ192)=AQ206,0.5,IF(SUM(AQ190:AQ192)&gt;AQ206,1,0)))</f>
        <v>0</v>
      </c>
      <c r="AS190" s="188">
        <v>185</v>
      </c>
      <c r="AT190" s="109">
        <f>IF(SUM(AS190:AS192)+AS206=0,0,IF(SUM(AS190:AS192)=AS206,0.5,IF(SUM(AS190:AS192)&gt;AS206,1,0)))</f>
        <v>0</v>
      </c>
      <c r="AU190" s="110">
        <f t="shared" si="217"/>
        <v>1599</v>
      </c>
      <c r="AV190" s="111">
        <f>SUM(AD190+AF190+AH190+AJ190+AL190+AN190+AP190+AR190+AT190)</f>
        <v>2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1599</v>
      </c>
      <c r="BF190" s="215">
        <f t="shared" si="232"/>
        <v>9</v>
      </c>
      <c r="BG190" s="215">
        <f t="shared" si="233"/>
        <v>9</v>
      </c>
      <c r="BH190" s="215">
        <f t="shared" si="218"/>
        <v>182</v>
      </c>
      <c r="BI190" s="215">
        <f t="shared" si="219"/>
        <v>178</v>
      </c>
      <c r="BJ190" s="215">
        <f t="shared" si="220"/>
        <v>209</v>
      </c>
      <c r="BK190" s="215">
        <f t="shared" si="221"/>
        <v>182</v>
      </c>
      <c r="BL190" s="215">
        <f t="shared" si="222"/>
        <v>164</v>
      </c>
      <c r="BM190" s="215">
        <f t="shared" si="223"/>
        <v>181</v>
      </c>
      <c r="BN190" s="215">
        <f t="shared" si="224"/>
        <v>190</v>
      </c>
      <c r="BO190" s="215">
        <f t="shared" si="225"/>
        <v>128</v>
      </c>
      <c r="BP190" s="215">
        <f t="shared" si="226"/>
        <v>185</v>
      </c>
      <c r="BQ190" s="216"/>
      <c r="BR190" s="214"/>
      <c r="BS190" s="215">
        <f t="shared" si="234"/>
        <v>209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3</v>
      </c>
      <c r="BW190" s="215">
        <f t="shared" si="238"/>
        <v>1599</v>
      </c>
      <c r="BX190" s="215">
        <f>IF(COUNTIF(BH190:BP190,"&gt;0")&lt;Spielorte!$A$23,0,BE190/Spielorte!$A$23)</f>
        <v>177.66666666666666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77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9"/>
      <c r="F191" s="78" t="str">
        <f t="shared" si="209"/>
        <v/>
      </c>
      <c r="G191" s="349"/>
      <c r="H191" s="78" t="str">
        <f t="shared" si="210"/>
        <v/>
      </c>
      <c r="I191" s="349"/>
      <c r="J191" s="78" t="str">
        <f t="shared" si="211"/>
        <v/>
      </c>
      <c r="K191" s="349"/>
      <c r="L191" s="78" t="str">
        <f t="shared" si="212"/>
        <v/>
      </c>
      <c r="M191" s="349"/>
      <c r="N191" s="78" t="str">
        <f t="shared" si="229"/>
        <v/>
      </c>
      <c r="O191" s="349"/>
      <c r="P191" s="78" t="str">
        <f t="shared" si="213"/>
        <v/>
      </c>
      <c r="Q191" s="349"/>
      <c r="R191" s="78" t="str">
        <f t="shared" si="214"/>
        <v/>
      </c>
      <c r="S191" s="349"/>
      <c r="T191" s="78" t="str">
        <f t="shared" si="215"/>
        <v/>
      </c>
      <c r="U191" s="349"/>
      <c r="V191" s="78" t="str">
        <f t="shared" si="216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3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8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0"/>
      <c r="F192" s="69" t="str">
        <f t="shared" si="209"/>
        <v/>
      </c>
      <c r="G192" s="350"/>
      <c r="H192" s="69" t="str">
        <f t="shared" si="210"/>
        <v/>
      </c>
      <c r="I192" s="350"/>
      <c r="J192" s="69" t="str">
        <f t="shared" si="211"/>
        <v/>
      </c>
      <c r="K192" s="350"/>
      <c r="L192" s="69" t="str">
        <f t="shared" si="212"/>
        <v/>
      </c>
      <c r="M192" s="350"/>
      <c r="N192" s="69" t="str">
        <f t="shared" si="229"/>
        <v/>
      </c>
      <c r="O192" s="350"/>
      <c r="P192" s="69" t="str">
        <f t="shared" si="213"/>
        <v/>
      </c>
      <c r="Q192" s="350"/>
      <c r="R192" s="69" t="str">
        <f t="shared" si="214"/>
        <v/>
      </c>
      <c r="S192" s="350"/>
      <c r="T192" s="69" t="str">
        <f t="shared" si="215"/>
        <v/>
      </c>
      <c r="U192" s="350"/>
      <c r="V192" s="69" t="str">
        <f t="shared" si="216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76" t="s">
        <v>3</v>
      </c>
      <c r="B193" s="73" t="str">
        <f t="shared" si="228"/>
        <v>Schütze, Oliver</v>
      </c>
      <c r="C193" s="74">
        <f t="shared" si="228"/>
        <v>38550</v>
      </c>
      <c r="D193" s="75">
        <f t="shared" si="228"/>
        <v>231</v>
      </c>
      <c r="E193" s="348">
        <f>IF(AD193="","",AD193)</f>
        <v>1</v>
      </c>
      <c r="F193" s="75">
        <f t="shared" si="209"/>
        <v>224</v>
      </c>
      <c r="G193" s="348">
        <f>IF(AF193="","",AF193)</f>
        <v>0</v>
      </c>
      <c r="H193" s="75">
        <f t="shared" si="210"/>
        <v>161</v>
      </c>
      <c r="I193" s="348">
        <f>IF(AH193="","",AH193)</f>
        <v>0</v>
      </c>
      <c r="J193" s="75">
        <f t="shared" si="211"/>
        <v>255</v>
      </c>
      <c r="K193" s="348">
        <f>IF(AJ193="","",AJ193)</f>
        <v>1</v>
      </c>
      <c r="L193" s="75">
        <f t="shared" si="212"/>
        <v>226</v>
      </c>
      <c r="M193" s="348">
        <f>IF(AL193="","",AL193)</f>
        <v>1</v>
      </c>
      <c r="N193" s="75">
        <f t="shared" si="229"/>
        <v>177</v>
      </c>
      <c r="O193" s="348">
        <f>IF(AN193="","",AN193)</f>
        <v>0</v>
      </c>
      <c r="P193" s="75">
        <f t="shared" si="213"/>
        <v>248</v>
      </c>
      <c r="Q193" s="348">
        <f>IF(AP193="","",AP193)</f>
        <v>1</v>
      </c>
      <c r="R193" s="75">
        <f t="shared" si="214"/>
        <v>195</v>
      </c>
      <c r="S193" s="348">
        <f>IF(AR193="","",AR193)</f>
        <v>1</v>
      </c>
      <c r="T193" s="75">
        <f t="shared" si="215"/>
        <v>224</v>
      </c>
      <c r="U193" s="348">
        <f>IF(AT193="","",AT193)</f>
        <v>1</v>
      </c>
      <c r="V193" s="75">
        <f t="shared" si="216"/>
        <v>1941</v>
      </c>
      <c r="W193" s="348">
        <f>IF(AV193="","",AV193)</f>
        <v>6</v>
      </c>
      <c r="Z193" s="351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231</v>
      </c>
      <c r="AD193" s="109">
        <f>IF(SUM(AC193:AC195)+AC207=0,0,IF(SUM(AC193:AC195)=AC207,0.5,IF(SUM(AC193:AC195)&gt;AC207,1,0)))</f>
        <v>1</v>
      </c>
      <c r="AE193" s="188">
        <v>224</v>
      </c>
      <c r="AF193" s="109">
        <f>IF(SUM(AE193:AE195)+AE207=0,0,IF(SUM(AE193:AE195)=AE207,0.5,IF(SUM(AE193:AE195)&gt;AE207,1,0)))</f>
        <v>0</v>
      </c>
      <c r="AG193" s="188">
        <v>161</v>
      </c>
      <c r="AH193" s="109">
        <f>IF(SUM(AG193:AG195)+AG207=0,0,IF(SUM(AG193:AG195)=AG207,0.5,IF(SUM(AG193:AG195)&gt;AG207,1,0)))</f>
        <v>0</v>
      </c>
      <c r="AI193" s="188">
        <v>255</v>
      </c>
      <c r="AJ193" s="109">
        <f>IF(SUM(AI193:AI195)+AI207=0,0,IF(SUM(AI193:AI195)=AI207,0.5,IF(SUM(AI193:AI195)&gt;AI207,1,0)))</f>
        <v>1</v>
      </c>
      <c r="AK193" s="188">
        <v>226</v>
      </c>
      <c r="AL193" s="109">
        <f>IF(SUM(AK193:AK195)+AK207=0,0,IF(SUM(AK193:AK195)=AK207,0.5,IF(SUM(AK193:AK195)&gt;AK207,1,0)))</f>
        <v>1</v>
      </c>
      <c r="AM193" s="188">
        <v>177</v>
      </c>
      <c r="AN193" s="109">
        <f>IF(SUM(AM193:AM195)+AM207=0,0,IF(SUM(AM193:AM195)=AM207,0.5,IF(SUM(AM193:AM195)&gt;AM207,1,0)))</f>
        <v>0</v>
      </c>
      <c r="AO193" s="188">
        <v>248</v>
      </c>
      <c r="AP193" s="109">
        <f>IF(SUM(AO193:AO195)+AO207=0,0,IF(SUM(AO193:AO195)=AO207,0.5,IF(SUM(AO193:AO195)&gt;AO207,1,0)))</f>
        <v>1</v>
      </c>
      <c r="AQ193" s="188">
        <v>195</v>
      </c>
      <c r="AR193" s="109">
        <f>IF(SUM(AQ193:AQ195)+AQ207=0,0,IF(SUM(AQ193:AQ195)=AQ207,0.5,IF(SUM(AQ193:AQ195)&gt;AQ207,1,0)))</f>
        <v>1</v>
      </c>
      <c r="AS193" s="188">
        <v>224</v>
      </c>
      <c r="AT193" s="109">
        <f>IF(SUM(AS193:AS195)+AS207=0,0,IF(SUM(AS193:AS195)=AS207,0.5,IF(SUM(AS193:AS195)&gt;AS207,1,0)))</f>
        <v>1</v>
      </c>
      <c r="AU193" s="110">
        <f t="shared" si="217"/>
        <v>1941</v>
      </c>
      <c r="AV193" s="111">
        <f>SUM(AD193+AF193+AH193+AJ193+AL193+AN193+AP193+AR193+AT193)</f>
        <v>6</v>
      </c>
      <c r="AW193" s="101"/>
      <c r="AX193" s="102"/>
      <c r="AZ193" s="63"/>
      <c r="BA193" s="212"/>
      <c r="BB193" s="213"/>
      <c r="BC193" s="214"/>
      <c r="BD193" s="217">
        <f t="shared" si="230"/>
        <v>38550</v>
      </c>
      <c r="BE193" s="213">
        <f t="shared" si="231"/>
        <v>1941</v>
      </c>
      <c r="BF193" s="215">
        <f t="shared" si="232"/>
        <v>9</v>
      </c>
      <c r="BG193" s="215">
        <f t="shared" si="233"/>
        <v>9</v>
      </c>
      <c r="BH193" s="215">
        <f t="shared" si="218"/>
        <v>231</v>
      </c>
      <c r="BI193" s="215">
        <f t="shared" si="219"/>
        <v>224</v>
      </c>
      <c r="BJ193" s="215">
        <f t="shared" si="220"/>
        <v>161</v>
      </c>
      <c r="BK193" s="215">
        <f t="shared" si="221"/>
        <v>255</v>
      </c>
      <c r="BL193" s="215">
        <f t="shared" si="222"/>
        <v>226</v>
      </c>
      <c r="BM193" s="215">
        <f t="shared" si="223"/>
        <v>177</v>
      </c>
      <c r="BN193" s="215">
        <f t="shared" si="224"/>
        <v>248</v>
      </c>
      <c r="BO193" s="215">
        <f t="shared" si="225"/>
        <v>195</v>
      </c>
      <c r="BP193" s="215">
        <f t="shared" si="226"/>
        <v>224</v>
      </c>
      <c r="BQ193" s="216"/>
      <c r="BR193" s="214"/>
      <c r="BS193" s="215">
        <f t="shared" si="234"/>
        <v>255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3</v>
      </c>
      <c r="BW193" s="215">
        <f t="shared" si="238"/>
        <v>1941</v>
      </c>
      <c r="BX193" s="215">
        <f>IF(COUNTIF(BH193:BP193,"&gt;0")&lt;Spielorte!$A$23,0,BE193/Spielorte!$A$23)</f>
        <v>215.66666666666666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77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9"/>
      <c r="F194" s="78" t="str">
        <f t="shared" si="209"/>
        <v/>
      </c>
      <c r="G194" s="349"/>
      <c r="H194" s="78" t="str">
        <f t="shared" si="210"/>
        <v/>
      </c>
      <c r="I194" s="349"/>
      <c r="J194" s="78" t="str">
        <f t="shared" si="211"/>
        <v/>
      </c>
      <c r="K194" s="349"/>
      <c r="L194" s="78" t="str">
        <f t="shared" si="212"/>
        <v/>
      </c>
      <c r="M194" s="349"/>
      <c r="N194" s="78" t="str">
        <f t="shared" si="229"/>
        <v/>
      </c>
      <c r="O194" s="349"/>
      <c r="P194" s="78" t="str">
        <f t="shared" si="213"/>
        <v/>
      </c>
      <c r="Q194" s="349"/>
      <c r="R194" s="78" t="str">
        <f t="shared" si="214"/>
        <v/>
      </c>
      <c r="S194" s="349"/>
      <c r="T194" s="78" t="str">
        <f t="shared" si="215"/>
        <v/>
      </c>
      <c r="U194" s="349"/>
      <c r="V194" s="78" t="str">
        <f t="shared" si="216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3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8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0"/>
      <c r="F195" s="69" t="str">
        <f t="shared" si="209"/>
        <v/>
      </c>
      <c r="G195" s="350"/>
      <c r="H195" s="69" t="str">
        <f t="shared" si="210"/>
        <v/>
      </c>
      <c r="I195" s="350"/>
      <c r="J195" s="69" t="str">
        <f t="shared" si="211"/>
        <v/>
      </c>
      <c r="K195" s="350"/>
      <c r="L195" s="69" t="str">
        <f t="shared" si="212"/>
        <v/>
      </c>
      <c r="M195" s="350"/>
      <c r="N195" s="69" t="str">
        <f t="shared" si="229"/>
        <v/>
      </c>
      <c r="O195" s="350"/>
      <c r="P195" s="69" t="str">
        <f t="shared" si="213"/>
        <v/>
      </c>
      <c r="Q195" s="350"/>
      <c r="R195" s="69" t="str">
        <f t="shared" si="214"/>
        <v/>
      </c>
      <c r="S195" s="350"/>
      <c r="T195" s="69" t="str">
        <f t="shared" si="215"/>
        <v/>
      </c>
      <c r="U195" s="350"/>
      <c r="V195" s="69" t="str">
        <f t="shared" si="216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3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76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215</v>
      </c>
      <c r="E196" s="348">
        <f>IF(AD196="","",AD196)</f>
        <v>0</v>
      </c>
      <c r="F196" s="75">
        <f t="shared" si="209"/>
        <v>223</v>
      </c>
      <c r="G196" s="348">
        <f>IF(AF196="","",AF196)</f>
        <v>1</v>
      </c>
      <c r="H196" s="75">
        <f t="shared" si="210"/>
        <v>191</v>
      </c>
      <c r="I196" s="348">
        <f>IF(AH196="","",AH196)</f>
        <v>0</v>
      </c>
      <c r="J196" s="75">
        <f t="shared" si="211"/>
        <v>228</v>
      </c>
      <c r="K196" s="348">
        <f>IF(AJ196="","",AJ196)</f>
        <v>1</v>
      </c>
      <c r="L196" s="75">
        <f t="shared" si="212"/>
        <v>206</v>
      </c>
      <c r="M196" s="348">
        <f>IF(AL196="","",AL196)</f>
        <v>0</v>
      </c>
      <c r="N196" s="75">
        <f t="shared" si="229"/>
        <v>203</v>
      </c>
      <c r="O196" s="348">
        <f>IF(AN196="","",AN196)</f>
        <v>1</v>
      </c>
      <c r="P196" s="75">
        <f t="shared" si="213"/>
        <v>212</v>
      </c>
      <c r="Q196" s="348">
        <f>IF(AP196="","",AP196)</f>
        <v>1</v>
      </c>
      <c r="R196" s="75">
        <f t="shared" si="214"/>
        <v>256</v>
      </c>
      <c r="S196" s="348">
        <f>IF(AR196="","",AR196)</f>
        <v>1</v>
      </c>
      <c r="T196" s="75">
        <f t="shared" si="215"/>
        <v>209</v>
      </c>
      <c r="U196" s="348">
        <f>IF(AT196="","",AT196)</f>
        <v>1</v>
      </c>
      <c r="V196" s="75">
        <f t="shared" si="216"/>
        <v>1943</v>
      </c>
      <c r="W196" s="348">
        <f>IF(AV196="","",AV196)</f>
        <v>6</v>
      </c>
      <c r="Z196" s="351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215</v>
      </c>
      <c r="AD196" s="109">
        <f>IF(SUM(AC196:AC198)+AC208=0,0,IF(SUM(AC196:AC198)=AC208,0.5,IF(SUM(AC196:AC198)&gt;AC208,1,0)))</f>
        <v>0</v>
      </c>
      <c r="AE196" s="188">
        <v>223</v>
      </c>
      <c r="AF196" s="109">
        <f>IF(SUM(AE196:AE198)+AE208=0,0,IF(SUM(AE196:AE198)=AE208,0.5,IF(SUM(AE196:AE198)&gt;AE208,1,0)))</f>
        <v>1</v>
      </c>
      <c r="AG196" s="188">
        <v>191</v>
      </c>
      <c r="AH196" s="109">
        <f>IF(SUM(AG196:AG198)+AG208=0,0,IF(SUM(AG196:AG198)=AG208,0.5,IF(SUM(AG196:AG198)&gt;AG208,1,0)))</f>
        <v>0</v>
      </c>
      <c r="AI196" s="188">
        <v>228</v>
      </c>
      <c r="AJ196" s="109">
        <f>IF(SUM(AI196:AI198)+AI208=0,0,IF(SUM(AI196:AI198)=AI208,0.5,IF(SUM(AI196:AI198)&gt;AI208,1,0)))</f>
        <v>1</v>
      </c>
      <c r="AK196" s="188">
        <v>206</v>
      </c>
      <c r="AL196" s="109">
        <f>IF(SUM(AK196:AK198)+AK208=0,0,IF(SUM(AK196:AK198)=AK208,0.5,IF(SUM(AK196:AK198)&gt;AK208,1,0)))</f>
        <v>0</v>
      </c>
      <c r="AM196" s="188">
        <v>203</v>
      </c>
      <c r="AN196" s="109">
        <f>IF(SUM(AM196:AM198)+AM208=0,0,IF(SUM(AM196:AM198)=AM208,0.5,IF(SUM(AM196:AM198)&gt;AM208,1,0)))</f>
        <v>1</v>
      </c>
      <c r="AO196" s="188">
        <v>212</v>
      </c>
      <c r="AP196" s="109">
        <f>IF(SUM(AO196:AO198)+AO208=0,0,IF(SUM(AO196:AO198)=AO208,0.5,IF(SUM(AO196:AO198)&gt;AO208,1,0)))</f>
        <v>1</v>
      </c>
      <c r="AQ196" s="188">
        <v>256</v>
      </c>
      <c r="AR196" s="109">
        <f>IF(SUM(AQ196:AQ198)+AQ208=0,0,IF(SUM(AQ196:AQ198)=AQ208,0.5,IF(SUM(AQ196:AQ198)&gt;AQ208,1,0)))</f>
        <v>1</v>
      </c>
      <c r="AS196" s="188">
        <v>209</v>
      </c>
      <c r="AT196" s="109">
        <f>IF(SUM(AS196:AS198)+AS208=0,0,IF(SUM(AS196:AS198)=AS208,0.5,IF(SUM(AS196:AS198)&gt;AS208,1,0)))</f>
        <v>1</v>
      </c>
      <c r="AU196" s="110">
        <f t="shared" si="217"/>
        <v>1943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1943</v>
      </c>
      <c r="BF196" s="215">
        <f t="shared" si="232"/>
        <v>9</v>
      </c>
      <c r="BG196" s="215">
        <f t="shared" si="233"/>
        <v>9</v>
      </c>
      <c r="BH196" s="215">
        <f t="shared" si="218"/>
        <v>215</v>
      </c>
      <c r="BI196" s="215">
        <f t="shared" si="219"/>
        <v>223</v>
      </c>
      <c r="BJ196" s="215">
        <f t="shared" si="220"/>
        <v>191</v>
      </c>
      <c r="BK196" s="215">
        <f t="shared" si="221"/>
        <v>228</v>
      </c>
      <c r="BL196" s="215">
        <f t="shared" si="222"/>
        <v>206</v>
      </c>
      <c r="BM196" s="215">
        <f t="shared" si="223"/>
        <v>203</v>
      </c>
      <c r="BN196" s="215">
        <f t="shared" si="224"/>
        <v>212</v>
      </c>
      <c r="BO196" s="215">
        <f t="shared" si="225"/>
        <v>256</v>
      </c>
      <c r="BP196" s="215">
        <f t="shared" si="226"/>
        <v>209</v>
      </c>
      <c r="BQ196" s="216"/>
      <c r="BR196" s="214"/>
      <c r="BS196" s="215">
        <f t="shared" si="234"/>
        <v>256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3</v>
      </c>
      <c r="BW196" s="215">
        <f t="shared" si="238"/>
        <v>1943</v>
      </c>
      <c r="BX196" s="215">
        <f>IF(COUNTIF(BH196:BP196,"&gt;0")&lt;Spielorte!$A$23,0,BE196/Spielorte!$A$23)</f>
        <v>215.88888888888889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77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9"/>
      <c r="F197" s="78" t="str">
        <f t="shared" si="209"/>
        <v/>
      </c>
      <c r="G197" s="349"/>
      <c r="H197" s="78" t="str">
        <f t="shared" si="210"/>
        <v/>
      </c>
      <c r="I197" s="349"/>
      <c r="J197" s="78" t="str">
        <f t="shared" si="211"/>
        <v/>
      </c>
      <c r="K197" s="349"/>
      <c r="L197" s="78" t="str">
        <f t="shared" si="212"/>
        <v/>
      </c>
      <c r="M197" s="349"/>
      <c r="N197" s="78" t="str">
        <f t="shared" si="229"/>
        <v/>
      </c>
      <c r="O197" s="349"/>
      <c r="P197" s="78" t="str">
        <f t="shared" si="213"/>
        <v/>
      </c>
      <c r="Q197" s="349"/>
      <c r="R197" s="78" t="str">
        <f t="shared" si="214"/>
        <v/>
      </c>
      <c r="S197" s="349"/>
      <c r="T197" s="78" t="str">
        <f t="shared" si="215"/>
        <v/>
      </c>
      <c r="U197" s="349"/>
      <c r="V197" s="78" t="str">
        <f t="shared" si="216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3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8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0"/>
      <c r="F198" s="69" t="str">
        <f t="shared" si="209"/>
        <v/>
      </c>
      <c r="G198" s="350"/>
      <c r="H198" s="69" t="str">
        <f t="shared" si="210"/>
        <v/>
      </c>
      <c r="I198" s="350"/>
      <c r="J198" s="69" t="str">
        <f t="shared" si="211"/>
        <v/>
      </c>
      <c r="K198" s="350"/>
      <c r="L198" s="69" t="str">
        <f t="shared" si="212"/>
        <v/>
      </c>
      <c r="M198" s="350"/>
      <c r="N198" s="69" t="str">
        <f t="shared" si="229"/>
        <v/>
      </c>
      <c r="O198" s="350"/>
      <c r="P198" s="69" t="str">
        <f t="shared" si="213"/>
        <v/>
      </c>
      <c r="Q198" s="350"/>
      <c r="R198" s="69" t="str">
        <f t="shared" si="214"/>
        <v/>
      </c>
      <c r="S198" s="350"/>
      <c r="T198" s="69" t="str">
        <f t="shared" si="215"/>
        <v/>
      </c>
      <c r="U198" s="350"/>
      <c r="V198" s="69" t="str">
        <f t="shared" si="216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3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845</v>
      </c>
      <c r="E199" s="84">
        <f>IF(AD199="","",AD199)</f>
        <v>0</v>
      </c>
      <c r="F199" s="83">
        <f t="shared" si="209"/>
        <v>770</v>
      </c>
      <c r="G199" s="84">
        <f>IF(AF199="","",AF199)</f>
        <v>0</v>
      </c>
      <c r="H199" s="83">
        <f t="shared" si="210"/>
        <v>710</v>
      </c>
      <c r="I199" s="84">
        <f>IF(AH199="","",AH199)</f>
        <v>0</v>
      </c>
      <c r="J199" s="83">
        <f t="shared" si="211"/>
        <v>866</v>
      </c>
      <c r="K199" s="84">
        <f>IF(AJ199="","",AJ199)</f>
        <v>2</v>
      </c>
      <c r="L199" s="83">
        <f t="shared" si="212"/>
        <v>798</v>
      </c>
      <c r="M199" s="84">
        <f>IF(AL199="","",AL199)</f>
        <v>0</v>
      </c>
      <c r="N199" s="83">
        <f t="shared" si="229"/>
        <v>701</v>
      </c>
      <c r="O199" s="84">
        <f>IF(AN199="","",AN199)</f>
        <v>0</v>
      </c>
      <c r="P199" s="83">
        <f t="shared" si="213"/>
        <v>843</v>
      </c>
      <c r="Q199" s="84">
        <f>IF(AP199="","",AP199)</f>
        <v>2</v>
      </c>
      <c r="R199" s="83">
        <f t="shared" si="214"/>
        <v>790</v>
      </c>
      <c r="S199" s="84">
        <f>IF(AR199="","",AR199)</f>
        <v>0</v>
      </c>
      <c r="T199" s="83">
        <f t="shared" si="215"/>
        <v>807</v>
      </c>
      <c r="U199" s="84">
        <f>IF(AT199="","",AT199)</f>
        <v>0</v>
      </c>
      <c r="V199" s="83">
        <f t="shared" si="216"/>
        <v>7130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845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770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710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866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798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701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843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790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807</v>
      </c>
      <c r="AT199" s="121">
        <f>IF(AS199+AS209=0,0,IF(AS199=AS209,1,IF(AS199&gt;AS209,2,0)))</f>
        <v>0</v>
      </c>
      <c r="AU199" s="122">
        <f>SUM(AC199+AE199+AG199+AI199+AK199+AM199+AO199+AQ199+AS199)</f>
        <v>7130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4</v>
      </c>
      <c r="L200" s="86" t="str">
        <f t="shared" si="212"/>
        <v/>
      </c>
      <c r="M200" s="87">
        <f>IF(AL200="","",AL200)</f>
        <v>1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6</v>
      </c>
      <c r="R200" s="86" t="str">
        <f t="shared" si="214"/>
        <v/>
      </c>
      <c r="S200" s="87">
        <f>IF(AR200="","",AR200)</f>
        <v>2</v>
      </c>
      <c r="T200" s="86" t="str">
        <f t="shared" si="215"/>
        <v/>
      </c>
      <c r="U200" s="87">
        <f>IF(AT200="","",AT200)</f>
        <v>2.5</v>
      </c>
      <c r="V200" s="86" t="str">
        <f t="shared" si="216"/>
        <v/>
      </c>
      <c r="W200" s="87">
        <f>IF(AV200="","",AV200)</f>
        <v>20.5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0</v>
      </c>
      <c r="AI200" s="86"/>
      <c r="AJ200" s="124">
        <f>SUM(AJ187:AJ199)</f>
        <v>4</v>
      </c>
      <c r="AK200" s="86"/>
      <c r="AL200" s="124">
        <f>SUM(AL187:AL199)</f>
        <v>1</v>
      </c>
      <c r="AM200" s="86"/>
      <c r="AN200" s="124">
        <f>SUM(AN187:AN199)</f>
        <v>2</v>
      </c>
      <c r="AO200" s="86"/>
      <c r="AP200" s="124">
        <f>SUM(AP187:AP199)</f>
        <v>6</v>
      </c>
      <c r="AQ200" s="86"/>
      <c r="AR200" s="124">
        <f>SUM(AR187:AR199)</f>
        <v>2</v>
      </c>
      <c r="AS200" s="86"/>
      <c r="AT200" s="124">
        <f>SUM(AT187:AT199)</f>
        <v>2.5</v>
      </c>
      <c r="AU200" s="86"/>
      <c r="AV200" s="125">
        <f>SUM(AV187:AV199)</f>
        <v>20.5</v>
      </c>
      <c r="AW200" s="101"/>
      <c r="AX200" s="102"/>
      <c r="BA200" s="212">
        <f>+AV200</f>
        <v>20.5</v>
      </c>
      <c r="BB200" s="213">
        <f>+AU199</f>
        <v>7130</v>
      </c>
      <c r="BC200" s="214">
        <f>+AA182</f>
        <v>7</v>
      </c>
      <c r="BF200" s="215">
        <f>SUM(BF181:BF199)</f>
        <v>36</v>
      </c>
      <c r="BQ200" s="212">
        <f>+BB200/1000000+BA200</f>
        <v>20.50713</v>
      </c>
      <c r="BR200" s="214">
        <f>RANK(BQ200,BQ:BQ)</f>
        <v>9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6">
        <f t="shared" si="240"/>
        <v>8</v>
      </c>
      <c r="E202" s="356" t="str">
        <f t="shared" si="240"/>
        <v/>
      </c>
      <c r="F202" s="356">
        <f t="shared" si="240"/>
        <v>3</v>
      </c>
      <c r="G202" s="356" t="str">
        <f t="shared" si="240"/>
        <v/>
      </c>
      <c r="H202" s="356">
        <f t="shared" si="240"/>
        <v>6</v>
      </c>
      <c r="I202" s="356" t="str">
        <f t="shared" si="240"/>
        <v/>
      </c>
      <c r="J202" s="356">
        <f t="shared" si="240"/>
        <v>4</v>
      </c>
      <c r="K202" s="356" t="str">
        <f t="shared" si="240"/>
        <v/>
      </c>
      <c r="L202" s="356">
        <f t="shared" si="240"/>
        <v>10</v>
      </c>
      <c r="M202" s="356" t="str">
        <f t="shared" si="240"/>
        <v/>
      </c>
      <c r="N202" s="356">
        <f t="shared" si="240"/>
        <v>2</v>
      </c>
      <c r="O202" s="356" t="str">
        <f t="shared" si="240"/>
        <v/>
      </c>
      <c r="P202" s="356">
        <f t="shared" si="240"/>
        <v>9</v>
      </c>
      <c r="Q202" s="356" t="str">
        <f t="shared" si="240"/>
        <v/>
      </c>
      <c r="R202" s="356">
        <f t="shared" ref="L202:U204" si="241">IF(AQ202=0,"",AQ202)</f>
        <v>5</v>
      </c>
      <c r="S202" s="356" t="str">
        <f t="shared" si="241"/>
        <v/>
      </c>
      <c r="T202" s="356">
        <f t="shared" si="241"/>
        <v>1</v>
      </c>
      <c r="U202" s="356" t="str">
        <f t="shared" si="241"/>
        <v/>
      </c>
      <c r="V202" s="357"/>
      <c r="W202" s="357"/>
      <c r="AA202" s="88" t="s">
        <v>1797</v>
      </c>
      <c r="AB202" s="89" t="s">
        <v>1798</v>
      </c>
      <c r="AC202" s="370">
        <f>VLOOKUP($AA182,Schlüssel!$A$5:$DG$14,83)</f>
        <v>8</v>
      </c>
      <c r="AD202" s="371"/>
      <c r="AE202" s="370">
        <f>VLOOKUP($AA182,Schlüssel!$A$5:$EK$14,84)</f>
        <v>3</v>
      </c>
      <c r="AF202" s="371"/>
      <c r="AG202" s="370">
        <f>VLOOKUP($AA182,Schlüssel!$A$5:$EK$14,85)</f>
        <v>6</v>
      </c>
      <c r="AH202" s="371"/>
      <c r="AI202" s="370">
        <f>VLOOKUP($AA182,Schlüssel!$A$5:$EK$14,86)</f>
        <v>4</v>
      </c>
      <c r="AJ202" s="371"/>
      <c r="AK202" s="370">
        <f>VLOOKUP($AA182,Schlüssel!$A$5:$EK$14,87)</f>
        <v>10</v>
      </c>
      <c r="AL202" s="371"/>
      <c r="AM202" s="370">
        <f>VLOOKUP($AA182,Schlüssel!$A$5:$EK$14,88)</f>
        <v>2</v>
      </c>
      <c r="AN202" s="371"/>
      <c r="AO202" s="370">
        <f>VLOOKUP($AA182,Schlüssel!$A$5:$EK$14,89)</f>
        <v>9</v>
      </c>
      <c r="AP202" s="371"/>
      <c r="AQ202" s="370">
        <f>VLOOKUP($AA182,Schlüssel!$A$5:$EK$14,90)</f>
        <v>5</v>
      </c>
      <c r="AR202" s="371"/>
      <c r="AS202" s="370">
        <f>VLOOKUP($AA182,Schlüssel!$A$5:$EK$14,91)</f>
        <v>1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58" t="str">
        <f t="shared" si="242"/>
        <v>BC EMAX Unterföhring 2</v>
      </c>
      <c r="E203" s="359" t="str">
        <f t="shared" si="242"/>
        <v/>
      </c>
      <c r="F203" s="358" t="str">
        <f t="shared" si="242"/>
        <v>BK München 3</v>
      </c>
      <c r="G203" s="359" t="str">
        <f t="shared" si="242"/>
        <v/>
      </c>
      <c r="H203" s="358" t="str">
        <f t="shared" si="242"/>
        <v>SG Rottendorf 1</v>
      </c>
      <c r="I203" s="359" t="str">
        <f t="shared" si="242"/>
        <v/>
      </c>
      <c r="J203" s="358" t="str">
        <f t="shared" si="242"/>
        <v>SG DJK Rimpar</v>
      </c>
      <c r="K203" s="359" t="str">
        <f t="shared" si="242"/>
        <v/>
      </c>
      <c r="L203" s="358" t="str">
        <f t="shared" si="241"/>
        <v>High Roller Rosenheim 1</v>
      </c>
      <c r="M203" s="359" t="str">
        <f t="shared" si="241"/>
        <v/>
      </c>
      <c r="N203" s="358" t="str">
        <f t="shared" si="241"/>
        <v>Bajuwaren München 1</v>
      </c>
      <c r="O203" s="359" t="str">
        <f t="shared" si="241"/>
        <v/>
      </c>
      <c r="P203" s="358" t="str">
        <f t="shared" si="241"/>
        <v>Bowlinghaus Bamberg 1</v>
      </c>
      <c r="Q203" s="359" t="str">
        <f t="shared" si="241"/>
        <v/>
      </c>
      <c r="R203" s="358" t="str">
        <f t="shared" si="241"/>
        <v>RW Lichtenhof Stein 1</v>
      </c>
      <c r="S203" s="359" t="str">
        <f t="shared" si="241"/>
        <v/>
      </c>
      <c r="T203" s="358" t="str">
        <f t="shared" si="241"/>
        <v>BC Comet Nürnberg</v>
      </c>
      <c r="U203" s="359" t="str">
        <f t="shared" si="241"/>
        <v/>
      </c>
      <c r="V203" s="363"/>
      <c r="W203" s="363"/>
      <c r="AA203" s="90"/>
      <c r="AB203" s="86"/>
      <c r="AC203" s="358" t="str">
        <f>VLOOKUP(AC202,Schlüssel!$A$5:$K$14,2)</f>
        <v>BC EMAX Unterföhring 2</v>
      </c>
      <c r="AD203" s="359"/>
      <c r="AE203" s="358" t="str">
        <f>VLOOKUP(AE202,Schlüssel!$A$5:$K$14,2)</f>
        <v>BK München 3</v>
      </c>
      <c r="AF203" s="359"/>
      <c r="AG203" s="358" t="str">
        <f>VLOOKUP(AG202,Schlüssel!$A$5:$K$14,2)</f>
        <v>SG Rottendorf 1</v>
      </c>
      <c r="AH203" s="359"/>
      <c r="AI203" s="358" t="str">
        <f>VLOOKUP(AI202,Schlüssel!$A$5:$K$14,2)</f>
        <v>SG DJK Rimpar</v>
      </c>
      <c r="AJ203" s="359"/>
      <c r="AK203" s="358" t="str">
        <f>VLOOKUP(AK202,Schlüssel!$A$5:$K$14,2)</f>
        <v>High Roller Rosenheim 1</v>
      </c>
      <c r="AL203" s="359"/>
      <c r="AM203" s="358" t="str">
        <f>VLOOKUP(AM202,Schlüssel!$A$5:$K$14,2)</f>
        <v>Bajuwaren München 1</v>
      </c>
      <c r="AN203" s="359"/>
      <c r="AO203" s="358" t="str">
        <f>VLOOKUP(AO202,Schlüssel!$A$5:$K$14,2)</f>
        <v>Bowlinghaus Bamberg 1</v>
      </c>
      <c r="AP203" s="359"/>
      <c r="AQ203" s="358" t="str">
        <f>VLOOKUP(AQ202,Schlüssel!$A$5:$K$14,2)</f>
        <v>RW Lichtenhof Stein 1</v>
      </c>
      <c r="AR203" s="359"/>
      <c r="AS203" s="358" t="str">
        <f>VLOOKUP(AS202,Schlüssel!$A$5:$K$14,2)</f>
        <v>BC Comet Nürnberg</v>
      </c>
      <c r="AT203" s="359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60" t="str">
        <f t="shared" si="242"/>
        <v/>
      </c>
      <c r="E204" s="360" t="str">
        <f t="shared" si="242"/>
        <v/>
      </c>
      <c r="F204" s="360" t="str">
        <f t="shared" si="242"/>
        <v/>
      </c>
      <c r="G204" s="360" t="str">
        <f t="shared" si="242"/>
        <v/>
      </c>
      <c r="H204" s="360" t="str">
        <f t="shared" si="242"/>
        <v/>
      </c>
      <c r="I204" s="360" t="str">
        <f t="shared" si="242"/>
        <v/>
      </c>
      <c r="J204" s="360" t="str">
        <f t="shared" si="242"/>
        <v/>
      </c>
      <c r="K204" s="360" t="str">
        <f t="shared" si="242"/>
        <v/>
      </c>
      <c r="L204" s="360" t="str">
        <f t="shared" si="241"/>
        <v/>
      </c>
      <c r="M204" s="360" t="str">
        <f t="shared" si="241"/>
        <v/>
      </c>
      <c r="N204" s="360" t="str">
        <f t="shared" si="241"/>
        <v/>
      </c>
      <c r="O204" s="360" t="str">
        <f t="shared" si="241"/>
        <v/>
      </c>
      <c r="P204" s="360" t="str">
        <f t="shared" si="241"/>
        <v/>
      </c>
      <c r="Q204" s="360" t="str">
        <f t="shared" si="241"/>
        <v/>
      </c>
      <c r="R204" s="360" t="str">
        <f t="shared" si="241"/>
        <v/>
      </c>
      <c r="S204" s="360" t="str">
        <f t="shared" si="241"/>
        <v/>
      </c>
      <c r="T204" s="360" t="str">
        <f t="shared" si="241"/>
        <v/>
      </c>
      <c r="U204" s="361" t="str">
        <f t="shared" si="241"/>
        <v/>
      </c>
      <c r="V204" s="298"/>
      <c r="W204" s="298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4" t="str">
        <f t="shared" ref="B205:C209" si="243">IF(AA205=0,"",AA205)</f>
        <v>Spieler 1</v>
      </c>
      <c r="C205" s="375" t="str">
        <f t="shared" si="243"/>
        <v/>
      </c>
      <c r="D205" s="362">
        <f>IF(AC205=301,"",AC205)</f>
        <v>184</v>
      </c>
      <c r="E205" s="362" t="str">
        <f>IF(AD205=0,"",AD205)</f>
        <v/>
      </c>
      <c r="F205" s="362">
        <f>IF(AE205=301,"",AE205)</f>
        <v>222</v>
      </c>
      <c r="G205" s="362" t="str">
        <f>IF(AF205=0,"",AF205)</f>
        <v/>
      </c>
      <c r="H205" s="362">
        <f>IF(AG205=301,"",AG205)</f>
        <v>203</v>
      </c>
      <c r="I205" s="362" t="str">
        <f>IF(AH205=0,"",AH205)</f>
        <v/>
      </c>
      <c r="J205" s="362">
        <f>IF(AI205=301,"",AI205)</f>
        <v>229</v>
      </c>
      <c r="K205" s="362" t="str">
        <f>IF(AJ205=0,"",AJ205)</f>
        <v/>
      </c>
      <c r="L205" s="362">
        <f>IF(AK205=301,"",AK205)</f>
        <v>257</v>
      </c>
      <c r="M205" s="362" t="str">
        <f>IF(AL205=0,"",AL205)</f>
        <v/>
      </c>
      <c r="N205" s="362">
        <f>IF(AM205=301,"",AM205)</f>
        <v>252</v>
      </c>
      <c r="O205" s="362" t="str">
        <f>IF(AN205=0,"",AN205)</f>
        <v/>
      </c>
      <c r="P205" s="362">
        <f>IF(AO205=301,"",AO205)</f>
        <v>172</v>
      </c>
      <c r="Q205" s="362" t="str">
        <f>IF(AP205=0,"",AP205)</f>
        <v/>
      </c>
      <c r="R205" s="362">
        <f>IF(AQ205=301,"",AQ205)</f>
        <v>274</v>
      </c>
      <c r="S205" s="362" t="str">
        <f>IF(AR205=0,"",AR205)</f>
        <v/>
      </c>
      <c r="T205" s="362">
        <f>IF(AS205=301,"",AS205)</f>
        <v>189</v>
      </c>
      <c r="U205" s="362" t="str">
        <f>IF(AT205=0,"",AT205)</f>
        <v/>
      </c>
      <c r="V205" s="364"/>
      <c r="W205" s="364"/>
      <c r="AA205" s="91" t="s">
        <v>0</v>
      </c>
      <c r="AB205" s="92"/>
      <c r="AC205" s="368">
        <f>ABS(INDEX(AC:AC,MATCH(AC202,$AA:$AA,0)+5)+INDEX(AC:AC,MATCH(AC202,$AA:$AA,0)+6)+INDEX(AC:AC,MATCH(AC202,$AA:$AA,0)+7))</f>
        <v>184</v>
      </c>
      <c r="AD205" s="369"/>
      <c r="AE205" s="368">
        <f>ABS(INDEX(AE:AE,MATCH(AE202,$AA:$AA,0)+5)+INDEX(AE:AE,MATCH(AE202,$AA:$AA,0)+6)+INDEX(AE:AE,MATCH(AE202,$AA:$AA,0)+7))</f>
        <v>222</v>
      </c>
      <c r="AF205" s="369"/>
      <c r="AG205" s="368">
        <f>ABS(INDEX(AG:AG,MATCH(AG202,$AA:$AA,0)+5)+INDEX(AG:AG,MATCH(AG202,$AA:$AA,0)+6)+INDEX(AG:AG,MATCH(AG202,$AA:$AA,0)+7))</f>
        <v>203</v>
      </c>
      <c r="AH205" s="369"/>
      <c r="AI205" s="368">
        <f>ABS(INDEX(AI:AI,MATCH(AI202,$AA:$AA,0)+5)+INDEX(AI:AI,MATCH(AI202,$AA:$AA,0)+6)+INDEX(AI:AI,MATCH(AI202,$AA:$AA,0)+7))</f>
        <v>229</v>
      </c>
      <c r="AJ205" s="369"/>
      <c r="AK205" s="368">
        <f>ABS(INDEX(AK:AK,MATCH(AK202,$AA:$AA,0)+5)+INDEX(AK:AK,MATCH(AK202,$AA:$AA,0)+6)+INDEX(AK:AK,MATCH(AK202,$AA:$AA,0)+7))</f>
        <v>257</v>
      </c>
      <c r="AL205" s="369"/>
      <c r="AM205" s="368">
        <f>ABS(INDEX(AM:AM,MATCH(AM202,$AA:$AA,0)+5)+INDEX(AM:AM,MATCH(AM202,$AA:$AA,0)+6)+INDEX(AM:AM,MATCH(AM202,$AA:$AA,0)+7))</f>
        <v>252</v>
      </c>
      <c r="AN205" s="369"/>
      <c r="AO205" s="368">
        <f>ABS(INDEX(AO:AO,MATCH(AO202,$AA:$AA,0)+5)+INDEX(AO:AO,MATCH(AO202,$AA:$AA,0)+6)+INDEX(AO:AO,MATCH(AO202,$AA:$AA,0)+7))</f>
        <v>172</v>
      </c>
      <c r="AP205" s="369"/>
      <c r="AQ205" s="368">
        <f>ABS(INDEX(AQ:AQ,MATCH(AQ202,$AA:$AA,0)+5)+INDEX(AQ:AQ,MATCH(AQ202,$AA:$AA,0)+6)+INDEX(AQ:AQ,MATCH(AQ202,$AA:$AA,0)+7))</f>
        <v>274</v>
      </c>
      <c r="AR205" s="369"/>
      <c r="AS205" s="368">
        <f>ABS(INDEX(AS:AS,MATCH(AS202,$AA:$AA,0)+5)+INDEX(AS:AS,MATCH(AS202,$AA:$AA,0)+6)+INDEX(AS:AS,MATCH(AS202,$AA:$AA,0)+7))</f>
        <v>189</v>
      </c>
      <c r="AT205" s="369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4" t="str">
        <f t="shared" si="243"/>
        <v>Spieler 2</v>
      </c>
      <c r="C206" s="375" t="str">
        <f t="shared" si="243"/>
        <v/>
      </c>
      <c r="D206" s="362">
        <f>IF(AC206=301,"",AC206)</f>
        <v>201</v>
      </c>
      <c r="E206" s="362" t="str">
        <f>IF(AD206=0,"",AD206)</f>
        <v/>
      </c>
      <c r="F206" s="362">
        <f>IF(AE206=301,"",AE206)</f>
        <v>192</v>
      </c>
      <c r="G206" s="362" t="str">
        <f>IF(AF206=0,"",AF206)</f>
        <v/>
      </c>
      <c r="H206" s="362">
        <f>IF(AG206=301,"",AG206)</f>
        <v>211</v>
      </c>
      <c r="I206" s="362" t="str">
        <f>IF(AH206=0,"",AH206)</f>
        <v/>
      </c>
      <c r="J206" s="362">
        <f>IF(AI206=301,"",AI206)</f>
        <v>205</v>
      </c>
      <c r="K206" s="362" t="str">
        <f>IF(AJ206=0,"",AJ206)</f>
        <v/>
      </c>
      <c r="L206" s="362">
        <f>IF(AK206=301,"",AK206)</f>
        <v>242</v>
      </c>
      <c r="M206" s="362" t="str">
        <f>IF(AL206=0,"",AL206)</f>
        <v/>
      </c>
      <c r="N206" s="362">
        <f>IF(AM206=301,"",AM206)</f>
        <v>167</v>
      </c>
      <c r="O206" s="362" t="str">
        <f>IF(AN206=0,"",AN206)</f>
        <v/>
      </c>
      <c r="P206" s="362">
        <f>IF(AO206=301,"",AO206)</f>
        <v>183</v>
      </c>
      <c r="Q206" s="362" t="str">
        <f>IF(AP206=0,"",AP206)</f>
        <v/>
      </c>
      <c r="R206" s="362">
        <f>IF(AQ206=301,"",AQ206)</f>
        <v>190</v>
      </c>
      <c r="S206" s="362" t="str">
        <f>IF(AR206=0,"",AR206)</f>
        <v/>
      </c>
      <c r="T206" s="362">
        <f>IF(AS206=301,"",AS206)</f>
        <v>245</v>
      </c>
      <c r="U206" s="362" t="str">
        <f>IF(AT206=0,"",AT206)</f>
        <v/>
      </c>
      <c r="V206" s="364"/>
      <c r="W206" s="364"/>
      <c r="AA206" s="91" t="s">
        <v>2</v>
      </c>
      <c r="AB206" s="92"/>
      <c r="AC206" s="366">
        <f>ABS(INDEX(AC:AC,MATCH(AC202,$AA:$AA,0)+8)+INDEX(AC:AC,MATCH(AC202,$AA:$AA,0)+9)+INDEX(AC:AC,MATCH(AC202,$AA:$AA,0)+10))</f>
        <v>201</v>
      </c>
      <c r="AD206" s="367"/>
      <c r="AE206" s="366">
        <f>ABS(INDEX(AE:AE,MATCH(AE202,$AA:$AA,0)+8)+INDEX(AE:AE,MATCH(AE202,$AA:$AA,0)+9)+INDEX(AE:AE,MATCH(AE202,$AA:$AA,0)+10))</f>
        <v>192</v>
      </c>
      <c r="AF206" s="367"/>
      <c r="AG206" s="366">
        <f>ABS(INDEX(AG:AG,MATCH(AG202,$AA:$AA,0)+8)+INDEX(AG:AG,MATCH(AG202,$AA:$AA,0)+9)+INDEX(AG:AG,MATCH(AG202,$AA:$AA,0)+10))</f>
        <v>211</v>
      </c>
      <c r="AH206" s="367"/>
      <c r="AI206" s="366">
        <f>ABS(INDEX(AI:AI,MATCH(AI202,$AA:$AA,0)+8)+INDEX(AI:AI,MATCH(AI202,$AA:$AA,0)+9)+INDEX(AI:AI,MATCH(AI202,$AA:$AA,0)+10))</f>
        <v>205</v>
      </c>
      <c r="AJ206" s="367"/>
      <c r="AK206" s="366">
        <f>ABS(INDEX(AK:AK,MATCH(AK202,$AA:$AA,0)+8)+INDEX(AK:AK,MATCH(AK202,$AA:$AA,0)+9)+INDEX(AK:AK,MATCH(AK202,$AA:$AA,0)+10))</f>
        <v>242</v>
      </c>
      <c r="AL206" s="367"/>
      <c r="AM206" s="366">
        <f>ABS(INDEX(AM:AM,MATCH(AM202,$AA:$AA,0)+8)+INDEX(AM:AM,MATCH(AM202,$AA:$AA,0)+9)+INDEX(AM:AM,MATCH(AM202,$AA:$AA,0)+10))</f>
        <v>167</v>
      </c>
      <c r="AN206" s="367"/>
      <c r="AO206" s="366">
        <f>ABS(INDEX(AO:AO,MATCH(AO202,$AA:$AA,0)+8)+INDEX(AO:AO,MATCH(AO202,$AA:$AA,0)+9)+INDEX(AO:AO,MATCH(AO202,$AA:$AA,0)+10))</f>
        <v>183</v>
      </c>
      <c r="AP206" s="367"/>
      <c r="AQ206" s="366">
        <f>ABS(INDEX(AQ:AQ,MATCH(AQ202,$AA:$AA,0)+8)+INDEX(AQ:AQ,MATCH(AQ202,$AA:$AA,0)+9)+INDEX(AQ:AQ,MATCH(AQ202,$AA:$AA,0)+10))</f>
        <v>190</v>
      </c>
      <c r="AR206" s="367"/>
      <c r="AS206" s="366">
        <f>ABS(INDEX(AS:AS,MATCH(AS202,$AA:$AA,0)+8)+INDEX(AS:AS,MATCH(AS202,$AA:$AA,0)+9)+INDEX(AS:AS,MATCH(AS202,$AA:$AA,0)+10))</f>
        <v>245</v>
      </c>
      <c r="AT206" s="367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4" t="str">
        <f t="shared" si="243"/>
        <v>Spieler 3</v>
      </c>
      <c r="C207" s="375" t="str">
        <f t="shared" si="243"/>
        <v/>
      </c>
      <c r="D207" s="362">
        <f>IF(AC207=301,"",AC207)</f>
        <v>215</v>
      </c>
      <c r="E207" s="362" t="str">
        <f>IF(AD207=0,"",AD207)</f>
        <v/>
      </c>
      <c r="F207" s="362">
        <f>IF(AE207=301,"",AE207)</f>
        <v>226</v>
      </c>
      <c r="G207" s="362" t="str">
        <f>IF(AF207=0,"",AF207)</f>
        <v/>
      </c>
      <c r="H207" s="362">
        <f>IF(AG207=301,"",AG207)</f>
        <v>172</v>
      </c>
      <c r="I207" s="362" t="str">
        <f>IF(AH207=0,"",AH207)</f>
        <v/>
      </c>
      <c r="J207" s="362">
        <f>IF(AI207=301,"",AI207)</f>
        <v>199</v>
      </c>
      <c r="K207" s="362" t="str">
        <f>IF(AJ207=0,"",AJ207)</f>
        <v/>
      </c>
      <c r="L207" s="362">
        <f>IF(AK207=301,"",AK207)</f>
        <v>171</v>
      </c>
      <c r="M207" s="362" t="str">
        <f>IF(AL207=0,"",AL207)</f>
        <v/>
      </c>
      <c r="N207" s="362">
        <f>IF(AM207=301,"",AM207)</f>
        <v>192</v>
      </c>
      <c r="O207" s="362" t="str">
        <f>IF(AN207=0,"",AN207)</f>
        <v/>
      </c>
      <c r="P207" s="362">
        <f>IF(AO207=301,"",AO207)</f>
        <v>209</v>
      </c>
      <c r="Q207" s="362" t="str">
        <f>IF(AP207=0,"",AP207)</f>
        <v/>
      </c>
      <c r="R207" s="362">
        <f>IF(AQ207=301,"",AQ207)</f>
        <v>150</v>
      </c>
      <c r="S207" s="362" t="str">
        <f>IF(AR207=0,"",AR207)</f>
        <v/>
      </c>
      <c r="T207" s="362">
        <f>IF(AS207=301,"",AS207)</f>
        <v>211</v>
      </c>
      <c r="U207" s="362" t="str">
        <f>IF(AT207=0,"",AT207)</f>
        <v/>
      </c>
      <c r="V207" s="364"/>
      <c r="W207" s="364"/>
      <c r="AA207" s="91" t="s">
        <v>3</v>
      </c>
      <c r="AB207" s="92"/>
      <c r="AC207" s="366">
        <f>ABS(INDEX(AC:AC,MATCH(AC202,$AA:$AA,0)+11)+INDEX(AC:AC,MATCH(AC202,$AA:$AA,0)+12)+INDEX(AC:AC,MATCH(AC202,$AA:$AA,0)+13))</f>
        <v>215</v>
      </c>
      <c r="AD207" s="367"/>
      <c r="AE207" s="366">
        <f>ABS(INDEX(AE:AE,MATCH(AE202,$AA:$AA,0)+11)+INDEX(AE:AE,MATCH(AE202,$AA:$AA,0)+12)+INDEX(AE:AE,MATCH(AE202,$AA:$AA,0)+13))</f>
        <v>226</v>
      </c>
      <c r="AF207" s="367"/>
      <c r="AG207" s="366">
        <f>ABS(INDEX(AG:AG,MATCH(AG202,$AA:$AA,0)+11)+INDEX(AG:AG,MATCH(AG202,$AA:$AA,0)+12)+INDEX(AG:AG,MATCH(AG202,$AA:$AA,0)+13))</f>
        <v>172</v>
      </c>
      <c r="AH207" s="367"/>
      <c r="AI207" s="366">
        <f>ABS(INDEX(AI:AI,MATCH(AI202,$AA:$AA,0)+11)+INDEX(AI:AI,MATCH(AI202,$AA:$AA,0)+12)+INDEX(AI:AI,MATCH(AI202,$AA:$AA,0)+13))</f>
        <v>199</v>
      </c>
      <c r="AJ207" s="367"/>
      <c r="AK207" s="366">
        <f>ABS(INDEX(AK:AK,MATCH(AK202,$AA:$AA,0)+11)+INDEX(AK:AK,MATCH(AK202,$AA:$AA,0)+12)+INDEX(AK:AK,MATCH(AK202,$AA:$AA,0)+13))</f>
        <v>171</v>
      </c>
      <c r="AL207" s="367"/>
      <c r="AM207" s="366">
        <f>ABS(INDEX(AM:AM,MATCH(AM202,$AA:$AA,0)+11)+INDEX(AM:AM,MATCH(AM202,$AA:$AA,0)+12)+INDEX(AM:AM,MATCH(AM202,$AA:$AA,0)+13))</f>
        <v>192</v>
      </c>
      <c r="AN207" s="367"/>
      <c r="AO207" s="366">
        <f>ABS(INDEX(AO:AO,MATCH(AO202,$AA:$AA,0)+11)+INDEX(AO:AO,MATCH(AO202,$AA:$AA,0)+12)+INDEX(AO:AO,MATCH(AO202,$AA:$AA,0)+13))</f>
        <v>209</v>
      </c>
      <c r="AP207" s="367"/>
      <c r="AQ207" s="366">
        <f>ABS(INDEX(AQ:AQ,MATCH(AQ202,$AA:$AA,0)+11)+INDEX(AQ:AQ,MATCH(AQ202,$AA:$AA,0)+12)+INDEX(AQ:AQ,MATCH(AQ202,$AA:$AA,0)+13))</f>
        <v>150</v>
      </c>
      <c r="AR207" s="367"/>
      <c r="AS207" s="366">
        <f>ABS(INDEX(AS:AS,MATCH(AS202,$AA:$AA,0)+11)+INDEX(AS:AS,MATCH(AS202,$AA:$AA,0)+12)+INDEX(AS:AS,MATCH(AS202,$AA:$AA,0)+13))</f>
        <v>211</v>
      </c>
      <c r="AT207" s="367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4" t="str">
        <f t="shared" si="243"/>
        <v>Spieler 4</v>
      </c>
      <c r="C208" s="375" t="str">
        <f t="shared" si="243"/>
        <v/>
      </c>
      <c r="D208" s="362">
        <f>IF(AC208=301,"",AC208)</f>
        <v>250</v>
      </c>
      <c r="E208" s="362" t="str">
        <f>IF(AD208=0,"",AD208)</f>
        <v/>
      </c>
      <c r="F208" s="362">
        <f>IF(AE208=301,"",AE208)</f>
        <v>184</v>
      </c>
      <c r="G208" s="362" t="str">
        <f>IF(AF208=0,"",AF208)</f>
        <v/>
      </c>
      <c r="H208" s="362">
        <f>IF(AG208=301,"",AG208)</f>
        <v>227</v>
      </c>
      <c r="I208" s="362" t="str">
        <f>IF(AH208=0,"",AH208)</f>
        <v/>
      </c>
      <c r="J208" s="362">
        <f>IF(AI208=301,"",AI208)</f>
        <v>203</v>
      </c>
      <c r="K208" s="362" t="str">
        <f>IF(AJ208=0,"",AJ208)</f>
        <v/>
      </c>
      <c r="L208" s="362">
        <f>IF(AK208=301,"",AK208)</f>
        <v>258</v>
      </c>
      <c r="M208" s="362" t="str">
        <f>IF(AL208=0,"",AL208)</f>
        <v/>
      </c>
      <c r="N208" s="362">
        <f>IF(AM208=301,"",AM208)</f>
        <v>202</v>
      </c>
      <c r="O208" s="362" t="str">
        <f>IF(AN208=0,"",AN208)</f>
        <v/>
      </c>
      <c r="P208" s="362">
        <f>IF(AO208=301,"",AO208)</f>
        <v>189</v>
      </c>
      <c r="Q208" s="362" t="str">
        <f>IF(AP208=0,"",AP208)</f>
        <v/>
      </c>
      <c r="R208" s="362">
        <f>IF(AQ208=301,"",AQ208)</f>
        <v>220</v>
      </c>
      <c r="S208" s="362" t="str">
        <f>IF(AR208=0,"",AR208)</f>
        <v/>
      </c>
      <c r="T208" s="362">
        <f>IF(AS208=301,"",AS208)</f>
        <v>170</v>
      </c>
      <c r="U208" s="362" t="str">
        <f>IF(AT208=0,"",AT208)</f>
        <v/>
      </c>
      <c r="V208" s="364"/>
      <c r="W208" s="364"/>
      <c r="AA208" s="91" t="s">
        <v>11</v>
      </c>
      <c r="AB208" s="92"/>
      <c r="AC208" s="366">
        <f>ABS(INDEX(AC:AC,MATCH(AC202,$AA:$AA,0)+14)+INDEX(AC:AC,MATCH(AC202,$AA:$AA,0)+15)+INDEX(AC:AC,MATCH(AC202,$AA:$AA,0)+16))</f>
        <v>250</v>
      </c>
      <c r="AD208" s="367"/>
      <c r="AE208" s="366">
        <f>ABS(INDEX(AE:AE,MATCH(AE202,$AA:$AA,0)+14)+INDEX(AE:AE,MATCH(AE202,$AA:$AA,0)+15)+INDEX(AE:AE,MATCH(AE202,$AA:$AA,0)+16))</f>
        <v>184</v>
      </c>
      <c r="AF208" s="367"/>
      <c r="AG208" s="366">
        <f>ABS(INDEX(AG:AG,MATCH(AG202,$AA:$AA,0)+14)+INDEX(AG:AG,MATCH(AG202,$AA:$AA,0)+15)+INDEX(AG:AG,MATCH(AG202,$AA:$AA,0)+16))</f>
        <v>227</v>
      </c>
      <c r="AH208" s="367"/>
      <c r="AI208" s="366">
        <f>ABS(INDEX(AI:AI,MATCH(AI202,$AA:$AA,0)+14)+INDEX(AI:AI,MATCH(AI202,$AA:$AA,0)+15)+INDEX(AI:AI,MATCH(AI202,$AA:$AA,0)+16))</f>
        <v>203</v>
      </c>
      <c r="AJ208" s="367"/>
      <c r="AK208" s="366">
        <f>ABS(INDEX(AK:AK,MATCH(AK202,$AA:$AA,0)+14)+INDEX(AK:AK,MATCH(AK202,$AA:$AA,0)+15)+INDEX(AK:AK,MATCH(AK202,$AA:$AA,0)+16))</f>
        <v>258</v>
      </c>
      <c r="AL208" s="367"/>
      <c r="AM208" s="366">
        <f>ABS(INDEX(AM:AM,MATCH(AM202,$AA:$AA,0)+14)+INDEX(AM:AM,MATCH(AM202,$AA:$AA,0)+15)+INDEX(AM:AM,MATCH(AM202,$AA:$AA,0)+16))</f>
        <v>202</v>
      </c>
      <c r="AN208" s="367"/>
      <c r="AO208" s="366">
        <f>ABS(INDEX(AO:AO,MATCH(AO202,$AA:$AA,0)+14)+INDEX(AO:AO,MATCH(AO202,$AA:$AA,0)+15)+INDEX(AO:AO,MATCH(AO202,$AA:$AA,0)+16))</f>
        <v>189</v>
      </c>
      <c r="AP208" s="367"/>
      <c r="AQ208" s="366">
        <f>ABS(INDEX(AQ:AQ,MATCH(AQ202,$AA:$AA,0)+14)+INDEX(AQ:AQ,MATCH(AQ202,$AA:$AA,0)+15)+INDEX(AQ:AQ,MATCH(AQ202,$AA:$AA,0)+16))</f>
        <v>220</v>
      </c>
      <c r="AR208" s="367"/>
      <c r="AS208" s="366">
        <f>ABS(INDEX(AS:AS,MATCH(AS202,$AA:$AA,0)+14)+INDEX(AS:AS,MATCH(AS202,$AA:$AA,0)+15)+INDEX(AS:AS,MATCH(AS202,$AA:$AA,0)+16))</f>
        <v>170</v>
      </c>
      <c r="AT208" s="367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6" t="str">
        <f t="shared" si="243"/>
        <v>Gesamt</v>
      </c>
      <c r="C209" s="347" t="str">
        <f t="shared" si="243"/>
        <v/>
      </c>
      <c r="D209" s="365">
        <f>IF(AC209=1505,"",AC209)</f>
        <v>850</v>
      </c>
      <c r="E209" s="365" t="str">
        <f>IF(AD209=0,"",AD209)</f>
        <v/>
      </c>
      <c r="F209" s="365">
        <f>IF(AE209=1505,"",AE209)</f>
        <v>824</v>
      </c>
      <c r="G209" s="365" t="str">
        <f>IF(AF209=0,"",AF209)</f>
        <v/>
      </c>
      <c r="H209" s="365">
        <f>IF(AG209=1505,"",AG209)</f>
        <v>813</v>
      </c>
      <c r="I209" s="365" t="str">
        <f>IF(AH209=0,"",AH209)</f>
        <v/>
      </c>
      <c r="J209" s="365">
        <f>IF(AI209=1505,"",AI209)</f>
        <v>836</v>
      </c>
      <c r="K209" s="365" t="str">
        <f>IF(AJ209=0,"",AJ209)</f>
        <v/>
      </c>
      <c r="L209" s="365">
        <f>IF(AK209=1505,"",AK209)</f>
        <v>928</v>
      </c>
      <c r="M209" s="365" t="str">
        <f>IF(AL209=0,"",AL209)</f>
        <v/>
      </c>
      <c r="N209" s="365">
        <f>IF(AM209=1505,"",AM209)</f>
        <v>813</v>
      </c>
      <c r="O209" s="365" t="str">
        <f>IF(AN209=0,"",AN209)</f>
        <v/>
      </c>
      <c r="P209" s="365">
        <f>IF(AO209=1505,"",AO209)</f>
        <v>753</v>
      </c>
      <c r="Q209" s="365" t="str">
        <f>IF(AP209=0,"",AP209)</f>
        <v/>
      </c>
      <c r="R209" s="365">
        <f>IF(AQ209=1505,"",AQ209)</f>
        <v>834</v>
      </c>
      <c r="S209" s="365" t="str">
        <f>IF(AR209=0,"",AR209)</f>
        <v/>
      </c>
      <c r="T209" s="365">
        <f>IF(AS209=1505,"",AS209)</f>
        <v>815</v>
      </c>
      <c r="U209" s="365" t="str">
        <f>IF(AT209=0,"",AT209)</f>
        <v/>
      </c>
      <c r="V209" s="301"/>
      <c r="W209" s="301"/>
      <c r="AA209" s="93" t="s">
        <v>1799</v>
      </c>
      <c r="AB209" s="94"/>
      <c r="AC209" s="346">
        <f>SUM(AC205:AC208)</f>
        <v>850</v>
      </c>
      <c r="AD209" s="347"/>
      <c r="AE209" s="346">
        <f>SUM(AE205:AE208)</f>
        <v>824</v>
      </c>
      <c r="AF209" s="347"/>
      <c r="AG209" s="346">
        <f>SUM(AG205:AG208)</f>
        <v>813</v>
      </c>
      <c r="AH209" s="347"/>
      <c r="AI209" s="346">
        <f>SUM(AI205:AI208)</f>
        <v>836</v>
      </c>
      <c r="AJ209" s="347"/>
      <c r="AK209" s="346">
        <f>SUM(AK205:AK208)</f>
        <v>928</v>
      </c>
      <c r="AL209" s="347"/>
      <c r="AM209" s="346">
        <f>SUM(AM205:AM208)</f>
        <v>813</v>
      </c>
      <c r="AN209" s="347"/>
      <c r="AO209" s="346">
        <f>SUM(AO205:AO208)</f>
        <v>753</v>
      </c>
      <c r="AP209" s="347"/>
      <c r="AQ209" s="346">
        <f>SUM(AQ205:AQ208)</f>
        <v>834</v>
      </c>
      <c r="AR209" s="347"/>
      <c r="AS209" s="346">
        <f>SUM(AS205:AS208)</f>
        <v>815</v>
      </c>
      <c r="AT209" s="347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5" t="str">
        <f>AE211</f>
        <v>Bayernliga Herren</v>
      </c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48"/>
      <c r="S211" s="49" t="s">
        <v>1794</v>
      </c>
      <c r="T211" s="50"/>
      <c r="U211" s="341" t="str">
        <f>AT211</f>
        <v>15.03./16.03.</v>
      </c>
      <c r="V211" s="342"/>
      <c r="W211" s="343"/>
      <c r="X211" s="372"/>
      <c r="Y211" s="373"/>
      <c r="Z211" s="373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41" t="str">
        <f>VLOOKUP(AS212,Spielorte!$A$1:$C$6,2)</f>
        <v>15.03./16.03.</v>
      </c>
      <c r="AU211" s="342"/>
      <c r="AV211" s="34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4" t="str">
        <f>AE212</f>
        <v>Brunnthal Max Munich</v>
      </c>
      <c r="G212" s="344"/>
      <c r="H212" s="344"/>
      <c r="I212" s="344"/>
      <c r="J212" s="344"/>
      <c r="K212" s="344"/>
      <c r="L212" s="344"/>
      <c r="M212" s="344"/>
      <c r="N212" s="344"/>
      <c r="O212" s="344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6" t="s">
        <v>1800</v>
      </c>
      <c r="E215" s="347"/>
      <c r="F215" s="346" t="s">
        <v>1801</v>
      </c>
      <c r="G215" s="347"/>
      <c r="H215" s="346" t="s">
        <v>1802</v>
      </c>
      <c r="I215" s="347"/>
      <c r="J215" s="346" t="s">
        <v>1803</v>
      </c>
      <c r="K215" s="347"/>
      <c r="L215" s="346" t="s">
        <v>1804</v>
      </c>
      <c r="M215" s="347"/>
      <c r="N215" s="346" t="s">
        <v>1805</v>
      </c>
      <c r="O215" s="347"/>
      <c r="P215" s="346" t="s">
        <v>1806</v>
      </c>
      <c r="Q215" s="347"/>
      <c r="R215" s="346" t="s">
        <v>1807</v>
      </c>
      <c r="S215" s="347"/>
      <c r="T215" s="346" t="s">
        <v>1808</v>
      </c>
      <c r="U215" s="347"/>
      <c r="V215" s="354" t="s">
        <v>1799</v>
      </c>
      <c r="W215" s="355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6" t="s">
        <v>0</v>
      </c>
      <c r="B217" s="73" t="str">
        <f>IF(AA217=0,"",AA217)</f>
        <v>Wegenast, Robert</v>
      </c>
      <c r="C217" s="74">
        <f>IF(AB217=0,"",AB217)</f>
        <v>25325</v>
      </c>
      <c r="D217" s="75">
        <f>IF(AC217=0,"",AC217)</f>
        <v>184</v>
      </c>
      <c r="E217" s="348">
        <f>IF(AD217="","",AD217)</f>
        <v>0</v>
      </c>
      <c r="F217" s="75">
        <f t="shared" ref="F217:F230" si="244">IF(AE217=0,"",AE217)</f>
        <v>209</v>
      </c>
      <c r="G217" s="348">
        <f>IF(AF217="","",AF217)</f>
        <v>1</v>
      </c>
      <c r="H217" s="75">
        <f t="shared" ref="H217:H230" si="245">IF(AG217=0,"",AG217)</f>
        <v>206</v>
      </c>
      <c r="I217" s="348">
        <f>IF(AH217="","",AH217)</f>
        <v>0</v>
      </c>
      <c r="J217" s="75">
        <f t="shared" ref="J217:J230" si="246">IF(AI217=0,"",AI217)</f>
        <v>175</v>
      </c>
      <c r="K217" s="348">
        <f>IF(AJ217="","",AJ217)</f>
        <v>0</v>
      </c>
      <c r="L217" s="75" t="str">
        <f t="shared" ref="L217:L230" si="247">IF(AK217=0,"",AK217)</f>
        <v/>
      </c>
      <c r="M217" s="348">
        <f>IF(AL217="","",AL217)</f>
        <v>0</v>
      </c>
      <c r="N217" s="75">
        <f>IF(AM217=0,"",AM217)</f>
        <v>214</v>
      </c>
      <c r="O217" s="348">
        <f>IF(AN217="","",AN217)</f>
        <v>1</v>
      </c>
      <c r="P217" s="75">
        <f t="shared" ref="P217:P230" si="248">IF(AO217=0,"",AO217)</f>
        <v>230</v>
      </c>
      <c r="Q217" s="348">
        <f>IF(AP217="","",AP217)</f>
        <v>1</v>
      </c>
      <c r="R217" s="75">
        <f t="shared" ref="R217:R230" si="249">IF(AQ217=0,"",AQ217)</f>
        <v>193</v>
      </c>
      <c r="S217" s="348">
        <f>IF(AR217="","",AR217)</f>
        <v>1</v>
      </c>
      <c r="T217" s="75">
        <f t="shared" ref="T217:T230" si="250">IF(AS217=0,"",AS217)</f>
        <v>232</v>
      </c>
      <c r="U217" s="348">
        <f>IF(AT217="","",AT217)</f>
        <v>1</v>
      </c>
      <c r="V217" s="75">
        <f t="shared" ref="V217:V230" si="251">IF(AU217=0,"",AU217)</f>
        <v>1643</v>
      </c>
      <c r="W217" s="348">
        <f>IF(AV217="","",AV217)</f>
        <v>5</v>
      </c>
      <c r="Z217" s="351" t="s">
        <v>0</v>
      </c>
      <c r="AA217" s="108" t="str">
        <f>IF(AB217=0,"",VLOOKUP(AB217,Starter!$A$1:$D$199,2,FALSE))</f>
        <v>Wegenast, Robert</v>
      </c>
      <c r="AB217" s="99">
        <v>25325</v>
      </c>
      <c r="AC217" s="185">
        <v>184</v>
      </c>
      <c r="AD217" s="109">
        <f>IF(SUM(AC217:AC219)+AC235=0,0,IF(SUM(AC217:AC219)=AC235,0.5,IF(SUM(AC217:AC219)&gt;AC235,1,0)))</f>
        <v>0</v>
      </c>
      <c r="AE217" s="185">
        <v>209</v>
      </c>
      <c r="AF217" s="109">
        <f>IF(SUM(AE217:AE219)+AE235=0,0,IF(SUM(AE217:AE219)=AE235,0.5,IF(SUM(AE217:AE219)&gt;AE235,1,0)))</f>
        <v>1</v>
      </c>
      <c r="AG217" s="185">
        <v>206</v>
      </c>
      <c r="AH217" s="109">
        <f>IF(SUM(AG217:AG219)+AG235=0,0,IF(SUM(AG217:AG219)=AG235,0.5,IF(SUM(AG217:AG219)&gt;AG235,1,0)))</f>
        <v>0</v>
      </c>
      <c r="AI217" s="185">
        <v>175</v>
      </c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>
        <v>214</v>
      </c>
      <c r="AN217" s="109">
        <f>IF(SUM(AM217:AM219)+AM235=0,0,IF(SUM(AM217:AM219)=AM235,0.5,IF(SUM(AM217:AM219)&gt;AM235,1,0)))</f>
        <v>1</v>
      </c>
      <c r="AO217" s="185">
        <v>230</v>
      </c>
      <c r="AP217" s="109">
        <f>IF(SUM(AO217:AO219)+AO235=0,0,IF(SUM(AO217:AO219)=AO235,0.5,IF(SUM(AO217:AO219)&gt;AO235,1,0)))</f>
        <v>1</v>
      </c>
      <c r="AQ217" s="185">
        <v>193</v>
      </c>
      <c r="AR217" s="109">
        <f>IF(SUM(AQ217:AQ219)+AQ235=0,0,IF(SUM(AQ217:AQ219)=AQ235,0.5,IF(SUM(AQ217:AQ219)&gt;AQ235,1,0)))</f>
        <v>1</v>
      </c>
      <c r="AS217" s="185">
        <v>232</v>
      </c>
      <c r="AT217" s="109">
        <f>IF(SUM(AS217:AS219)+AS235=0,0,IF(SUM(AS217:AS219)=AS235,0.5,IF(SUM(AS217:AS219)&gt;AS235,1,0)))</f>
        <v>1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1643</v>
      </c>
      <c r="AV217" s="111">
        <f>SUM(AD217+AF217+AH217+AJ217+AL217+AN217+AP217+AR217+AT217)</f>
        <v>5</v>
      </c>
      <c r="AW217" s="101"/>
      <c r="AX217" s="102"/>
      <c r="AZ217" s="63"/>
      <c r="BA217" s="212"/>
      <c r="BB217" s="213"/>
      <c r="BC217" s="214"/>
      <c r="BD217" s="217">
        <f>+AB217</f>
        <v>25325</v>
      </c>
      <c r="BE217" s="213">
        <f>+AU217</f>
        <v>1643</v>
      </c>
      <c r="BF217" s="215">
        <f>COUNT(BH217:BP217)</f>
        <v>8</v>
      </c>
      <c r="BG217" s="215">
        <f>COUNTIF(BH217:BP217,"&gt;0")</f>
        <v>8</v>
      </c>
      <c r="BH217" s="215">
        <f t="shared" ref="BH217:BH228" si="253">IF(AC217=0,"",AC217)</f>
        <v>184</v>
      </c>
      <c r="BI217" s="215">
        <f t="shared" ref="BI217:BI228" si="254">IF(AE217=0,"",AE217)</f>
        <v>209</v>
      </c>
      <c r="BJ217" s="215">
        <f t="shared" ref="BJ217:BJ228" si="255">IF(AG217=0,"",AG217)</f>
        <v>206</v>
      </c>
      <c r="BK217" s="215">
        <f t="shared" ref="BK217:BK228" si="256">IF(AI217=0,"",AI217)</f>
        <v>175</v>
      </c>
      <c r="BL217" s="215" t="str">
        <f t="shared" ref="BL217:BL228" si="257">IF(AK217=0,"",AK217)</f>
        <v/>
      </c>
      <c r="BM217" s="215">
        <f t="shared" ref="BM217:BM228" si="258">IF(AM217=0,"",AM217)</f>
        <v>214</v>
      </c>
      <c r="BN217" s="215">
        <f t="shared" ref="BN217:BN228" si="259">IF(AO217=0,"",AO217)</f>
        <v>230</v>
      </c>
      <c r="BO217" s="215">
        <f t="shared" ref="BO217:BO228" si="260">IF(AQ217=0,"",AQ217)</f>
        <v>193</v>
      </c>
      <c r="BP217" s="215">
        <f t="shared" ref="BP217:BP228" si="261">IF(AS217=0,"",AS217)</f>
        <v>232</v>
      </c>
      <c r="BQ217" s="216"/>
      <c r="BR217" s="214"/>
      <c r="BS217" s="215">
        <f>MAX(BH217:BP217)</f>
        <v>232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3</v>
      </c>
      <c r="BW217" s="215">
        <f>SUMIF(BH217:BP217,"&gt;0")</f>
        <v>1643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77"/>
      <c r="B218" s="76" t="str">
        <f t="shared" ref="B218:D230" si="263">IF(AA218=0,"",AA218)</f>
        <v>Lohse, Sebastian</v>
      </c>
      <c r="C218" s="77">
        <f t="shared" si="263"/>
        <v>27134</v>
      </c>
      <c r="D218" s="78" t="str">
        <f t="shared" si="263"/>
        <v/>
      </c>
      <c r="E218" s="349"/>
      <c r="F218" s="78" t="str">
        <f t="shared" si="244"/>
        <v/>
      </c>
      <c r="G218" s="349"/>
      <c r="H218" s="78" t="str">
        <f t="shared" si="245"/>
        <v/>
      </c>
      <c r="I218" s="349"/>
      <c r="J218" s="78" t="str">
        <f t="shared" si="246"/>
        <v/>
      </c>
      <c r="K218" s="349"/>
      <c r="L218" s="78">
        <f t="shared" si="247"/>
        <v>165</v>
      </c>
      <c r="M218" s="349"/>
      <c r="N218" s="78" t="str">
        <f t="shared" ref="N218:N230" si="264">IF(AM218=0,"",AM218)</f>
        <v/>
      </c>
      <c r="O218" s="349"/>
      <c r="P218" s="78" t="str">
        <f t="shared" si="248"/>
        <v/>
      </c>
      <c r="Q218" s="349"/>
      <c r="R218" s="78" t="str">
        <f t="shared" si="249"/>
        <v/>
      </c>
      <c r="S218" s="349"/>
      <c r="T218" s="78" t="str">
        <f t="shared" si="250"/>
        <v/>
      </c>
      <c r="U218" s="349"/>
      <c r="V218" s="78">
        <f t="shared" si="251"/>
        <v>165</v>
      </c>
      <c r="W218" s="349"/>
      <c r="Z218" s="352"/>
      <c r="AA218" s="108" t="str">
        <f>IF(AB218=0,"",VLOOKUP(AB218,Starter!$A$1:$D$199,2,FALSE))</f>
        <v>Lohse, Sebastian</v>
      </c>
      <c r="AB218" s="98">
        <v>27134</v>
      </c>
      <c r="AC218" s="186"/>
      <c r="AD218" s="112"/>
      <c r="AE218" s="186"/>
      <c r="AF218" s="112"/>
      <c r="AG218" s="186"/>
      <c r="AH218" s="112"/>
      <c r="AI218" s="186"/>
      <c r="AJ218" s="112"/>
      <c r="AK218" s="186">
        <v>165</v>
      </c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165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27134</v>
      </c>
      <c r="BE218" s="213">
        <f t="shared" ref="BE218:BE228" si="266">+AU218</f>
        <v>165</v>
      </c>
      <c r="BF218" s="215">
        <f t="shared" ref="BF218:BF228" si="267">COUNT(BH218:BP218)</f>
        <v>1</v>
      </c>
      <c r="BG218" s="215">
        <f t="shared" ref="BG218:BG228" si="268">COUNTIF(BH218:BP218,"&gt;0")</f>
        <v>1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>
        <f t="shared" si="257"/>
        <v>165</v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165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3</v>
      </c>
      <c r="BW218" s="215">
        <f t="shared" ref="BW218:BW228" si="273">SUMIF(BH218:BP218,"&gt;0")</f>
        <v>165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8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0"/>
      <c r="F219" s="69" t="str">
        <f t="shared" si="244"/>
        <v/>
      </c>
      <c r="G219" s="350"/>
      <c r="H219" s="69" t="str">
        <f t="shared" si="245"/>
        <v/>
      </c>
      <c r="I219" s="350"/>
      <c r="J219" s="69" t="str">
        <f t="shared" si="246"/>
        <v/>
      </c>
      <c r="K219" s="350"/>
      <c r="L219" s="69" t="str">
        <f t="shared" si="247"/>
        <v/>
      </c>
      <c r="M219" s="350"/>
      <c r="N219" s="69" t="str">
        <f t="shared" si="264"/>
        <v/>
      </c>
      <c r="O219" s="350"/>
      <c r="P219" s="69" t="str">
        <f t="shared" si="248"/>
        <v/>
      </c>
      <c r="Q219" s="350"/>
      <c r="R219" s="69" t="str">
        <f t="shared" si="249"/>
        <v/>
      </c>
      <c r="S219" s="350"/>
      <c r="T219" s="69" t="str">
        <f t="shared" si="250"/>
        <v/>
      </c>
      <c r="U219" s="350"/>
      <c r="V219" s="69" t="str">
        <f t="shared" si="251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3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76" t="s">
        <v>2</v>
      </c>
      <c r="B220" s="73" t="str">
        <f t="shared" si="263"/>
        <v>Richter, Benjamin</v>
      </c>
      <c r="C220" s="74">
        <f t="shared" si="263"/>
        <v>41008</v>
      </c>
      <c r="D220" s="75">
        <f t="shared" si="263"/>
        <v>201</v>
      </c>
      <c r="E220" s="348">
        <f>IF(AD220="","",AD220)</f>
        <v>1</v>
      </c>
      <c r="F220" s="75">
        <f t="shared" si="244"/>
        <v>225</v>
      </c>
      <c r="G220" s="348">
        <f>IF(AF220="","",AF220)</f>
        <v>0</v>
      </c>
      <c r="H220" s="75">
        <f t="shared" si="245"/>
        <v>189</v>
      </c>
      <c r="I220" s="348">
        <f>IF(AH220="","",AH220)</f>
        <v>1</v>
      </c>
      <c r="J220" s="75">
        <f t="shared" si="246"/>
        <v>232</v>
      </c>
      <c r="K220" s="348">
        <f>IF(AJ220="","",AJ220)</f>
        <v>1</v>
      </c>
      <c r="L220" s="75">
        <f t="shared" si="247"/>
        <v>194</v>
      </c>
      <c r="M220" s="348">
        <f>IF(AL220="","",AL220)</f>
        <v>0</v>
      </c>
      <c r="N220" s="75">
        <f t="shared" si="264"/>
        <v>214</v>
      </c>
      <c r="O220" s="348">
        <f>IF(AN220="","",AN220)</f>
        <v>1</v>
      </c>
      <c r="P220" s="75">
        <f t="shared" si="248"/>
        <v>168</v>
      </c>
      <c r="Q220" s="348">
        <f>IF(AP220="","",AP220)</f>
        <v>0</v>
      </c>
      <c r="R220" s="75" t="str">
        <f t="shared" si="249"/>
        <v/>
      </c>
      <c r="S220" s="348">
        <f>IF(AR220="","",AR220)</f>
        <v>1</v>
      </c>
      <c r="T220" s="75" t="str">
        <f t="shared" si="250"/>
        <v/>
      </c>
      <c r="U220" s="348">
        <f>IF(AT220="","",AT220)</f>
        <v>0</v>
      </c>
      <c r="V220" s="75">
        <f t="shared" si="251"/>
        <v>1423</v>
      </c>
      <c r="W220" s="348">
        <f>IF(AV220="","",AV220)</f>
        <v>5</v>
      </c>
      <c r="Z220" s="351" t="s">
        <v>2</v>
      </c>
      <c r="AA220" s="108" t="str">
        <f>IF(AB220=0,"",VLOOKUP(AB220,Starter!$A$1:$D$199,2,FALSE))</f>
        <v>Richter, Benjamin</v>
      </c>
      <c r="AB220" s="99">
        <v>41008</v>
      </c>
      <c r="AC220" s="188">
        <v>201</v>
      </c>
      <c r="AD220" s="109">
        <f>IF(SUM(AC220:AC222)+AC236=0,0,IF(SUM(AC220:AC222)=AC236,0.5,IF(SUM(AC220:AC222)&gt;AC236,1,0)))</f>
        <v>1</v>
      </c>
      <c r="AE220" s="188">
        <v>225</v>
      </c>
      <c r="AF220" s="109">
        <f>IF(SUM(AE220:AE222)+AE236=0,0,IF(SUM(AE220:AE222)=AE236,0.5,IF(SUM(AE220:AE222)&gt;AE236,1,0)))</f>
        <v>0</v>
      </c>
      <c r="AG220" s="188">
        <v>189</v>
      </c>
      <c r="AH220" s="109">
        <f>IF(SUM(AG220:AG222)+AG236=0,0,IF(SUM(AG220:AG222)=AG236,0.5,IF(SUM(AG220:AG222)&gt;AG236,1,0)))</f>
        <v>1</v>
      </c>
      <c r="AI220" s="188">
        <v>232</v>
      </c>
      <c r="AJ220" s="109">
        <f>IF(SUM(AI220:AI222)+AI236=0,0,IF(SUM(AI220:AI222)=AI236,0.5,IF(SUM(AI220:AI222)&gt;AI236,1,0)))</f>
        <v>1</v>
      </c>
      <c r="AK220" s="188">
        <v>194</v>
      </c>
      <c r="AL220" s="109">
        <f>IF(SUM(AK220:AK222)+AK236=0,0,IF(SUM(AK220:AK222)=AK236,0.5,IF(SUM(AK220:AK222)&gt;AK236,1,0)))</f>
        <v>0</v>
      </c>
      <c r="AM220" s="188">
        <v>214</v>
      </c>
      <c r="AN220" s="109">
        <f>IF(SUM(AM220:AM222)+AM236=0,0,IF(SUM(AM220:AM222)=AM236,0.5,IF(SUM(AM220:AM222)&gt;AM236,1,0)))</f>
        <v>1</v>
      </c>
      <c r="AO220" s="188">
        <v>168</v>
      </c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1423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41008</v>
      </c>
      <c r="BE220" s="213">
        <f t="shared" si="266"/>
        <v>1423</v>
      </c>
      <c r="BF220" s="215">
        <f t="shared" si="267"/>
        <v>7</v>
      </c>
      <c r="BG220" s="215">
        <f t="shared" si="268"/>
        <v>7</v>
      </c>
      <c r="BH220" s="215">
        <f t="shared" si="253"/>
        <v>201</v>
      </c>
      <c r="BI220" s="215">
        <f t="shared" si="254"/>
        <v>225</v>
      </c>
      <c r="BJ220" s="215">
        <f t="shared" si="255"/>
        <v>189</v>
      </c>
      <c r="BK220" s="215">
        <f t="shared" si="256"/>
        <v>232</v>
      </c>
      <c r="BL220" s="215">
        <f t="shared" si="257"/>
        <v>194</v>
      </c>
      <c r="BM220" s="215">
        <f t="shared" si="258"/>
        <v>214</v>
      </c>
      <c r="BN220" s="215">
        <f t="shared" si="259"/>
        <v>168</v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232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3</v>
      </c>
      <c r="BW220" s="215">
        <f t="shared" si="273"/>
        <v>1423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77"/>
      <c r="B221" s="76" t="str">
        <f t="shared" si="263"/>
        <v>Lohse, Sebastian</v>
      </c>
      <c r="C221" s="77">
        <f t="shared" si="263"/>
        <v>27134</v>
      </c>
      <c r="D221" s="78" t="str">
        <f t="shared" si="263"/>
        <v/>
      </c>
      <c r="E221" s="349"/>
      <c r="F221" s="78" t="str">
        <f t="shared" si="244"/>
        <v/>
      </c>
      <c r="G221" s="349"/>
      <c r="H221" s="78" t="str">
        <f t="shared" si="245"/>
        <v/>
      </c>
      <c r="I221" s="349"/>
      <c r="J221" s="78" t="str">
        <f t="shared" si="246"/>
        <v/>
      </c>
      <c r="K221" s="349"/>
      <c r="L221" s="78" t="str">
        <f t="shared" si="247"/>
        <v/>
      </c>
      <c r="M221" s="349"/>
      <c r="N221" s="78" t="str">
        <f t="shared" si="264"/>
        <v/>
      </c>
      <c r="O221" s="349"/>
      <c r="P221" s="78" t="str">
        <f t="shared" si="248"/>
        <v/>
      </c>
      <c r="Q221" s="349"/>
      <c r="R221" s="78">
        <f t="shared" si="249"/>
        <v>214</v>
      </c>
      <c r="S221" s="349"/>
      <c r="T221" s="78">
        <f t="shared" si="250"/>
        <v>144</v>
      </c>
      <c r="U221" s="349"/>
      <c r="V221" s="78">
        <f t="shared" si="251"/>
        <v>358</v>
      </c>
      <c r="W221" s="349"/>
      <c r="Z221" s="352"/>
      <c r="AA221" s="108" t="str">
        <f>IF(AB221=0,"",VLOOKUP(AB221,Starter!$A$1:$D$199,2,FALSE))</f>
        <v>Lohse, Sebastian</v>
      </c>
      <c r="AB221" s="98">
        <v>27134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>
        <v>214</v>
      </c>
      <c r="AR221" s="112"/>
      <c r="AS221" s="190">
        <v>144</v>
      </c>
      <c r="AT221" s="112"/>
      <c r="AU221" s="113">
        <f t="shared" si="252"/>
        <v>358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27134</v>
      </c>
      <c r="BE221" s="213">
        <f t="shared" si="266"/>
        <v>358</v>
      </c>
      <c r="BF221" s="215">
        <f t="shared" si="267"/>
        <v>2</v>
      </c>
      <c r="BG221" s="215">
        <f t="shared" si="268"/>
        <v>2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>
        <f t="shared" si="260"/>
        <v>214</v>
      </c>
      <c r="BP221" s="215">
        <f t="shared" si="261"/>
        <v>144</v>
      </c>
      <c r="BQ221" s="216"/>
      <c r="BR221" s="214"/>
      <c r="BS221" s="215">
        <f t="shared" si="269"/>
        <v>214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3</v>
      </c>
      <c r="BW221" s="215">
        <f t="shared" si="273"/>
        <v>358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8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0"/>
      <c r="F222" s="69" t="str">
        <f t="shared" si="244"/>
        <v/>
      </c>
      <c r="G222" s="350"/>
      <c r="H222" s="69" t="str">
        <f t="shared" si="245"/>
        <v/>
      </c>
      <c r="I222" s="350"/>
      <c r="J222" s="69" t="str">
        <f t="shared" si="246"/>
        <v/>
      </c>
      <c r="K222" s="350"/>
      <c r="L222" s="69" t="str">
        <f t="shared" si="247"/>
        <v/>
      </c>
      <c r="M222" s="350"/>
      <c r="N222" s="69" t="str">
        <f t="shared" si="264"/>
        <v/>
      </c>
      <c r="O222" s="350"/>
      <c r="P222" s="69" t="str">
        <f t="shared" si="248"/>
        <v/>
      </c>
      <c r="Q222" s="350"/>
      <c r="R222" s="69" t="str">
        <f t="shared" si="249"/>
        <v/>
      </c>
      <c r="S222" s="350"/>
      <c r="T222" s="69" t="str">
        <f t="shared" si="250"/>
        <v/>
      </c>
      <c r="U222" s="350"/>
      <c r="V222" s="69" t="str">
        <f t="shared" si="251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3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76" t="s">
        <v>3</v>
      </c>
      <c r="B223" s="73" t="str">
        <f t="shared" si="263"/>
        <v>Probst, Marco</v>
      </c>
      <c r="C223" s="74">
        <f t="shared" si="263"/>
        <v>7602</v>
      </c>
      <c r="D223" s="75">
        <f t="shared" si="263"/>
        <v>215</v>
      </c>
      <c r="E223" s="348">
        <f>IF(AD223="","",AD223)</f>
        <v>0</v>
      </c>
      <c r="F223" s="75">
        <f t="shared" si="244"/>
        <v>193</v>
      </c>
      <c r="G223" s="348">
        <f>IF(AF223="","",AF223)</f>
        <v>0</v>
      </c>
      <c r="H223" s="75">
        <f t="shared" si="245"/>
        <v>223</v>
      </c>
      <c r="I223" s="348">
        <f>IF(AH223="","",AH223)</f>
        <v>1</v>
      </c>
      <c r="J223" s="75">
        <f t="shared" si="246"/>
        <v>244</v>
      </c>
      <c r="K223" s="348">
        <f>IF(AJ223="","",AJ223)</f>
        <v>1</v>
      </c>
      <c r="L223" s="75">
        <f t="shared" si="247"/>
        <v>212</v>
      </c>
      <c r="M223" s="348">
        <f>IF(AL223="","",AL223)</f>
        <v>0</v>
      </c>
      <c r="N223" s="75">
        <f t="shared" si="264"/>
        <v>198</v>
      </c>
      <c r="O223" s="348">
        <f>IF(AN223="","",AN223)</f>
        <v>1</v>
      </c>
      <c r="P223" s="75">
        <f t="shared" si="248"/>
        <v>205</v>
      </c>
      <c r="Q223" s="348">
        <f>IF(AP223="","",AP223)</f>
        <v>1</v>
      </c>
      <c r="R223" s="75">
        <f t="shared" si="249"/>
        <v>171</v>
      </c>
      <c r="S223" s="348">
        <f>IF(AR223="","",AR223)</f>
        <v>0</v>
      </c>
      <c r="T223" s="75" t="str">
        <f t="shared" si="250"/>
        <v/>
      </c>
      <c r="U223" s="348">
        <f>IF(AT223="","",AT223)</f>
        <v>0</v>
      </c>
      <c r="V223" s="75">
        <f t="shared" si="251"/>
        <v>1661</v>
      </c>
      <c r="W223" s="348">
        <f>IF(AV223="","",AV223)</f>
        <v>4</v>
      </c>
      <c r="Z223" s="351" t="s">
        <v>3</v>
      </c>
      <c r="AA223" s="108" t="str">
        <f>IF(AB223=0,"",VLOOKUP(AB223,Starter!$A$1:$D$199,2,FALSE))</f>
        <v>Probst, Marco</v>
      </c>
      <c r="AB223" s="99">
        <v>7602</v>
      </c>
      <c r="AC223" s="188">
        <v>215</v>
      </c>
      <c r="AD223" s="109">
        <f>IF(SUM(AC223:AC225)+AC237=0,0,IF(SUM(AC223:AC225)=AC237,0.5,IF(SUM(AC223:AC225)&gt;AC237,1,0)))</f>
        <v>0</v>
      </c>
      <c r="AE223" s="188">
        <v>193</v>
      </c>
      <c r="AF223" s="109">
        <f>IF(SUM(AE223:AE225)+AE237=0,0,IF(SUM(AE223:AE225)=AE237,0.5,IF(SUM(AE223:AE225)&gt;AE237,1,0)))</f>
        <v>0</v>
      </c>
      <c r="AG223" s="188">
        <v>223</v>
      </c>
      <c r="AH223" s="109">
        <f>IF(SUM(AG223:AG225)+AG237=0,0,IF(SUM(AG223:AG225)=AG237,0.5,IF(SUM(AG223:AG225)&gt;AG237,1,0)))</f>
        <v>1</v>
      </c>
      <c r="AI223" s="188">
        <v>244</v>
      </c>
      <c r="AJ223" s="109">
        <f>IF(SUM(AI223:AI225)+AI237=0,0,IF(SUM(AI223:AI225)=AI237,0.5,IF(SUM(AI223:AI225)&gt;AI237,1,0)))</f>
        <v>1</v>
      </c>
      <c r="AK223" s="188">
        <v>212</v>
      </c>
      <c r="AL223" s="109">
        <f>IF(SUM(AK223:AK225)+AK237=0,0,IF(SUM(AK223:AK225)=AK237,0.5,IF(SUM(AK223:AK225)&gt;AK237,1,0)))</f>
        <v>0</v>
      </c>
      <c r="AM223" s="188">
        <v>198</v>
      </c>
      <c r="AN223" s="109">
        <f>IF(SUM(AM223:AM225)+AM237=0,0,IF(SUM(AM223:AM225)=AM237,0.5,IF(SUM(AM223:AM225)&gt;AM237,1,0)))</f>
        <v>1</v>
      </c>
      <c r="AO223" s="188">
        <v>205</v>
      </c>
      <c r="AP223" s="109">
        <f>IF(SUM(AO223:AO225)+AO237=0,0,IF(SUM(AO223:AO225)=AO237,0.5,IF(SUM(AO223:AO225)&gt;AO237,1,0)))</f>
        <v>1</v>
      </c>
      <c r="AQ223" s="188">
        <v>171</v>
      </c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1661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5"/>
        <v>7602</v>
      </c>
      <c r="BE223" s="213">
        <f t="shared" si="266"/>
        <v>1661</v>
      </c>
      <c r="BF223" s="215">
        <f t="shared" si="267"/>
        <v>8</v>
      </c>
      <c r="BG223" s="215">
        <f t="shared" si="268"/>
        <v>8</v>
      </c>
      <c r="BH223" s="215">
        <f t="shared" si="253"/>
        <v>215</v>
      </c>
      <c r="BI223" s="215">
        <f t="shared" si="254"/>
        <v>193</v>
      </c>
      <c r="BJ223" s="215">
        <f t="shared" si="255"/>
        <v>223</v>
      </c>
      <c r="BK223" s="215">
        <f t="shared" si="256"/>
        <v>244</v>
      </c>
      <c r="BL223" s="215">
        <f t="shared" si="257"/>
        <v>212</v>
      </c>
      <c r="BM223" s="215">
        <f t="shared" si="258"/>
        <v>198</v>
      </c>
      <c r="BN223" s="215">
        <f t="shared" si="259"/>
        <v>205</v>
      </c>
      <c r="BO223" s="215">
        <f t="shared" si="260"/>
        <v>171</v>
      </c>
      <c r="BP223" s="215" t="str">
        <f t="shared" si="261"/>
        <v/>
      </c>
      <c r="BQ223" s="216"/>
      <c r="BR223" s="214"/>
      <c r="BS223" s="215">
        <f t="shared" si="269"/>
        <v>244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3</v>
      </c>
      <c r="BW223" s="215">
        <f t="shared" si="273"/>
        <v>1661</v>
      </c>
      <c r="BX223" s="215">
        <f>IF(COUNTIF(BH223:BP223,"&gt;0")&lt;Spielorte!$A$23,0,BE223/Spielorte!$A$23)</f>
        <v>0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77"/>
      <c r="B224" s="76" t="str">
        <f t="shared" si="263"/>
        <v>Blasits, Ernst</v>
      </c>
      <c r="C224" s="77">
        <f t="shared" si="263"/>
        <v>25554</v>
      </c>
      <c r="D224" s="78" t="str">
        <f t="shared" si="263"/>
        <v/>
      </c>
      <c r="E224" s="349"/>
      <c r="F224" s="78" t="str">
        <f t="shared" si="244"/>
        <v/>
      </c>
      <c r="G224" s="349"/>
      <c r="H224" s="78" t="str">
        <f t="shared" si="245"/>
        <v/>
      </c>
      <c r="I224" s="349"/>
      <c r="J224" s="78" t="str">
        <f t="shared" si="246"/>
        <v/>
      </c>
      <c r="K224" s="349"/>
      <c r="L224" s="78" t="str">
        <f t="shared" si="247"/>
        <v/>
      </c>
      <c r="M224" s="349"/>
      <c r="N224" s="78" t="str">
        <f t="shared" si="264"/>
        <v/>
      </c>
      <c r="O224" s="349"/>
      <c r="P224" s="78" t="str">
        <f t="shared" si="248"/>
        <v/>
      </c>
      <c r="Q224" s="349"/>
      <c r="R224" s="78" t="str">
        <f t="shared" si="249"/>
        <v/>
      </c>
      <c r="S224" s="349"/>
      <c r="T224" s="78">
        <f t="shared" si="250"/>
        <v>180</v>
      </c>
      <c r="U224" s="349"/>
      <c r="V224" s="78">
        <f t="shared" si="251"/>
        <v>180</v>
      </c>
      <c r="W224" s="349"/>
      <c r="Z224" s="352"/>
      <c r="AA224" s="108" t="str">
        <f>IF(AB224=0,"",VLOOKUP(AB224,Starter!$A$1:$D$199,2,FALSE))</f>
        <v>Blasits, Ernst</v>
      </c>
      <c r="AB224" s="98">
        <v>25554</v>
      </c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>
        <v>180</v>
      </c>
      <c r="AT224" s="112"/>
      <c r="AU224" s="113">
        <f t="shared" si="252"/>
        <v>180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25554</v>
      </c>
      <c r="BE224" s="213">
        <f t="shared" si="266"/>
        <v>180</v>
      </c>
      <c r="BF224" s="215">
        <f t="shared" si="267"/>
        <v>1</v>
      </c>
      <c r="BG224" s="215">
        <f t="shared" si="268"/>
        <v>1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>
        <f t="shared" si="261"/>
        <v>180</v>
      </c>
      <c r="BQ224" s="216"/>
      <c r="BR224" s="214"/>
      <c r="BS224" s="215">
        <f t="shared" si="269"/>
        <v>180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3</v>
      </c>
      <c r="BW224" s="215">
        <f t="shared" si="273"/>
        <v>180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8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0"/>
      <c r="F225" s="69" t="str">
        <f t="shared" si="244"/>
        <v/>
      </c>
      <c r="G225" s="350"/>
      <c r="H225" s="69" t="str">
        <f t="shared" si="245"/>
        <v/>
      </c>
      <c r="I225" s="350"/>
      <c r="J225" s="69" t="str">
        <f t="shared" si="246"/>
        <v/>
      </c>
      <c r="K225" s="350"/>
      <c r="L225" s="69" t="str">
        <f t="shared" si="247"/>
        <v/>
      </c>
      <c r="M225" s="350"/>
      <c r="N225" s="69" t="str">
        <f t="shared" si="264"/>
        <v/>
      </c>
      <c r="O225" s="350"/>
      <c r="P225" s="69" t="str">
        <f t="shared" si="248"/>
        <v/>
      </c>
      <c r="Q225" s="350"/>
      <c r="R225" s="69" t="str">
        <f t="shared" si="249"/>
        <v/>
      </c>
      <c r="S225" s="350"/>
      <c r="T225" s="69" t="str">
        <f t="shared" si="250"/>
        <v/>
      </c>
      <c r="U225" s="350"/>
      <c r="V225" s="69" t="str">
        <f t="shared" si="251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3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76" t="s">
        <v>11</v>
      </c>
      <c r="B226" s="73" t="str">
        <f>IF(AA226=0,"",AA226)</f>
        <v>Denz, Günter</v>
      </c>
      <c r="C226" s="74">
        <f t="shared" si="263"/>
        <v>16398</v>
      </c>
      <c r="D226" s="75">
        <f t="shared" si="263"/>
        <v>250</v>
      </c>
      <c r="E226" s="348">
        <f>IF(AD226="","",AD226)</f>
        <v>1</v>
      </c>
      <c r="F226" s="75">
        <f t="shared" si="244"/>
        <v>243</v>
      </c>
      <c r="G226" s="348">
        <f>IF(AF226="","",AF226)</f>
        <v>1</v>
      </c>
      <c r="H226" s="75">
        <f t="shared" si="245"/>
        <v>205</v>
      </c>
      <c r="I226" s="348">
        <f>IF(AH226="","",AH226)</f>
        <v>0</v>
      </c>
      <c r="J226" s="75">
        <f t="shared" si="246"/>
        <v>200</v>
      </c>
      <c r="K226" s="348">
        <f>IF(AJ226="","",AJ226)</f>
        <v>0</v>
      </c>
      <c r="L226" s="75">
        <f t="shared" si="247"/>
        <v>212</v>
      </c>
      <c r="M226" s="348">
        <f>IF(AL226="","",AL226)</f>
        <v>0</v>
      </c>
      <c r="N226" s="75">
        <f t="shared" si="264"/>
        <v>193</v>
      </c>
      <c r="O226" s="348">
        <f>IF(AN226="","",AN226)</f>
        <v>0</v>
      </c>
      <c r="P226" s="75">
        <f t="shared" si="248"/>
        <v>193</v>
      </c>
      <c r="Q226" s="348">
        <f>IF(AP226="","",AP226)</f>
        <v>0</v>
      </c>
      <c r="R226" s="75">
        <f t="shared" si="249"/>
        <v>218</v>
      </c>
      <c r="S226" s="348">
        <f>IF(AR226="","",AR226)</f>
        <v>1</v>
      </c>
      <c r="T226" s="75">
        <f t="shared" si="250"/>
        <v>224</v>
      </c>
      <c r="U226" s="348">
        <f>IF(AT226="","",AT226)</f>
        <v>1</v>
      </c>
      <c r="V226" s="75">
        <f t="shared" si="251"/>
        <v>1938</v>
      </c>
      <c r="W226" s="348">
        <f>IF(AV226="","",AV226)</f>
        <v>4</v>
      </c>
      <c r="Z226" s="351" t="s">
        <v>11</v>
      </c>
      <c r="AA226" s="108" t="str">
        <f>IF(AB226=0,"",VLOOKUP(AB226,Starter!$A$1:$D$199,2,FALSE))</f>
        <v>Denz, Günter</v>
      </c>
      <c r="AB226" s="99">
        <v>16398</v>
      </c>
      <c r="AC226" s="188">
        <v>250</v>
      </c>
      <c r="AD226" s="109">
        <f>IF(SUM(AC226:AC228)+AC238=0,0,IF(SUM(AC226:AC228)=AC238,0.5,IF(SUM(AC226:AC228)&gt;AC238,1,0)))</f>
        <v>1</v>
      </c>
      <c r="AE226" s="188">
        <v>243</v>
      </c>
      <c r="AF226" s="109">
        <f>IF(SUM(AE226:AE228)+AE238=0,0,IF(SUM(AE226:AE228)=AE238,0.5,IF(SUM(AE226:AE228)&gt;AE238,1,0)))</f>
        <v>1</v>
      </c>
      <c r="AG226" s="188">
        <v>205</v>
      </c>
      <c r="AH226" s="109">
        <f>IF(SUM(AG226:AG228)+AG238=0,0,IF(SUM(AG226:AG228)=AG238,0.5,IF(SUM(AG226:AG228)&gt;AG238,1,0)))</f>
        <v>0</v>
      </c>
      <c r="AI226" s="188">
        <v>200</v>
      </c>
      <c r="AJ226" s="109">
        <f>IF(SUM(AI226:AI228)+AI238=0,0,IF(SUM(AI226:AI228)=AI238,0.5,IF(SUM(AI226:AI228)&gt;AI238,1,0)))</f>
        <v>0</v>
      </c>
      <c r="AK226" s="188">
        <v>212</v>
      </c>
      <c r="AL226" s="109">
        <f>IF(SUM(AK226:AK228)+AK238=0,0,IF(SUM(AK226:AK228)=AK238,0.5,IF(SUM(AK226:AK228)&gt;AK238,1,0)))</f>
        <v>0</v>
      </c>
      <c r="AM226" s="188">
        <v>193</v>
      </c>
      <c r="AN226" s="109">
        <f>IF(SUM(AM226:AM228)+AM238=0,0,IF(SUM(AM226:AM228)=AM238,0.5,IF(SUM(AM226:AM228)&gt;AM238,1,0)))</f>
        <v>0</v>
      </c>
      <c r="AO226" s="188">
        <v>193</v>
      </c>
      <c r="AP226" s="109">
        <f>IF(SUM(AO226:AO228)+AO238=0,0,IF(SUM(AO226:AO228)=AO238,0.5,IF(SUM(AO226:AO228)&gt;AO238,1,0)))</f>
        <v>0</v>
      </c>
      <c r="AQ226" s="188">
        <v>218</v>
      </c>
      <c r="AR226" s="109">
        <f>IF(SUM(AQ226:AQ228)+AQ238=0,0,IF(SUM(AQ226:AQ228)=AQ238,0.5,IF(SUM(AQ226:AQ228)&gt;AQ238,1,0)))</f>
        <v>1</v>
      </c>
      <c r="AS226" s="188">
        <v>224</v>
      </c>
      <c r="AT226" s="109">
        <f>IF(SUM(AS226:AS228)+AS238=0,0,IF(SUM(AS226:AS228)=AS238,0.5,IF(SUM(AS226:AS228)&gt;AS238,1,0)))</f>
        <v>1</v>
      </c>
      <c r="AU226" s="110">
        <f t="shared" si="252"/>
        <v>1938</v>
      </c>
      <c r="AV226" s="111">
        <f>SUM(AD226+AF226+AH226+AJ226+AL226+AN226+AP226+AR226+AT226)</f>
        <v>4</v>
      </c>
      <c r="AW226" s="101"/>
      <c r="AX226" s="102"/>
      <c r="AZ226" s="63"/>
      <c r="BA226" s="212"/>
      <c r="BB226" s="213"/>
      <c r="BC226" s="214"/>
      <c r="BD226" s="217">
        <f t="shared" si="265"/>
        <v>16398</v>
      </c>
      <c r="BE226" s="213">
        <f t="shared" si="266"/>
        <v>1938</v>
      </c>
      <c r="BF226" s="215">
        <f t="shared" si="267"/>
        <v>9</v>
      </c>
      <c r="BG226" s="215">
        <f t="shared" si="268"/>
        <v>9</v>
      </c>
      <c r="BH226" s="215">
        <f t="shared" si="253"/>
        <v>250</v>
      </c>
      <c r="BI226" s="215">
        <f t="shared" si="254"/>
        <v>243</v>
      </c>
      <c r="BJ226" s="215">
        <f t="shared" si="255"/>
        <v>205</v>
      </c>
      <c r="BK226" s="215">
        <f t="shared" si="256"/>
        <v>200</v>
      </c>
      <c r="BL226" s="215">
        <f t="shared" si="257"/>
        <v>212</v>
      </c>
      <c r="BM226" s="215">
        <f t="shared" si="258"/>
        <v>193</v>
      </c>
      <c r="BN226" s="215">
        <f t="shared" si="259"/>
        <v>193</v>
      </c>
      <c r="BO226" s="215">
        <f t="shared" si="260"/>
        <v>218</v>
      </c>
      <c r="BP226" s="215">
        <f t="shared" si="261"/>
        <v>224</v>
      </c>
      <c r="BQ226" s="216"/>
      <c r="BR226" s="214"/>
      <c r="BS226" s="215">
        <f t="shared" si="269"/>
        <v>250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3</v>
      </c>
      <c r="BW226" s="215">
        <f t="shared" si="273"/>
        <v>1938</v>
      </c>
      <c r="BX226" s="215">
        <f>IF(COUNTIF(BH226:BP226,"&gt;0")&lt;Spielorte!$A$23,0,BE226/Spielorte!$A$23)</f>
        <v>215.33333333333334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77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9"/>
      <c r="F227" s="78" t="str">
        <f t="shared" si="244"/>
        <v/>
      </c>
      <c r="G227" s="349"/>
      <c r="H227" s="78" t="str">
        <f t="shared" si="245"/>
        <v/>
      </c>
      <c r="I227" s="349"/>
      <c r="J227" s="78" t="str">
        <f t="shared" si="246"/>
        <v/>
      </c>
      <c r="K227" s="349"/>
      <c r="L227" s="78" t="str">
        <f t="shared" si="247"/>
        <v/>
      </c>
      <c r="M227" s="349"/>
      <c r="N227" s="78" t="str">
        <f t="shared" si="264"/>
        <v/>
      </c>
      <c r="O227" s="349"/>
      <c r="P227" s="78" t="str">
        <f t="shared" si="248"/>
        <v/>
      </c>
      <c r="Q227" s="349"/>
      <c r="R227" s="78" t="str">
        <f t="shared" si="249"/>
        <v/>
      </c>
      <c r="S227" s="349"/>
      <c r="T227" s="78" t="str">
        <f t="shared" si="250"/>
        <v/>
      </c>
      <c r="U227" s="349"/>
      <c r="V227" s="78" t="str">
        <f t="shared" si="251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3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8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0"/>
      <c r="F228" s="69" t="str">
        <f t="shared" si="244"/>
        <v/>
      </c>
      <c r="G228" s="350"/>
      <c r="H228" s="69" t="str">
        <f t="shared" si="245"/>
        <v/>
      </c>
      <c r="I228" s="350"/>
      <c r="J228" s="69" t="str">
        <f t="shared" si="246"/>
        <v/>
      </c>
      <c r="K228" s="350"/>
      <c r="L228" s="69" t="str">
        <f t="shared" si="247"/>
        <v/>
      </c>
      <c r="M228" s="350"/>
      <c r="N228" s="69" t="str">
        <f t="shared" si="264"/>
        <v/>
      </c>
      <c r="O228" s="350"/>
      <c r="P228" s="69" t="str">
        <f t="shared" si="248"/>
        <v/>
      </c>
      <c r="Q228" s="350"/>
      <c r="R228" s="69" t="str">
        <f t="shared" si="249"/>
        <v/>
      </c>
      <c r="S228" s="350"/>
      <c r="T228" s="69" t="str">
        <f t="shared" si="250"/>
        <v/>
      </c>
      <c r="U228" s="350"/>
      <c r="V228" s="69" t="str">
        <f t="shared" si="251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3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850</v>
      </c>
      <c r="E229" s="84">
        <f>IF(AD229="","",AD229)</f>
        <v>2</v>
      </c>
      <c r="F229" s="83">
        <f t="shared" si="244"/>
        <v>870</v>
      </c>
      <c r="G229" s="84">
        <f>IF(AF229="","",AF229)</f>
        <v>2</v>
      </c>
      <c r="H229" s="83">
        <f t="shared" si="245"/>
        <v>823</v>
      </c>
      <c r="I229" s="84">
        <f>IF(AH229="","",AH229)</f>
        <v>2</v>
      </c>
      <c r="J229" s="83">
        <f t="shared" si="246"/>
        <v>851</v>
      </c>
      <c r="K229" s="84">
        <f>IF(AJ229="","",AJ229)</f>
        <v>2</v>
      </c>
      <c r="L229" s="83">
        <f t="shared" si="247"/>
        <v>783</v>
      </c>
      <c r="M229" s="84">
        <f>IF(AL229="","",AL229)</f>
        <v>0</v>
      </c>
      <c r="N229" s="83">
        <f t="shared" si="264"/>
        <v>819</v>
      </c>
      <c r="O229" s="84">
        <f>IF(AN229="","",AN229)</f>
        <v>2</v>
      </c>
      <c r="P229" s="83">
        <f t="shared" si="248"/>
        <v>796</v>
      </c>
      <c r="Q229" s="84">
        <f>IF(AP229="","",AP229)</f>
        <v>0</v>
      </c>
      <c r="R229" s="83">
        <f t="shared" si="249"/>
        <v>796</v>
      </c>
      <c r="S229" s="84">
        <f>IF(AR229="","",AR229)</f>
        <v>0</v>
      </c>
      <c r="T229" s="83">
        <f t="shared" si="250"/>
        <v>780</v>
      </c>
      <c r="U229" s="84">
        <f>IF(AT229="","",AT229)</f>
        <v>0</v>
      </c>
      <c r="V229" s="83">
        <f t="shared" si="251"/>
        <v>7368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850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870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823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851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783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819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796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796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780</v>
      </c>
      <c r="AT229" s="121">
        <f>IF(AS229+AS239=0,0,IF(AS229=AS239,1,IF(AS229&gt;AS239,2,0)))</f>
        <v>0</v>
      </c>
      <c r="AU229" s="122">
        <f>SUM(AC229+AE229+AG229+AI229+AK229+AM229+AO229+AQ229+AS229)</f>
        <v>7368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4</v>
      </c>
      <c r="F230" s="86" t="str">
        <f t="shared" si="244"/>
        <v/>
      </c>
      <c r="G230" s="87">
        <f>IF(AF230="","",AF230)</f>
        <v>4</v>
      </c>
      <c r="H230" s="86" t="str">
        <f t="shared" si="245"/>
        <v/>
      </c>
      <c r="I230" s="87">
        <f>IF(AH230="","",AH230)</f>
        <v>4</v>
      </c>
      <c r="J230" s="86" t="str">
        <f t="shared" si="246"/>
        <v/>
      </c>
      <c r="K230" s="87">
        <f>IF(AJ230="","",AJ230)</f>
        <v>4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5</v>
      </c>
      <c r="P230" s="86" t="str">
        <f t="shared" si="248"/>
        <v/>
      </c>
      <c r="Q230" s="87">
        <f>IF(AP230="","",AP230)</f>
        <v>2</v>
      </c>
      <c r="R230" s="86" t="str">
        <f t="shared" si="249"/>
        <v/>
      </c>
      <c r="S230" s="87">
        <f>IF(AR230="","",AR230)</f>
        <v>3</v>
      </c>
      <c r="T230" s="86" t="str">
        <f t="shared" si="250"/>
        <v/>
      </c>
      <c r="U230" s="87">
        <f>IF(AT230="","",AT230)</f>
        <v>2</v>
      </c>
      <c r="V230" s="86" t="str">
        <f t="shared" si="251"/>
        <v/>
      </c>
      <c r="W230" s="87">
        <f>IF(AV230="","",AV230)</f>
        <v>28</v>
      </c>
      <c r="AA230" s="85" t="s">
        <v>1814</v>
      </c>
      <c r="AB230" s="86"/>
      <c r="AC230" s="86"/>
      <c r="AD230" s="124">
        <f>SUM(AD217:AD229)</f>
        <v>4</v>
      </c>
      <c r="AE230" s="86"/>
      <c r="AF230" s="124">
        <f>SUM(AF217:AF229)</f>
        <v>4</v>
      </c>
      <c r="AG230" s="86"/>
      <c r="AH230" s="124">
        <f>SUM(AH217:AH229)</f>
        <v>4</v>
      </c>
      <c r="AI230" s="86"/>
      <c r="AJ230" s="124">
        <f>SUM(AJ217:AJ229)</f>
        <v>4</v>
      </c>
      <c r="AK230" s="86"/>
      <c r="AL230" s="124">
        <f>SUM(AL217:AL229)</f>
        <v>0</v>
      </c>
      <c r="AM230" s="86"/>
      <c r="AN230" s="124">
        <f>SUM(AN217:AN229)</f>
        <v>5</v>
      </c>
      <c r="AO230" s="86"/>
      <c r="AP230" s="124">
        <f>SUM(AP217:AP229)</f>
        <v>2</v>
      </c>
      <c r="AQ230" s="86"/>
      <c r="AR230" s="124">
        <f>SUM(AR217:AR229)</f>
        <v>3</v>
      </c>
      <c r="AS230" s="86"/>
      <c r="AT230" s="124">
        <f>SUM(AT217:AT229)</f>
        <v>2</v>
      </c>
      <c r="AU230" s="86"/>
      <c r="AV230" s="125">
        <f>SUM(AV217:AV229)</f>
        <v>28</v>
      </c>
      <c r="AW230" s="101"/>
      <c r="AX230" s="102"/>
      <c r="BA230" s="212">
        <f>+AV230</f>
        <v>28</v>
      </c>
      <c r="BB230" s="213">
        <f>+AU229</f>
        <v>7368</v>
      </c>
      <c r="BC230" s="214">
        <f>+AA212</f>
        <v>8</v>
      </c>
      <c r="BF230" s="215">
        <f>SUM(BF211:BF229)</f>
        <v>36</v>
      </c>
      <c r="BQ230" s="212">
        <f>+BB230/1000000+BA230</f>
        <v>28.007368</v>
      </c>
      <c r="BR230" s="214">
        <f>RANK(BQ230,BQ:BQ)</f>
        <v>5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6">
        <f t="shared" si="275"/>
        <v>7</v>
      </c>
      <c r="E232" s="356" t="str">
        <f t="shared" si="275"/>
        <v/>
      </c>
      <c r="F232" s="356">
        <f t="shared" si="275"/>
        <v>4</v>
      </c>
      <c r="G232" s="356" t="str">
        <f t="shared" si="275"/>
        <v/>
      </c>
      <c r="H232" s="356">
        <f t="shared" si="275"/>
        <v>9</v>
      </c>
      <c r="I232" s="356" t="str">
        <f t="shared" si="275"/>
        <v/>
      </c>
      <c r="J232" s="356">
        <f t="shared" si="275"/>
        <v>6</v>
      </c>
      <c r="K232" s="356" t="str">
        <f t="shared" si="275"/>
        <v/>
      </c>
      <c r="L232" s="356">
        <f t="shared" si="275"/>
        <v>3</v>
      </c>
      <c r="M232" s="356" t="str">
        <f t="shared" si="275"/>
        <v/>
      </c>
      <c r="N232" s="356">
        <f t="shared" si="275"/>
        <v>5</v>
      </c>
      <c r="O232" s="356" t="str">
        <f t="shared" si="275"/>
        <v/>
      </c>
      <c r="P232" s="356">
        <f t="shared" si="275"/>
        <v>2</v>
      </c>
      <c r="Q232" s="356" t="str">
        <f t="shared" si="275"/>
        <v/>
      </c>
      <c r="R232" s="356">
        <f t="shared" ref="L232:U234" si="276">IF(AQ232=0,"",AQ232)</f>
        <v>1</v>
      </c>
      <c r="S232" s="356" t="str">
        <f t="shared" si="276"/>
        <v/>
      </c>
      <c r="T232" s="356">
        <f t="shared" si="276"/>
        <v>10</v>
      </c>
      <c r="U232" s="356" t="str">
        <f t="shared" si="276"/>
        <v/>
      </c>
      <c r="V232" s="357"/>
      <c r="W232" s="357"/>
      <c r="AA232" s="88" t="s">
        <v>1797</v>
      </c>
      <c r="AB232" s="89" t="s">
        <v>1798</v>
      </c>
      <c r="AC232" s="370">
        <f>VLOOKUP($AA212,Schlüssel!$A$5:$DG$14,83)</f>
        <v>7</v>
      </c>
      <c r="AD232" s="371"/>
      <c r="AE232" s="370">
        <f>VLOOKUP($AA212,Schlüssel!$A$5:$EK$14,84)</f>
        <v>4</v>
      </c>
      <c r="AF232" s="371"/>
      <c r="AG232" s="370">
        <f>VLOOKUP($AA212,Schlüssel!$A$5:$EK$14,85)</f>
        <v>9</v>
      </c>
      <c r="AH232" s="371"/>
      <c r="AI232" s="370">
        <f>VLOOKUP($AA212,Schlüssel!$A$5:$EK$14,86)</f>
        <v>6</v>
      </c>
      <c r="AJ232" s="371"/>
      <c r="AK232" s="370">
        <f>VLOOKUP($AA212,Schlüssel!$A$5:$EK$14,87)</f>
        <v>3</v>
      </c>
      <c r="AL232" s="371"/>
      <c r="AM232" s="370">
        <f>VLOOKUP($AA212,Schlüssel!$A$5:$EK$14,88)</f>
        <v>5</v>
      </c>
      <c r="AN232" s="371"/>
      <c r="AO232" s="370">
        <f>VLOOKUP($AA212,Schlüssel!$A$5:$EK$14,89)</f>
        <v>2</v>
      </c>
      <c r="AP232" s="371"/>
      <c r="AQ232" s="370">
        <f>VLOOKUP($AA212,Schlüssel!$A$5:$EK$14,90)</f>
        <v>1</v>
      </c>
      <c r="AR232" s="371"/>
      <c r="AS232" s="370">
        <f>VLOOKUP($AA212,Schlüssel!$A$5:$EK$14,91)</f>
        <v>10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58" t="str">
        <f t="shared" si="277"/>
        <v>Schanzer Ingolstadt 1</v>
      </c>
      <c r="E233" s="359" t="str">
        <f t="shared" si="277"/>
        <v/>
      </c>
      <c r="F233" s="358" t="str">
        <f t="shared" si="277"/>
        <v>SG DJK Rimpar</v>
      </c>
      <c r="G233" s="359" t="str">
        <f t="shared" si="277"/>
        <v/>
      </c>
      <c r="H233" s="358" t="str">
        <f t="shared" si="277"/>
        <v>Bowlinghaus Bamberg 1</v>
      </c>
      <c r="I233" s="359" t="str">
        <f t="shared" si="277"/>
        <v/>
      </c>
      <c r="J233" s="358" t="str">
        <f t="shared" si="277"/>
        <v>SG Rottendorf 1</v>
      </c>
      <c r="K233" s="359" t="str">
        <f t="shared" si="277"/>
        <v/>
      </c>
      <c r="L233" s="358" t="str">
        <f t="shared" si="276"/>
        <v>BK München 3</v>
      </c>
      <c r="M233" s="359" t="str">
        <f t="shared" si="276"/>
        <v/>
      </c>
      <c r="N233" s="358" t="str">
        <f t="shared" si="276"/>
        <v>RW Lichtenhof Stein 1</v>
      </c>
      <c r="O233" s="359" t="str">
        <f t="shared" si="276"/>
        <v/>
      </c>
      <c r="P233" s="358" t="str">
        <f t="shared" si="276"/>
        <v>Bajuwaren München 1</v>
      </c>
      <c r="Q233" s="359" t="str">
        <f t="shared" si="276"/>
        <v/>
      </c>
      <c r="R233" s="358" t="str">
        <f t="shared" si="276"/>
        <v>BC Comet Nürnberg</v>
      </c>
      <c r="S233" s="359" t="str">
        <f t="shared" si="276"/>
        <v/>
      </c>
      <c r="T233" s="358" t="str">
        <f t="shared" si="276"/>
        <v>High Roller Rosenheim 1</v>
      </c>
      <c r="U233" s="359" t="str">
        <f t="shared" si="276"/>
        <v/>
      </c>
      <c r="V233" s="363"/>
      <c r="W233" s="363"/>
      <c r="AA233" s="90"/>
      <c r="AB233" s="86"/>
      <c r="AC233" s="358" t="str">
        <f>VLOOKUP(AC232,Schlüssel!$A$5:$K$14,2)</f>
        <v>Schanzer Ingolstadt 1</v>
      </c>
      <c r="AD233" s="359"/>
      <c r="AE233" s="358" t="str">
        <f>VLOOKUP(AE232,Schlüssel!$A$5:$K$14,2)</f>
        <v>SG DJK Rimpar</v>
      </c>
      <c r="AF233" s="359"/>
      <c r="AG233" s="358" t="str">
        <f>VLOOKUP(AG232,Schlüssel!$A$5:$K$14,2)</f>
        <v>Bowlinghaus Bamberg 1</v>
      </c>
      <c r="AH233" s="359"/>
      <c r="AI233" s="358" t="str">
        <f>VLOOKUP(AI232,Schlüssel!$A$5:$K$14,2)</f>
        <v>SG Rottendorf 1</v>
      </c>
      <c r="AJ233" s="359"/>
      <c r="AK233" s="358" t="str">
        <f>VLOOKUP(AK232,Schlüssel!$A$5:$K$14,2)</f>
        <v>BK München 3</v>
      </c>
      <c r="AL233" s="359"/>
      <c r="AM233" s="358" t="str">
        <f>VLOOKUP(AM232,Schlüssel!$A$5:$K$14,2)</f>
        <v>RW Lichtenhof Stein 1</v>
      </c>
      <c r="AN233" s="359"/>
      <c r="AO233" s="358" t="str">
        <f>VLOOKUP(AO232,Schlüssel!$A$5:$K$14,2)</f>
        <v>Bajuwaren München 1</v>
      </c>
      <c r="AP233" s="359"/>
      <c r="AQ233" s="358" t="str">
        <f>VLOOKUP(AQ232,Schlüssel!$A$5:$K$14,2)</f>
        <v>BC Comet Nürnberg</v>
      </c>
      <c r="AR233" s="359"/>
      <c r="AS233" s="358" t="str">
        <f>VLOOKUP(AS232,Schlüssel!$A$5:$K$14,2)</f>
        <v>High Roller Rosenheim 1</v>
      </c>
      <c r="AT233" s="359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60" t="str">
        <f t="shared" si="277"/>
        <v/>
      </c>
      <c r="E234" s="360" t="str">
        <f t="shared" si="277"/>
        <v/>
      </c>
      <c r="F234" s="360" t="str">
        <f t="shared" si="277"/>
        <v/>
      </c>
      <c r="G234" s="360" t="str">
        <f t="shared" si="277"/>
        <v/>
      </c>
      <c r="H234" s="360" t="str">
        <f t="shared" si="277"/>
        <v/>
      </c>
      <c r="I234" s="360" t="str">
        <f t="shared" si="277"/>
        <v/>
      </c>
      <c r="J234" s="360" t="str">
        <f t="shared" si="277"/>
        <v/>
      </c>
      <c r="K234" s="360" t="str">
        <f t="shared" si="277"/>
        <v/>
      </c>
      <c r="L234" s="360" t="str">
        <f t="shared" si="276"/>
        <v/>
      </c>
      <c r="M234" s="360" t="str">
        <f t="shared" si="276"/>
        <v/>
      </c>
      <c r="N234" s="360" t="str">
        <f t="shared" si="276"/>
        <v/>
      </c>
      <c r="O234" s="360" t="str">
        <f t="shared" si="276"/>
        <v/>
      </c>
      <c r="P234" s="360" t="str">
        <f t="shared" si="276"/>
        <v/>
      </c>
      <c r="Q234" s="360" t="str">
        <f t="shared" si="276"/>
        <v/>
      </c>
      <c r="R234" s="360" t="str">
        <f t="shared" si="276"/>
        <v/>
      </c>
      <c r="S234" s="360" t="str">
        <f t="shared" si="276"/>
        <v/>
      </c>
      <c r="T234" s="360" t="str">
        <f t="shared" si="276"/>
        <v/>
      </c>
      <c r="U234" s="361" t="str">
        <f t="shared" si="276"/>
        <v/>
      </c>
      <c r="V234" s="298"/>
      <c r="W234" s="298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4" t="str">
        <f t="shared" ref="B235:C239" si="278">IF(AA235=0,"",AA235)</f>
        <v>Spieler 1</v>
      </c>
      <c r="C235" s="375" t="str">
        <f t="shared" si="278"/>
        <v/>
      </c>
      <c r="D235" s="362">
        <f>IF(AC235=301,"",AC235)</f>
        <v>217</v>
      </c>
      <c r="E235" s="362" t="str">
        <f>IF(AD235=0,"",AD235)</f>
        <v/>
      </c>
      <c r="F235" s="362">
        <f>IF(AE235=301,"",AE235)</f>
        <v>205</v>
      </c>
      <c r="G235" s="362" t="str">
        <f>IF(AF235=0,"",AF235)</f>
        <v/>
      </c>
      <c r="H235" s="362">
        <f>IF(AG235=301,"",AG235)</f>
        <v>208</v>
      </c>
      <c r="I235" s="362" t="str">
        <f>IF(AH235=0,"",AH235)</f>
        <v/>
      </c>
      <c r="J235" s="362">
        <f>IF(AI235=301,"",AI235)</f>
        <v>213</v>
      </c>
      <c r="K235" s="362" t="str">
        <f>IF(AJ235=0,"",AJ235)</f>
        <v/>
      </c>
      <c r="L235" s="362">
        <f>IF(AK235=301,"",AK235)</f>
        <v>200</v>
      </c>
      <c r="M235" s="362" t="str">
        <f>IF(AL235=0,"",AL235)</f>
        <v/>
      </c>
      <c r="N235" s="362">
        <f>IF(AM235=301,"",AM235)</f>
        <v>190</v>
      </c>
      <c r="O235" s="362" t="str">
        <f>IF(AN235=0,"",AN235)</f>
        <v/>
      </c>
      <c r="P235" s="362">
        <f>IF(AO235=301,"",AO235)</f>
        <v>196</v>
      </c>
      <c r="Q235" s="362" t="str">
        <f>IF(AP235=0,"",AP235)</f>
        <v/>
      </c>
      <c r="R235" s="362">
        <f>IF(AQ235=301,"",AQ235)</f>
        <v>179</v>
      </c>
      <c r="S235" s="362" t="str">
        <f>IF(AR235=0,"",AR235)</f>
        <v/>
      </c>
      <c r="T235" s="362">
        <f>IF(AS235=301,"",AS235)</f>
        <v>212</v>
      </c>
      <c r="U235" s="362" t="str">
        <f>IF(AT235=0,"",AT235)</f>
        <v/>
      </c>
      <c r="V235" s="364"/>
      <c r="W235" s="364"/>
      <c r="AA235" s="91" t="s">
        <v>0</v>
      </c>
      <c r="AB235" s="92"/>
      <c r="AC235" s="368">
        <f>ABS(INDEX(AC:AC,MATCH(AC232,$AA:$AA,0)+5)+INDEX(AC:AC,MATCH(AC232,$AA:$AA,0)+6)+INDEX(AC:AC,MATCH(AC232,$AA:$AA,0)+7))</f>
        <v>217</v>
      </c>
      <c r="AD235" s="369"/>
      <c r="AE235" s="368">
        <f>ABS(INDEX(AE:AE,MATCH(AE232,$AA:$AA,0)+5)+INDEX(AE:AE,MATCH(AE232,$AA:$AA,0)+6)+INDEX(AE:AE,MATCH(AE232,$AA:$AA,0)+7))</f>
        <v>205</v>
      </c>
      <c r="AF235" s="369"/>
      <c r="AG235" s="368">
        <f>ABS(INDEX(AG:AG,MATCH(AG232,$AA:$AA,0)+5)+INDEX(AG:AG,MATCH(AG232,$AA:$AA,0)+6)+INDEX(AG:AG,MATCH(AG232,$AA:$AA,0)+7))</f>
        <v>208</v>
      </c>
      <c r="AH235" s="369"/>
      <c r="AI235" s="368">
        <f>ABS(INDEX(AI:AI,MATCH(AI232,$AA:$AA,0)+5)+INDEX(AI:AI,MATCH(AI232,$AA:$AA,0)+6)+INDEX(AI:AI,MATCH(AI232,$AA:$AA,0)+7))</f>
        <v>213</v>
      </c>
      <c r="AJ235" s="369"/>
      <c r="AK235" s="368">
        <f>ABS(INDEX(AK:AK,MATCH(AK232,$AA:$AA,0)+5)+INDEX(AK:AK,MATCH(AK232,$AA:$AA,0)+6)+INDEX(AK:AK,MATCH(AK232,$AA:$AA,0)+7))</f>
        <v>200</v>
      </c>
      <c r="AL235" s="369"/>
      <c r="AM235" s="368">
        <f>ABS(INDEX(AM:AM,MATCH(AM232,$AA:$AA,0)+5)+INDEX(AM:AM,MATCH(AM232,$AA:$AA,0)+6)+INDEX(AM:AM,MATCH(AM232,$AA:$AA,0)+7))</f>
        <v>190</v>
      </c>
      <c r="AN235" s="369"/>
      <c r="AO235" s="368">
        <f>ABS(INDEX(AO:AO,MATCH(AO232,$AA:$AA,0)+5)+INDEX(AO:AO,MATCH(AO232,$AA:$AA,0)+6)+INDEX(AO:AO,MATCH(AO232,$AA:$AA,0)+7))</f>
        <v>196</v>
      </c>
      <c r="AP235" s="369"/>
      <c r="AQ235" s="368">
        <f>ABS(INDEX(AQ:AQ,MATCH(AQ232,$AA:$AA,0)+5)+INDEX(AQ:AQ,MATCH(AQ232,$AA:$AA,0)+6)+INDEX(AQ:AQ,MATCH(AQ232,$AA:$AA,0)+7))</f>
        <v>179</v>
      </c>
      <c r="AR235" s="369"/>
      <c r="AS235" s="368">
        <f>ABS(INDEX(AS:AS,MATCH(AS232,$AA:$AA,0)+5)+INDEX(AS:AS,MATCH(AS232,$AA:$AA,0)+6)+INDEX(AS:AS,MATCH(AS232,$AA:$AA,0)+7))</f>
        <v>212</v>
      </c>
      <c r="AT235" s="369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4" t="str">
        <f t="shared" si="278"/>
        <v>Spieler 2</v>
      </c>
      <c r="C236" s="375" t="str">
        <f t="shared" si="278"/>
        <v/>
      </c>
      <c r="D236" s="362">
        <f>IF(AC236=301,"",AC236)</f>
        <v>182</v>
      </c>
      <c r="E236" s="362" t="str">
        <f>IF(AD236=0,"",AD236)</f>
        <v/>
      </c>
      <c r="F236" s="362">
        <f>IF(AE236=301,"",AE236)</f>
        <v>235</v>
      </c>
      <c r="G236" s="362" t="str">
        <f>IF(AF236=0,"",AF236)</f>
        <v/>
      </c>
      <c r="H236" s="362">
        <f>IF(AG236=301,"",AG236)</f>
        <v>157</v>
      </c>
      <c r="I236" s="362" t="str">
        <f>IF(AH236=0,"",AH236)</f>
        <v/>
      </c>
      <c r="J236" s="362">
        <f>IF(AI236=301,"",AI236)</f>
        <v>195</v>
      </c>
      <c r="K236" s="362" t="str">
        <f>IF(AJ236=0,"",AJ236)</f>
        <v/>
      </c>
      <c r="L236" s="362">
        <f>IF(AK236=301,"",AK236)</f>
        <v>228</v>
      </c>
      <c r="M236" s="362" t="str">
        <f>IF(AL236=0,"",AL236)</f>
        <v/>
      </c>
      <c r="N236" s="362">
        <f>IF(AM236=301,"",AM236)</f>
        <v>195</v>
      </c>
      <c r="O236" s="362" t="str">
        <f>IF(AN236=0,"",AN236)</f>
        <v/>
      </c>
      <c r="P236" s="362">
        <f>IF(AO236=301,"",AO236)</f>
        <v>182</v>
      </c>
      <c r="Q236" s="362" t="str">
        <f>IF(AP236=0,"",AP236)</f>
        <v/>
      </c>
      <c r="R236" s="362">
        <f>IF(AQ236=301,"",AQ236)</f>
        <v>210</v>
      </c>
      <c r="S236" s="362" t="str">
        <f>IF(AR236=0,"",AR236)</f>
        <v/>
      </c>
      <c r="T236" s="362">
        <f>IF(AS236=301,"",AS236)</f>
        <v>167</v>
      </c>
      <c r="U236" s="362" t="str">
        <f>IF(AT236=0,"",AT236)</f>
        <v/>
      </c>
      <c r="V236" s="364"/>
      <c r="W236" s="364"/>
      <c r="AA236" s="91" t="s">
        <v>2</v>
      </c>
      <c r="AB236" s="92"/>
      <c r="AC236" s="366">
        <f>ABS(INDEX(AC:AC,MATCH(AC232,$AA:$AA,0)+8)+INDEX(AC:AC,MATCH(AC232,$AA:$AA,0)+9)+INDEX(AC:AC,MATCH(AC232,$AA:$AA,0)+10))</f>
        <v>182</v>
      </c>
      <c r="AD236" s="367"/>
      <c r="AE236" s="366">
        <f>ABS(INDEX(AE:AE,MATCH(AE232,$AA:$AA,0)+8)+INDEX(AE:AE,MATCH(AE232,$AA:$AA,0)+9)+INDEX(AE:AE,MATCH(AE232,$AA:$AA,0)+10))</f>
        <v>235</v>
      </c>
      <c r="AF236" s="367"/>
      <c r="AG236" s="366">
        <f>ABS(INDEX(AG:AG,MATCH(AG232,$AA:$AA,0)+8)+INDEX(AG:AG,MATCH(AG232,$AA:$AA,0)+9)+INDEX(AG:AG,MATCH(AG232,$AA:$AA,0)+10))</f>
        <v>157</v>
      </c>
      <c r="AH236" s="367"/>
      <c r="AI236" s="366">
        <f>ABS(INDEX(AI:AI,MATCH(AI232,$AA:$AA,0)+8)+INDEX(AI:AI,MATCH(AI232,$AA:$AA,0)+9)+INDEX(AI:AI,MATCH(AI232,$AA:$AA,0)+10))</f>
        <v>195</v>
      </c>
      <c r="AJ236" s="367"/>
      <c r="AK236" s="366">
        <f>ABS(INDEX(AK:AK,MATCH(AK232,$AA:$AA,0)+8)+INDEX(AK:AK,MATCH(AK232,$AA:$AA,0)+9)+INDEX(AK:AK,MATCH(AK232,$AA:$AA,0)+10))</f>
        <v>228</v>
      </c>
      <c r="AL236" s="367"/>
      <c r="AM236" s="366">
        <f>ABS(INDEX(AM:AM,MATCH(AM232,$AA:$AA,0)+8)+INDEX(AM:AM,MATCH(AM232,$AA:$AA,0)+9)+INDEX(AM:AM,MATCH(AM232,$AA:$AA,0)+10))</f>
        <v>195</v>
      </c>
      <c r="AN236" s="367"/>
      <c r="AO236" s="366">
        <f>ABS(INDEX(AO:AO,MATCH(AO232,$AA:$AA,0)+8)+INDEX(AO:AO,MATCH(AO232,$AA:$AA,0)+9)+INDEX(AO:AO,MATCH(AO232,$AA:$AA,0)+10))</f>
        <v>182</v>
      </c>
      <c r="AP236" s="367"/>
      <c r="AQ236" s="366">
        <f>ABS(INDEX(AQ:AQ,MATCH(AQ232,$AA:$AA,0)+8)+INDEX(AQ:AQ,MATCH(AQ232,$AA:$AA,0)+9)+INDEX(AQ:AQ,MATCH(AQ232,$AA:$AA,0)+10))</f>
        <v>210</v>
      </c>
      <c r="AR236" s="367"/>
      <c r="AS236" s="366">
        <f>ABS(INDEX(AS:AS,MATCH(AS232,$AA:$AA,0)+8)+INDEX(AS:AS,MATCH(AS232,$AA:$AA,0)+9)+INDEX(AS:AS,MATCH(AS232,$AA:$AA,0)+10))</f>
        <v>167</v>
      </c>
      <c r="AT236" s="367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4" t="str">
        <f t="shared" si="278"/>
        <v>Spieler 3</v>
      </c>
      <c r="C237" s="375" t="str">
        <f t="shared" si="278"/>
        <v/>
      </c>
      <c r="D237" s="362">
        <f>IF(AC237=301,"",AC237)</f>
        <v>231</v>
      </c>
      <c r="E237" s="362" t="str">
        <f>IF(AD237=0,"",AD237)</f>
        <v/>
      </c>
      <c r="F237" s="362">
        <f>IF(AE237=301,"",AE237)</f>
        <v>200</v>
      </c>
      <c r="G237" s="362" t="str">
        <f>IF(AF237=0,"",AF237)</f>
        <v/>
      </c>
      <c r="H237" s="362">
        <f>IF(AG237=301,"",AG237)</f>
        <v>171</v>
      </c>
      <c r="I237" s="362" t="str">
        <f>IF(AH237=0,"",AH237)</f>
        <v/>
      </c>
      <c r="J237" s="362">
        <f>IF(AI237=301,"",AI237)</f>
        <v>191</v>
      </c>
      <c r="K237" s="362" t="str">
        <f>IF(AJ237=0,"",AJ237)</f>
        <v/>
      </c>
      <c r="L237" s="362">
        <f>IF(AK237=301,"",AK237)</f>
        <v>216</v>
      </c>
      <c r="M237" s="362" t="str">
        <f>IF(AL237=0,"",AL237)</f>
        <v/>
      </c>
      <c r="N237" s="362">
        <f>IF(AM237=301,"",AM237)</f>
        <v>190</v>
      </c>
      <c r="O237" s="362" t="str">
        <f>IF(AN237=0,"",AN237)</f>
        <v/>
      </c>
      <c r="P237" s="362">
        <f>IF(AO237=301,"",AO237)</f>
        <v>201</v>
      </c>
      <c r="Q237" s="362" t="str">
        <f>IF(AP237=0,"",AP237)</f>
        <v/>
      </c>
      <c r="R237" s="362">
        <f>IF(AQ237=301,"",AQ237)</f>
        <v>210</v>
      </c>
      <c r="S237" s="362" t="str">
        <f>IF(AR237=0,"",AR237)</f>
        <v/>
      </c>
      <c r="T237" s="362">
        <f>IF(AS237=301,"",AS237)</f>
        <v>212</v>
      </c>
      <c r="U237" s="362" t="str">
        <f>IF(AT237=0,"",AT237)</f>
        <v/>
      </c>
      <c r="V237" s="364"/>
      <c r="W237" s="364"/>
      <c r="AA237" s="91" t="s">
        <v>3</v>
      </c>
      <c r="AB237" s="92"/>
      <c r="AC237" s="366">
        <f>ABS(INDEX(AC:AC,MATCH(AC232,$AA:$AA,0)+11)+INDEX(AC:AC,MATCH(AC232,$AA:$AA,0)+12)+INDEX(AC:AC,MATCH(AC232,$AA:$AA,0)+13))</f>
        <v>231</v>
      </c>
      <c r="AD237" s="367"/>
      <c r="AE237" s="366">
        <f>ABS(INDEX(AE:AE,MATCH(AE232,$AA:$AA,0)+11)+INDEX(AE:AE,MATCH(AE232,$AA:$AA,0)+12)+INDEX(AE:AE,MATCH(AE232,$AA:$AA,0)+13))</f>
        <v>200</v>
      </c>
      <c r="AF237" s="367"/>
      <c r="AG237" s="366">
        <f>ABS(INDEX(AG:AG,MATCH(AG232,$AA:$AA,0)+11)+INDEX(AG:AG,MATCH(AG232,$AA:$AA,0)+12)+INDEX(AG:AG,MATCH(AG232,$AA:$AA,0)+13))</f>
        <v>171</v>
      </c>
      <c r="AH237" s="367"/>
      <c r="AI237" s="366">
        <f>ABS(INDEX(AI:AI,MATCH(AI232,$AA:$AA,0)+11)+INDEX(AI:AI,MATCH(AI232,$AA:$AA,0)+12)+INDEX(AI:AI,MATCH(AI232,$AA:$AA,0)+13))</f>
        <v>191</v>
      </c>
      <c r="AJ237" s="367"/>
      <c r="AK237" s="366">
        <f>ABS(INDEX(AK:AK,MATCH(AK232,$AA:$AA,0)+11)+INDEX(AK:AK,MATCH(AK232,$AA:$AA,0)+12)+INDEX(AK:AK,MATCH(AK232,$AA:$AA,0)+13))</f>
        <v>216</v>
      </c>
      <c r="AL237" s="367"/>
      <c r="AM237" s="366">
        <f>ABS(INDEX(AM:AM,MATCH(AM232,$AA:$AA,0)+11)+INDEX(AM:AM,MATCH(AM232,$AA:$AA,0)+12)+INDEX(AM:AM,MATCH(AM232,$AA:$AA,0)+13))</f>
        <v>190</v>
      </c>
      <c r="AN237" s="367"/>
      <c r="AO237" s="366">
        <f>ABS(INDEX(AO:AO,MATCH(AO232,$AA:$AA,0)+11)+INDEX(AO:AO,MATCH(AO232,$AA:$AA,0)+12)+INDEX(AO:AO,MATCH(AO232,$AA:$AA,0)+13))</f>
        <v>201</v>
      </c>
      <c r="AP237" s="367"/>
      <c r="AQ237" s="366">
        <f>ABS(INDEX(AQ:AQ,MATCH(AQ232,$AA:$AA,0)+11)+INDEX(AQ:AQ,MATCH(AQ232,$AA:$AA,0)+12)+INDEX(AQ:AQ,MATCH(AQ232,$AA:$AA,0)+13))</f>
        <v>210</v>
      </c>
      <c r="AR237" s="367"/>
      <c r="AS237" s="366">
        <f>ABS(INDEX(AS:AS,MATCH(AS232,$AA:$AA,0)+11)+INDEX(AS:AS,MATCH(AS232,$AA:$AA,0)+12)+INDEX(AS:AS,MATCH(AS232,$AA:$AA,0)+13))</f>
        <v>212</v>
      </c>
      <c r="AT237" s="367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4" t="str">
        <f t="shared" si="278"/>
        <v>Spieler 4</v>
      </c>
      <c r="C238" s="375" t="str">
        <f t="shared" si="278"/>
        <v/>
      </c>
      <c r="D238" s="362">
        <f>IF(AC238=301,"",AC238)</f>
        <v>215</v>
      </c>
      <c r="E238" s="362" t="str">
        <f>IF(AD238=0,"",AD238)</f>
        <v/>
      </c>
      <c r="F238" s="362">
        <f>IF(AE238=301,"",AE238)</f>
        <v>199</v>
      </c>
      <c r="G238" s="362" t="str">
        <f>IF(AF238=0,"",AF238)</f>
        <v/>
      </c>
      <c r="H238" s="362">
        <f>IF(AG238=301,"",AG238)</f>
        <v>215</v>
      </c>
      <c r="I238" s="362" t="str">
        <f>IF(AH238=0,"",AH238)</f>
        <v/>
      </c>
      <c r="J238" s="362">
        <f>IF(AI238=301,"",AI238)</f>
        <v>212</v>
      </c>
      <c r="K238" s="362" t="str">
        <f>IF(AJ238=0,"",AJ238)</f>
        <v/>
      </c>
      <c r="L238" s="362">
        <f>IF(AK238=301,"",AK238)</f>
        <v>241</v>
      </c>
      <c r="M238" s="362" t="str">
        <f>IF(AL238=0,"",AL238)</f>
        <v/>
      </c>
      <c r="N238" s="362">
        <f>IF(AM238=301,"",AM238)</f>
        <v>222</v>
      </c>
      <c r="O238" s="362" t="str">
        <f>IF(AN238=0,"",AN238)</f>
        <v/>
      </c>
      <c r="P238" s="362">
        <f>IF(AO238=301,"",AO238)</f>
        <v>234</v>
      </c>
      <c r="Q238" s="362" t="str">
        <f>IF(AP238=0,"",AP238)</f>
        <v/>
      </c>
      <c r="R238" s="362">
        <f>IF(AQ238=301,"",AQ238)</f>
        <v>214</v>
      </c>
      <c r="S238" s="362" t="str">
        <f>IF(AR238=0,"",AR238)</f>
        <v/>
      </c>
      <c r="T238" s="362">
        <f>IF(AS238=301,"",AS238)</f>
        <v>210</v>
      </c>
      <c r="U238" s="362" t="str">
        <f>IF(AT238=0,"",AT238)</f>
        <v/>
      </c>
      <c r="V238" s="364"/>
      <c r="W238" s="364"/>
      <c r="AA238" s="91" t="s">
        <v>11</v>
      </c>
      <c r="AB238" s="92"/>
      <c r="AC238" s="366">
        <f>ABS(INDEX(AC:AC,MATCH(AC232,$AA:$AA,0)+14)+INDEX(AC:AC,MATCH(AC232,$AA:$AA,0)+15)+INDEX(AC:AC,MATCH(AC232,$AA:$AA,0)+16))</f>
        <v>215</v>
      </c>
      <c r="AD238" s="367"/>
      <c r="AE238" s="366">
        <f>ABS(INDEX(AE:AE,MATCH(AE232,$AA:$AA,0)+14)+INDEX(AE:AE,MATCH(AE232,$AA:$AA,0)+15)+INDEX(AE:AE,MATCH(AE232,$AA:$AA,0)+16))</f>
        <v>199</v>
      </c>
      <c r="AF238" s="367"/>
      <c r="AG238" s="366">
        <f>ABS(INDEX(AG:AG,MATCH(AG232,$AA:$AA,0)+14)+INDEX(AG:AG,MATCH(AG232,$AA:$AA,0)+15)+INDEX(AG:AG,MATCH(AG232,$AA:$AA,0)+16))</f>
        <v>215</v>
      </c>
      <c r="AH238" s="367"/>
      <c r="AI238" s="366">
        <f>ABS(INDEX(AI:AI,MATCH(AI232,$AA:$AA,0)+14)+INDEX(AI:AI,MATCH(AI232,$AA:$AA,0)+15)+INDEX(AI:AI,MATCH(AI232,$AA:$AA,0)+16))</f>
        <v>212</v>
      </c>
      <c r="AJ238" s="367"/>
      <c r="AK238" s="366">
        <f>ABS(INDEX(AK:AK,MATCH(AK232,$AA:$AA,0)+14)+INDEX(AK:AK,MATCH(AK232,$AA:$AA,0)+15)+INDEX(AK:AK,MATCH(AK232,$AA:$AA,0)+16))</f>
        <v>241</v>
      </c>
      <c r="AL238" s="367"/>
      <c r="AM238" s="366">
        <f>ABS(INDEX(AM:AM,MATCH(AM232,$AA:$AA,0)+14)+INDEX(AM:AM,MATCH(AM232,$AA:$AA,0)+15)+INDEX(AM:AM,MATCH(AM232,$AA:$AA,0)+16))</f>
        <v>222</v>
      </c>
      <c r="AN238" s="367"/>
      <c r="AO238" s="366">
        <f>ABS(INDEX(AO:AO,MATCH(AO232,$AA:$AA,0)+14)+INDEX(AO:AO,MATCH(AO232,$AA:$AA,0)+15)+INDEX(AO:AO,MATCH(AO232,$AA:$AA,0)+16))</f>
        <v>234</v>
      </c>
      <c r="AP238" s="367"/>
      <c r="AQ238" s="366">
        <f>ABS(INDEX(AQ:AQ,MATCH(AQ232,$AA:$AA,0)+14)+INDEX(AQ:AQ,MATCH(AQ232,$AA:$AA,0)+15)+INDEX(AQ:AQ,MATCH(AQ232,$AA:$AA,0)+16))</f>
        <v>214</v>
      </c>
      <c r="AR238" s="367"/>
      <c r="AS238" s="366">
        <f>ABS(INDEX(AS:AS,MATCH(AS232,$AA:$AA,0)+14)+INDEX(AS:AS,MATCH(AS232,$AA:$AA,0)+15)+INDEX(AS:AS,MATCH(AS232,$AA:$AA,0)+16))</f>
        <v>210</v>
      </c>
      <c r="AT238" s="367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6" t="str">
        <f t="shared" si="278"/>
        <v>Gesamt</v>
      </c>
      <c r="C239" s="347" t="str">
        <f t="shared" si="278"/>
        <v/>
      </c>
      <c r="D239" s="365">
        <f>IF(AC239=1505,"",AC239)</f>
        <v>845</v>
      </c>
      <c r="E239" s="365" t="str">
        <f>IF(AD239=0,"",AD239)</f>
        <v/>
      </c>
      <c r="F239" s="365">
        <f>IF(AE239=1505,"",AE239)</f>
        <v>839</v>
      </c>
      <c r="G239" s="365" t="str">
        <f>IF(AF239=0,"",AF239)</f>
        <v/>
      </c>
      <c r="H239" s="365">
        <f>IF(AG239=1505,"",AG239)</f>
        <v>751</v>
      </c>
      <c r="I239" s="365" t="str">
        <f>IF(AH239=0,"",AH239)</f>
        <v/>
      </c>
      <c r="J239" s="365">
        <f>IF(AI239=1505,"",AI239)</f>
        <v>811</v>
      </c>
      <c r="K239" s="365" t="str">
        <f>IF(AJ239=0,"",AJ239)</f>
        <v/>
      </c>
      <c r="L239" s="365">
        <f>IF(AK239=1505,"",AK239)</f>
        <v>885</v>
      </c>
      <c r="M239" s="365" t="str">
        <f>IF(AL239=0,"",AL239)</f>
        <v/>
      </c>
      <c r="N239" s="365">
        <f>IF(AM239=1505,"",AM239)</f>
        <v>797</v>
      </c>
      <c r="O239" s="365" t="str">
        <f>IF(AN239=0,"",AN239)</f>
        <v/>
      </c>
      <c r="P239" s="365">
        <f>IF(AO239=1505,"",AO239)</f>
        <v>813</v>
      </c>
      <c r="Q239" s="365" t="str">
        <f>IF(AP239=0,"",AP239)</f>
        <v/>
      </c>
      <c r="R239" s="365">
        <f>IF(AQ239=1505,"",AQ239)</f>
        <v>813</v>
      </c>
      <c r="S239" s="365" t="str">
        <f>IF(AR239=0,"",AR239)</f>
        <v/>
      </c>
      <c r="T239" s="365">
        <f>IF(AS239=1505,"",AS239)</f>
        <v>801</v>
      </c>
      <c r="U239" s="365" t="str">
        <f>IF(AT239=0,"",AT239)</f>
        <v/>
      </c>
      <c r="V239" s="301"/>
      <c r="W239" s="301"/>
      <c r="AA239" s="93" t="s">
        <v>1799</v>
      </c>
      <c r="AB239" s="94"/>
      <c r="AC239" s="346">
        <f>SUM(AC235:AC238)</f>
        <v>845</v>
      </c>
      <c r="AD239" s="347"/>
      <c r="AE239" s="346">
        <f>SUM(AE235:AE238)</f>
        <v>839</v>
      </c>
      <c r="AF239" s="347"/>
      <c r="AG239" s="346">
        <f>SUM(AG235:AG238)</f>
        <v>751</v>
      </c>
      <c r="AH239" s="347"/>
      <c r="AI239" s="346">
        <f>SUM(AI235:AI238)</f>
        <v>811</v>
      </c>
      <c r="AJ239" s="347"/>
      <c r="AK239" s="346">
        <f>SUM(AK235:AK238)</f>
        <v>885</v>
      </c>
      <c r="AL239" s="347"/>
      <c r="AM239" s="346">
        <f>SUM(AM235:AM238)</f>
        <v>797</v>
      </c>
      <c r="AN239" s="347"/>
      <c r="AO239" s="346">
        <f>SUM(AO235:AO238)</f>
        <v>813</v>
      </c>
      <c r="AP239" s="347"/>
      <c r="AQ239" s="346">
        <f>SUM(AQ235:AQ238)</f>
        <v>813</v>
      </c>
      <c r="AR239" s="347"/>
      <c r="AS239" s="346">
        <f>SUM(AS235:AS238)</f>
        <v>801</v>
      </c>
      <c r="AT239" s="347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5" t="str">
        <f>AE241</f>
        <v>Bayernliga Herren</v>
      </c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48"/>
      <c r="S241" s="49" t="s">
        <v>1794</v>
      </c>
      <c r="T241" s="50"/>
      <c r="U241" s="341" t="str">
        <f>AT241</f>
        <v>15.03./16.03.</v>
      </c>
      <c r="V241" s="342"/>
      <c r="W241" s="343"/>
      <c r="X241" s="372"/>
      <c r="Y241" s="373"/>
      <c r="Z241" s="373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41" t="str">
        <f>VLOOKUP(AS242,Spielorte!$A$1:$C$6,2)</f>
        <v>15.03./16.03.</v>
      </c>
      <c r="AU241" s="342"/>
      <c r="AV241" s="34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4" t="str">
        <f>AE242</f>
        <v>Brunnthal Max Munich</v>
      </c>
      <c r="G242" s="344"/>
      <c r="H242" s="344"/>
      <c r="I242" s="344"/>
      <c r="J242" s="344"/>
      <c r="K242" s="344"/>
      <c r="L242" s="344"/>
      <c r="M242" s="344"/>
      <c r="N242" s="344"/>
      <c r="O242" s="344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6" t="s">
        <v>1800</v>
      </c>
      <c r="E245" s="347"/>
      <c r="F245" s="346" t="s">
        <v>1801</v>
      </c>
      <c r="G245" s="347"/>
      <c r="H245" s="346" t="s">
        <v>1802</v>
      </c>
      <c r="I245" s="347"/>
      <c r="J245" s="346" t="s">
        <v>1803</v>
      </c>
      <c r="K245" s="347"/>
      <c r="L245" s="346" t="s">
        <v>1804</v>
      </c>
      <c r="M245" s="347"/>
      <c r="N245" s="346" t="s">
        <v>1805</v>
      </c>
      <c r="O245" s="347"/>
      <c r="P245" s="346" t="s">
        <v>1806</v>
      </c>
      <c r="Q245" s="347"/>
      <c r="R245" s="346" t="s">
        <v>1807</v>
      </c>
      <c r="S245" s="347"/>
      <c r="T245" s="346" t="s">
        <v>1808</v>
      </c>
      <c r="U245" s="347"/>
      <c r="V245" s="354" t="s">
        <v>1799</v>
      </c>
      <c r="W245" s="355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6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179</v>
      </c>
      <c r="E247" s="348">
        <f>IF(AD247="","",AD247)</f>
        <v>0</v>
      </c>
      <c r="F247" s="75">
        <f t="shared" ref="F247:F260" si="279">IF(AE247=0,"",AE247)</f>
        <v>201</v>
      </c>
      <c r="G247" s="348">
        <f>IF(AF247="","",AF247)</f>
        <v>0</v>
      </c>
      <c r="H247" s="75">
        <f t="shared" ref="H247:H260" si="280">IF(AG247=0,"",AG247)</f>
        <v>208</v>
      </c>
      <c r="I247" s="348">
        <f>IF(AH247="","",AH247)</f>
        <v>1</v>
      </c>
      <c r="J247" s="75">
        <f t="shared" ref="J247:J260" si="281">IF(AI247=0,"",AI247)</f>
        <v>205</v>
      </c>
      <c r="K247" s="348">
        <f>IF(AJ247="","",AJ247)</f>
        <v>1</v>
      </c>
      <c r="L247" s="75">
        <f t="shared" ref="L247:L260" si="282">IF(AK247=0,"",AK247)</f>
        <v>209</v>
      </c>
      <c r="M247" s="348">
        <f>IF(AL247="","",AL247)</f>
        <v>0</v>
      </c>
      <c r="N247" s="75">
        <f>IF(AM247=0,"",AM247)</f>
        <v>202</v>
      </c>
      <c r="O247" s="348">
        <f>IF(AN247="","",AN247)</f>
        <v>0</v>
      </c>
      <c r="P247" s="75">
        <f t="shared" ref="P247:P260" si="283">IF(AO247=0,"",AO247)</f>
        <v>172</v>
      </c>
      <c r="Q247" s="348">
        <f>IF(AP247="","",AP247)</f>
        <v>0</v>
      </c>
      <c r="R247" s="75">
        <f t="shared" ref="R247:R260" si="284">IF(AQ247=0,"",AQ247)</f>
        <v>189</v>
      </c>
      <c r="S247" s="348">
        <f>IF(AR247="","",AR247)</f>
        <v>0</v>
      </c>
      <c r="T247" s="75">
        <f t="shared" ref="T247:T260" si="285">IF(AS247=0,"",AS247)</f>
        <v>172</v>
      </c>
      <c r="U247" s="348">
        <f>IF(AT247="","",AT247)</f>
        <v>0</v>
      </c>
      <c r="V247" s="75">
        <f t="shared" ref="V247:V260" si="286">IF(AU247=0,"",AU247)</f>
        <v>1737</v>
      </c>
      <c r="W247" s="348">
        <f>IF(AV247="","",AV247)</f>
        <v>2</v>
      </c>
      <c r="Z247" s="351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179</v>
      </c>
      <c r="AD247" s="109">
        <f>IF(SUM(AC247:AC249)+AC265=0,0,IF(SUM(AC247:AC249)=AC265,0.5,IF(SUM(AC247:AC249)&gt;AC265,1,0)))</f>
        <v>0</v>
      </c>
      <c r="AE247" s="185">
        <v>201</v>
      </c>
      <c r="AF247" s="109">
        <f>IF(SUM(AE247:AE249)+AE265=0,0,IF(SUM(AE247:AE249)=AE265,0.5,IF(SUM(AE247:AE249)&gt;AE265,1,0)))</f>
        <v>0</v>
      </c>
      <c r="AG247" s="185">
        <v>208</v>
      </c>
      <c r="AH247" s="109">
        <f>IF(SUM(AG247:AG249)+AG265=0,0,IF(SUM(AG247:AG249)=AG265,0.5,IF(SUM(AG247:AG249)&gt;AG265,1,0)))</f>
        <v>1</v>
      </c>
      <c r="AI247" s="185">
        <v>205</v>
      </c>
      <c r="AJ247" s="109">
        <f>IF(SUM(AI247:AI249)+AI265=0,0,IF(SUM(AI247:AI249)=AI265,0.5,IF(SUM(AI247:AI249)&gt;AI265,1,0)))</f>
        <v>1</v>
      </c>
      <c r="AK247" s="185">
        <v>209</v>
      </c>
      <c r="AL247" s="109">
        <f>IF(SUM(AK247:AK249)+AK265=0,0,IF(SUM(AK247:AK249)=AK265,0.5,IF(SUM(AK247:AK249)&gt;AK265,1,0)))</f>
        <v>0</v>
      </c>
      <c r="AM247" s="185">
        <v>202</v>
      </c>
      <c r="AN247" s="109">
        <f>IF(SUM(AM247:AM249)+AM265=0,0,IF(SUM(AM247:AM249)=AM265,0.5,IF(SUM(AM247:AM249)&gt;AM265,1,0)))</f>
        <v>0</v>
      </c>
      <c r="AO247" s="185">
        <v>172</v>
      </c>
      <c r="AP247" s="109">
        <f>IF(SUM(AO247:AO249)+AO265=0,0,IF(SUM(AO247:AO249)=AO265,0.5,IF(SUM(AO247:AO249)&gt;AO265,1,0)))</f>
        <v>0</v>
      </c>
      <c r="AQ247" s="185">
        <v>189</v>
      </c>
      <c r="AR247" s="109">
        <f>IF(SUM(AQ247:AQ249)+AQ265=0,0,IF(SUM(AQ247:AQ249)=AQ265,0.5,IF(SUM(AQ247:AQ249)&gt;AQ265,1,0)))</f>
        <v>0</v>
      </c>
      <c r="AS247" s="185">
        <v>172</v>
      </c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1737</v>
      </c>
      <c r="AV247" s="111">
        <f>SUM(AD247+AF247+AH247+AJ247+AL247+AN247+AP247+AR247+AT247)</f>
        <v>2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1737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8">IF(AC247=0,"",AC247)</f>
        <v>179</v>
      </c>
      <c r="BI247" s="215">
        <f t="shared" ref="BI247:BI258" si="289">IF(AE247=0,"",AE247)</f>
        <v>201</v>
      </c>
      <c r="BJ247" s="215">
        <f t="shared" ref="BJ247:BJ258" si="290">IF(AG247=0,"",AG247)</f>
        <v>208</v>
      </c>
      <c r="BK247" s="215">
        <f t="shared" ref="BK247:BK258" si="291">IF(AI247=0,"",AI247)</f>
        <v>205</v>
      </c>
      <c r="BL247" s="215">
        <f t="shared" ref="BL247:BL258" si="292">IF(AK247=0,"",AK247)</f>
        <v>209</v>
      </c>
      <c r="BM247" s="215">
        <f t="shared" ref="BM247:BM258" si="293">IF(AM247=0,"",AM247)</f>
        <v>202</v>
      </c>
      <c r="BN247" s="215">
        <f t="shared" ref="BN247:BN258" si="294">IF(AO247=0,"",AO247)</f>
        <v>172</v>
      </c>
      <c r="BO247" s="215">
        <f t="shared" ref="BO247:BO258" si="295">IF(AQ247=0,"",AQ247)</f>
        <v>189</v>
      </c>
      <c r="BP247" s="215">
        <f t="shared" ref="BP247:BP258" si="296">IF(AS247=0,"",AS247)</f>
        <v>172</v>
      </c>
      <c r="BQ247" s="216"/>
      <c r="BR247" s="214"/>
      <c r="BS247" s="215">
        <f>MAX(BH247:BP247)</f>
        <v>209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3</v>
      </c>
      <c r="BW247" s="215">
        <f>SUMIF(BH247:BP247,"&gt;0")</f>
        <v>1737</v>
      </c>
      <c r="BX247" s="215">
        <f>IF(COUNTIF(BH247:BP247,"&gt;0")&lt;Spielorte!$A$23,0,BE247/Spielorte!$A$23)</f>
        <v>193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77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9"/>
      <c r="F248" s="78" t="str">
        <f t="shared" si="279"/>
        <v/>
      </c>
      <c r="G248" s="349"/>
      <c r="H248" s="78" t="str">
        <f t="shared" si="280"/>
        <v/>
      </c>
      <c r="I248" s="349"/>
      <c r="J248" s="78" t="str">
        <f t="shared" si="281"/>
        <v/>
      </c>
      <c r="K248" s="349"/>
      <c r="L248" s="78" t="str">
        <f t="shared" si="282"/>
        <v/>
      </c>
      <c r="M248" s="349"/>
      <c r="N248" s="78" t="str">
        <f t="shared" ref="N248:N260" si="299">IF(AM248=0,"",AM248)</f>
        <v/>
      </c>
      <c r="O248" s="349"/>
      <c r="P248" s="78" t="str">
        <f t="shared" si="283"/>
        <v/>
      </c>
      <c r="Q248" s="349"/>
      <c r="R248" s="78" t="str">
        <f t="shared" si="284"/>
        <v/>
      </c>
      <c r="S248" s="349"/>
      <c r="T248" s="78" t="str">
        <f t="shared" si="285"/>
        <v/>
      </c>
      <c r="U248" s="349"/>
      <c r="V248" s="78" t="str">
        <f t="shared" si="286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8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0"/>
      <c r="F249" s="69" t="str">
        <f t="shared" si="279"/>
        <v/>
      </c>
      <c r="G249" s="350"/>
      <c r="H249" s="69" t="str">
        <f t="shared" si="280"/>
        <v/>
      </c>
      <c r="I249" s="350"/>
      <c r="J249" s="69" t="str">
        <f t="shared" si="281"/>
        <v/>
      </c>
      <c r="K249" s="350"/>
      <c r="L249" s="69" t="str">
        <f t="shared" si="282"/>
        <v/>
      </c>
      <c r="M249" s="350"/>
      <c r="N249" s="69" t="str">
        <f t="shared" si="299"/>
        <v/>
      </c>
      <c r="O249" s="350"/>
      <c r="P249" s="69" t="str">
        <f t="shared" si="283"/>
        <v/>
      </c>
      <c r="Q249" s="350"/>
      <c r="R249" s="69" t="str">
        <f t="shared" si="284"/>
        <v/>
      </c>
      <c r="S249" s="350"/>
      <c r="T249" s="69" t="str">
        <f t="shared" si="285"/>
        <v/>
      </c>
      <c r="U249" s="350"/>
      <c r="V249" s="69" t="str">
        <f t="shared" si="286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3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76" t="s">
        <v>2</v>
      </c>
      <c r="B250" s="73" t="str">
        <f t="shared" si="298"/>
        <v>Röhlig, Jörg</v>
      </c>
      <c r="C250" s="74">
        <f t="shared" si="298"/>
        <v>38041</v>
      </c>
      <c r="D250" s="75">
        <f t="shared" si="298"/>
        <v>225</v>
      </c>
      <c r="E250" s="348">
        <f>IF(AD250="","",AD250)</f>
        <v>1</v>
      </c>
      <c r="F250" s="75">
        <f t="shared" si="279"/>
        <v>165</v>
      </c>
      <c r="G250" s="348">
        <f>IF(AF250="","",AF250)</f>
        <v>0</v>
      </c>
      <c r="H250" s="75">
        <f t="shared" si="280"/>
        <v>157</v>
      </c>
      <c r="I250" s="348">
        <f>IF(AH250="","",AH250)</f>
        <v>0</v>
      </c>
      <c r="J250" s="75">
        <f t="shared" si="281"/>
        <v>227</v>
      </c>
      <c r="K250" s="348">
        <f>IF(AJ250="","",AJ250)</f>
        <v>1</v>
      </c>
      <c r="L250" s="75">
        <f t="shared" si="282"/>
        <v>190</v>
      </c>
      <c r="M250" s="348">
        <f>IF(AL250="","",AL250)</f>
        <v>1</v>
      </c>
      <c r="N250" s="75">
        <f t="shared" si="299"/>
        <v>206</v>
      </c>
      <c r="O250" s="348">
        <f>IF(AN250="","",AN250)</f>
        <v>1</v>
      </c>
      <c r="P250" s="75">
        <f t="shared" si="283"/>
        <v>183</v>
      </c>
      <c r="Q250" s="348">
        <f>IF(AP250="","",AP250)</f>
        <v>0</v>
      </c>
      <c r="R250" s="75">
        <f t="shared" si="284"/>
        <v>202</v>
      </c>
      <c r="S250" s="348">
        <f>IF(AR250="","",AR250)</f>
        <v>0.5</v>
      </c>
      <c r="T250" s="75">
        <f t="shared" si="285"/>
        <v>186</v>
      </c>
      <c r="U250" s="348">
        <f>IF(AT250="","",AT250)</f>
        <v>0</v>
      </c>
      <c r="V250" s="75">
        <f t="shared" si="286"/>
        <v>1741</v>
      </c>
      <c r="W250" s="348">
        <f>IF(AV250="","",AV250)</f>
        <v>4.5</v>
      </c>
      <c r="Z250" s="351" t="s">
        <v>2</v>
      </c>
      <c r="AA250" s="108" t="str">
        <f>IF(AB250=0,"",VLOOKUP(AB250,Starter!$A$1:$D$199,2,FALSE))</f>
        <v>Röhlig, Jörg</v>
      </c>
      <c r="AB250" s="99">
        <v>38041</v>
      </c>
      <c r="AC250" s="188">
        <v>225</v>
      </c>
      <c r="AD250" s="109">
        <f>IF(SUM(AC250:AC252)+AC266=0,0,IF(SUM(AC250:AC252)=AC266,0.5,IF(SUM(AC250:AC252)&gt;AC266,1,0)))</f>
        <v>1</v>
      </c>
      <c r="AE250" s="188">
        <v>165</v>
      </c>
      <c r="AF250" s="109">
        <f>IF(SUM(AE250:AE252)+AE266=0,0,IF(SUM(AE250:AE252)=AE266,0.5,IF(SUM(AE250:AE252)&gt;AE266,1,0)))</f>
        <v>0</v>
      </c>
      <c r="AG250" s="188">
        <v>157</v>
      </c>
      <c r="AH250" s="109">
        <f>IF(SUM(AG250:AG252)+AG266=0,0,IF(SUM(AG250:AG252)=AG266,0.5,IF(SUM(AG250:AG252)&gt;AG266,1,0)))</f>
        <v>0</v>
      </c>
      <c r="AI250" s="188">
        <v>227</v>
      </c>
      <c r="AJ250" s="109">
        <f>IF(SUM(AI250:AI252)+AI266=0,0,IF(SUM(AI250:AI252)=AI266,0.5,IF(SUM(AI250:AI252)&gt;AI266,1,0)))</f>
        <v>1</v>
      </c>
      <c r="AK250" s="188">
        <v>190</v>
      </c>
      <c r="AL250" s="109">
        <f>IF(SUM(AK250:AK252)+AK266=0,0,IF(SUM(AK250:AK252)=AK266,0.5,IF(SUM(AK250:AK252)&gt;AK266,1,0)))</f>
        <v>1</v>
      </c>
      <c r="AM250" s="188">
        <v>206</v>
      </c>
      <c r="AN250" s="109">
        <f>IF(SUM(AM250:AM252)+AM266=0,0,IF(SUM(AM250:AM252)=AM266,0.5,IF(SUM(AM250:AM252)&gt;AM266,1,0)))</f>
        <v>1</v>
      </c>
      <c r="AO250" s="188">
        <v>183</v>
      </c>
      <c r="AP250" s="109">
        <f>IF(SUM(AO250:AO252)+AO266=0,0,IF(SUM(AO250:AO252)=AO266,0.5,IF(SUM(AO250:AO252)&gt;AO266,1,0)))</f>
        <v>0</v>
      </c>
      <c r="AQ250" s="188">
        <v>202</v>
      </c>
      <c r="AR250" s="109">
        <f>IF(SUM(AQ250:AQ252)+AQ266=0,0,IF(SUM(AQ250:AQ252)=AQ266,0.5,IF(SUM(AQ250:AQ252)&gt;AQ266,1,0)))</f>
        <v>0.5</v>
      </c>
      <c r="AS250" s="188">
        <v>186</v>
      </c>
      <c r="AT250" s="109">
        <f>IF(SUM(AS250:AS252)+AS266=0,0,IF(SUM(AS250:AS252)=AS266,0.5,IF(SUM(AS250:AS252)&gt;AS266,1,0)))</f>
        <v>0</v>
      </c>
      <c r="AU250" s="110">
        <f t="shared" si="287"/>
        <v>1741</v>
      </c>
      <c r="AV250" s="111">
        <f>SUM(AD250+AF250+AH250+AJ250+AL250+AN250+AP250+AR250+AT250)</f>
        <v>4.5</v>
      </c>
      <c r="AW250" s="101"/>
      <c r="AX250" s="102"/>
      <c r="AZ250" s="63"/>
      <c r="BA250" s="212"/>
      <c r="BB250" s="213"/>
      <c r="BC250" s="214"/>
      <c r="BD250" s="217">
        <f t="shared" si="300"/>
        <v>38041</v>
      </c>
      <c r="BE250" s="213">
        <f t="shared" si="301"/>
        <v>1741</v>
      </c>
      <c r="BF250" s="215">
        <f t="shared" si="302"/>
        <v>9</v>
      </c>
      <c r="BG250" s="215">
        <f t="shared" si="303"/>
        <v>9</v>
      </c>
      <c r="BH250" s="215">
        <f t="shared" si="288"/>
        <v>225</v>
      </c>
      <c r="BI250" s="215">
        <f t="shared" si="289"/>
        <v>165</v>
      </c>
      <c r="BJ250" s="215">
        <f t="shared" si="290"/>
        <v>157</v>
      </c>
      <c r="BK250" s="215">
        <f t="shared" si="291"/>
        <v>227</v>
      </c>
      <c r="BL250" s="215">
        <f t="shared" si="292"/>
        <v>190</v>
      </c>
      <c r="BM250" s="215">
        <f t="shared" si="293"/>
        <v>206</v>
      </c>
      <c r="BN250" s="215">
        <f t="shared" si="294"/>
        <v>183</v>
      </c>
      <c r="BO250" s="215">
        <f t="shared" si="295"/>
        <v>202</v>
      </c>
      <c r="BP250" s="215">
        <f t="shared" si="296"/>
        <v>186</v>
      </c>
      <c r="BQ250" s="216"/>
      <c r="BR250" s="214"/>
      <c r="BS250" s="215">
        <f t="shared" si="304"/>
        <v>227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3</v>
      </c>
      <c r="BW250" s="215">
        <f t="shared" si="308"/>
        <v>1741</v>
      </c>
      <c r="BX250" s="215">
        <f>IF(COUNTIF(BH250:BP250,"&gt;0")&lt;Spielorte!$A$23,0,BE250/Spielorte!$A$23)</f>
        <v>193.44444444444446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77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9"/>
      <c r="F251" s="78" t="str">
        <f t="shared" si="279"/>
        <v/>
      </c>
      <c r="G251" s="349"/>
      <c r="H251" s="78" t="str">
        <f t="shared" si="280"/>
        <v/>
      </c>
      <c r="I251" s="349"/>
      <c r="J251" s="78" t="str">
        <f t="shared" si="281"/>
        <v/>
      </c>
      <c r="K251" s="349"/>
      <c r="L251" s="78" t="str">
        <f t="shared" si="282"/>
        <v/>
      </c>
      <c r="M251" s="349"/>
      <c r="N251" s="78" t="str">
        <f t="shared" si="299"/>
        <v/>
      </c>
      <c r="O251" s="349"/>
      <c r="P251" s="78" t="str">
        <f t="shared" si="283"/>
        <v/>
      </c>
      <c r="Q251" s="349"/>
      <c r="R251" s="78" t="str">
        <f t="shared" si="284"/>
        <v/>
      </c>
      <c r="S251" s="349"/>
      <c r="T251" s="78" t="str">
        <f t="shared" si="285"/>
        <v/>
      </c>
      <c r="U251" s="349"/>
      <c r="V251" s="78" t="str">
        <f t="shared" si="286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3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8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0"/>
      <c r="F252" s="69" t="str">
        <f t="shared" si="279"/>
        <v/>
      </c>
      <c r="G252" s="350"/>
      <c r="H252" s="69" t="str">
        <f t="shared" si="280"/>
        <v/>
      </c>
      <c r="I252" s="350"/>
      <c r="J252" s="69" t="str">
        <f t="shared" si="281"/>
        <v/>
      </c>
      <c r="K252" s="350"/>
      <c r="L252" s="69" t="str">
        <f t="shared" si="282"/>
        <v/>
      </c>
      <c r="M252" s="350"/>
      <c r="N252" s="69" t="str">
        <f t="shared" si="299"/>
        <v/>
      </c>
      <c r="O252" s="350"/>
      <c r="P252" s="69" t="str">
        <f t="shared" si="283"/>
        <v/>
      </c>
      <c r="Q252" s="350"/>
      <c r="R252" s="69" t="str">
        <f t="shared" si="284"/>
        <v/>
      </c>
      <c r="S252" s="350"/>
      <c r="T252" s="69" t="str">
        <f t="shared" si="285"/>
        <v/>
      </c>
      <c r="U252" s="350"/>
      <c r="V252" s="69" t="str">
        <f t="shared" si="286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3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76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227</v>
      </c>
      <c r="E253" s="348">
        <f>IF(AD253="","",AD253)</f>
        <v>1</v>
      </c>
      <c r="F253" s="75">
        <f t="shared" si="279"/>
        <v>167</v>
      </c>
      <c r="G253" s="348">
        <f>IF(AF253="","",AF253)</f>
        <v>0</v>
      </c>
      <c r="H253" s="75">
        <f t="shared" si="280"/>
        <v>171</v>
      </c>
      <c r="I253" s="348">
        <f>IF(AH253="","",AH253)</f>
        <v>0</v>
      </c>
      <c r="J253" s="75">
        <f t="shared" si="281"/>
        <v>178</v>
      </c>
      <c r="K253" s="348">
        <f>IF(AJ253="","",AJ253)</f>
        <v>0</v>
      </c>
      <c r="L253" s="75">
        <f t="shared" si="282"/>
        <v>166</v>
      </c>
      <c r="M253" s="348">
        <f>IF(AL253="","",AL253)</f>
        <v>0</v>
      </c>
      <c r="N253" s="75">
        <f t="shared" si="299"/>
        <v>192</v>
      </c>
      <c r="O253" s="348">
        <f>IF(AN253="","",AN253)</f>
        <v>1</v>
      </c>
      <c r="P253" s="75">
        <f t="shared" si="283"/>
        <v>209</v>
      </c>
      <c r="Q253" s="348">
        <f>IF(AP253="","",AP253)</f>
        <v>0</v>
      </c>
      <c r="R253" s="75">
        <f t="shared" si="284"/>
        <v>166</v>
      </c>
      <c r="S253" s="348">
        <f>IF(AR253="","",AR253)</f>
        <v>0</v>
      </c>
      <c r="T253" s="75">
        <f t="shared" si="285"/>
        <v>234</v>
      </c>
      <c r="U253" s="348">
        <f>IF(AT253="","",AT253)</f>
        <v>1</v>
      </c>
      <c r="V253" s="75">
        <f t="shared" si="286"/>
        <v>1710</v>
      </c>
      <c r="W253" s="348">
        <f>IF(AV253="","",AV253)</f>
        <v>3</v>
      </c>
      <c r="Z253" s="351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227</v>
      </c>
      <c r="AD253" s="109">
        <f>IF(SUM(AC253:AC255)+AC267=0,0,IF(SUM(AC253:AC255)=AC267,0.5,IF(SUM(AC253:AC255)&gt;AC267,1,0)))</f>
        <v>1</v>
      </c>
      <c r="AE253" s="188">
        <v>167</v>
      </c>
      <c r="AF253" s="109">
        <f>IF(SUM(AE253:AE255)+AE267=0,0,IF(SUM(AE253:AE255)=AE267,0.5,IF(SUM(AE253:AE255)&gt;AE267,1,0)))</f>
        <v>0</v>
      </c>
      <c r="AG253" s="188">
        <v>171</v>
      </c>
      <c r="AH253" s="109">
        <f>IF(SUM(AG253:AG255)+AG267=0,0,IF(SUM(AG253:AG255)=AG267,0.5,IF(SUM(AG253:AG255)&gt;AG267,1,0)))</f>
        <v>0</v>
      </c>
      <c r="AI253" s="188">
        <v>178</v>
      </c>
      <c r="AJ253" s="109">
        <f>IF(SUM(AI253:AI255)+AI267=0,0,IF(SUM(AI253:AI255)=AI267,0.5,IF(SUM(AI253:AI255)&gt;AI267,1,0)))</f>
        <v>0</v>
      </c>
      <c r="AK253" s="188">
        <v>166</v>
      </c>
      <c r="AL253" s="109">
        <f>IF(SUM(AK253:AK255)+AK267=0,0,IF(SUM(AK253:AK255)=AK267,0.5,IF(SUM(AK253:AK255)&gt;AK267,1,0)))</f>
        <v>0</v>
      </c>
      <c r="AM253" s="188">
        <v>192</v>
      </c>
      <c r="AN253" s="109">
        <f>IF(SUM(AM253:AM255)+AM267=0,0,IF(SUM(AM253:AM255)=AM267,0.5,IF(SUM(AM253:AM255)&gt;AM267,1,0)))</f>
        <v>1</v>
      </c>
      <c r="AO253" s="188">
        <v>209</v>
      </c>
      <c r="AP253" s="109">
        <f>IF(SUM(AO253:AO255)+AO267=0,0,IF(SUM(AO253:AO255)=AO267,0.5,IF(SUM(AO253:AO255)&gt;AO267,1,0)))</f>
        <v>0</v>
      </c>
      <c r="AQ253" s="188">
        <v>166</v>
      </c>
      <c r="AR253" s="109">
        <f>IF(SUM(AQ253:AQ255)+AQ267=0,0,IF(SUM(AQ253:AQ255)=AQ267,0.5,IF(SUM(AQ253:AQ255)&gt;AQ267,1,0)))</f>
        <v>0</v>
      </c>
      <c r="AS253" s="188">
        <v>234</v>
      </c>
      <c r="AT253" s="109">
        <f>IF(SUM(AS253:AS255)+AS267=0,0,IF(SUM(AS253:AS255)=AS267,0.5,IF(SUM(AS253:AS255)&gt;AS267,1,0)))</f>
        <v>1</v>
      </c>
      <c r="AU253" s="110">
        <f t="shared" si="287"/>
        <v>1710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1710</v>
      </c>
      <c r="BF253" s="215">
        <f t="shared" si="302"/>
        <v>9</v>
      </c>
      <c r="BG253" s="215">
        <f t="shared" si="303"/>
        <v>9</v>
      </c>
      <c r="BH253" s="215">
        <f t="shared" si="288"/>
        <v>227</v>
      </c>
      <c r="BI253" s="215">
        <f t="shared" si="289"/>
        <v>167</v>
      </c>
      <c r="BJ253" s="215">
        <f t="shared" si="290"/>
        <v>171</v>
      </c>
      <c r="BK253" s="215">
        <f t="shared" si="291"/>
        <v>178</v>
      </c>
      <c r="BL253" s="215">
        <f t="shared" si="292"/>
        <v>166</v>
      </c>
      <c r="BM253" s="215">
        <f t="shared" si="293"/>
        <v>192</v>
      </c>
      <c r="BN253" s="215">
        <f t="shared" si="294"/>
        <v>209</v>
      </c>
      <c r="BO253" s="215">
        <f t="shared" si="295"/>
        <v>166</v>
      </c>
      <c r="BP253" s="215">
        <f t="shared" si="296"/>
        <v>234</v>
      </c>
      <c r="BQ253" s="216"/>
      <c r="BR253" s="214"/>
      <c r="BS253" s="215">
        <f t="shared" si="304"/>
        <v>234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3</v>
      </c>
      <c r="BW253" s="215">
        <f t="shared" si="308"/>
        <v>1710</v>
      </c>
      <c r="BX253" s="215">
        <f>IF(COUNTIF(BH253:BP253,"&gt;0")&lt;Spielorte!$A$23,0,BE253/Spielorte!$A$23)</f>
        <v>190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77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9"/>
      <c r="F254" s="78" t="str">
        <f t="shared" si="279"/>
        <v/>
      </c>
      <c r="G254" s="349"/>
      <c r="H254" s="78" t="str">
        <f t="shared" si="280"/>
        <v/>
      </c>
      <c r="I254" s="349"/>
      <c r="J254" s="78" t="str">
        <f t="shared" si="281"/>
        <v/>
      </c>
      <c r="K254" s="349"/>
      <c r="L254" s="78" t="str">
        <f t="shared" si="282"/>
        <v/>
      </c>
      <c r="M254" s="349"/>
      <c r="N254" s="78" t="str">
        <f t="shared" si="299"/>
        <v/>
      </c>
      <c r="O254" s="349"/>
      <c r="P254" s="78" t="str">
        <f t="shared" si="283"/>
        <v/>
      </c>
      <c r="Q254" s="349"/>
      <c r="R254" s="78" t="str">
        <f t="shared" si="284"/>
        <v/>
      </c>
      <c r="S254" s="349"/>
      <c r="T254" s="78" t="str">
        <f t="shared" si="285"/>
        <v/>
      </c>
      <c r="U254" s="349"/>
      <c r="V254" s="78" t="str">
        <f t="shared" si="286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3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8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0"/>
      <c r="F255" s="69" t="str">
        <f t="shared" si="279"/>
        <v/>
      </c>
      <c r="G255" s="350"/>
      <c r="H255" s="69" t="str">
        <f t="shared" si="280"/>
        <v/>
      </c>
      <c r="I255" s="350"/>
      <c r="J255" s="69" t="str">
        <f t="shared" si="281"/>
        <v/>
      </c>
      <c r="K255" s="350"/>
      <c r="L255" s="69" t="str">
        <f t="shared" si="282"/>
        <v/>
      </c>
      <c r="M255" s="350"/>
      <c r="N255" s="69" t="str">
        <f t="shared" si="299"/>
        <v/>
      </c>
      <c r="O255" s="350"/>
      <c r="P255" s="69" t="str">
        <f t="shared" si="283"/>
        <v/>
      </c>
      <c r="Q255" s="350"/>
      <c r="R255" s="69" t="str">
        <f t="shared" si="284"/>
        <v/>
      </c>
      <c r="S255" s="350"/>
      <c r="T255" s="69" t="str">
        <f t="shared" si="285"/>
        <v/>
      </c>
      <c r="U255" s="350"/>
      <c r="V255" s="69" t="str">
        <f t="shared" si="286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3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76" t="s">
        <v>11</v>
      </c>
      <c r="B256" s="73" t="str">
        <f>IF(AA256=0,"",AA256)</f>
        <v>Karl, William</v>
      </c>
      <c r="C256" s="74">
        <f t="shared" si="298"/>
        <v>16532</v>
      </c>
      <c r="D256" s="75">
        <f t="shared" si="298"/>
        <v>213</v>
      </c>
      <c r="E256" s="348">
        <f>IF(AD256="","",AD256)</f>
        <v>0</v>
      </c>
      <c r="F256" s="75">
        <f t="shared" si="279"/>
        <v>172</v>
      </c>
      <c r="G256" s="348">
        <f>IF(AF256="","",AF256)</f>
        <v>0</v>
      </c>
      <c r="H256" s="75">
        <f t="shared" si="280"/>
        <v>215</v>
      </c>
      <c r="I256" s="348">
        <f>IF(AH256="","",AH256)</f>
        <v>1</v>
      </c>
      <c r="J256" s="75">
        <f t="shared" si="281"/>
        <v>256</v>
      </c>
      <c r="K256" s="348">
        <f>IF(AJ256="","",AJ256)</f>
        <v>1</v>
      </c>
      <c r="L256" s="75">
        <f t="shared" si="282"/>
        <v>244</v>
      </c>
      <c r="M256" s="348">
        <f>IF(AL256="","",AL256)</f>
        <v>0</v>
      </c>
      <c r="N256" s="75">
        <f t="shared" si="299"/>
        <v>193</v>
      </c>
      <c r="O256" s="348">
        <f>IF(AN256="","",AN256)</f>
        <v>0</v>
      </c>
      <c r="P256" s="75">
        <f t="shared" si="283"/>
        <v>189</v>
      </c>
      <c r="Q256" s="348">
        <f>IF(AP256="","",AP256)</f>
        <v>0</v>
      </c>
      <c r="R256" s="75">
        <f t="shared" si="284"/>
        <v>205</v>
      </c>
      <c r="S256" s="348">
        <f>IF(AR256="","",AR256)</f>
        <v>0</v>
      </c>
      <c r="T256" s="75">
        <f t="shared" si="285"/>
        <v>162</v>
      </c>
      <c r="U256" s="348">
        <f>IF(AT256="","",AT256)</f>
        <v>0</v>
      </c>
      <c r="V256" s="75">
        <f t="shared" si="286"/>
        <v>1849</v>
      </c>
      <c r="W256" s="348">
        <f>IF(AV256="","",AV256)</f>
        <v>2</v>
      </c>
      <c r="Z256" s="351" t="s">
        <v>11</v>
      </c>
      <c r="AA256" s="108" t="str">
        <f>IF(AB256=0,"",VLOOKUP(AB256,Starter!$A$1:$D$199,2,FALSE))</f>
        <v>Karl, William</v>
      </c>
      <c r="AB256" s="99">
        <v>16532</v>
      </c>
      <c r="AC256" s="188">
        <v>213</v>
      </c>
      <c r="AD256" s="109">
        <f>IF(SUM(AC256:AC258)+AC268=0,0,IF(SUM(AC256:AC258)=AC268,0.5,IF(SUM(AC256:AC258)&gt;AC268,1,0)))</f>
        <v>0</v>
      </c>
      <c r="AE256" s="188">
        <v>172</v>
      </c>
      <c r="AF256" s="109">
        <f>IF(SUM(AE256:AE258)+AE268=0,0,IF(SUM(AE256:AE258)=AE268,0.5,IF(SUM(AE256:AE258)&gt;AE268,1,0)))</f>
        <v>0</v>
      </c>
      <c r="AG256" s="188">
        <v>215</v>
      </c>
      <c r="AH256" s="109">
        <f>IF(SUM(AG256:AG258)+AG268=0,0,IF(SUM(AG256:AG258)=AG268,0.5,IF(SUM(AG256:AG258)&gt;AG268,1,0)))</f>
        <v>1</v>
      </c>
      <c r="AI256" s="188">
        <v>256</v>
      </c>
      <c r="AJ256" s="109">
        <f>IF(SUM(AI256:AI258)+AI268=0,0,IF(SUM(AI256:AI258)=AI268,0.5,IF(SUM(AI256:AI258)&gt;AI268,1,0)))</f>
        <v>1</v>
      </c>
      <c r="AK256" s="188">
        <v>244</v>
      </c>
      <c r="AL256" s="109">
        <f>IF(SUM(AK256:AK258)+AK268=0,0,IF(SUM(AK256:AK258)=AK268,0.5,IF(SUM(AK256:AK258)&gt;AK268,1,0)))</f>
        <v>0</v>
      </c>
      <c r="AM256" s="188">
        <v>193</v>
      </c>
      <c r="AN256" s="109">
        <f>IF(SUM(AM256:AM258)+AM268=0,0,IF(SUM(AM256:AM258)=AM268,0.5,IF(SUM(AM256:AM258)&gt;AM268,1,0)))</f>
        <v>0</v>
      </c>
      <c r="AO256" s="188">
        <v>189</v>
      </c>
      <c r="AP256" s="109">
        <f>IF(SUM(AO256:AO258)+AO268=0,0,IF(SUM(AO256:AO258)=AO268,0.5,IF(SUM(AO256:AO258)&gt;AO268,1,0)))</f>
        <v>0</v>
      </c>
      <c r="AQ256" s="188">
        <v>205</v>
      </c>
      <c r="AR256" s="109">
        <f>IF(SUM(AQ256:AQ258)+AQ268=0,0,IF(SUM(AQ256:AQ258)=AQ268,0.5,IF(SUM(AQ256:AQ258)&gt;AQ268,1,0)))</f>
        <v>0</v>
      </c>
      <c r="AS256" s="188">
        <v>162</v>
      </c>
      <c r="AT256" s="109">
        <f>IF(SUM(AS256:AS258)+AS268=0,0,IF(SUM(AS256:AS258)=AS268,0.5,IF(SUM(AS256:AS258)&gt;AS268,1,0)))</f>
        <v>0</v>
      </c>
      <c r="AU256" s="110">
        <f t="shared" si="287"/>
        <v>1849</v>
      </c>
      <c r="AV256" s="111">
        <f>SUM(AD256+AF256+AH256+AJ256+AL256+AN256+AP256+AR256+AT256)</f>
        <v>2</v>
      </c>
      <c r="AW256" s="101"/>
      <c r="AX256" s="102"/>
      <c r="AZ256" s="63"/>
      <c r="BA256" s="212"/>
      <c r="BB256" s="213"/>
      <c r="BC256" s="214"/>
      <c r="BD256" s="217">
        <f t="shared" si="300"/>
        <v>16532</v>
      </c>
      <c r="BE256" s="213">
        <f t="shared" si="301"/>
        <v>1849</v>
      </c>
      <c r="BF256" s="215">
        <f t="shared" si="302"/>
        <v>9</v>
      </c>
      <c r="BG256" s="215">
        <f t="shared" si="303"/>
        <v>9</v>
      </c>
      <c r="BH256" s="215">
        <f t="shared" si="288"/>
        <v>213</v>
      </c>
      <c r="BI256" s="215">
        <f t="shared" si="289"/>
        <v>172</v>
      </c>
      <c r="BJ256" s="215">
        <f t="shared" si="290"/>
        <v>215</v>
      </c>
      <c r="BK256" s="215">
        <f t="shared" si="291"/>
        <v>256</v>
      </c>
      <c r="BL256" s="215">
        <f t="shared" si="292"/>
        <v>244</v>
      </c>
      <c r="BM256" s="215">
        <f t="shared" si="293"/>
        <v>193</v>
      </c>
      <c r="BN256" s="215">
        <f t="shared" si="294"/>
        <v>189</v>
      </c>
      <c r="BO256" s="215">
        <f t="shared" si="295"/>
        <v>205</v>
      </c>
      <c r="BP256" s="215">
        <f t="shared" si="296"/>
        <v>162</v>
      </c>
      <c r="BQ256" s="216"/>
      <c r="BR256" s="214"/>
      <c r="BS256" s="215">
        <f t="shared" si="304"/>
        <v>256</v>
      </c>
      <c r="BT256" s="215">
        <f t="shared" si="305"/>
        <v>0</v>
      </c>
      <c r="BU256" s="215" t="str">
        <f t="shared" si="306"/>
        <v>Bowlinghaus Bamberg 1</v>
      </c>
      <c r="BV256" s="214">
        <f t="shared" si="307"/>
        <v>3</v>
      </c>
      <c r="BW256" s="215">
        <f t="shared" si="308"/>
        <v>1849</v>
      </c>
      <c r="BX256" s="215">
        <f>IF(COUNTIF(BH256:BP256,"&gt;0")&lt;Spielorte!$A$23,0,BE256/Spielorte!$A$23)</f>
        <v>205.44444444444446</v>
      </c>
      <c r="BY256" s="215">
        <f t="shared" si="309"/>
        <v>0</v>
      </c>
      <c r="BZ256" s="214">
        <f t="shared" si="297"/>
        <v>0</v>
      </c>
    </row>
    <row r="257" spans="1:78" ht="17.100000000000001" customHeight="1" x14ac:dyDescent="0.25">
      <c r="A257" s="377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9"/>
      <c r="F257" s="78" t="str">
        <f t="shared" si="279"/>
        <v/>
      </c>
      <c r="G257" s="349"/>
      <c r="H257" s="78" t="str">
        <f t="shared" si="280"/>
        <v/>
      </c>
      <c r="I257" s="349"/>
      <c r="J257" s="78" t="str">
        <f t="shared" si="281"/>
        <v/>
      </c>
      <c r="K257" s="349"/>
      <c r="L257" s="78" t="str">
        <f t="shared" si="282"/>
        <v/>
      </c>
      <c r="M257" s="349"/>
      <c r="N257" s="78" t="str">
        <f t="shared" si="299"/>
        <v/>
      </c>
      <c r="O257" s="349"/>
      <c r="P257" s="78" t="str">
        <f t="shared" si="283"/>
        <v/>
      </c>
      <c r="Q257" s="349"/>
      <c r="R257" s="78" t="str">
        <f t="shared" si="284"/>
        <v/>
      </c>
      <c r="S257" s="349"/>
      <c r="T257" s="78" t="str">
        <f t="shared" si="285"/>
        <v/>
      </c>
      <c r="U257" s="349"/>
      <c r="V257" s="78" t="str">
        <f t="shared" si="286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3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8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0"/>
      <c r="F258" s="69" t="str">
        <f t="shared" si="279"/>
        <v/>
      </c>
      <c r="G258" s="350"/>
      <c r="H258" s="69" t="str">
        <f t="shared" si="280"/>
        <v/>
      </c>
      <c r="I258" s="350"/>
      <c r="J258" s="69" t="str">
        <f t="shared" si="281"/>
        <v/>
      </c>
      <c r="K258" s="350"/>
      <c r="L258" s="69" t="str">
        <f t="shared" si="282"/>
        <v/>
      </c>
      <c r="M258" s="350"/>
      <c r="N258" s="69" t="str">
        <f t="shared" si="299"/>
        <v/>
      </c>
      <c r="O258" s="350"/>
      <c r="P258" s="69" t="str">
        <f t="shared" si="283"/>
        <v/>
      </c>
      <c r="Q258" s="350"/>
      <c r="R258" s="69" t="str">
        <f t="shared" si="284"/>
        <v/>
      </c>
      <c r="S258" s="350"/>
      <c r="T258" s="69" t="str">
        <f t="shared" si="285"/>
        <v/>
      </c>
      <c r="U258" s="350"/>
      <c r="V258" s="69" t="str">
        <f t="shared" si="286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844</v>
      </c>
      <c r="E259" s="84">
        <f>IF(AD259="","",AD259)</f>
        <v>0</v>
      </c>
      <c r="F259" s="83">
        <f t="shared" si="279"/>
        <v>705</v>
      </c>
      <c r="G259" s="84">
        <f>IF(AF259="","",AF259)</f>
        <v>0</v>
      </c>
      <c r="H259" s="83">
        <f t="shared" si="280"/>
        <v>751</v>
      </c>
      <c r="I259" s="84">
        <f>IF(AH259="","",AH259)</f>
        <v>0</v>
      </c>
      <c r="J259" s="83">
        <f t="shared" si="281"/>
        <v>866</v>
      </c>
      <c r="K259" s="84">
        <f>IF(AJ259="","",AJ259)</f>
        <v>2</v>
      </c>
      <c r="L259" s="83">
        <f t="shared" si="282"/>
        <v>809</v>
      </c>
      <c r="M259" s="84">
        <f>IF(AL259="","",AL259)</f>
        <v>0</v>
      </c>
      <c r="N259" s="83">
        <f t="shared" si="299"/>
        <v>793</v>
      </c>
      <c r="O259" s="84">
        <f>IF(AN259="","",AN259)</f>
        <v>2</v>
      </c>
      <c r="P259" s="83">
        <f t="shared" si="283"/>
        <v>753</v>
      </c>
      <c r="Q259" s="84">
        <f>IF(AP259="","",AP259)</f>
        <v>0</v>
      </c>
      <c r="R259" s="83">
        <f t="shared" si="284"/>
        <v>762</v>
      </c>
      <c r="S259" s="84">
        <f>IF(AR259="","",AR259)</f>
        <v>0</v>
      </c>
      <c r="T259" s="83">
        <f t="shared" si="285"/>
        <v>754</v>
      </c>
      <c r="U259" s="84">
        <f>IF(AT259="","",AT259)</f>
        <v>0</v>
      </c>
      <c r="V259" s="83">
        <f t="shared" si="286"/>
        <v>7037</v>
      </c>
      <c r="W259" s="84">
        <f>IF(AV259="","",AV259)</f>
        <v>4</v>
      </c>
      <c r="AA259" s="81" t="s">
        <v>1799</v>
      </c>
      <c r="AB259" s="120"/>
      <c r="AC259" s="211">
        <f>ABS(SUM(AC247:AC249))+ABS(SUM(AC250:AC252))+ABS(SUM(AC253:AC255))+ABS(SUM(AC256:AC258))</f>
        <v>844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705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751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866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809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793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753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762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754</v>
      </c>
      <c r="AT259" s="121">
        <f>IF(AS259+AS269=0,0,IF(AS259=AS269,1,IF(AS259&gt;AS269,2,0)))</f>
        <v>0</v>
      </c>
      <c r="AU259" s="122">
        <f>SUM(AC259+AE259+AG259+AI259+AK259+AM259+AO259+AQ259+AS259)</f>
        <v>7037</v>
      </c>
      <c r="AV259" s="123">
        <f>SUM(AD259+AF259+AH259+AJ259+AL259+AN259+AP259+AR259+AT259)</f>
        <v>4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2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2</v>
      </c>
      <c r="J260" s="86" t="str">
        <f t="shared" si="281"/>
        <v/>
      </c>
      <c r="K260" s="87">
        <f>IF(AJ260="","",AJ260)</f>
        <v>5</v>
      </c>
      <c r="L260" s="86" t="str">
        <f t="shared" si="282"/>
        <v/>
      </c>
      <c r="M260" s="87">
        <f>IF(AL260="","",AL260)</f>
        <v>1</v>
      </c>
      <c r="N260" s="86" t="str">
        <f t="shared" si="299"/>
        <v/>
      </c>
      <c r="O260" s="87">
        <f>IF(AN260="","",AN260)</f>
        <v>4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0.5</v>
      </c>
      <c r="T260" s="86" t="str">
        <f t="shared" si="285"/>
        <v/>
      </c>
      <c r="U260" s="87">
        <f>IF(AT260="","",AT260)</f>
        <v>1</v>
      </c>
      <c r="V260" s="86" t="str">
        <f t="shared" si="286"/>
        <v/>
      </c>
      <c r="W260" s="87">
        <f>IF(AV260="","",AV260)</f>
        <v>15.5</v>
      </c>
      <c r="AA260" s="85" t="s">
        <v>1814</v>
      </c>
      <c r="AB260" s="86"/>
      <c r="AC260" s="86"/>
      <c r="AD260" s="124">
        <f>SUM(AD247:AD259)</f>
        <v>2</v>
      </c>
      <c r="AE260" s="86"/>
      <c r="AF260" s="124">
        <f>SUM(AF247:AF259)</f>
        <v>0</v>
      </c>
      <c r="AG260" s="86"/>
      <c r="AH260" s="124">
        <f>SUM(AH247:AH259)</f>
        <v>2</v>
      </c>
      <c r="AI260" s="86"/>
      <c r="AJ260" s="124">
        <f>SUM(AJ247:AJ259)</f>
        <v>5</v>
      </c>
      <c r="AK260" s="86"/>
      <c r="AL260" s="124">
        <f>SUM(AL247:AL259)</f>
        <v>1</v>
      </c>
      <c r="AM260" s="86"/>
      <c r="AN260" s="124">
        <f>SUM(AN247:AN259)</f>
        <v>4</v>
      </c>
      <c r="AO260" s="86"/>
      <c r="AP260" s="124">
        <f>SUM(AP247:AP259)</f>
        <v>0</v>
      </c>
      <c r="AQ260" s="86"/>
      <c r="AR260" s="124">
        <f>SUM(AR247:AR259)</f>
        <v>0.5</v>
      </c>
      <c r="AS260" s="86"/>
      <c r="AT260" s="124">
        <f>SUM(AT247:AT259)</f>
        <v>1</v>
      </c>
      <c r="AU260" s="86"/>
      <c r="AV260" s="125">
        <f>SUM(AV247:AV259)</f>
        <v>15.5</v>
      </c>
      <c r="AW260" s="101"/>
      <c r="AX260" s="102"/>
      <c r="BA260" s="212">
        <f>+AV260</f>
        <v>15.5</v>
      </c>
      <c r="BB260" s="213">
        <f>+AU259</f>
        <v>7037</v>
      </c>
      <c r="BC260" s="214">
        <f>+AA242</f>
        <v>9</v>
      </c>
      <c r="BF260" s="215">
        <f>SUM(BF241:BF259)</f>
        <v>36</v>
      </c>
      <c r="BQ260" s="212">
        <f>+BB260/1000000+BA260</f>
        <v>15.507037</v>
      </c>
      <c r="BR260" s="214">
        <f>RANK(BQ260,BQ:BQ)</f>
        <v>10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6">
        <f t="shared" si="310"/>
        <v>10</v>
      </c>
      <c r="E262" s="356" t="str">
        <f t="shared" si="310"/>
        <v/>
      </c>
      <c r="F262" s="356">
        <f t="shared" si="310"/>
        <v>2</v>
      </c>
      <c r="G262" s="356" t="str">
        <f t="shared" si="310"/>
        <v/>
      </c>
      <c r="H262" s="356">
        <f t="shared" si="310"/>
        <v>8</v>
      </c>
      <c r="I262" s="356" t="str">
        <f t="shared" si="310"/>
        <v/>
      </c>
      <c r="J262" s="356">
        <f t="shared" si="310"/>
        <v>1</v>
      </c>
      <c r="K262" s="356" t="str">
        <f t="shared" si="310"/>
        <v/>
      </c>
      <c r="L262" s="356">
        <f t="shared" si="310"/>
        <v>5</v>
      </c>
      <c r="M262" s="356" t="str">
        <f t="shared" si="310"/>
        <v/>
      </c>
      <c r="N262" s="356">
        <f t="shared" si="310"/>
        <v>6</v>
      </c>
      <c r="O262" s="356" t="str">
        <f t="shared" si="310"/>
        <v/>
      </c>
      <c r="P262" s="356">
        <f t="shared" si="310"/>
        <v>7</v>
      </c>
      <c r="Q262" s="356" t="str">
        <f t="shared" si="310"/>
        <v/>
      </c>
      <c r="R262" s="356">
        <f t="shared" ref="L262:U264" si="311">IF(AQ262=0,"",AQ262)</f>
        <v>3</v>
      </c>
      <c r="S262" s="356" t="str">
        <f t="shared" si="311"/>
        <v/>
      </c>
      <c r="T262" s="356">
        <f t="shared" si="311"/>
        <v>4</v>
      </c>
      <c r="U262" s="356" t="str">
        <f t="shared" si="311"/>
        <v/>
      </c>
      <c r="V262" s="357"/>
      <c r="W262" s="357"/>
      <c r="AA262" s="88" t="s">
        <v>1797</v>
      </c>
      <c r="AB262" s="89" t="s">
        <v>1798</v>
      </c>
      <c r="AC262" s="370">
        <f>VLOOKUP($AA242,Schlüssel!$A$5:$DG$14,83)</f>
        <v>10</v>
      </c>
      <c r="AD262" s="371"/>
      <c r="AE262" s="370">
        <f>VLOOKUP($AA242,Schlüssel!$A$5:$EK$14,84)</f>
        <v>2</v>
      </c>
      <c r="AF262" s="371"/>
      <c r="AG262" s="370">
        <f>VLOOKUP($AA242,Schlüssel!$A$5:$EK$14,85)</f>
        <v>8</v>
      </c>
      <c r="AH262" s="371"/>
      <c r="AI262" s="370">
        <f>VLOOKUP($AA242,Schlüssel!$A$5:$EK$14,86)</f>
        <v>1</v>
      </c>
      <c r="AJ262" s="371"/>
      <c r="AK262" s="370">
        <f>VLOOKUP($AA242,Schlüssel!$A$5:$EK$14,87)</f>
        <v>5</v>
      </c>
      <c r="AL262" s="371"/>
      <c r="AM262" s="370">
        <f>VLOOKUP($AA242,Schlüssel!$A$5:$EK$14,88)</f>
        <v>6</v>
      </c>
      <c r="AN262" s="371"/>
      <c r="AO262" s="370">
        <f>VLOOKUP($AA242,Schlüssel!$A$5:$EK$14,89)</f>
        <v>7</v>
      </c>
      <c r="AP262" s="371"/>
      <c r="AQ262" s="370">
        <f>VLOOKUP($AA242,Schlüssel!$A$5:$EK$14,90)</f>
        <v>3</v>
      </c>
      <c r="AR262" s="371"/>
      <c r="AS262" s="370">
        <f>VLOOKUP($AA242,Schlüssel!$A$5:$EK$14,91)</f>
        <v>4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58" t="str">
        <f t="shared" si="312"/>
        <v>High Roller Rosenheim 1</v>
      </c>
      <c r="E263" s="359" t="str">
        <f t="shared" si="312"/>
        <v/>
      </c>
      <c r="F263" s="358" t="str">
        <f t="shared" si="312"/>
        <v>Bajuwaren München 1</v>
      </c>
      <c r="G263" s="359" t="str">
        <f t="shared" si="312"/>
        <v/>
      </c>
      <c r="H263" s="358" t="str">
        <f t="shared" si="312"/>
        <v>BC EMAX Unterföhring 2</v>
      </c>
      <c r="I263" s="359" t="str">
        <f t="shared" si="312"/>
        <v/>
      </c>
      <c r="J263" s="358" t="str">
        <f t="shared" si="312"/>
        <v>BC Comet Nürnberg</v>
      </c>
      <c r="K263" s="359" t="str">
        <f t="shared" si="312"/>
        <v/>
      </c>
      <c r="L263" s="358" t="str">
        <f t="shared" si="311"/>
        <v>RW Lichtenhof Stein 1</v>
      </c>
      <c r="M263" s="359" t="str">
        <f t="shared" si="311"/>
        <v/>
      </c>
      <c r="N263" s="358" t="str">
        <f t="shared" si="311"/>
        <v>SG Rottendorf 1</v>
      </c>
      <c r="O263" s="359" t="str">
        <f t="shared" si="311"/>
        <v/>
      </c>
      <c r="P263" s="358" t="str">
        <f t="shared" si="311"/>
        <v>Schanzer Ingolstadt 1</v>
      </c>
      <c r="Q263" s="359" t="str">
        <f t="shared" si="311"/>
        <v/>
      </c>
      <c r="R263" s="358" t="str">
        <f t="shared" si="311"/>
        <v>BK München 3</v>
      </c>
      <c r="S263" s="359" t="str">
        <f t="shared" si="311"/>
        <v/>
      </c>
      <c r="T263" s="358" t="str">
        <f t="shared" si="311"/>
        <v>SG DJK Rimpar</v>
      </c>
      <c r="U263" s="359" t="str">
        <f t="shared" si="311"/>
        <v/>
      </c>
      <c r="V263" s="363"/>
      <c r="W263" s="363"/>
      <c r="AA263" s="90"/>
      <c r="AB263" s="86"/>
      <c r="AC263" s="358" t="str">
        <f>VLOOKUP(AC262,Schlüssel!$A$5:$K$14,2)</f>
        <v>High Roller Rosenheim 1</v>
      </c>
      <c r="AD263" s="359"/>
      <c r="AE263" s="358" t="str">
        <f>VLOOKUP(AE262,Schlüssel!$A$5:$K$14,2)</f>
        <v>Bajuwaren München 1</v>
      </c>
      <c r="AF263" s="359"/>
      <c r="AG263" s="358" t="str">
        <f>VLOOKUP(AG262,Schlüssel!$A$5:$K$14,2)</f>
        <v>BC EMAX Unterföhring 2</v>
      </c>
      <c r="AH263" s="359"/>
      <c r="AI263" s="358" t="str">
        <f>VLOOKUP(AI262,Schlüssel!$A$5:$K$14,2)</f>
        <v>BC Comet Nürnberg</v>
      </c>
      <c r="AJ263" s="359"/>
      <c r="AK263" s="358" t="str">
        <f>VLOOKUP(AK262,Schlüssel!$A$5:$K$14,2)</f>
        <v>RW Lichtenhof Stein 1</v>
      </c>
      <c r="AL263" s="359"/>
      <c r="AM263" s="358" t="str">
        <f>VLOOKUP(AM262,Schlüssel!$A$5:$K$14,2)</f>
        <v>SG Rottendorf 1</v>
      </c>
      <c r="AN263" s="359"/>
      <c r="AO263" s="358" t="str">
        <f>VLOOKUP(AO262,Schlüssel!$A$5:$K$14,2)</f>
        <v>Schanzer Ingolstadt 1</v>
      </c>
      <c r="AP263" s="359"/>
      <c r="AQ263" s="358" t="str">
        <f>VLOOKUP(AQ262,Schlüssel!$A$5:$K$14,2)</f>
        <v>BK München 3</v>
      </c>
      <c r="AR263" s="359"/>
      <c r="AS263" s="358" t="str">
        <f>VLOOKUP(AS262,Schlüssel!$A$5:$K$14,2)</f>
        <v>SG DJK Rimpar</v>
      </c>
      <c r="AT263" s="359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60" t="str">
        <f t="shared" si="312"/>
        <v/>
      </c>
      <c r="E264" s="360" t="str">
        <f t="shared" si="312"/>
        <v/>
      </c>
      <c r="F264" s="360" t="str">
        <f t="shared" si="312"/>
        <v/>
      </c>
      <c r="G264" s="360" t="str">
        <f t="shared" si="312"/>
        <v/>
      </c>
      <c r="H264" s="360" t="str">
        <f t="shared" si="312"/>
        <v/>
      </c>
      <c r="I264" s="360" t="str">
        <f t="shared" si="312"/>
        <v/>
      </c>
      <c r="J264" s="360" t="str">
        <f t="shared" si="312"/>
        <v/>
      </c>
      <c r="K264" s="360" t="str">
        <f t="shared" si="312"/>
        <v/>
      </c>
      <c r="L264" s="360" t="str">
        <f t="shared" si="311"/>
        <v/>
      </c>
      <c r="M264" s="360" t="str">
        <f t="shared" si="311"/>
        <v/>
      </c>
      <c r="N264" s="360" t="str">
        <f t="shared" si="311"/>
        <v/>
      </c>
      <c r="O264" s="360" t="str">
        <f t="shared" si="311"/>
        <v/>
      </c>
      <c r="P264" s="360" t="str">
        <f t="shared" si="311"/>
        <v/>
      </c>
      <c r="Q264" s="360" t="str">
        <f t="shared" si="311"/>
        <v/>
      </c>
      <c r="R264" s="360" t="str">
        <f t="shared" si="311"/>
        <v/>
      </c>
      <c r="S264" s="360" t="str">
        <f t="shared" si="311"/>
        <v/>
      </c>
      <c r="T264" s="360" t="str">
        <f t="shared" si="311"/>
        <v/>
      </c>
      <c r="U264" s="361" t="str">
        <f t="shared" si="311"/>
        <v/>
      </c>
      <c r="V264" s="298"/>
      <c r="W264" s="298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4" t="str">
        <f t="shared" ref="B265:C269" si="313">IF(AA265=0,"",AA265)</f>
        <v>Spieler 1</v>
      </c>
      <c r="C265" s="375" t="str">
        <f t="shared" si="313"/>
        <v/>
      </c>
      <c r="D265" s="362">
        <f>IF(AC265=301,"",AC265)</f>
        <v>197</v>
      </c>
      <c r="E265" s="362" t="str">
        <f>IF(AD265=0,"",AD265)</f>
        <v/>
      </c>
      <c r="F265" s="362">
        <f>IF(AE265=301,"",AE265)</f>
        <v>214</v>
      </c>
      <c r="G265" s="362" t="str">
        <f>IF(AF265=0,"",AF265)</f>
        <v/>
      </c>
      <c r="H265" s="362">
        <f>IF(AG265=301,"",AG265)</f>
        <v>206</v>
      </c>
      <c r="I265" s="362" t="str">
        <f>IF(AH265=0,"",AH265)</f>
        <v/>
      </c>
      <c r="J265" s="362">
        <f>IF(AI265=301,"",AI265)</f>
        <v>204</v>
      </c>
      <c r="K265" s="362" t="str">
        <f>IF(AJ265=0,"",AJ265)</f>
        <v/>
      </c>
      <c r="L265" s="362">
        <f>IF(AK265=301,"",AK265)</f>
        <v>237</v>
      </c>
      <c r="M265" s="362" t="str">
        <f>IF(AL265=0,"",AL265)</f>
        <v/>
      </c>
      <c r="N265" s="362">
        <f>IF(AM265=301,"",AM265)</f>
        <v>217</v>
      </c>
      <c r="O265" s="362" t="str">
        <f>IF(AN265=0,"",AN265)</f>
        <v/>
      </c>
      <c r="P265" s="362">
        <f>IF(AO265=301,"",AO265)</f>
        <v>193</v>
      </c>
      <c r="Q265" s="362" t="str">
        <f>IF(AP265=0,"",AP265)</f>
        <v/>
      </c>
      <c r="R265" s="362">
        <f>IF(AQ265=301,"",AQ265)</f>
        <v>227</v>
      </c>
      <c r="S265" s="362" t="str">
        <f>IF(AR265=0,"",AR265)</f>
        <v/>
      </c>
      <c r="T265" s="362">
        <f>IF(AS265=301,"",AS265)</f>
        <v>221</v>
      </c>
      <c r="U265" s="362" t="str">
        <f>IF(AT265=0,"",AT265)</f>
        <v/>
      </c>
      <c r="V265" s="364"/>
      <c r="W265" s="364"/>
      <c r="AA265" s="91" t="s">
        <v>0</v>
      </c>
      <c r="AB265" s="92"/>
      <c r="AC265" s="368">
        <f>ABS(INDEX(AC:AC,MATCH(AC262,$AA:$AA,0)+5)+INDEX(AC:AC,MATCH(AC262,$AA:$AA,0)+6)+INDEX(AC:AC,MATCH(AC262,$AA:$AA,0)+7))</f>
        <v>197</v>
      </c>
      <c r="AD265" s="369"/>
      <c r="AE265" s="368">
        <f>ABS(INDEX(AE:AE,MATCH(AE262,$AA:$AA,0)+5)+INDEX(AE:AE,MATCH(AE262,$AA:$AA,0)+6)+INDEX(AE:AE,MATCH(AE262,$AA:$AA,0)+7))</f>
        <v>214</v>
      </c>
      <c r="AF265" s="369"/>
      <c r="AG265" s="368">
        <f>ABS(INDEX(AG:AG,MATCH(AG262,$AA:$AA,0)+5)+INDEX(AG:AG,MATCH(AG262,$AA:$AA,0)+6)+INDEX(AG:AG,MATCH(AG262,$AA:$AA,0)+7))</f>
        <v>206</v>
      </c>
      <c r="AH265" s="369"/>
      <c r="AI265" s="368">
        <f>ABS(INDEX(AI:AI,MATCH(AI262,$AA:$AA,0)+5)+INDEX(AI:AI,MATCH(AI262,$AA:$AA,0)+6)+INDEX(AI:AI,MATCH(AI262,$AA:$AA,0)+7))</f>
        <v>204</v>
      </c>
      <c r="AJ265" s="369"/>
      <c r="AK265" s="368">
        <f>ABS(INDEX(AK:AK,MATCH(AK262,$AA:$AA,0)+5)+INDEX(AK:AK,MATCH(AK262,$AA:$AA,0)+6)+INDEX(AK:AK,MATCH(AK262,$AA:$AA,0)+7))</f>
        <v>237</v>
      </c>
      <c r="AL265" s="369"/>
      <c r="AM265" s="368">
        <f>ABS(INDEX(AM:AM,MATCH(AM262,$AA:$AA,0)+5)+INDEX(AM:AM,MATCH(AM262,$AA:$AA,0)+6)+INDEX(AM:AM,MATCH(AM262,$AA:$AA,0)+7))</f>
        <v>217</v>
      </c>
      <c r="AN265" s="369"/>
      <c r="AO265" s="368">
        <f>ABS(INDEX(AO:AO,MATCH(AO262,$AA:$AA,0)+5)+INDEX(AO:AO,MATCH(AO262,$AA:$AA,0)+6)+INDEX(AO:AO,MATCH(AO262,$AA:$AA,0)+7))</f>
        <v>193</v>
      </c>
      <c r="AP265" s="369"/>
      <c r="AQ265" s="368">
        <f>ABS(INDEX(AQ:AQ,MATCH(AQ262,$AA:$AA,0)+5)+INDEX(AQ:AQ,MATCH(AQ262,$AA:$AA,0)+6)+INDEX(AQ:AQ,MATCH(AQ262,$AA:$AA,0)+7))</f>
        <v>227</v>
      </c>
      <c r="AR265" s="369"/>
      <c r="AS265" s="368">
        <f>ABS(INDEX(AS:AS,MATCH(AS262,$AA:$AA,0)+5)+INDEX(AS:AS,MATCH(AS262,$AA:$AA,0)+6)+INDEX(AS:AS,MATCH(AS262,$AA:$AA,0)+7))</f>
        <v>221</v>
      </c>
      <c r="AT265" s="369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4" t="str">
        <f t="shared" si="313"/>
        <v>Spieler 2</v>
      </c>
      <c r="C266" s="375" t="str">
        <f t="shared" si="313"/>
        <v/>
      </c>
      <c r="D266" s="362">
        <f>IF(AC266=301,"",AC266)</f>
        <v>215</v>
      </c>
      <c r="E266" s="362" t="str">
        <f>IF(AD266=0,"",AD266)</f>
        <v/>
      </c>
      <c r="F266" s="362">
        <f>IF(AE266=301,"",AE266)</f>
        <v>211</v>
      </c>
      <c r="G266" s="362" t="str">
        <f>IF(AF266=0,"",AF266)</f>
        <v/>
      </c>
      <c r="H266" s="362">
        <f>IF(AG266=301,"",AG266)</f>
        <v>189</v>
      </c>
      <c r="I266" s="362" t="str">
        <f>IF(AH266=0,"",AH266)</f>
        <v/>
      </c>
      <c r="J266" s="362">
        <f>IF(AI266=301,"",AI266)</f>
        <v>174</v>
      </c>
      <c r="K266" s="362" t="str">
        <f>IF(AJ266=0,"",AJ266)</f>
        <v/>
      </c>
      <c r="L266" s="362">
        <f>IF(AK266=301,"",AK266)</f>
        <v>137</v>
      </c>
      <c r="M266" s="362" t="str">
        <f>IF(AL266=0,"",AL266)</f>
        <v/>
      </c>
      <c r="N266" s="362">
        <f>IF(AM266=301,"",AM266)</f>
        <v>142</v>
      </c>
      <c r="O266" s="362" t="str">
        <f>IF(AN266=0,"",AN266)</f>
        <v/>
      </c>
      <c r="P266" s="362">
        <f>IF(AO266=301,"",AO266)</f>
        <v>190</v>
      </c>
      <c r="Q266" s="362" t="str">
        <f>IF(AP266=0,"",AP266)</f>
        <v/>
      </c>
      <c r="R266" s="362">
        <f>IF(AQ266=301,"",AQ266)</f>
        <v>202</v>
      </c>
      <c r="S266" s="362" t="str">
        <f>IF(AR266=0,"",AR266)</f>
        <v/>
      </c>
      <c r="T266" s="362">
        <f>IF(AS266=301,"",AS266)</f>
        <v>205</v>
      </c>
      <c r="U266" s="362" t="str">
        <f>IF(AT266=0,"",AT266)</f>
        <v/>
      </c>
      <c r="V266" s="364"/>
      <c r="W266" s="364"/>
      <c r="AA266" s="91" t="s">
        <v>2</v>
      </c>
      <c r="AB266" s="92"/>
      <c r="AC266" s="366">
        <f>ABS(INDEX(AC:AC,MATCH(AC262,$AA:$AA,0)+8)+INDEX(AC:AC,MATCH(AC262,$AA:$AA,0)+9)+INDEX(AC:AC,MATCH(AC262,$AA:$AA,0)+10))</f>
        <v>215</v>
      </c>
      <c r="AD266" s="367"/>
      <c r="AE266" s="366">
        <f>ABS(INDEX(AE:AE,MATCH(AE262,$AA:$AA,0)+8)+INDEX(AE:AE,MATCH(AE262,$AA:$AA,0)+9)+INDEX(AE:AE,MATCH(AE262,$AA:$AA,0)+10))</f>
        <v>211</v>
      </c>
      <c r="AF266" s="367"/>
      <c r="AG266" s="366">
        <f>ABS(INDEX(AG:AG,MATCH(AG262,$AA:$AA,0)+8)+INDEX(AG:AG,MATCH(AG262,$AA:$AA,0)+9)+INDEX(AG:AG,MATCH(AG262,$AA:$AA,0)+10))</f>
        <v>189</v>
      </c>
      <c r="AH266" s="367"/>
      <c r="AI266" s="366">
        <f>ABS(INDEX(AI:AI,MATCH(AI262,$AA:$AA,0)+8)+INDEX(AI:AI,MATCH(AI262,$AA:$AA,0)+9)+INDEX(AI:AI,MATCH(AI262,$AA:$AA,0)+10))</f>
        <v>174</v>
      </c>
      <c r="AJ266" s="367"/>
      <c r="AK266" s="366">
        <f>ABS(INDEX(AK:AK,MATCH(AK262,$AA:$AA,0)+8)+INDEX(AK:AK,MATCH(AK262,$AA:$AA,0)+9)+INDEX(AK:AK,MATCH(AK262,$AA:$AA,0)+10))</f>
        <v>137</v>
      </c>
      <c r="AL266" s="367"/>
      <c r="AM266" s="366">
        <f>ABS(INDEX(AM:AM,MATCH(AM262,$AA:$AA,0)+8)+INDEX(AM:AM,MATCH(AM262,$AA:$AA,0)+9)+INDEX(AM:AM,MATCH(AM262,$AA:$AA,0)+10))</f>
        <v>142</v>
      </c>
      <c r="AN266" s="367"/>
      <c r="AO266" s="366">
        <f>ABS(INDEX(AO:AO,MATCH(AO262,$AA:$AA,0)+8)+INDEX(AO:AO,MATCH(AO262,$AA:$AA,0)+9)+INDEX(AO:AO,MATCH(AO262,$AA:$AA,0)+10))</f>
        <v>190</v>
      </c>
      <c r="AP266" s="367"/>
      <c r="AQ266" s="366">
        <f>ABS(INDEX(AQ:AQ,MATCH(AQ262,$AA:$AA,0)+8)+INDEX(AQ:AQ,MATCH(AQ262,$AA:$AA,0)+9)+INDEX(AQ:AQ,MATCH(AQ262,$AA:$AA,0)+10))</f>
        <v>202</v>
      </c>
      <c r="AR266" s="367"/>
      <c r="AS266" s="366">
        <f>ABS(INDEX(AS:AS,MATCH(AS262,$AA:$AA,0)+8)+INDEX(AS:AS,MATCH(AS262,$AA:$AA,0)+9)+INDEX(AS:AS,MATCH(AS262,$AA:$AA,0)+10))</f>
        <v>205</v>
      </c>
      <c r="AT266" s="367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4" t="str">
        <f t="shared" si="313"/>
        <v>Spieler 3</v>
      </c>
      <c r="C267" s="375" t="str">
        <f t="shared" si="313"/>
        <v/>
      </c>
      <c r="D267" s="362">
        <f>IF(AC267=301,"",AC267)</f>
        <v>204</v>
      </c>
      <c r="E267" s="362" t="str">
        <f>IF(AD267=0,"",AD267)</f>
        <v/>
      </c>
      <c r="F267" s="362">
        <f>IF(AE267=301,"",AE267)</f>
        <v>202</v>
      </c>
      <c r="G267" s="362" t="str">
        <f>IF(AF267=0,"",AF267)</f>
        <v/>
      </c>
      <c r="H267" s="362">
        <f>IF(AG267=301,"",AG267)</f>
        <v>223</v>
      </c>
      <c r="I267" s="362" t="str">
        <f>IF(AH267=0,"",AH267)</f>
        <v/>
      </c>
      <c r="J267" s="362">
        <f>IF(AI267=301,"",AI267)</f>
        <v>199</v>
      </c>
      <c r="K267" s="362" t="str">
        <f>IF(AJ267=0,"",AJ267)</f>
        <v/>
      </c>
      <c r="L267" s="362">
        <f>IF(AK267=301,"",AK267)</f>
        <v>186</v>
      </c>
      <c r="M267" s="362" t="str">
        <f>IF(AL267=0,"",AL267)</f>
        <v/>
      </c>
      <c r="N267" s="362">
        <f>IF(AM267=301,"",AM267)</f>
        <v>183</v>
      </c>
      <c r="O267" s="362" t="str">
        <f>IF(AN267=0,"",AN267)</f>
        <v/>
      </c>
      <c r="P267" s="362">
        <f>IF(AO267=301,"",AO267)</f>
        <v>248</v>
      </c>
      <c r="Q267" s="362" t="str">
        <f>IF(AP267=0,"",AP267)</f>
        <v/>
      </c>
      <c r="R267" s="362">
        <f>IF(AQ267=301,"",AQ267)</f>
        <v>211</v>
      </c>
      <c r="S267" s="362" t="str">
        <f>IF(AR267=0,"",AR267)</f>
        <v/>
      </c>
      <c r="T267" s="362">
        <f>IF(AS267=301,"",AS267)</f>
        <v>169</v>
      </c>
      <c r="U267" s="362" t="str">
        <f>IF(AT267=0,"",AT267)</f>
        <v/>
      </c>
      <c r="V267" s="364"/>
      <c r="W267" s="364"/>
      <c r="AA267" s="91" t="s">
        <v>3</v>
      </c>
      <c r="AB267" s="92"/>
      <c r="AC267" s="366">
        <f>ABS(INDEX(AC:AC,MATCH(AC262,$AA:$AA,0)+11)+INDEX(AC:AC,MATCH(AC262,$AA:$AA,0)+12)+INDEX(AC:AC,MATCH(AC262,$AA:$AA,0)+13))</f>
        <v>204</v>
      </c>
      <c r="AD267" s="367"/>
      <c r="AE267" s="366">
        <f>ABS(INDEX(AE:AE,MATCH(AE262,$AA:$AA,0)+11)+INDEX(AE:AE,MATCH(AE262,$AA:$AA,0)+12)+INDEX(AE:AE,MATCH(AE262,$AA:$AA,0)+13))</f>
        <v>202</v>
      </c>
      <c r="AF267" s="367"/>
      <c r="AG267" s="366">
        <f>ABS(INDEX(AG:AG,MATCH(AG262,$AA:$AA,0)+11)+INDEX(AG:AG,MATCH(AG262,$AA:$AA,0)+12)+INDEX(AG:AG,MATCH(AG262,$AA:$AA,0)+13))</f>
        <v>223</v>
      </c>
      <c r="AH267" s="367"/>
      <c r="AI267" s="366">
        <f>ABS(INDEX(AI:AI,MATCH(AI262,$AA:$AA,0)+11)+INDEX(AI:AI,MATCH(AI262,$AA:$AA,0)+12)+INDEX(AI:AI,MATCH(AI262,$AA:$AA,0)+13))</f>
        <v>199</v>
      </c>
      <c r="AJ267" s="367"/>
      <c r="AK267" s="366">
        <f>ABS(INDEX(AK:AK,MATCH(AK262,$AA:$AA,0)+11)+INDEX(AK:AK,MATCH(AK262,$AA:$AA,0)+12)+INDEX(AK:AK,MATCH(AK262,$AA:$AA,0)+13))</f>
        <v>186</v>
      </c>
      <c r="AL267" s="367"/>
      <c r="AM267" s="366">
        <f>ABS(INDEX(AM:AM,MATCH(AM262,$AA:$AA,0)+11)+INDEX(AM:AM,MATCH(AM262,$AA:$AA,0)+12)+INDEX(AM:AM,MATCH(AM262,$AA:$AA,0)+13))</f>
        <v>183</v>
      </c>
      <c r="AN267" s="367"/>
      <c r="AO267" s="366">
        <f>ABS(INDEX(AO:AO,MATCH(AO262,$AA:$AA,0)+11)+INDEX(AO:AO,MATCH(AO262,$AA:$AA,0)+12)+INDEX(AO:AO,MATCH(AO262,$AA:$AA,0)+13))</f>
        <v>248</v>
      </c>
      <c r="AP267" s="367"/>
      <c r="AQ267" s="366">
        <f>ABS(INDEX(AQ:AQ,MATCH(AQ262,$AA:$AA,0)+11)+INDEX(AQ:AQ,MATCH(AQ262,$AA:$AA,0)+12)+INDEX(AQ:AQ,MATCH(AQ262,$AA:$AA,0)+13))</f>
        <v>211</v>
      </c>
      <c r="AR267" s="367"/>
      <c r="AS267" s="366">
        <f>ABS(INDEX(AS:AS,MATCH(AS262,$AA:$AA,0)+11)+INDEX(AS:AS,MATCH(AS262,$AA:$AA,0)+12)+INDEX(AS:AS,MATCH(AS262,$AA:$AA,0)+13))</f>
        <v>169</v>
      </c>
      <c r="AT267" s="367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4" t="str">
        <f t="shared" si="313"/>
        <v>Spieler 4</v>
      </c>
      <c r="C268" s="375" t="str">
        <f t="shared" si="313"/>
        <v/>
      </c>
      <c r="D268" s="362">
        <f>IF(AC268=301,"",AC268)</f>
        <v>245</v>
      </c>
      <c r="E268" s="362" t="str">
        <f>IF(AD268=0,"",AD268)</f>
        <v/>
      </c>
      <c r="F268" s="362">
        <f>IF(AE268=301,"",AE268)</f>
        <v>203</v>
      </c>
      <c r="G268" s="362" t="str">
        <f>IF(AF268=0,"",AF268)</f>
        <v/>
      </c>
      <c r="H268" s="362">
        <f>IF(AG268=301,"",AG268)</f>
        <v>205</v>
      </c>
      <c r="I268" s="362" t="str">
        <f>IF(AH268=0,"",AH268)</f>
        <v/>
      </c>
      <c r="J268" s="362">
        <f>IF(AI268=301,"",AI268)</f>
        <v>215</v>
      </c>
      <c r="K268" s="362" t="str">
        <f>IF(AJ268=0,"",AJ268)</f>
        <v/>
      </c>
      <c r="L268" s="362">
        <f>IF(AK268=301,"",AK268)</f>
        <v>268</v>
      </c>
      <c r="M268" s="362" t="str">
        <f>IF(AL268=0,"",AL268)</f>
        <v/>
      </c>
      <c r="N268" s="362">
        <f>IF(AM268=301,"",AM268)</f>
        <v>206</v>
      </c>
      <c r="O268" s="362" t="str">
        <f>IF(AN268=0,"",AN268)</f>
        <v/>
      </c>
      <c r="P268" s="362">
        <f>IF(AO268=301,"",AO268)</f>
        <v>212</v>
      </c>
      <c r="Q268" s="362" t="str">
        <f>IF(AP268=0,"",AP268)</f>
        <v/>
      </c>
      <c r="R268" s="362">
        <f>IF(AQ268=301,"",AQ268)</f>
        <v>266</v>
      </c>
      <c r="S268" s="362" t="str">
        <f>IF(AR268=0,"",AR268)</f>
        <v/>
      </c>
      <c r="T268" s="362">
        <f>IF(AS268=301,"",AS268)</f>
        <v>233</v>
      </c>
      <c r="U268" s="362" t="str">
        <f>IF(AT268=0,"",AT268)</f>
        <v/>
      </c>
      <c r="V268" s="364"/>
      <c r="W268" s="364"/>
      <c r="AA268" s="91" t="s">
        <v>11</v>
      </c>
      <c r="AB268" s="92"/>
      <c r="AC268" s="366">
        <f>ABS(INDEX(AC:AC,MATCH(AC262,$AA:$AA,0)+14)+INDEX(AC:AC,MATCH(AC262,$AA:$AA,0)+15)+INDEX(AC:AC,MATCH(AC262,$AA:$AA,0)+16))</f>
        <v>245</v>
      </c>
      <c r="AD268" s="367"/>
      <c r="AE268" s="366">
        <f>ABS(INDEX(AE:AE,MATCH(AE262,$AA:$AA,0)+14)+INDEX(AE:AE,MATCH(AE262,$AA:$AA,0)+15)+INDEX(AE:AE,MATCH(AE262,$AA:$AA,0)+16))</f>
        <v>203</v>
      </c>
      <c r="AF268" s="367"/>
      <c r="AG268" s="366">
        <f>ABS(INDEX(AG:AG,MATCH(AG262,$AA:$AA,0)+14)+INDEX(AG:AG,MATCH(AG262,$AA:$AA,0)+15)+INDEX(AG:AG,MATCH(AG262,$AA:$AA,0)+16))</f>
        <v>205</v>
      </c>
      <c r="AH268" s="367"/>
      <c r="AI268" s="366">
        <f>ABS(INDEX(AI:AI,MATCH(AI262,$AA:$AA,0)+14)+INDEX(AI:AI,MATCH(AI262,$AA:$AA,0)+15)+INDEX(AI:AI,MATCH(AI262,$AA:$AA,0)+16))</f>
        <v>215</v>
      </c>
      <c r="AJ268" s="367"/>
      <c r="AK268" s="366">
        <f>ABS(INDEX(AK:AK,MATCH(AK262,$AA:$AA,0)+14)+INDEX(AK:AK,MATCH(AK262,$AA:$AA,0)+15)+INDEX(AK:AK,MATCH(AK262,$AA:$AA,0)+16))</f>
        <v>268</v>
      </c>
      <c r="AL268" s="367"/>
      <c r="AM268" s="366">
        <f>ABS(INDEX(AM:AM,MATCH(AM262,$AA:$AA,0)+14)+INDEX(AM:AM,MATCH(AM262,$AA:$AA,0)+15)+INDEX(AM:AM,MATCH(AM262,$AA:$AA,0)+16))</f>
        <v>206</v>
      </c>
      <c r="AN268" s="367"/>
      <c r="AO268" s="366">
        <f>ABS(INDEX(AO:AO,MATCH(AO262,$AA:$AA,0)+14)+INDEX(AO:AO,MATCH(AO262,$AA:$AA,0)+15)+INDEX(AO:AO,MATCH(AO262,$AA:$AA,0)+16))</f>
        <v>212</v>
      </c>
      <c r="AP268" s="367"/>
      <c r="AQ268" s="366">
        <f>ABS(INDEX(AQ:AQ,MATCH(AQ262,$AA:$AA,0)+14)+INDEX(AQ:AQ,MATCH(AQ262,$AA:$AA,0)+15)+INDEX(AQ:AQ,MATCH(AQ262,$AA:$AA,0)+16))</f>
        <v>266</v>
      </c>
      <c r="AR268" s="367"/>
      <c r="AS268" s="366">
        <f>ABS(INDEX(AS:AS,MATCH(AS262,$AA:$AA,0)+14)+INDEX(AS:AS,MATCH(AS262,$AA:$AA,0)+15)+INDEX(AS:AS,MATCH(AS262,$AA:$AA,0)+16))</f>
        <v>233</v>
      </c>
      <c r="AT268" s="367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6" t="str">
        <f t="shared" si="313"/>
        <v>Gesamt</v>
      </c>
      <c r="C269" s="347" t="str">
        <f t="shared" si="313"/>
        <v/>
      </c>
      <c r="D269" s="365">
        <f>IF(AC269=1505,"",AC269)</f>
        <v>861</v>
      </c>
      <c r="E269" s="365" t="str">
        <f>IF(AD269=0,"",AD269)</f>
        <v/>
      </c>
      <c r="F269" s="365">
        <f>IF(AE269=1505,"",AE269)</f>
        <v>830</v>
      </c>
      <c r="G269" s="365" t="str">
        <f>IF(AF269=0,"",AF269)</f>
        <v/>
      </c>
      <c r="H269" s="365">
        <f>IF(AG269=1505,"",AG269)</f>
        <v>823</v>
      </c>
      <c r="I269" s="365" t="str">
        <f>IF(AH269=0,"",AH269)</f>
        <v/>
      </c>
      <c r="J269" s="365">
        <f>IF(AI269=1505,"",AI269)</f>
        <v>792</v>
      </c>
      <c r="K269" s="365" t="str">
        <f>IF(AJ269=0,"",AJ269)</f>
        <v/>
      </c>
      <c r="L269" s="365">
        <f>IF(AK269=1505,"",AK269)</f>
        <v>828</v>
      </c>
      <c r="M269" s="365" t="str">
        <f>IF(AL269=0,"",AL269)</f>
        <v/>
      </c>
      <c r="N269" s="365">
        <f>IF(AM269=1505,"",AM269)</f>
        <v>748</v>
      </c>
      <c r="O269" s="365" t="str">
        <f>IF(AN269=0,"",AN269)</f>
        <v/>
      </c>
      <c r="P269" s="365">
        <f>IF(AO269=1505,"",AO269)</f>
        <v>843</v>
      </c>
      <c r="Q269" s="365" t="str">
        <f>IF(AP269=0,"",AP269)</f>
        <v/>
      </c>
      <c r="R269" s="365">
        <f>IF(AQ269=1505,"",AQ269)</f>
        <v>906</v>
      </c>
      <c r="S269" s="365" t="str">
        <f>IF(AR269=0,"",AR269)</f>
        <v/>
      </c>
      <c r="T269" s="365">
        <f>IF(AS269=1505,"",AS269)</f>
        <v>828</v>
      </c>
      <c r="U269" s="365" t="str">
        <f>IF(AT269=0,"",AT269)</f>
        <v/>
      </c>
      <c r="V269" s="301"/>
      <c r="W269" s="301"/>
      <c r="AA269" s="93" t="s">
        <v>1799</v>
      </c>
      <c r="AB269" s="94"/>
      <c r="AC269" s="346">
        <f>SUM(AC265:AC268)</f>
        <v>861</v>
      </c>
      <c r="AD269" s="347"/>
      <c r="AE269" s="346">
        <f>SUM(AE265:AE268)</f>
        <v>830</v>
      </c>
      <c r="AF269" s="347"/>
      <c r="AG269" s="346">
        <f>SUM(AG265:AG268)</f>
        <v>823</v>
      </c>
      <c r="AH269" s="347"/>
      <c r="AI269" s="346">
        <f>SUM(AI265:AI268)</f>
        <v>792</v>
      </c>
      <c r="AJ269" s="347"/>
      <c r="AK269" s="346">
        <f>SUM(AK265:AK268)</f>
        <v>828</v>
      </c>
      <c r="AL269" s="347"/>
      <c r="AM269" s="346">
        <f>SUM(AM265:AM268)</f>
        <v>748</v>
      </c>
      <c r="AN269" s="347"/>
      <c r="AO269" s="346">
        <f>SUM(AO265:AO268)</f>
        <v>843</v>
      </c>
      <c r="AP269" s="347"/>
      <c r="AQ269" s="346">
        <f>SUM(AQ265:AQ268)</f>
        <v>906</v>
      </c>
      <c r="AR269" s="347"/>
      <c r="AS269" s="346">
        <f>SUM(AS265:AS268)</f>
        <v>828</v>
      </c>
      <c r="AT269" s="347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5" t="str">
        <f>AE271</f>
        <v>Bayernliga Herren</v>
      </c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48"/>
      <c r="S271" s="49" t="s">
        <v>1794</v>
      </c>
      <c r="T271" s="50"/>
      <c r="U271" s="341" t="str">
        <f>AT271</f>
        <v>15.03./16.03.</v>
      </c>
      <c r="V271" s="342"/>
      <c r="W271" s="343"/>
      <c r="X271" s="372"/>
      <c r="Y271" s="373"/>
      <c r="Z271" s="373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41" t="str">
        <f>VLOOKUP(AS272,Spielorte!$A$1:$C$6,2)</f>
        <v>15.03./16.03.</v>
      </c>
      <c r="AU271" s="342"/>
      <c r="AV271" s="34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4" t="str">
        <f>AE272</f>
        <v>Brunnthal Max Munich</v>
      </c>
      <c r="G272" s="344"/>
      <c r="H272" s="344"/>
      <c r="I272" s="344"/>
      <c r="J272" s="344"/>
      <c r="K272" s="344"/>
      <c r="L272" s="344"/>
      <c r="M272" s="344"/>
      <c r="N272" s="344"/>
      <c r="O272" s="344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6" t="s">
        <v>1800</v>
      </c>
      <c r="E275" s="347"/>
      <c r="F275" s="346" t="s">
        <v>1801</v>
      </c>
      <c r="G275" s="347"/>
      <c r="H275" s="346" t="s">
        <v>1802</v>
      </c>
      <c r="I275" s="347"/>
      <c r="J275" s="346" t="s">
        <v>1803</v>
      </c>
      <c r="K275" s="347"/>
      <c r="L275" s="346" t="s">
        <v>1804</v>
      </c>
      <c r="M275" s="347"/>
      <c r="N275" s="346" t="s">
        <v>1805</v>
      </c>
      <c r="O275" s="347"/>
      <c r="P275" s="346" t="s">
        <v>1806</v>
      </c>
      <c r="Q275" s="347"/>
      <c r="R275" s="346" t="s">
        <v>1807</v>
      </c>
      <c r="S275" s="347"/>
      <c r="T275" s="346" t="s">
        <v>1808</v>
      </c>
      <c r="U275" s="347"/>
      <c r="V275" s="354" t="s">
        <v>1799</v>
      </c>
      <c r="W275" s="355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6" t="s">
        <v>0</v>
      </c>
      <c r="B277" s="73" t="str">
        <f>IF(AA277=0,"",AA277)</f>
        <v>Lengen, Peter</v>
      </c>
      <c r="C277" s="74">
        <f>IF(AB277=0,"",AB277)</f>
        <v>25297</v>
      </c>
      <c r="D277" s="75">
        <f>IF(AC277=0,"",AC277)</f>
        <v>197</v>
      </c>
      <c r="E277" s="348">
        <f>IF(AD277="","",AD277)</f>
        <v>1</v>
      </c>
      <c r="F277" s="75">
        <f t="shared" ref="F277:F290" si="314">IF(AE277=0,"",AE277)</f>
        <v>206</v>
      </c>
      <c r="G277" s="348">
        <f>IF(AF277="","",AF277)</f>
        <v>1</v>
      </c>
      <c r="H277" s="75">
        <f t="shared" ref="H277:H290" si="315">IF(AG277=0,"",AG277)</f>
        <v>204</v>
      </c>
      <c r="I277" s="348">
        <f>IF(AH277="","",AH277)</f>
        <v>0</v>
      </c>
      <c r="J277" s="75">
        <f t="shared" ref="J277:J290" si="316">IF(AI277=0,"",AI277)</f>
        <v>202</v>
      </c>
      <c r="K277" s="348">
        <f>IF(AJ277="","",AJ277)</f>
        <v>0</v>
      </c>
      <c r="L277" s="75">
        <f t="shared" ref="L277:L290" si="317">IF(AK277=0,"",AK277)</f>
        <v>257</v>
      </c>
      <c r="M277" s="348">
        <f>IF(AL277="","",AL277)</f>
        <v>1</v>
      </c>
      <c r="N277" s="75">
        <f>IF(AM277=0,"",AM277)</f>
        <v>194</v>
      </c>
      <c r="O277" s="348">
        <f>IF(AN277="","",AN277)</f>
        <v>0</v>
      </c>
      <c r="P277" s="75">
        <f t="shared" ref="P277:P290" si="318">IF(AO277=0,"",AO277)</f>
        <v>226</v>
      </c>
      <c r="Q277" s="348">
        <f>IF(AP277="","",AP277)</f>
        <v>1</v>
      </c>
      <c r="R277" s="75">
        <f t="shared" ref="R277:R290" si="319">IF(AQ277=0,"",AQ277)</f>
        <v>236</v>
      </c>
      <c r="S277" s="348">
        <f>IF(AR277="","",AR277)</f>
        <v>0</v>
      </c>
      <c r="T277" s="75">
        <f t="shared" ref="T277:T290" si="320">IF(AS277=0,"",AS277)</f>
        <v>212</v>
      </c>
      <c r="U277" s="348">
        <f>IF(AT277="","",AT277)</f>
        <v>0</v>
      </c>
      <c r="V277" s="75">
        <f t="shared" ref="V277:V290" si="321">IF(AU277=0,"",AU277)</f>
        <v>1934</v>
      </c>
      <c r="W277" s="348">
        <f>IF(AV277="","",AV277)</f>
        <v>4</v>
      </c>
      <c r="Z277" s="351" t="s">
        <v>0</v>
      </c>
      <c r="AA277" s="108" t="str">
        <f>IF(AB277=0,"",VLOOKUP(AB277,Starter!$A$1:$D$199,2,FALSE))</f>
        <v>Lengen, Peter</v>
      </c>
      <c r="AB277" s="99">
        <v>25297</v>
      </c>
      <c r="AC277" s="185">
        <v>197</v>
      </c>
      <c r="AD277" s="109">
        <f>IF(SUM(AC277:AC279)+AC295=0,0,IF(SUM(AC277:AC279)=AC295,0.5,IF(SUM(AC277:AC279)&gt;AC295,1,0)))</f>
        <v>1</v>
      </c>
      <c r="AE277" s="185">
        <v>206</v>
      </c>
      <c r="AF277" s="109">
        <f>IF(SUM(AE277:AE279)+AE295=0,0,IF(SUM(AE277:AE279)=AE295,0.5,IF(SUM(AE277:AE279)&gt;AE295,1,0)))</f>
        <v>1</v>
      </c>
      <c r="AG277" s="185">
        <v>204</v>
      </c>
      <c r="AH277" s="109">
        <f>IF(SUM(AG277:AG279)+AG295=0,0,IF(SUM(AG277:AG279)=AG295,0.5,IF(SUM(AG277:AG279)&gt;AG295,1,0)))</f>
        <v>0</v>
      </c>
      <c r="AI277" s="185">
        <v>202</v>
      </c>
      <c r="AJ277" s="109">
        <f>IF(SUM(AI277:AI279)+AI295=0,0,IF(SUM(AI277:AI279)=AI295,0.5,IF(SUM(AI277:AI279)&gt;AI295,1,0)))</f>
        <v>0</v>
      </c>
      <c r="AK277" s="185">
        <v>257</v>
      </c>
      <c r="AL277" s="109">
        <f>IF(SUM(AK277:AK279)+AK295=0,0,IF(SUM(AK277:AK279)=AK295,0.5,IF(SUM(AK277:AK279)&gt;AK295,1,0)))</f>
        <v>1</v>
      </c>
      <c r="AM277" s="185">
        <v>194</v>
      </c>
      <c r="AN277" s="109">
        <f>IF(SUM(AM277:AM279)+AM295=0,0,IF(SUM(AM277:AM279)=AM295,0.5,IF(SUM(AM277:AM279)&gt;AM295,1,0)))</f>
        <v>0</v>
      </c>
      <c r="AO277" s="185">
        <v>226</v>
      </c>
      <c r="AP277" s="109">
        <f>IF(SUM(AO277:AO279)+AO295=0,0,IF(SUM(AO277:AO279)=AO295,0.5,IF(SUM(AO277:AO279)&gt;AO295,1,0)))</f>
        <v>1</v>
      </c>
      <c r="AQ277" s="185">
        <v>236</v>
      </c>
      <c r="AR277" s="109">
        <f>IF(SUM(AQ277:AQ279)+AQ295=0,0,IF(SUM(AQ277:AQ279)=AQ295,0.5,IF(SUM(AQ277:AQ279)&gt;AQ295,1,0)))</f>
        <v>0</v>
      </c>
      <c r="AS277" s="185">
        <v>212</v>
      </c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1934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25297</v>
      </c>
      <c r="BE277" s="213">
        <f>+AU277</f>
        <v>1934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197</v>
      </c>
      <c r="BI277" s="215">
        <f t="shared" ref="BI277:BI288" si="324">IF(AE277=0,"",AE277)</f>
        <v>206</v>
      </c>
      <c r="BJ277" s="215">
        <f t="shared" ref="BJ277:BJ288" si="325">IF(AG277=0,"",AG277)</f>
        <v>204</v>
      </c>
      <c r="BK277" s="215">
        <f t="shared" ref="BK277:BK288" si="326">IF(AI277=0,"",AI277)</f>
        <v>202</v>
      </c>
      <c r="BL277" s="215">
        <f t="shared" ref="BL277:BL288" si="327">IF(AK277=0,"",AK277)</f>
        <v>257</v>
      </c>
      <c r="BM277" s="215">
        <f t="shared" ref="BM277:BM288" si="328">IF(AM277=0,"",AM277)</f>
        <v>194</v>
      </c>
      <c r="BN277" s="215">
        <f t="shared" ref="BN277:BN288" si="329">IF(AO277=0,"",AO277)</f>
        <v>226</v>
      </c>
      <c r="BO277" s="215">
        <f t="shared" ref="BO277:BO288" si="330">IF(AQ277=0,"",AQ277)</f>
        <v>236</v>
      </c>
      <c r="BP277" s="215">
        <f t="shared" ref="BP277:BP288" si="331">IF(AS277=0,"",AS277)</f>
        <v>212</v>
      </c>
      <c r="BQ277" s="216"/>
      <c r="BR277" s="214"/>
      <c r="BS277" s="215">
        <f>MAX(BH277:BP277)</f>
        <v>257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3</v>
      </c>
      <c r="BW277" s="215">
        <f>SUMIF(BH277:BP277,"&gt;0")</f>
        <v>1934</v>
      </c>
      <c r="BX277" s="215">
        <f>IF(COUNTIF(BH277:BP277,"&gt;0")&lt;Spielorte!$A$23,0,BE277/Spielorte!$A$23)</f>
        <v>214.88888888888889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77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9"/>
      <c r="F278" s="78" t="str">
        <f t="shared" si="314"/>
        <v/>
      </c>
      <c r="G278" s="349"/>
      <c r="H278" s="78" t="str">
        <f t="shared" si="315"/>
        <v/>
      </c>
      <c r="I278" s="349"/>
      <c r="J278" s="78" t="str">
        <f t="shared" si="316"/>
        <v/>
      </c>
      <c r="K278" s="349"/>
      <c r="L278" s="78" t="str">
        <f t="shared" si="317"/>
        <v/>
      </c>
      <c r="M278" s="349"/>
      <c r="N278" s="78" t="str">
        <f t="shared" ref="N278:N290" si="334">IF(AM278=0,"",AM278)</f>
        <v/>
      </c>
      <c r="O278" s="349"/>
      <c r="P278" s="78" t="str">
        <f t="shared" si="318"/>
        <v/>
      </c>
      <c r="Q278" s="349"/>
      <c r="R278" s="78" t="str">
        <f t="shared" si="319"/>
        <v/>
      </c>
      <c r="S278" s="349"/>
      <c r="T278" s="78" t="str">
        <f t="shared" si="320"/>
        <v/>
      </c>
      <c r="U278" s="349"/>
      <c r="V278" s="78" t="str">
        <f t="shared" si="321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3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8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0"/>
      <c r="F279" s="69" t="str">
        <f t="shared" si="314"/>
        <v/>
      </c>
      <c r="G279" s="350"/>
      <c r="H279" s="69" t="str">
        <f t="shared" si="315"/>
        <v/>
      </c>
      <c r="I279" s="350"/>
      <c r="J279" s="69" t="str">
        <f t="shared" si="316"/>
        <v/>
      </c>
      <c r="K279" s="350"/>
      <c r="L279" s="69" t="str">
        <f t="shared" si="317"/>
        <v/>
      </c>
      <c r="M279" s="350"/>
      <c r="N279" s="69" t="str">
        <f t="shared" si="334"/>
        <v/>
      </c>
      <c r="O279" s="350"/>
      <c r="P279" s="69" t="str">
        <f t="shared" si="318"/>
        <v/>
      </c>
      <c r="Q279" s="350"/>
      <c r="R279" s="69" t="str">
        <f t="shared" si="319"/>
        <v/>
      </c>
      <c r="S279" s="350"/>
      <c r="T279" s="69" t="str">
        <f t="shared" si="320"/>
        <v/>
      </c>
      <c r="U279" s="350"/>
      <c r="V279" s="69" t="str">
        <f t="shared" si="321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3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76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215</v>
      </c>
      <c r="E280" s="348">
        <f>IF(AD280="","",AD280)</f>
        <v>0</v>
      </c>
      <c r="F280" s="75">
        <f t="shared" si="314"/>
        <v>223</v>
      </c>
      <c r="G280" s="348">
        <f>IF(AF280="","",AF280)</f>
        <v>1</v>
      </c>
      <c r="H280" s="75">
        <f t="shared" si="315"/>
        <v>225</v>
      </c>
      <c r="I280" s="348">
        <f>IF(AH280="","",AH280)</f>
        <v>1</v>
      </c>
      <c r="J280" s="75">
        <f t="shared" si="316"/>
        <v>200</v>
      </c>
      <c r="K280" s="348">
        <f>IF(AJ280="","",AJ280)</f>
        <v>0</v>
      </c>
      <c r="L280" s="75">
        <f t="shared" si="317"/>
        <v>242</v>
      </c>
      <c r="M280" s="348">
        <f>IF(AL280="","",AL280)</f>
        <v>1</v>
      </c>
      <c r="N280" s="75">
        <f t="shared" si="334"/>
        <v>172</v>
      </c>
      <c r="O280" s="348">
        <f>IF(AN280="","",AN280)</f>
        <v>0</v>
      </c>
      <c r="P280" s="75">
        <f t="shared" si="318"/>
        <v>171</v>
      </c>
      <c r="Q280" s="348">
        <f>IF(AP280="","",AP280)</f>
        <v>0</v>
      </c>
      <c r="R280" s="75">
        <f t="shared" si="319"/>
        <v>183</v>
      </c>
      <c r="S280" s="348">
        <f>IF(AR280="","",AR280)</f>
        <v>0</v>
      </c>
      <c r="T280" s="75">
        <f t="shared" si="320"/>
        <v>167</v>
      </c>
      <c r="U280" s="348">
        <f>IF(AT280="","",AT280)</f>
        <v>1</v>
      </c>
      <c r="V280" s="75">
        <f t="shared" si="321"/>
        <v>1798</v>
      </c>
      <c r="W280" s="348">
        <f>IF(AV280="","",AV280)</f>
        <v>4</v>
      </c>
      <c r="Z280" s="351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215</v>
      </c>
      <c r="AD280" s="109">
        <f>IF(SUM(AC280:AC282)+AC296=0,0,IF(SUM(AC280:AC282)=AC296,0.5,IF(SUM(AC280:AC282)&gt;AC296,1,0)))</f>
        <v>0</v>
      </c>
      <c r="AE280" s="188">
        <v>223</v>
      </c>
      <c r="AF280" s="109">
        <f>IF(SUM(AE280:AE282)+AE296=0,0,IF(SUM(AE280:AE282)=AE296,0.5,IF(SUM(AE280:AE282)&gt;AE296,1,0)))</f>
        <v>1</v>
      </c>
      <c r="AG280" s="188">
        <v>225</v>
      </c>
      <c r="AH280" s="109">
        <f>IF(SUM(AG280:AG282)+AG296=0,0,IF(SUM(AG280:AG282)=AG296,0.5,IF(SUM(AG280:AG282)&gt;AG296,1,0)))</f>
        <v>1</v>
      </c>
      <c r="AI280" s="188">
        <v>200</v>
      </c>
      <c r="AJ280" s="109">
        <f>IF(SUM(AI280:AI282)+AI296=0,0,IF(SUM(AI280:AI282)=AI296,0.5,IF(SUM(AI280:AI282)&gt;AI296,1,0)))</f>
        <v>0</v>
      </c>
      <c r="AK280" s="188">
        <v>242</v>
      </c>
      <c r="AL280" s="109">
        <f>IF(SUM(AK280:AK282)+AK296=0,0,IF(SUM(AK280:AK282)=AK296,0.5,IF(SUM(AK280:AK282)&gt;AK296,1,0)))</f>
        <v>1</v>
      </c>
      <c r="AM280" s="188">
        <v>172</v>
      </c>
      <c r="AN280" s="109">
        <f>IF(SUM(AM280:AM282)+AM296=0,0,IF(SUM(AM280:AM282)=AM296,0.5,IF(SUM(AM280:AM282)&gt;AM296,1,0)))</f>
        <v>0</v>
      </c>
      <c r="AO280" s="188">
        <v>171</v>
      </c>
      <c r="AP280" s="109">
        <f>IF(SUM(AO280:AO282)+AO296=0,0,IF(SUM(AO280:AO282)=AO296,0.5,IF(SUM(AO280:AO282)&gt;AO296,1,0)))</f>
        <v>0</v>
      </c>
      <c r="AQ280" s="188">
        <v>183</v>
      </c>
      <c r="AR280" s="109">
        <f>IF(SUM(AQ280:AQ282)+AQ296=0,0,IF(SUM(AQ280:AQ282)=AQ296,0.5,IF(SUM(AQ280:AQ282)&gt;AQ296,1,0)))</f>
        <v>0</v>
      </c>
      <c r="AS280" s="188">
        <v>167</v>
      </c>
      <c r="AT280" s="109">
        <f>IF(SUM(AS280:AS282)+AS296=0,0,IF(SUM(AS280:AS282)=AS296,0.5,IF(SUM(AS280:AS282)&gt;AS296,1,0)))</f>
        <v>1</v>
      </c>
      <c r="AU280" s="110">
        <f t="shared" si="322"/>
        <v>1798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1798</v>
      </c>
      <c r="BF280" s="215">
        <f t="shared" si="337"/>
        <v>9</v>
      </c>
      <c r="BG280" s="215">
        <f t="shared" si="338"/>
        <v>9</v>
      </c>
      <c r="BH280" s="215">
        <f t="shared" si="323"/>
        <v>215</v>
      </c>
      <c r="BI280" s="215">
        <f t="shared" si="324"/>
        <v>223</v>
      </c>
      <c r="BJ280" s="215">
        <f t="shared" si="325"/>
        <v>225</v>
      </c>
      <c r="BK280" s="215">
        <f t="shared" si="326"/>
        <v>200</v>
      </c>
      <c r="BL280" s="215">
        <f t="shared" si="327"/>
        <v>242</v>
      </c>
      <c r="BM280" s="215">
        <f t="shared" si="328"/>
        <v>172</v>
      </c>
      <c r="BN280" s="215">
        <f t="shared" si="329"/>
        <v>171</v>
      </c>
      <c r="BO280" s="215">
        <f t="shared" si="330"/>
        <v>183</v>
      </c>
      <c r="BP280" s="215">
        <f t="shared" si="331"/>
        <v>167</v>
      </c>
      <c r="BQ280" s="216"/>
      <c r="BR280" s="214"/>
      <c r="BS280" s="215">
        <f t="shared" si="339"/>
        <v>242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3</v>
      </c>
      <c r="BW280" s="215">
        <f t="shared" si="343"/>
        <v>1798</v>
      </c>
      <c r="BX280" s="215">
        <f>IF(COUNTIF(BH280:BP280,"&gt;0")&lt;Spielorte!$A$23,0,BE280/Spielorte!$A$23)</f>
        <v>199.77777777777777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5">
      <c r="A281" s="377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9"/>
      <c r="F281" s="78" t="str">
        <f t="shared" si="314"/>
        <v/>
      </c>
      <c r="G281" s="349"/>
      <c r="H281" s="78" t="str">
        <f t="shared" si="315"/>
        <v/>
      </c>
      <c r="I281" s="349"/>
      <c r="J281" s="78" t="str">
        <f t="shared" si="316"/>
        <v/>
      </c>
      <c r="K281" s="349"/>
      <c r="L281" s="78" t="str">
        <f t="shared" si="317"/>
        <v/>
      </c>
      <c r="M281" s="349"/>
      <c r="N281" s="78" t="str">
        <f t="shared" si="334"/>
        <v/>
      </c>
      <c r="O281" s="349"/>
      <c r="P281" s="78" t="str">
        <f t="shared" si="318"/>
        <v/>
      </c>
      <c r="Q281" s="349"/>
      <c r="R281" s="78" t="str">
        <f t="shared" si="319"/>
        <v/>
      </c>
      <c r="S281" s="349"/>
      <c r="T281" s="78" t="str">
        <f t="shared" si="320"/>
        <v/>
      </c>
      <c r="U281" s="349"/>
      <c r="V281" s="78" t="str">
        <f t="shared" si="321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3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8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0"/>
      <c r="F282" s="69" t="str">
        <f t="shared" si="314"/>
        <v/>
      </c>
      <c r="G282" s="350"/>
      <c r="H282" s="69" t="str">
        <f t="shared" si="315"/>
        <v/>
      </c>
      <c r="I282" s="350"/>
      <c r="J282" s="69" t="str">
        <f t="shared" si="316"/>
        <v/>
      </c>
      <c r="K282" s="350"/>
      <c r="L282" s="69" t="str">
        <f t="shared" si="317"/>
        <v/>
      </c>
      <c r="M282" s="350"/>
      <c r="N282" s="69" t="str">
        <f t="shared" si="334"/>
        <v/>
      </c>
      <c r="O282" s="350"/>
      <c r="P282" s="69" t="str">
        <f t="shared" si="318"/>
        <v/>
      </c>
      <c r="Q282" s="350"/>
      <c r="R282" s="69" t="str">
        <f t="shared" si="319"/>
        <v/>
      </c>
      <c r="S282" s="350"/>
      <c r="T282" s="69" t="str">
        <f t="shared" si="320"/>
        <v/>
      </c>
      <c r="U282" s="350"/>
      <c r="V282" s="69" t="str">
        <f t="shared" si="321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3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76" t="s">
        <v>3</v>
      </c>
      <c r="B283" s="73" t="str">
        <f t="shared" si="333"/>
        <v>Schwarz, Christian</v>
      </c>
      <c r="C283" s="74">
        <f t="shared" si="333"/>
        <v>25061</v>
      </c>
      <c r="D283" s="75">
        <f t="shared" si="333"/>
        <v>204</v>
      </c>
      <c r="E283" s="348">
        <f>IF(AD283="","",AD283)</f>
        <v>0</v>
      </c>
      <c r="F283" s="75">
        <f t="shared" si="314"/>
        <v>192</v>
      </c>
      <c r="G283" s="348">
        <f>IF(AF283="","",AF283)</f>
        <v>1</v>
      </c>
      <c r="H283" s="75">
        <f t="shared" si="315"/>
        <v>172</v>
      </c>
      <c r="I283" s="348">
        <f>IF(AH283="","",AH283)</f>
        <v>0</v>
      </c>
      <c r="J283" s="75">
        <f t="shared" si="316"/>
        <v>205</v>
      </c>
      <c r="K283" s="348">
        <f>IF(AJ283="","",AJ283)</f>
        <v>1</v>
      </c>
      <c r="L283" s="75">
        <f t="shared" si="317"/>
        <v>171</v>
      </c>
      <c r="M283" s="348">
        <f>IF(AL283="","",AL283)</f>
        <v>0</v>
      </c>
      <c r="N283" s="75">
        <f t="shared" si="334"/>
        <v>170</v>
      </c>
      <c r="O283" s="348">
        <f>IF(AN283="","",AN283)</f>
        <v>0</v>
      </c>
      <c r="P283" s="75" t="str">
        <f t="shared" si="318"/>
        <v/>
      </c>
      <c r="Q283" s="348">
        <f>IF(AP283="","",AP283)</f>
        <v>0</v>
      </c>
      <c r="R283" s="75" t="str">
        <f t="shared" si="319"/>
        <v/>
      </c>
      <c r="S283" s="348">
        <f>IF(AR283="","",AR283)</f>
        <v>1</v>
      </c>
      <c r="T283" s="75" t="str">
        <f t="shared" si="320"/>
        <v/>
      </c>
      <c r="U283" s="348">
        <f>IF(AT283="","",AT283)</f>
        <v>1</v>
      </c>
      <c r="V283" s="75">
        <f t="shared" si="321"/>
        <v>1114</v>
      </c>
      <c r="W283" s="348">
        <f>IF(AV283="","",AV283)</f>
        <v>4</v>
      </c>
      <c r="Z283" s="351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204</v>
      </c>
      <c r="AD283" s="109">
        <f>IF(SUM(AC283:AC285)+AC297=0,0,IF(SUM(AC283:AC285)=AC297,0.5,IF(SUM(AC283:AC285)&gt;AC297,1,0)))</f>
        <v>0</v>
      </c>
      <c r="AE283" s="188">
        <v>192</v>
      </c>
      <c r="AF283" s="109">
        <f>IF(SUM(AE283:AE285)+AE297=0,0,IF(SUM(AE283:AE285)=AE297,0.5,IF(SUM(AE283:AE285)&gt;AE297,1,0)))</f>
        <v>1</v>
      </c>
      <c r="AG283" s="188">
        <v>172</v>
      </c>
      <c r="AH283" s="109">
        <f>IF(SUM(AG283:AG285)+AG297=0,0,IF(SUM(AG283:AG285)=AG297,0.5,IF(SUM(AG283:AG285)&gt;AG297,1,0)))</f>
        <v>0</v>
      </c>
      <c r="AI283" s="188">
        <v>205</v>
      </c>
      <c r="AJ283" s="109">
        <f>IF(SUM(AI283:AI285)+AI297=0,0,IF(SUM(AI283:AI285)=AI297,0.5,IF(SUM(AI283:AI285)&gt;AI297,1,0)))</f>
        <v>1</v>
      </c>
      <c r="AK283" s="188">
        <v>171</v>
      </c>
      <c r="AL283" s="109">
        <f>IF(SUM(AK283:AK285)+AK297=0,0,IF(SUM(AK283:AK285)=AK297,0.5,IF(SUM(AK283:AK285)&gt;AK297,1,0)))</f>
        <v>0</v>
      </c>
      <c r="AM283" s="188">
        <v>170</v>
      </c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1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1114</v>
      </c>
      <c r="AV283" s="111">
        <f>SUM(AD283+AF283+AH283+AJ283+AL283+AN283+AP283+AR283+AT283)</f>
        <v>4</v>
      </c>
      <c r="AW283" s="101"/>
      <c r="AX283" s="102"/>
      <c r="AZ283" s="63"/>
      <c r="BA283" s="212"/>
      <c r="BB283" s="213"/>
      <c r="BC283" s="214"/>
      <c r="BD283" s="217">
        <f t="shared" si="335"/>
        <v>25061</v>
      </c>
      <c r="BE283" s="213">
        <f t="shared" si="336"/>
        <v>1114</v>
      </c>
      <c r="BF283" s="215">
        <f t="shared" si="337"/>
        <v>6</v>
      </c>
      <c r="BG283" s="215">
        <f t="shared" si="338"/>
        <v>6</v>
      </c>
      <c r="BH283" s="215">
        <f t="shared" si="323"/>
        <v>204</v>
      </c>
      <c r="BI283" s="215">
        <f t="shared" si="324"/>
        <v>192</v>
      </c>
      <c r="BJ283" s="215">
        <f t="shared" si="325"/>
        <v>172</v>
      </c>
      <c r="BK283" s="215">
        <f t="shared" si="326"/>
        <v>205</v>
      </c>
      <c r="BL283" s="215">
        <f t="shared" si="327"/>
        <v>171</v>
      </c>
      <c r="BM283" s="215">
        <f t="shared" si="328"/>
        <v>170</v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205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3</v>
      </c>
      <c r="BW283" s="215">
        <f t="shared" si="343"/>
        <v>1114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77"/>
      <c r="B284" s="76" t="str">
        <f t="shared" si="333"/>
        <v>Tos, Sascha</v>
      </c>
      <c r="C284" s="77">
        <f t="shared" si="333"/>
        <v>16519</v>
      </c>
      <c r="D284" s="78" t="str">
        <f t="shared" si="333"/>
        <v/>
      </c>
      <c r="E284" s="349"/>
      <c r="F284" s="78" t="str">
        <f t="shared" si="314"/>
        <v/>
      </c>
      <c r="G284" s="349"/>
      <c r="H284" s="78" t="str">
        <f t="shared" si="315"/>
        <v/>
      </c>
      <c r="I284" s="349"/>
      <c r="J284" s="78" t="str">
        <f t="shared" si="316"/>
        <v/>
      </c>
      <c r="K284" s="349"/>
      <c r="L284" s="78" t="str">
        <f t="shared" si="317"/>
        <v/>
      </c>
      <c r="M284" s="349"/>
      <c r="N284" s="78" t="str">
        <f t="shared" si="334"/>
        <v/>
      </c>
      <c r="O284" s="349"/>
      <c r="P284" s="78">
        <f t="shared" si="318"/>
        <v>172</v>
      </c>
      <c r="Q284" s="349"/>
      <c r="R284" s="78">
        <f t="shared" si="319"/>
        <v>182</v>
      </c>
      <c r="S284" s="349"/>
      <c r="T284" s="78">
        <f t="shared" si="320"/>
        <v>212</v>
      </c>
      <c r="U284" s="349"/>
      <c r="V284" s="78">
        <f t="shared" si="321"/>
        <v>566</v>
      </c>
      <c r="W284" s="349"/>
      <c r="Z284" s="352"/>
      <c r="AA284" s="108" t="str">
        <f>IF(AB284=0,"",VLOOKUP(AB284,Starter!$A$1:$D$199,2,FALSE))</f>
        <v>Tos, Sascha</v>
      </c>
      <c r="AB284" s="98">
        <v>16519</v>
      </c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>
        <v>172</v>
      </c>
      <c r="AP284" s="112"/>
      <c r="AQ284" s="186">
        <v>182</v>
      </c>
      <c r="AR284" s="112"/>
      <c r="AS284" s="186">
        <v>212</v>
      </c>
      <c r="AT284" s="112"/>
      <c r="AU284" s="113">
        <f t="shared" si="322"/>
        <v>566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16519</v>
      </c>
      <c r="BE284" s="213">
        <f t="shared" si="336"/>
        <v>566</v>
      </c>
      <c r="BF284" s="215">
        <f t="shared" si="337"/>
        <v>3</v>
      </c>
      <c r="BG284" s="215">
        <f t="shared" si="338"/>
        <v>3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>
        <f t="shared" si="329"/>
        <v>172</v>
      </c>
      <c r="BO284" s="215">
        <f t="shared" si="330"/>
        <v>182</v>
      </c>
      <c r="BP284" s="215">
        <f t="shared" si="331"/>
        <v>212</v>
      </c>
      <c r="BQ284" s="216"/>
      <c r="BR284" s="214"/>
      <c r="BS284" s="215">
        <f t="shared" si="339"/>
        <v>212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3</v>
      </c>
      <c r="BW284" s="215">
        <f t="shared" si="343"/>
        <v>566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8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0"/>
      <c r="F285" s="69" t="str">
        <f t="shared" si="314"/>
        <v/>
      </c>
      <c r="G285" s="350"/>
      <c r="H285" s="69" t="str">
        <f t="shared" si="315"/>
        <v/>
      </c>
      <c r="I285" s="350"/>
      <c r="J285" s="69" t="str">
        <f t="shared" si="316"/>
        <v/>
      </c>
      <c r="K285" s="350"/>
      <c r="L285" s="69" t="str">
        <f t="shared" si="317"/>
        <v/>
      </c>
      <c r="M285" s="350"/>
      <c r="N285" s="69" t="str">
        <f t="shared" si="334"/>
        <v/>
      </c>
      <c r="O285" s="350"/>
      <c r="P285" s="69" t="str">
        <f t="shared" si="318"/>
        <v/>
      </c>
      <c r="Q285" s="350"/>
      <c r="R285" s="69" t="str">
        <f t="shared" si="319"/>
        <v/>
      </c>
      <c r="S285" s="350"/>
      <c r="T285" s="69" t="str">
        <f t="shared" si="320"/>
        <v/>
      </c>
      <c r="U285" s="350"/>
      <c r="V285" s="69" t="str">
        <f t="shared" si="321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3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76" t="s">
        <v>11</v>
      </c>
      <c r="B286" s="73" t="str">
        <f>IF(AA286=0,"",AA286)</f>
        <v>Auer, Thomas</v>
      </c>
      <c r="C286" s="74">
        <f t="shared" si="333"/>
        <v>16888</v>
      </c>
      <c r="D286" s="75">
        <f t="shared" si="333"/>
        <v>245</v>
      </c>
      <c r="E286" s="348">
        <f>IF(AD286="","",AD286)</f>
        <v>1</v>
      </c>
      <c r="F286" s="75">
        <f t="shared" si="314"/>
        <v>187</v>
      </c>
      <c r="G286" s="348">
        <f>IF(AF286="","",AF286)</f>
        <v>0</v>
      </c>
      <c r="H286" s="75">
        <f t="shared" si="315"/>
        <v>216</v>
      </c>
      <c r="I286" s="348">
        <f>IF(AH286="","",AH286)</f>
        <v>0</v>
      </c>
      <c r="J286" s="75">
        <f t="shared" si="316"/>
        <v>211</v>
      </c>
      <c r="K286" s="348">
        <f>IF(AJ286="","",AJ286)</f>
        <v>0</v>
      </c>
      <c r="L286" s="75">
        <f t="shared" si="317"/>
        <v>258</v>
      </c>
      <c r="M286" s="348">
        <f>IF(AL286="","",AL286)</f>
        <v>1</v>
      </c>
      <c r="N286" s="75">
        <f t="shared" si="334"/>
        <v>171</v>
      </c>
      <c r="O286" s="348">
        <f>IF(AN286="","",AN286)</f>
        <v>0</v>
      </c>
      <c r="P286" s="75">
        <f t="shared" si="318"/>
        <v>163</v>
      </c>
      <c r="Q286" s="348">
        <f>IF(AP286="","",AP286)</f>
        <v>0</v>
      </c>
      <c r="R286" s="75">
        <f t="shared" si="319"/>
        <v>203</v>
      </c>
      <c r="S286" s="348">
        <f>IF(AR286="","",AR286)</f>
        <v>1</v>
      </c>
      <c r="T286" s="75">
        <f t="shared" si="320"/>
        <v>210</v>
      </c>
      <c r="U286" s="348">
        <f>IF(AT286="","",AT286)</f>
        <v>0</v>
      </c>
      <c r="V286" s="75">
        <f t="shared" si="321"/>
        <v>1864</v>
      </c>
      <c r="W286" s="348">
        <f>IF(AV286="","",AV286)</f>
        <v>3</v>
      </c>
      <c r="Z286" s="351" t="s">
        <v>11</v>
      </c>
      <c r="AA286" s="108" t="str">
        <f>IF(AB286=0,"",VLOOKUP(AB286,Starter!$A$1:$D$199,2,FALSE))</f>
        <v>Auer, Thomas</v>
      </c>
      <c r="AB286" s="99">
        <v>16888</v>
      </c>
      <c r="AC286" s="188">
        <v>245</v>
      </c>
      <c r="AD286" s="109">
        <f>IF(SUM(AC286:AC288)+AC298=0,0,IF(SUM(AC286:AC288)=AC298,0.5,IF(SUM(AC286:AC288)&gt;AC298,1,0)))</f>
        <v>1</v>
      </c>
      <c r="AE286" s="188">
        <v>187</v>
      </c>
      <c r="AF286" s="109">
        <f>IF(SUM(AE286:AE288)+AE298=0,0,IF(SUM(AE286:AE288)=AE298,0.5,IF(SUM(AE286:AE288)&gt;AE298,1,0)))</f>
        <v>0</v>
      </c>
      <c r="AG286" s="188">
        <v>216</v>
      </c>
      <c r="AH286" s="109">
        <f>IF(SUM(AG286:AG288)+AG298=0,0,IF(SUM(AG286:AG288)=AG298,0.5,IF(SUM(AG286:AG288)&gt;AG298,1,0)))</f>
        <v>0</v>
      </c>
      <c r="AI286" s="188">
        <v>211</v>
      </c>
      <c r="AJ286" s="109">
        <f>IF(SUM(AI286:AI288)+AI298=0,0,IF(SUM(AI286:AI288)=AI298,0.5,IF(SUM(AI286:AI288)&gt;AI298,1,0)))</f>
        <v>0</v>
      </c>
      <c r="AK286" s="188">
        <v>258</v>
      </c>
      <c r="AL286" s="109">
        <f>IF(SUM(AK286:AK288)+AK298=0,0,IF(SUM(AK286:AK288)=AK298,0.5,IF(SUM(AK286:AK288)&gt;AK298,1,0)))</f>
        <v>1</v>
      </c>
      <c r="AM286" s="188">
        <v>171</v>
      </c>
      <c r="AN286" s="109">
        <f>IF(SUM(AM286:AM288)+AM298=0,0,IF(SUM(AM286:AM288)=AM298,0.5,IF(SUM(AM286:AM288)&gt;AM298,1,0)))</f>
        <v>0</v>
      </c>
      <c r="AO286" s="188">
        <v>163</v>
      </c>
      <c r="AP286" s="109">
        <f>IF(SUM(AO286:AO288)+AO298=0,0,IF(SUM(AO286:AO288)=AO298,0.5,IF(SUM(AO286:AO288)&gt;AO298,1,0)))</f>
        <v>0</v>
      </c>
      <c r="AQ286" s="188">
        <v>203</v>
      </c>
      <c r="AR286" s="109">
        <f>IF(SUM(AQ286:AQ288)+AQ298=0,0,IF(SUM(AQ286:AQ288)=AQ298,0.5,IF(SUM(AQ286:AQ288)&gt;AQ298,1,0)))</f>
        <v>1</v>
      </c>
      <c r="AS286" s="188">
        <v>210</v>
      </c>
      <c r="AT286" s="109">
        <f>IF(SUM(AS286:AS288)+AS298=0,0,IF(SUM(AS286:AS288)=AS298,0.5,IF(SUM(AS286:AS288)&gt;AS298,1,0)))</f>
        <v>0</v>
      </c>
      <c r="AU286" s="110">
        <f t="shared" si="322"/>
        <v>1864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35"/>
        <v>16888</v>
      </c>
      <c r="BE286" s="213">
        <f t="shared" si="336"/>
        <v>1864</v>
      </c>
      <c r="BF286" s="215">
        <f t="shared" si="337"/>
        <v>9</v>
      </c>
      <c r="BG286" s="215">
        <f t="shared" si="338"/>
        <v>9</v>
      </c>
      <c r="BH286" s="215">
        <f t="shared" si="323"/>
        <v>245</v>
      </c>
      <c r="BI286" s="215">
        <f t="shared" si="324"/>
        <v>187</v>
      </c>
      <c r="BJ286" s="215">
        <f t="shared" si="325"/>
        <v>216</v>
      </c>
      <c r="BK286" s="215">
        <f t="shared" si="326"/>
        <v>211</v>
      </c>
      <c r="BL286" s="215">
        <f t="shared" si="327"/>
        <v>258</v>
      </c>
      <c r="BM286" s="215">
        <f t="shared" si="328"/>
        <v>171</v>
      </c>
      <c r="BN286" s="215">
        <f t="shared" si="329"/>
        <v>163</v>
      </c>
      <c r="BO286" s="215">
        <f t="shared" si="330"/>
        <v>203</v>
      </c>
      <c r="BP286" s="215">
        <f t="shared" si="331"/>
        <v>210</v>
      </c>
      <c r="BQ286" s="216"/>
      <c r="BR286" s="214"/>
      <c r="BS286" s="215">
        <f t="shared" si="339"/>
        <v>258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3</v>
      </c>
      <c r="BW286" s="215">
        <f t="shared" si="343"/>
        <v>1864</v>
      </c>
      <c r="BX286" s="215">
        <f>IF(COUNTIF(BH286:BP286,"&gt;0")&lt;Spielorte!$A$23,0,BE286/Spielorte!$A$23)</f>
        <v>207.11111111111111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77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9"/>
      <c r="F287" s="78" t="str">
        <f t="shared" si="314"/>
        <v/>
      </c>
      <c r="G287" s="349"/>
      <c r="H287" s="78" t="str">
        <f t="shared" si="315"/>
        <v/>
      </c>
      <c r="I287" s="349"/>
      <c r="J287" s="78" t="str">
        <f t="shared" si="316"/>
        <v/>
      </c>
      <c r="K287" s="349"/>
      <c r="L287" s="78" t="str">
        <f t="shared" si="317"/>
        <v/>
      </c>
      <c r="M287" s="349"/>
      <c r="N287" s="78" t="str">
        <f t="shared" si="334"/>
        <v/>
      </c>
      <c r="O287" s="349"/>
      <c r="P287" s="78" t="str">
        <f t="shared" si="318"/>
        <v/>
      </c>
      <c r="Q287" s="349"/>
      <c r="R287" s="78" t="str">
        <f t="shared" si="319"/>
        <v/>
      </c>
      <c r="S287" s="349"/>
      <c r="T287" s="78" t="str">
        <f t="shared" si="320"/>
        <v/>
      </c>
      <c r="U287" s="349"/>
      <c r="V287" s="78" t="str">
        <f t="shared" si="321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3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8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0"/>
      <c r="F288" s="69" t="str">
        <f t="shared" si="314"/>
        <v/>
      </c>
      <c r="G288" s="350"/>
      <c r="H288" s="69" t="str">
        <f t="shared" si="315"/>
        <v/>
      </c>
      <c r="I288" s="350"/>
      <c r="J288" s="69" t="str">
        <f t="shared" si="316"/>
        <v/>
      </c>
      <c r="K288" s="350"/>
      <c r="L288" s="69" t="str">
        <f t="shared" si="317"/>
        <v/>
      </c>
      <c r="M288" s="350"/>
      <c r="N288" s="69" t="str">
        <f t="shared" si="334"/>
        <v/>
      </c>
      <c r="O288" s="350"/>
      <c r="P288" s="69" t="str">
        <f t="shared" si="318"/>
        <v/>
      </c>
      <c r="Q288" s="350"/>
      <c r="R288" s="69" t="str">
        <f t="shared" si="319"/>
        <v/>
      </c>
      <c r="S288" s="350"/>
      <c r="T288" s="69" t="str">
        <f t="shared" si="320"/>
        <v/>
      </c>
      <c r="U288" s="350"/>
      <c r="V288" s="69" t="str">
        <f t="shared" si="321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3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861</v>
      </c>
      <c r="E289" s="84">
        <f>IF(AD289="","",AD289)</f>
        <v>2</v>
      </c>
      <c r="F289" s="83">
        <f t="shared" si="314"/>
        <v>808</v>
      </c>
      <c r="G289" s="84">
        <f>IF(AF289="","",AF289)</f>
        <v>2</v>
      </c>
      <c r="H289" s="83">
        <f t="shared" si="315"/>
        <v>817</v>
      </c>
      <c r="I289" s="84">
        <f>IF(AH289="","",AH289)</f>
        <v>0</v>
      </c>
      <c r="J289" s="83">
        <f t="shared" si="316"/>
        <v>818</v>
      </c>
      <c r="K289" s="84">
        <f>IF(AJ289="","",AJ289)</f>
        <v>0</v>
      </c>
      <c r="L289" s="83">
        <f t="shared" si="317"/>
        <v>928</v>
      </c>
      <c r="M289" s="84">
        <f>IF(AL289="","",AL289)</f>
        <v>2</v>
      </c>
      <c r="N289" s="83">
        <f t="shared" si="334"/>
        <v>707</v>
      </c>
      <c r="O289" s="84">
        <f>IF(AN289="","",AN289)</f>
        <v>0</v>
      </c>
      <c r="P289" s="83">
        <f t="shared" si="318"/>
        <v>732</v>
      </c>
      <c r="Q289" s="84">
        <f>IF(AP289="","",AP289)</f>
        <v>0</v>
      </c>
      <c r="R289" s="83">
        <f t="shared" si="319"/>
        <v>804</v>
      </c>
      <c r="S289" s="84">
        <f>IF(AR289="","",AR289)</f>
        <v>0</v>
      </c>
      <c r="T289" s="83">
        <f t="shared" si="320"/>
        <v>801</v>
      </c>
      <c r="U289" s="84">
        <f>IF(AT289="","",AT289)</f>
        <v>2</v>
      </c>
      <c r="V289" s="83">
        <f t="shared" si="321"/>
        <v>7276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861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808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817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818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928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707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732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804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801</v>
      </c>
      <c r="AT289" s="121">
        <f>IF(AS289+AS299=0,0,IF(AS289=AS299,1,IF(AS289&gt;AS299,2,0)))</f>
        <v>2</v>
      </c>
      <c r="AU289" s="122">
        <f>SUM(AC289+AE289+AG289+AI289+AK289+AM289+AO289+AQ289+AS289)</f>
        <v>7276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4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1</v>
      </c>
      <c r="J290" s="86" t="str">
        <f t="shared" si="316"/>
        <v/>
      </c>
      <c r="K290" s="87">
        <f>IF(AJ290="","",AJ290)</f>
        <v>1</v>
      </c>
      <c r="L290" s="86" t="str">
        <f t="shared" si="317"/>
        <v/>
      </c>
      <c r="M290" s="87">
        <f>IF(AL290="","",AL290)</f>
        <v>5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1</v>
      </c>
      <c r="R290" s="86" t="str">
        <f t="shared" si="319"/>
        <v/>
      </c>
      <c r="S290" s="87">
        <f>IF(AR290="","",AR290)</f>
        <v>2</v>
      </c>
      <c r="T290" s="86" t="str">
        <f t="shared" si="320"/>
        <v/>
      </c>
      <c r="U290" s="87">
        <f>IF(AT290="","",AT290)</f>
        <v>4</v>
      </c>
      <c r="V290" s="86" t="str">
        <f t="shared" si="321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5</v>
      </c>
      <c r="AG290" s="86"/>
      <c r="AH290" s="124">
        <f>SUM(AH277:AH289)</f>
        <v>1</v>
      </c>
      <c r="AI290" s="86"/>
      <c r="AJ290" s="124">
        <f>SUM(AJ277:AJ289)</f>
        <v>1</v>
      </c>
      <c r="AK290" s="86"/>
      <c r="AL290" s="124">
        <f>SUM(AL277:AL289)</f>
        <v>5</v>
      </c>
      <c r="AM290" s="86"/>
      <c r="AN290" s="124">
        <f>SUM(AN277:AN289)</f>
        <v>0</v>
      </c>
      <c r="AO290" s="86"/>
      <c r="AP290" s="124">
        <f>SUM(AP277:AP289)</f>
        <v>1</v>
      </c>
      <c r="AQ290" s="86"/>
      <c r="AR290" s="124">
        <f>SUM(AR277:AR289)</f>
        <v>2</v>
      </c>
      <c r="AS290" s="86"/>
      <c r="AT290" s="124">
        <f>SUM(AT277:AT289)</f>
        <v>4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7276</v>
      </c>
      <c r="BC290" s="214">
        <f>+AA272</f>
        <v>10</v>
      </c>
      <c r="BF290" s="215">
        <f>SUM(BF271:BF289)</f>
        <v>36</v>
      </c>
      <c r="BQ290" s="212">
        <f>+BB290/1000000+BA290</f>
        <v>23.007276000000001</v>
      </c>
      <c r="BR290" s="214">
        <f>RANK(BQ290,BQ:BQ)</f>
        <v>8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6">
        <f t="shared" si="345"/>
        <v>9</v>
      </c>
      <c r="E292" s="356" t="str">
        <f t="shared" si="345"/>
        <v/>
      </c>
      <c r="F292" s="356">
        <f t="shared" si="345"/>
        <v>5</v>
      </c>
      <c r="G292" s="356" t="str">
        <f t="shared" si="345"/>
        <v/>
      </c>
      <c r="H292" s="356">
        <f t="shared" si="345"/>
        <v>1</v>
      </c>
      <c r="I292" s="356" t="str">
        <f t="shared" si="345"/>
        <v/>
      </c>
      <c r="J292" s="356">
        <f t="shared" si="345"/>
        <v>2</v>
      </c>
      <c r="K292" s="356" t="str">
        <f t="shared" si="345"/>
        <v/>
      </c>
      <c r="L292" s="356">
        <f t="shared" si="345"/>
        <v>7</v>
      </c>
      <c r="M292" s="356" t="str">
        <f t="shared" si="345"/>
        <v/>
      </c>
      <c r="N292" s="356">
        <f t="shared" si="345"/>
        <v>4</v>
      </c>
      <c r="O292" s="356" t="str">
        <f t="shared" si="345"/>
        <v/>
      </c>
      <c r="P292" s="356">
        <f t="shared" si="345"/>
        <v>3</v>
      </c>
      <c r="Q292" s="356" t="str">
        <f t="shared" si="345"/>
        <v/>
      </c>
      <c r="R292" s="356">
        <f t="shared" ref="L292:U294" si="346">IF(AQ292=0,"",AQ292)</f>
        <v>6</v>
      </c>
      <c r="S292" s="356" t="str">
        <f t="shared" si="346"/>
        <v/>
      </c>
      <c r="T292" s="356">
        <f t="shared" si="346"/>
        <v>8</v>
      </c>
      <c r="U292" s="356" t="str">
        <f t="shared" si="346"/>
        <v/>
      </c>
      <c r="V292" s="357"/>
      <c r="W292" s="357"/>
      <c r="AA292" s="88" t="s">
        <v>1797</v>
      </c>
      <c r="AB292" s="89" t="s">
        <v>1798</v>
      </c>
      <c r="AC292" s="370">
        <f>VLOOKUP($AA272,Schlüssel!$A$5:$DG$14,83)</f>
        <v>9</v>
      </c>
      <c r="AD292" s="371"/>
      <c r="AE292" s="370">
        <f>VLOOKUP($AA272,Schlüssel!$A$5:$EK$14,84)</f>
        <v>5</v>
      </c>
      <c r="AF292" s="371"/>
      <c r="AG292" s="370">
        <f>VLOOKUP($AA272,Schlüssel!$A$5:$EK$14,85)</f>
        <v>1</v>
      </c>
      <c r="AH292" s="371"/>
      <c r="AI292" s="370">
        <f>VLOOKUP($AA272,Schlüssel!$A$5:$EK$14,86)</f>
        <v>2</v>
      </c>
      <c r="AJ292" s="371"/>
      <c r="AK292" s="370">
        <f>VLOOKUP($AA272,Schlüssel!$A$5:$EK$14,87)</f>
        <v>7</v>
      </c>
      <c r="AL292" s="371"/>
      <c r="AM292" s="370">
        <f>VLOOKUP($AA272,Schlüssel!$A$5:$EK$14,88)</f>
        <v>4</v>
      </c>
      <c r="AN292" s="371"/>
      <c r="AO292" s="370">
        <f>VLOOKUP($AA272,Schlüssel!$A$5:$EK$14,89)</f>
        <v>3</v>
      </c>
      <c r="AP292" s="371"/>
      <c r="AQ292" s="370">
        <f>VLOOKUP($AA272,Schlüssel!$A$5:$EK$14,90)</f>
        <v>6</v>
      </c>
      <c r="AR292" s="371"/>
      <c r="AS292" s="370">
        <f>VLOOKUP($AA272,Schlüssel!$A$5:$EK$14,91)</f>
        <v>8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58" t="str">
        <f t="shared" si="347"/>
        <v>Bowlinghaus Bamberg 1</v>
      </c>
      <c r="E293" s="359" t="str">
        <f t="shared" si="347"/>
        <v/>
      </c>
      <c r="F293" s="358" t="str">
        <f t="shared" si="347"/>
        <v>RW Lichtenhof Stein 1</v>
      </c>
      <c r="G293" s="359" t="str">
        <f t="shared" si="347"/>
        <v/>
      </c>
      <c r="H293" s="358" t="str">
        <f t="shared" si="347"/>
        <v>BC Comet Nürnberg</v>
      </c>
      <c r="I293" s="359" t="str">
        <f t="shared" si="347"/>
        <v/>
      </c>
      <c r="J293" s="358" t="str">
        <f t="shared" si="347"/>
        <v>Bajuwaren München 1</v>
      </c>
      <c r="K293" s="359" t="str">
        <f t="shared" si="347"/>
        <v/>
      </c>
      <c r="L293" s="358" t="str">
        <f t="shared" si="346"/>
        <v>Schanzer Ingolstadt 1</v>
      </c>
      <c r="M293" s="359" t="str">
        <f t="shared" si="346"/>
        <v/>
      </c>
      <c r="N293" s="358" t="str">
        <f t="shared" si="346"/>
        <v>SG DJK Rimpar</v>
      </c>
      <c r="O293" s="359" t="str">
        <f t="shared" si="346"/>
        <v/>
      </c>
      <c r="P293" s="358" t="str">
        <f t="shared" si="346"/>
        <v>BK München 3</v>
      </c>
      <c r="Q293" s="359" t="str">
        <f t="shared" si="346"/>
        <v/>
      </c>
      <c r="R293" s="358" t="str">
        <f t="shared" si="346"/>
        <v>SG Rottendorf 1</v>
      </c>
      <c r="S293" s="359" t="str">
        <f t="shared" si="346"/>
        <v/>
      </c>
      <c r="T293" s="358" t="str">
        <f t="shared" si="346"/>
        <v>BC EMAX Unterföhring 2</v>
      </c>
      <c r="U293" s="359" t="str">
        <f t="shared" si="346"/>
        <v/>
      </c>
      <c r="V293" s="363"/>
      <c r="W293" s="363"/>
      <c r="AA293" s="90"/>
      <c r="AB293" s="86"/>
      <c r="AC293" s="358" t="str">
        <f>VLOOKUP(AC292,Schlüssel!$A$5:$K$14,2)</f>
        <v>Bowlinghaus Bamberg 1</v>
      </c>
      <c r="AD293" s="359"/>
      <c r="AE293" s="358" t="str">
        <f>VLOOKUP(AE292,Schlüssel!$A$5:$K$14,2)</f>
        <v>RW Lichtenhof Stein 1</v>
      </c>
      <c r="AF293" s="359"/>
      <c r="AG293" s="358" t="str">
        <f>VLOOKUP(AG292,Schlüssel!$A$5:$K$14,2)</f>
        <v>BC Comet Nürnberg</v>
      </c>
      <c r="AH293" s="359"/>
      <c r="AI293" s="358" t="str">
        <f>VLOOKUP(AI292,Schlüssel!$A$5:$K$14,2)</f>
        <v>Bajuwaren München 1</v>
      </c>
      <c r="AJ293" s="359"/>
      <c r="AK293" s="358" t="str">
        <f>VLOOKUP(AK292,Schlüssel!$A$5:$K$14,2)</f>
        <v>Schanzer Ingolstadt 1</v>
      </c>
      <c r="AL293" s="359"/>
      <c r="AM293" s="358" t="str">
        <f>VLOOKUP(AM292,Schlüssel!$A$5:$K$14,2)</f>
        <v>SG DJK Rimpar</v>
      </c>
      <c r="AN293" s="359"/>
      <c r="AO293" s="358" t="str">
        <f>VLOOKUP(AO292,Schlüssel!$A$5:$K$14,2)</f>
        <v>BK München 3</v>
      </c>
      <c r="AP293" s="359"/>
      <c r="AQ293" s="358" t="str">
        <f>VLOOKUP(AQ292,Schlüssel!$A$5:$K$14,2)</f>
        <v>SG Rottendorf 1</v>
      </c>
      <c r="AR293" s="359"/>
      <c r="AS293" s="358" t="str">
        <f>VLOOKUP(AS292,Schlüssel!$A$5:$K$14,2)</f>
        <v>BC EMAX Unterföhring 2</v>
      </c>
      <c r="AT293" s="359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60" t="str">
        <f t="shared" si="347"/>
        <v/>
      </c>
      <c r="E294" s="360" t="str">
        <f t="shared" si="347"/>
        <v/>
      </c>
      <c r="F294" s="360" t="str">
        <f t="shared" si="347"/>
        <v/>
      </c>
      <c r="G294" s="360" t="str">
        <f t="shared" si="347"/>
        <v/>
      </c>
      <c r="H294" s="360" t="str">
        <f t="shared" si="347"/>
        <v/>
      </c>
      <c r="I294" s="360" t="str">
        <f t="shared" si="347"/>
        <v/>
      </c>
      <c r="J294" s="360" t="str">
        <f t="shared" si="347"/>
        <v/>
      </c>
      <c r="K294" s="360" t="str">
        <f t="shared" si="347"/>
        <v/>
      </c>
      <c r="L294" s="360" t="str">
        <f t="shared" si="346"/>
        <v/>
      </c>
      <c r="M294" s="360" t="str">
        <f t="shared" si="346"/>
        <v/>
      </c>
      <c r="N294" s="360" t="str">
        <f t="shared" si="346"/>
        <v/>
      </c>
      <c r="O294" s="360" t="str">
        <f t="shared" si="346"/>
        <v/>
      </c>
      <c r="P294" s="360" t="str">
        <f t="shared" si="346"/>
        <v/>
      </c>
      <c r="Q294" s="360" t="str">
        <f t="shared" si="346"/>
        <v/>
      </c>
      <c r="R294" s="360" t="str">
        <f t="shared" si="346"/>
        <v/>
      </c>
      <c r="S294" s="360" t="str">
        <f t="shared" si="346"/>
        <v/>
      </c>
      <c r="T294" s="360" t="str">
        <f t="shared" si="346"/>
        <v/>
      </c>
      <c r="U294" s="361" t="str">
        <f t="shared" si="346"/>
        <v/>
      </c>
      <c r="V294" s="298"/>
      <c r="W294" s="298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4" t="str">
        <f t="shared" ref="B295:C299" si="348">IF(AA295=0,"",AA295)</f>
        <v>Spieler 1</v>
      </c>
      <c r="C295" s="375" t="str">
        <f t="shared" si="348"/>
        <v/>
      </c>
      <c r="D295" s="362">
        <f>IF(AC295=301,"",AC295)</f>
        <v>179</v>
      </c>
      <c r="E295" s="362" t="str">
        <f>IF(AD295=0,"",AD295)</f>
        <v/>
      </c>
      <c r="F295" s="362">
        <f>IF(AE295=301,"",AE295)</f>
        <v>170</v>
      </c>
      <c r="G295" s="362" t="str">
        <f>IF(AF295=0,"",AF295)</f>
        <v/>
      </c>
      <c r="H295" s="362">
        <f>IF(AG295=301,"",AG295)</f>
        <v>217</v>
      </c>
      <c r="I295" s="362" t="str">
        <f>IF(AH295=0,"",AH295)</f>
        <v/>
      </c>
      <c r="J295" s="362">
        <f>IF(AI295=301,"",AI295)</f>
        <v>258</v>
      </c>
      <c r="K295" s="362" t="str">
        <f>IF(AJ295=0,"",AJ295)</f>
        <v/>
      </c>
      <c r="L295" s="362">
        <f>IF(AK295=301,"",AK295)</f>
        <v>202</v>
      </c>
      <c r="M295" s="362" t="str">
        <f>IF(AL295=0,"",AL295)</f>
        <v/>
      </c>
      <c r="N295" s="362">
        <f>IF(AM295=301,"",AM295)</f>
        <v>247</v>
      </c>
      <c r="O295" s="362" t="str">
        <f>IF(AN295=0,"",AN295)</f>
        <v/>
      </c>
      <c r="P295" s="362">
        <f>IF(AO295=301,"",AO295)</f>
        <v>179</v>
      </c>
      <c r="Q295" s="362" t="str">
        <f>IF(AP295=0,"",AP295)</f>
        <v/>
      </c>
      <c r="R295" s="362">
        <f>IF(AQ295=301,"",AQ295)</f>
        <v>247</v>
      </c>
      <c r="S295" s="362" t="str">
        <f>IF(AR295=0,"",AR295)</f>
        <v/>
      </c>
      <c r="T295" s="362">
        <f>IF(AS295=301,"",AS295)</f>
        <v>232</v>
      </c>
      <c r="U295" s="362" t="str">
        <f>IF(AT295=0,"",AT295)</f>
        <v/>
      </c>
      <c r="V295" s="364"/>
      <c r="W295" s="364"/>
      <c r="AA295" s="91" t="s">
        <v>0</v>
      </c>
      <c r="AB295" s="92"/>
      <c r="AC295" s="368">
        <f>ABS(INDEX(AC:AC,MATCH(AC292,$AA:$AA,0)+5)+INDEX(AC:AC,MATCH(AC292,$AA:$AA,0)+6)+INDEX(AC:AC,MATCH(AC292,$AA:$AA,0)+7))</f>
        <v>179</v>
      </c>
      <c r="AD295" s="369"/>
      <c r="AE295" s="368">
        <f>ABS(INDEX(AE:AE,MATCH(AE292,$AA:$AA,0)+5)+INDEX(AE:AE,MATCH(AE292,$AA:$AA,0)+6)+INDEX(AE:AE,MATCH(AE292,$AA:$AA,0)+7))</f>
        <v>170</v>
      </c>
      <c r="AF295" s="369"/>
      <c r="AG295" s="368">
        <f>ABS(INDEX(AG:AG,MATCH(AG292,$AA:$AA,0)+5)+INDEX(AG:AG,MATCH(AG292,$AA:$AA,0)+6)+INDEX(AG:AG,MATCH(AG292,$AA:$AA,0)+7))</f>
        <v>217</v>
      </c>
      <c r="AH295" s="369"/>
      <c r="AI295" s="368">
        <f>ABS(INDEX(AI:AI,MATCH(AI292,$AA:$AA,0)+5)+INDEX(AI:AI,MATCH(AI292,$AA:$AA,0)+6)+INDEX(AI:AI,MATCH(AI292,$AA:$AA,0)+7))</f>
        <v>258</v>
      </c>
      <c r="AJ295" s="369"/>
      <c r="AK295" s="368">
        <f>ABS(INDEX(AK:AK,MATCH(AK292,$AA:$AA,0)+5)+INDEX(AK:AK,MATCH(AK292,$AA:$AA,0)+6)+INDEX(AK:AK,MATCH(AK292,$AA:$AA,0)+7))</f>
        <v>202</v>
      </c>
      <c r="AL295" s="369"/>
      <c r="AM295" s="368">
        <f>ABS(INDEX(AM:AM,MATCH(AM292,$AA:$AA,0)+5)+INDEX(AM:AM,MATCH(AM292,$AA:$AA,0)+6)+INDEX(AM:AM,MATCH(AM292,$AA:$AA,0)+7))</f>
        <v>247</v>
      </c>
      <c r="AN295" s="369"/>
      <c r="AO295" s="368">
        <f>ABS(INDEX(AO:AO,MATCH(AO292,$AA:$AA,0)+5)+INDEX(AO:AO,MATCH(AO292,$AA:$AA,0)+6)+INDEX(AO:AO,MATCH(AO292,$AA:$AA,0)+7))</f>
        <v>179</v>
      </c>
      <c r="AP295" s="369"/>
      <c r="AQ295" s="368">
        <f>ABS(INDEX(AQ:AQ,MATCH(AQ292,$AA:$AA,0)+5)+INDEX(AQ:AQ,MATCH(AQ292,$AA:$AA,0)+6)+INDEX(AQ:AQ,MATCH(AQ292,$AA:$AA,0)+7))</f>
        <v>247</v>
      </c>
      <c r="AR295" s="369"/>
      <c r="AS295" s="368">
        <f>ABS(INDEX(AS:AS,MATCH(AS292,$AA:$AA,0)+5)+INDEX(AS:AS,MATCH(AS292,$AA:$AA,0)+6)+INDEX(AS:AS,MATCH(AS292,$AA:$AA,0)+7))</f>
        <v>232</v>
      </c>
      <c r="AT295" s="369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4" t="str">
        <f t="shared" si="348"/>
        <v>Spieler 2</v>
      </c>
      <c r="C296" s="375" t="str">
        <f t="shared" si="348"/>
        <v/>
      </c>
      <c r="D296" s="362">
        <f>IF(AC296=301,"",AC296)</f>
        <v>225</v>
      </c>
      <c r="E296" s="362" t="str">
        <f>IF(AD296=0,"",AD296)</f>
        <v/>
      </c>
      <c r="F296" s="362">
        <f>IF(AE296=301,"",AE296)</f>
        <v>195</v>
      </c>
      <c r="G296" s="362" t="str">
        <f>IF(AF296=0,"",AF296)</f>
        <v/>
      </c>
      <c r="H296" s="362">
        <f>IF(AG296=301,"",AG296)</f>
        <v>188</v>
      </c>
      <c r="I296" s="362" t="str">
        <f>IF(AH296=0,"",AH296)</f>
        <v/>
      </c>
      <c r="J296" s="362">
        <f>IF(AI296=301,"",AI296)</f>
        <v>225</v>
      </c>
      <c r="K296" s="362" t="str">
        <f>IF(AJ296=0,"",AJ296)</f>
        <v/>
      </c>
      <c r="L296" s="362">
        <f>IF(AK296=301,"",AK296)</f>
        <v>164</v>
      </c>
      <c r="M296" s="362" t="str">
        <f>IF(AL296=0,"",AL296)</f>
        <v/>
      </c>
      <c r="N296" s="362">
        <f>IF(AM296=301,"",AM296)</f>
        <v>256</v>
      </c>
      <c r="O296" s="362" t="str">
        <f>IF(AN296=0,"",AN296)</f>
        <v/>
      </c>
      <c r="P296" s="362">
        <f>IF(AO296=301,"",AO296)</f>
        <v>203</v>
      </c>
      <c r="Q296" s="362" t="str">
        <f>IF(AP296=0,"",AP296)</f>
        <v/>
      </c>
      <c r="R296" s="362">
        <f>IF(AQ296=301,"",AQ296)</f>
        <v>213</v>
      </c>
      <c r="S296" s="362" t="str">
        <f>IF(AR296=0,"",AR296)</f>
        <v/>
      </c>
      <c r="T296" s="362">
        <f>IF(AS296=301,"",AS296)</f>
        <v>144</v>
      </c>
      <c r="U296" s="362" t="str">
        <f>IF(AT296=0,"",AT296)</f>
        <v/>
      </c>
      <c r="V296" s="364"/>
      <c r="W296" s="364"/>
      <c r="AA296" s="91" t="s">
        <v>2</v>
      </c>
      <c r="AB296" s="92"/>
      <c r="AC296" s="366">
        <f>ABS(INDEX(AC:AC,MATCH(AC292,$AA:$AA,0)+8)+INDEX(AC:AC,MATCH(AC292,$AA:$AA,0)+9)+INDEX(AC:AC,MATCH(AC292,$AA:$AA,0)+10))</f>
        <v>225</v>
      </c>
      <c r="AD296" s="367"/>
      <c r="AE296" s="366">
        <f>ABS(INDEX(AE:AE,MATCH(AE292,$AA:$AA,0)+8)+INDEX(AE:AE,MATCH(AE292,$AA:$AA,0)+9)+INDEX(AE:AE,MATCH(AE292,$AA:$AA,0)+10))</f>
        <v>195</v>
      </c>
      <c r="AF296" s="367"/>
      <c r="AG296" s="366">
        <f>ABS(INDEX(AG:AG,MATCH(AG292,$AA:$AA,0)+8)+INDEX(AG:AG,MATCH(AG292,$AA:$AA,0)+9)+INDEX(AG:AG,MATCH(AG292,$AA:$AA,0)+10))</f>
        <v>188</v>
      </c>
      <c r="AH296" s="367"/>
      <c r="AI296" s="366">
        <f>ABS(INDEX(AI:AI,MATCH(AI292,$AA:$AA,0)+8)+INDEX(AI:AI,MATCH(AI292,$AA:$AA,0)+9)+INDEX(AI:AI,MATCH(AI292,$AA:$AA,0)+10))</f>
        <v>225</v>
      </c>
      <c r="AJ296" s="367"/>
      <c r="AK296" s="366">
        <f>ABS(INDEX(AK:AK,MATCH(AK292,$AA:$AA,0)+8)+INDEX(AK:AK,MATCH(AK292,$AA:$AA,0)+9)+INDEX(AK:AK,MATCH(AK292,$AA:$AA,0)+10))</f>
        <v>164</v>
      </c>
      <c r="AL296" s="367"/>
      <c r="AM296" s="366">
        <f>ABS(INDEX(AM:AM,MATCH(AM292,$AA:$AA,0)+8)+INDEX(AM:AM,MATCH(AM292,$AA:$AA,0)+9)+INDEX(AM:AM,MATCH(AM292,$AA:$AA,0)+10))</f>
        <v>256</v>
      </c>
      <c r="AN296" s="367"/>
      <c r="AO296" s="366">
        <f>ABS(INDEX(AO:AO,MATCH(AO292,$AA:$AA,0)+8)+INDEX(AO:AO,MATCH(AO292,$AA:$AA,0)+9)+INDEX(AO:AO,MATCH(AO292,$AA:$AA,0)+10))</f>
        <v>203</v>
      </c>
      <c r="AP296" s="367"/>
      <c r="AQ296" s="366">
        <f>ABS(INDEX(AQ:AQ,MATCH(AQ292,$AA:$AA,0)+8)+INDEX(AQ:AQ,MATCH(AQ292,$AA:$AA,0)+9)+INDEX(AQ:AQ,MATCH(AQ292,$AA:$AA,0)+10))</f>
        <v>213</v>
      </c>
      <c r="AR296" s="367"/>
      <c r="AS296" s="366">
        <f>ABS(INDEX(AS:AS,MATCH(AS292,$AA:$AA,0)+8)+INDEX(AS:AS,MATCH(AS292,$AA:$AA,0)+9)+INDEX(AS:AS,MATCH(AS292,$AA:$AA,0)+10))</f>
        <v>144</v>
      </c>
      <c r="AT296" s="367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4" t="str">
        <f t="shared" si="348"/>
        <v>Spieler 3</v>
      </c>
      <c r="C297" s="375" t="str">
        <f t="shared" si="348"/>
        <v/>
      </c>
      <c r="D297" s="362">
        <f>IF(AC297=301,"",AC297)</f>
        <v>227</v>
      </c>
      <c r="E297" s="362" t="str">
        <f>IF(AD297=0,"",AD297)</f>
        <v/>
      </c>
      <c r="F297" s="362">
        <f>IF(AE297=301,"",AE297)</f>
        <v>172</v>
      </c>
      <c r="G297" s="362" t="str">
        <f>IF(AF297=0,"",AF297)</f>
        <v/>
      </c>
      <c r="H297" s="362">
        <f>IF(AG297=301,"",AG297)</f>
        <v>209</v>
      </c>
      <c r="I297" s="362" t="str">
        <f>IF(AH297=0,"",AH297)</f>
        <v/>
      </c>
      <c r="J297" s="362">
        <f>IF(AI297=301,"",AI297)</f>
        <v>171</v>
      </c>
      <c r="K297" s="362" t="str">
        <f>IF(AJ297=0,"",AJ297)</f>
        <v/>
      </c>
      <c r="L297" s="362">
        <f>IF(AK297=301,"",AK297)</f>
        <v>226</v>
      </c>
      <c r="M297" s="362" t="str">
        <f>IF(AL297=0,"",AL297)</f>
        <v/>
      </c>
      <c r="N297" s="362">
        <f>IF(AM297=301,"",AM297)</f>
        <v>185</v>
      </c>
      <c r="O297" s="362" t="str">
        <f>IF(AN297=0,"",AN297)</f>
        <v/>
      </c>
      <c r="P297" s="362">
        <f>IF(AO297=301,"",AO297)</f>
        <v>277</v>
      </c>
      <c r="Q297" s="362" t="str">
        <f>IF(AP297=0,"",AP297)</f>
        <v/>
      </c>
      <c r="R297" s="362">
        <f>IF(AQ297=301,"",AQ297)</f>
        <v>179</v>
      </c>
      <c r="S297" s="362" t="str">
        <f>IF(AR297=0,"",AR297)</f>
        <v/>
      </c>
      <c r="T297" s="362">
        <f>IF(AS297=301,"",AS297)</f>
        <v>180</v>
      </c>
      <c r="U297" s="362" t="str">
        <f>IF(AT297=0,"",AT297)</f>
        <v/>
      </c>
      <c r="V297" s="364"/>
      <c r="W297" s="364"/>
      <c r="AA297" s="91" t="s">
        <v>3</v>
      </c>
      <c r="AB297" s="92"/>
      <c r="AC297" s="366">
        <f>ABS(INDEX(AC:AC,MATCH(AC292,$AA:$AA,0)+11)+INDEX(AC:AC,MATCH(AC292,$AA:$AA,0)+12)+INDEX(AC:AC,MATCH(AC292,$AA:$AA,0)+13))</f>
        <v>227</v>
      </c>
      <c r="AD297" s="367"/>
      <c r="AE297" s="366">
        <f>ABS(INDEX(AE:AE,MATCH(AE292,$AA:$AA,0)+11)+INDEX(AE:AE,MATCH(AE292,$AA:$AA,0)+12)+INDEX(AE:AE,MATCH(AE292,$AA:$AA,0)+13))</f>
        <v>172</v>
      </c>
      <c r="AF297" s="367"/>
      <c r="AG297" s="366">
        <f>ABS(INDEX(AG:AG,MATCH(AG292,$AA:$AA,0)+11)+INDEX(AG:AG,MATCH(AG292,$AA:$AA,0)+12)+INDEX(AG:AG,MATCH(AG292,$AA:$AA,0)+13))</f>
        <v>209</v>
      </c>
      <c r="AH297" s="367"/>
      <c r="AI297" s="366">
        <f>ABS(INDEX(AI:AI,MATCH(AI292,$AA:$AA,0)+11)+INDEX(AI:AI,MATCH(AI292,$AA:$AA,0)+12)+INDEX(AI:AI,MATCH(AI292,$AA:$AA,0)+13))</f>
        <v>171</v>
      </c>
      <c r="AJ297" s="367"/>
      <c r="AK297" s="366">
        <f>ABS(INDEX(AK:AK,MATCH(AK292,$AA:$AA,0)+11)+INDEX(AK:AK,MATCH(AK292,$AA:$AA,0)+12)+INDEX(AK:AK,MATCH(AK292,$AA:$AA,0)+13))</f>
        <v>226</v>
      </c>
      <c r="AL297" s="367"/>
      <c r="AM297" s="366">
        <f>ABS(INDEX(AM:AM,MATCH(AM292,$AA:$AA,0)+11)+INDEX(AM:AM,MATCH(AM292,$AA:$AA,0)+12)+INDEX(AM:AM,MATCH(AM292,$AA:$AA,0)+13))</f>
        <v>185</v>
      </c>
      <c r="AN297" s="367"/>
      <c r="AO297" s="366">
        <f>ABS(INDEX(AO:AO,MATCH(AO292,$AA:$AA,0)+11)+INDEX(AO:AO,MATCH(AO292,$AA:$AA,0)+12)+INDEX(AO:AO,MATCH(AO292,$AA:$AA,0)+13))</f>
        <v>277</v>
      </c>
      <c r="AP297" s="367"/>
      <c r="AQ297" s="366">
        <f>ABS(INDEX(AQ:AQ,MATCH(AQ292,$AA:$AA,0)+11)+INDEX(AQ:AQ,MATCH(AQ292,$AA:$AA,0)+12)+INDEX(AQ:AQ,MATCH(AQ292,$AA:$AA,0)+13))</f>
        <v>179</v>
      </c>
      <c r="AR297" s="367"/>
      <c r="AS297" s="366">
        <f>ABS(INDEX(AS:AS,MATCH(AS292,$AA:$AA,0)+11)+INDEX(AS:AS,MATCH(AS292,$AA:$AA,0)+12)+INDEX(AS:AS,MATCH(AS292,$AA:$AA,0)+13))</f>
        <v>180</v>
      </c>
      <c r="AT297" s="367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4" t="str">
        <f t="shared" si="348"/>
        <v>Spieler 4</v>
      </c>
      <c r="C298" s="375" t="str">
        <f t="shared" si="348"/>
        <v/>
      </c>
      <c r="D298" s="362">
        <f>IF(AC298=301,"",AC298)</f>
        <v>213</v>
      </c>
      <c r="E298" s="362" t="str">
        <f>IF(AD298=0,"",AD298)</f>
        <v/>
      </c>
      <c r="F298" s="362">
        <f>IF(AE298=301,"",AE298)</f>
        <v>245</v>
      </c>
      <c r="G298" s="362" t="str">
        <f>IF(AF298=0,"",AF298)</f>
        <v/>
      </c>
      <c r="H298" s="362">
        <f>IF(AG298=301,"",AG298)</f>
        <v>265</v>
      </c>
      <c r="I298" s="362" t="str">
        <f>IF(AH298=0,"",AH298)</f>
        <v/>
      </c>
      <c r="J298" s="362">
        <f>IF(AI298=301,"",AI298)</f>
        <v>225</v>
      </c>
      <c r="K298" s="362" t="str">
        <f>IF(AJ298=0,"",AJ298)</f>
        <v/>
      </c>
      <c r="L298" s="362">
        <f>IF(AK298=301,"",AK298)</f>
        <v>206</v>
      </c>
      <c r="M298" s="362" t="str">
        <f>IF(AL298=0,"",AL298)</f>
        <v/>
      </c>
      <c r="N298" s="362">
        <f>IF(AM298=301,"",AM298)</f>
        <v>178</v>
      </c>
      <c r="O298" s="362" t="str">
        <f>IF(AN298=0,"",AN298)</f>
        <v/>
      </c>
      <c r="P298" s="362">
        <f>IF(AO298=301,"",AO298)</f>
        <v>239</v>
      </c>
      <c r="Q298" s="362" t="str">
        <f>IF(AP298=0,"",AP298)</f>
        <v/>
      </c>
      <c r="R298" s="362">
        <f>IF(AQ298=301,"",AQ298)</f>
        <v>202</v>
      </c>
      <c r="S298" s="362" t="str">
        <f>IF(AR298=0,"",AR298)</f>
        <v/>
      </c>
      <c r="T298" s="362">
        <f>IF(AS298=301,"",AS298)</f>
        <v>224</v>
      </c>
      <c r="U298" s="362" t="str">
        <f>IF(AT298=0,"",AT298)</f>
        <v/>
      </c>
      <c r="V298" s="364"/>
      <c r="W298" s="364"/>
      <c r="AA298" s="91" t="s">
        <v>11</v>
      </c>
      <c r="AB298" s="92"/>
      <c r="AC298" s="366">
        <f>ABS(INDEX(AC:AC,MATCH(AC292,$AA:$AA,0)+14)+INDEX(AC:AC,MATCH(AC292,$AA:$AA,0)+15)+INDEX(AC:AC,MATCH(AC292,$AA:$AA,0)+16))</f>
        <v>213</v>
      </c>
      <c r="AD298" s="367"/>
      <c r="AE298" s="366">
        <f>ABS(INDEX(AE:AE,MATCH(AE292,$AA:$AA,0)+14)+INDEX(AE:AE,MATCH(AE292,$AA:$AA,0)+15)+INDEX(AE:AE,MATCH(AE292,$AA:$AA,0)+16))</f>
        <v>245</v>
      </c>
      <c r="AF298" s="367"/>
      <c r="AG298" s="366">
        <f>ABS(INDEX(AG:AG,MATCH(AG292,$AA:$AA,0)+14)+INDEX(AG:AG,MATCH(AG292,$AA:$AA,0)+15)+INDEX(AG:AG,MATCH(AG292,$AA:$AA,0)+16))</f>
        <v>265</v>
      </c>
      <c r="AH298" s="367"/>
      <c r="AI298" s="366">
        <f>ABS(INDEX(AI:AI,MATCH(AI292,$AA:$AA,0)+14)+INDEX(AI:AI,MATCH(AI292,$AA:$AA,0)+15)+INDEX(AI:AI,MATCH(AI292,$AA:$AA,0)+16))</f>
        <v>225</v>
      </c>
      <c r="AJ298" s="367"/>
      <c r="AK298" s="366">
        <f>ABS(INDEX(AK:AK,MATCH(AK292,$AA:$AA,0)+14)+INDEX(AK:AK,MATCH(AK292,$AA:$AA,0)+15)+INDEX(AK:AK,MATCH(AK292,$AA:$AA,0)+16))</f>
        <v>206</v>
      </c>
      <c r="AL298" s="367"/>
      <c r="AM298" s="366">
        <f>ABS(INDEX(AM:AM,MATCH(AM292,$AA:$AA,0)+14)+INDEX(AM:AM,MATCH(AM292,$AA:$AA,0)+15)+INDEX(AM:AM,MATCH(AM292,$AA:$AA,0)+16))</f>
        <v>178</v>
      </c>
      <c r="AN298" s="367"/>
      <c r="AO298" s="366">
        <f>ABS(INDEX(AO:AO,MATCH(AO292,$AA:$AA,0)+14)+INDEX(AO:AO,MATCH(AO292,$AA:$AA,0)+15)+INDEX(AO:AO,MATCH(AO292,$AA:$AA,0)+16))</f>
        <v>239</v>
      </c>
      <c r="AP298" s="367"/>
      <c r="AQ298" s="366">
        <f>ABS(INDEX(AQ:AQ,MATCH(AQ292,$AA:$AA,0)+14)+INDEX(AQ:AQ,MATCH(AQ292,$AA:$AA,0)+15)+INDEX(AQ:AQ,MATCH(AQ292,$AA:$AA,0)+16))</f>
        <v>202</v>
      </c>
      <c r="AR298" s="367"/>
      <c r="AS298" s="366">
        <f>ABS(INDEX(AS:AS,MATCH(AS292,$AA:$AA,0)+14)+INDEX(AS:AS,MATCH(AS292,$AA:$AA,0)+15)+INDEX(AS:AS,MATCH(AS292,$AA:$AA,0)+16))</f>
        <v>224</v>
      </c>
      <c r="AT298" s="367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6" t="str">
        <f t="shared" si="348"/>
        <v>Gesamt</v>
      </c>
      <c r="C299" s="347" t="str">
        <f t="shared" si="348"/>
        <v/>
      </c>
      <c r="D299" s="365">
        <f>IF(AC299=1505,"",AC299)</f>
        <v>844</v>
      </c>
      <c r="E299" s="365" t="str">
        <f>IF(AD299=0,"",AD299)</f>
        <v/>
      </c>
      <c r="F299" s="365">
        <f>IF(AE299=1505,"",AE299)</f>
        <v>782</v>
      </c>
      <c r="G299" s="365" t="str">
        <f>IF(AF299=0,"",AF299)</f>
        <v/>
      </c>
      <c r="H299" s="365">
        <f>IF(AG299=1505,"",AG299)</f>
        <v>879</v>
      </c>
      <c r="I299" s="365" t="str">
        <f>IF(AH299=0,"",AH299)</f>
        <v/>
      </c>
      <c r="J299" s="365">
        <f>IF(AI299=1505,"",AI299)</f>
        <v>879</v>
      </c>
      <c r="K299" s="365" t="str">
        <f>IF(AJ299=0,"",AJ299)</f>
        <v/>
      </c>
      <c r="L299" s="365">
        <f>IF(AK299=1505,"",AK299)</f>
        <v>798</v>
      </c>
      <c r="M299" s="365" t="str">
        <f>IF(AL299=0,"",AL299)</f>
        <v/>
      </c>
      <c r="N299" s="365">
        <f>IF(AM299=1505,"",AM299)</f>
        <v>866</v>
      </c>
      <c r="O299" s="365" t="str">
        <f>IF(AN299=0,"",AN299)</f>
        <v/>
      </c>
      <c r="P299" s="365">
        <f>IF(AO299=1505,"",AO299)</f>
        <v>898</v>
      </c>
      <c r="Q299" s="365" t="str">
        <f>IF(AP299=0,"",AP299)</f>
        <v/>
      </c>
      <c r="R299" s="365">
        <f>IF(AQ299=1505,"",AQ299)</f>
        <v>841</v>
      </c>
      <c r="S299" s="365" t="str">
        <f>IF(AR299=0,"",AR299)</f>
        <v/>
      </c>
      <c r="T299" s="365">
        <f>IF(AS299=1505,"",AS299)</f>
        <v>780</v>
      </c>
      <c r="U299" s="365" t="str">
        <f>IF(AT299=0,"",AT299)</f>
        <v/>
      </c>
      <c r="V299" s="301"/>
      <c r="W299" s="301"/>
      <c r="AA299" s="93" t="s">
        <v>1799</v>
      </c>
      <c r="AB299" s="94"/>
      <c r="AC299" s="346">
        <f>SUM(AC295:AC298)</f>
        <v>844</v>
      </c>
      <c r="AD299" s="347"/>
      <c r="AE299" s="346">
        <f>SUM(AE295:AE298)</f>
        <v>782</v>
      </c>
      <c r="AF299" s="347"/>
      <c r="AG299" s="346">
        <f>SUM(AG295:AG298)</f>
        <v>879</v>
      </c>
      <c r="AH299" s="347"/>
      <c r="AI299" s="346">
        <f>SUM(AI295:AI298)</f>
        <v>879</v>
      </c>
      <c r="AJ299" s="347"/>
      <c r="AK299" s="346">
        <f>SUM(AK295:AK298)</f>
        <v>798</v>
      </c>
      <c r="AL299" s="347"/>
      <c r="AM299" s="346">
        <f>SUM(AM295:AM298)</f>
        <v>866</v>
      </c>
      <c r="AN299" s="347"/>
      <c r="AO299" s="346">
        <f>SUM(AO295:AO298)</f>
        <v>898</v>
      </c>
      <c r="AP299" s="347"/>
      <c r="AQ299" s="346">
        <f>SUM(AQ295:AQ298)</f>
        <v>841</v>
      </c>
      <c r="AR299" s="347"/>
      <c r="AS299" s="346">
        <f>SUM(AS295:AS298)</f>
        <v>780</v>
      </c>
      <c r="AT299" s="347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topLeftCell="A4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5"/>
      <c r="Y1" s="5"/>
      <c r="AA1" s="215" t="s">
        <v>2080</v>
      </c>
    </row>
    <row r="2" spans="1:31" ht="28.5" customHeight="1" x14ac:dyDescent="0.25">
      <c r="A2" s="386" t="str">
        <f>"Saison "&amp;Spielorte!C18&amp;"     -     Spieltag "&amp;Erfassung5!AS2&amp;"     -     "&amp;Erfassung5!AT1</f>
        <v>Saison 2024/2025     -     Spieltag 5     -     15.03./16.03.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5"/>
      <c r="Y2" s="5"/>
    </row>
    <row r="3" spans="1:31" ht="28.5" customHeight="1" x14ac:dyDescent="0.25">
      <c r="A3" s="386" t="str">
        <f>+Erfassung5!AE2</f>
        <v>Brunnthal Max Munich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9" t="s">
        <v>1816</v>
      </c>
      <c r="B5" s="391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1" t="s">
        <v>1808</v>
      </c>
      <c r="T5" s="380"/>
      <c r="U5" s="379" t="s">
        <v>1799</v>
      </c>
      <c r="V5" s="380"/>
      <c r="W5" s="387" t="s">
        <v>1818</v>
      </c>
    </row>
    <row r="6" spans="1:31" ht="13.8" thickBot="1" x14ac:dyDescent="0.3">
      <c r="A6" s="390"/>
      <c r="B6" s="392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8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INDEX(Erfassung5!$AA:$AA,MATCH($A7,Erfassung5!$BR:$BR,0)-17)</f>
        <v>BK München 3</v>
      </c>
      <c r="C7" s="129">
        <f>INDEX(Erfassung5!AC:AC,MATCH($A7,Erfassung5!$BR:$BR,0)-1)</f>
        <v>914</v>
      </c>
      <c r="D7" s="130">
        <f>INDEX(Erfassung5!AD:AD,MATCH($A7,Erfassung5!$BR:$BR,0))</f>
        <v>4</v>
      </c>
      <c r="E7" s="129">
        <f>INDEX(Erfassung5!AE:AE,MATCH($A7,Erfassung5!$BR:$BR,0)-1)</f>
        <v>824</v>
      </c>
      <c r="F7" s="130">
        <f>INDEX(Erfassung5!AF:AF,MATCH($A7,Erfassung5!$BR:$BR,0))</f>
        <v>5</v>
      </c>
      <c r="G7" s="129">
        <f>INDEX(Erfassung5!AG:AG,MATCH($A7,Erfassung5!$BR:$BR,0)-1)</f>
        <v>806</v>
      </c>
      <c r="H7" s="130">
        <f>INDEX(Erfassung5!AH:AH,MATCH($A7,Erfassung5!$BR:$BR,0))</f>
        <v>5</v>
      </c>
      <c r="I7" s="129">
        <f>INDEX(Erfassung5!AI:AI,MATCH($A7,Erfassung5!$BR:$BR,0)-1)</f>
        <v>817</v>
      </c>
      <c r="J7" s="130">
        <f>INDEX(Erfassung5!AJ:AJ,MATCH($A7,Erfassung5!$BR:$BR,0))</f>
        <v>1</v>
      </c>
      <c r="K7" s="129">
        <f>INDEX(Erfassung5!AK:AK,MATCH($A7,Erfassung5!$BR:$BR,0)-1)</f>
        <v>885</v>
      </c>
      <c r="L7" s="130">
        <f>INDEX(Erfassung5!AL:AL,MATCH($A7,Erfassung5!$BR:$BR,0))</f>
        <v>6</v>
      </c>
      <c r="M7" s="129">
        <f>INDEX(Erfassung5!AM:AM,MATCH($A7,Erfassung5!$BR:$BR,0)-1)</f>
        <v>820</v>
      </c>
      <c r="N7" s="130">
        <f>INDEX(Erfassung5!AN:AN,MATCH($A7,Erfassung5!$BR:$BR,0))</f>
        <v>2</v>
      </c>
      <c r="O7" s="129">
        <f>INDEX(Erfassung5!AO:AO,MATCH($A7,Erfassung5!$BR:$BR,0)-1)</f>
        <v>898</v>
      </c>
      <c r="P7" s="130">
        <f>INDEX(Erfassung5!AP:AP,MATCH($A7,Erfassung5!$BR:$BR,0))</f>
        <v>5</v>
      </c>
      <c r="Q7" s="129">
        <f>INDEX(Erfassung5!AQ:AQ,MATCH($A7,Erfassung5!$BR:$BR,0)-1)</f>
        <v>906</v>
      </c>
      <c r="R7" s="130">
        <f>INDEX(Erfassung5!AR:AR,MATCH($A7,Erfassung5!$BR:$BR,0))</f>
        <v>5.5</v>
      </c>
      <c r="S7" s="129">
        <f>INDEX(Erfassung5!AS:AS,MATCH($A7,Erfassung5!$BR:$BR,0)-1)</f>
        <v>885</v>
      </c>
      <c r="T7" s="130">
        <f>INDEX(Erfassung5!AT:AT,MATCH($A7,Erfassung5!$BR:$BR,0))</f>
        <v>4</v>
      </c>
      <c r="U7" s="131">
        <f t="shared" ref="U7:V16" si="0">SUM(C7+E7+G7+I7+K7+M7+O7+Q7+S7)</f>
        <v>7755</v>
      </c>
      <c r="V7" s="132">
        <f t="shared" si="0"/>
        <v>37.5</v>
      </c>
      <c r="W7" s="224">
        <f>IFERROR(U7/INDEX(Erfassung5!BF:BF,MATCH(A7,Erfassung5!BR:BR,0)),0)</f>
        <v>215.41666666666666</v>
      </c>
      <c r="X7" s="25"/>
      <c r="AA7" s="225">
        <f>INDEX(TabGes4!K:K,MATCH($B7,TabGes4!$B:$B,0))+U7</f>
        <v>36362</v>
      </c>
      <c r="AB7" s="225">
        <f>INDEX(TabGes4!L:L,MATCH($B7,TabGes4!$B:$B,0))+V7</f>
        <v>165</v>
      </c>
      <c r="AC7" s="215">
        <f>+AB7+AA7/1000000000</f>
        <v>165.000036362</v>
      </c>
      <c r="AD7" s="215">
        <f>RANK(AC7,AC:AC)</f>
        <v>2</v>
      </c>
      <c r="AE7" s="215">
        <f>INDEX(Tabelle4!AE:AE,MATCH(B7,Tabelle4!B:B,0))+SUMIF(Erfassung5!BU:BU,B7,Erfassung5!BF:BF)</f>
        <v>180</v>
      </c>
    </row>
    <row r="8" spans="1:31" ht="42" customHeight="1" thickBot="1" x14ac:dyDescent="0.3">
      <c r="A8" s="223">
        <v>2</v>
      </c>
      <c r="B8" s="128" t="str">
        <f>INDEX(Erfassung5!$AA:$AA,MATCH($A8,Erfassung5!$BR:$BR,0)-17)</f>
        <v>BC Comet Nürnberg</v>
      </c>
      <c r="C8" s="129">
        <f>INDEX(Erfassung5!AC:AC,MATCH($A8,Erfassung5!$BR:$BR,0)-1)</f>
        <v>790</v>
      </c>
      <c r="D8" s="130">
        <f>INDEX(Erfassung5!AD:AD,MATCH($A8,Erfassung5!$BR:$BR,0))</f>
        <v>5</v>
      </c>
      <c r="E8" s="129">
        <f>INDEX(Erfassung5!AE:AE,MATCH($A8,Erfassung5!$BR:$BR,0)-1)</f>
        <v>971</v>
      </c>
      <c r="F8" s="130">
        <f>INDEX(Erfassung5!AF:AF,MATCH($A8,Erfassung5!$BR:$BR,0))</f>
        <v>5</v>
      </c>
      <c r="G8" s="129">
        <f>INDEX(Erfassung5!AG:AG,MATCH($A8,Erfassung5!$BR:$BR,0)-1)</f>
        <v>879</v>
      </c>
      <c r="H8" s="130">
        <f>INDEX(Erfassung5!AH:AH,MATCH($A8,Erfassung5!$BR:$BR,0))</f>
        <v>5</v>
      </c>
      <c r="I8" s="129">
        <f>INDEX(Erfassung5!AI:AI,MATCH($A8,Erfassung5!$BR:$BR,0)-1)</f>
        <v>792</v>
      </c>
      <c r="J8" s="130">
        <f>INDEX(Erfassung5!AJ:AJ,MATCH($A8,Erfassung5!$BR:$BR,0))</f>
        <v>1</v>
      </c>
      <c r="K8" s="129">
        <f>INDEX(Erfassung5!AK:AK,MATCH($A8,Erfassung5!$BR:$BR,0)-1)</f>
        <v>918</v>
      </c>
      <c r="L8" s="130">
        <f>INDEX(Erfassung5!AL:AL,MATCH($A8,Erfassung5!$BR:$BR,0))</f>
        <v>5</v>
      </c>
      <c r="M8" s="129">
        <f>INDEX(Erfassung5!AM:AM,MATCH($A8,Erfassung5!$BR:$BR,0)-1)</f>
        <v>842</v>
      </c>
      <c r="N8" s="130">
        <f>INDEX(Erfassung5!AN:AN,MATCH($A8,Erfassung5!$BR:$BR,0))</f>
        <v>4</v>
      </c>
      <c r="O8" s="129">
        <f>INDEX(Erfassung5!AO:AO,MATCH($A8,Erfassung5!$BR:$BR,0)-1)</f>
        <v>888</v>
      </c>
      <c r="P8" s="130">
        <f>INDEX(Erfassung5!AP:AP,MATCH($A8,Erfassung5!$BR:$BR,0))</f>
        <v>2</v>
      </c>
      <c r="Q8" s="129">
        <f>INDEX(Erfassung5!AQ:AQ,MATCH($A8,Erfassung5!$BR:$BR,0)-1)</f>
        <v>813</v>
      </c>
      <c r="R8" s="130">
        <f>INDEX(Erfassung5!AR:AR,MATCH($A8,Erfassung5!$BR:$BR,0))</f>
        <v>3</v>
      </c>
      <c r="S8" s="129">
        <f>INDEX(Erfassung5!AS:AS,MATCH($A8,Erfassung5!$BR:$BR,0)-1)</f>
        <v>815</v>
      </c>
      <c r="T8" s="130">
        <f>INDEX(Erfassung5!AT:AT,MATCH($A8,Erfassung5!$BR:$BR,0))</f>
        <v>3.5</v>
      </c>
      <c r="U8" s="131">
        <f t="shared" si="0"/>
        <v>7708</v>
      </c>
      <c r="V8" s="132">
        <f t="shared" si="0"/>
        <v>33.5</v>
      </c>
      <c r="W8" s="224">
        <f>IFERROR(U8/INDEX(Erfassung5!BF:BF,MATCH(A8,Erfassung5!BR:BR,0)),0)</f>
        <v>214.11111111111111</v>
      </c>
      <c r="X8" s="25"/>
      <c r="AA8" s="225">
        <f>INDEX(TabGes4!K:K,MATCH($B8,TabGes4!$B:$B,0))+U8</f>
        <v>36316</v>
      </c>
      <c r="AB8" s="225">
        <f>INDEX(TabGes4!L:L,MATCH($B8,TabGes4!$B:$B,0))+V8</f>
        <v>178</v>
      </c>
      <c r="AC8" s="215">
        <f t="shared" ref="AC8:AC16" si="1">+AB8+AA8/1000000000</f>
        <v>178.00003631600001</v>
      </c>
      <c r="AD8" s="215">
        <f t="shared" ref="AD8:AD16" si="2">RANK(AC8,AC:AC)</f>
        <v>1</v>
      </c>
      <c r="AE8" s="215">
        <f>INDEX(Tabelle4!AE:AE,MATCH(B8,Tabelle4!B:B,0))+SUMIF(Erfassung5!BU:BU,B8,Erfassung5!BF:BF)</f>
        <v>180</v>
      </c>
    </row>
    <row r="9" spans="1:31" ht="42" customHeight="1" thickBot="1" x14ac:dyDescent="0.3">
      <c r="A9" s="223">
        <v>3</v>
      </c>
      <c r="B9" s="128" t="str">
        <f>INDEX(Erfassung5!$AA:$AA,MATCH($A9,Erfassung5!$BR:$BR,0)-17)</f>
        <v>SG DJK Rimpar</v>
      </c>
      <c r="C9" s="129">
        <f>INDEX(Erfassung5!AC:AC,MATCH($A9,Erfassung5!$BR:$BR,0)-1)</f>
        <v>860</v>
      </c>
      <c r="D9" s="130">
        <f>INDEX(Erfassung5!AD:AD,MATCH($A9,Erfassung5!$BR:$BR,0))</f>
        <v>2</v>
      </c>
      <c r="E9" s="129">
        <f>INDEX(Erfassung5!AE:AE,MATCH($A9,Erfassung5!$BR:$BR,0)-1)</f>
        <v>839</v>
      </c>
      <c r="F9" s="130">
        <f>INDEX(Erfassung5!AF:AF,MATCH($A9,Erfassung5!$BR:$BR,0))</f>
        <v>2</v>
      </c>
      <c r="G9" s="129">
        <f>INDEX(Erfassung5!AG:AG,MATCH($A9,Erfassung5!$BR:$BR,0)-1)</f>
        <v>824</v>
      </c>
      <c r="H9" s="130">
        <f>INDEX(Erfassung5!AH:AH,MATCH($A9,Erfassung5!$BR:$BR,0))</f>
        <v>4</v>
      </c>
      <c r="I9" s="129">
        <f>INDEX(Erfassung5!AI:AI,MATCH($A9,Erfassung5!$BR:$BR,0)-1)</f>
        <v>836</v>
      </c>
      <c r="J9" s="130">
        <f>INDEX(Erfassung5!AJ:AJ,MATCH($A9,Erfassung5!$BR:$BR,0))</f>
        <v>2</v>
      </c>
      <c r="K9" s="129">
        <f>INDEX(Erfassung5!AK:AK,MATCH($A9,Erfassung5!$BR:$BR,0)-1)</f>
        <v>790</v>
      </c>
      <c r="L9" s="130">
        <f>INDEX(Erfassung5!AL:AL,MATCH($A9,Erfassung5!$BR:$BR,0))</f>
        <v>1</v>
      </c>
      <c r="M9" s="129">
        <f>INDEX(Erfassung5!AM:AM,MATCH($A9,Erfassung5!$BR:$BR,0)-1)</f>
        <v>866</v>
      </c>
      <c r="N9" s="130">
        <f>INDEX(Erfassung5!AN:AN,MATCH($A9,Erfassung5!$BR:$BR,0))</f>
        <v>6</v>
      </c>
      <c r="O9" s="129">
        <f>INDEX(Erfassung5!AO:AO,MATCH($A9,Erfassung5!$BR:$BR,0)-1)</f>
        <v>721</v>
      </c>
      <c r="P9" s="130">
        <f>INDEX(Erfassung5!AP:AP,MATCH($A9,Erfassung5!$BR:$BR,0))</f>
        <v>1</v>
      </c>
      <c r="Q9" s="129">
        <f>INDEX(Erfassung5!AQ:AQ,MATCH($A9,Erfassung5!$BR:$BR,0)-1)</f>
        <v>902</v>
      </c>
      <c r="R9" s="130">
        <f>INDEX(Erfassung5!AR:AR,MATCH($A9,Erfassung5!$BR:$BR,0))</f>
        <v>6</v>
      </c>
      <c r="S9" s="129">
        <f>INDEX(Erfassung5!AS:AS,MATCH($A9,Erfassung5!$BR:$BR,0)-1)</f>
        <v>828</v>
      </c>
      <c r="T9" s="130">
        <f>INDEX(Erfassung5!AT:AT,MATCH($A9,Erfassung5!$BR:$BR,0))</f>
        <v>5</v>
      </c>
      <c r="U9" s="131">
        <f t="shared" si="0"/>
        <v>7466</v>
      </c>
      <c r="V9" s="132">
        <f t="shared" si="0"/>
        <v>29</v>
      </c>
      <c r="W9" s="224">
        <f>IFERROR(U9/INDEX(Erfassung5!BF:BF,MATCH(A9,Erfassung5!BR:BR,0)),0)</f>
        <v>207.38888888888889</v>
      </c>
      <c r="X9" s="25"/>
      <c r="AA9" s="225">
        <f>INDEX(TabGes4!K:K,MATCH($B9,TabGes4!$B:$B,0))+U9</f>
        <v>35834</v>
      </c>
      <c r="AB9" s="225">
        <f>INDEX(TabGes4!L:L,MATCH($B9,TabGes4!$B:$B,0))+V9</f>
        <v>158.5</v>
      </c>
      <c r="AC9" s="215">
        <f t="shared" si="1"/>
        <v>158.50003583399999</v>
      </c>
      <c r="AD9" s="215">
        <f t="shared" si="2"/>
        <v>3</v>
      </c>
      <c r="AE9" s="215">
        <f>INDEX(Tabelle4!AE:AE,MATCH(B9,Tabelle4!B:B,0))+SUMIF(Erfassung5!BU:BU,B9,Erfassung5!BF:BF)</f>
        <v>180</v>
      </c>
    </row>
    <row r="10" spans="1:31" ht="42" customHeight="1" thickBot="1" x14ac:dyDescent="0.3">
      <c r="A10" s="223">
        <v>4</v>
      </c>
      <c r="B10" s="128" t="str">
        <f>INDEX(Erfassung5!$AA:$AA,MATCH($A10,Erfassung5!$BR:$BR,0)-17)</f>
        <v>RW Lichtenhof Stein 1</v>
      </c>
      <c r="C10" s="129">
        <f>INDEX(Erfassung5!AC:AC,MATCH($A10,Erfassung5!$BR:$BR,0)-1)</f>
        <v>828</v>
      </c>
      <c r="D10" s="130">
        <f>INDEX(Erfassung5!AD:AD,MATCH($A10,Erfassung5!$BR:$BR,0))</f>
        <v>2</v>
      </c>
      <c r="E10" s="129">
        <f>INDEX(Erfassung5!AE:AE,MATCH($A10,Erfassung5!$BR:$BR,0)-1)</f>
        <v>782</v>
      </c>
      <c r="F10" s="130">
        <f>INDEX(Erfassung5!AF:AF,MATCH($A10,Erfassung5!$BR:$BR,0))</f>
        <v>1</v>
      </c>
      <c r="G10" s="129">
        <f>INDEX(Erfassung5!AG:AG,MATCH($A10,Erfassung5!$BR:$BR,0)-1)</f>
        <v>777</v>
      </c>
      <c r="H10" s="130">
        <f>INDEX(Erfassung5!AH:AH,MATCH($A10,Erfassung5!$BR:$BR,0))</f>
        <v>2</v>
      </c>
      <c r="I10" s="129">
        <f>INDEX(Erfassung5!AI:AI,MATCH($A10,Erfassung5!$BR:$BR,0)-1)</f>
        <v>862</v>
      </c>
      <c r="J10" s="130">
        <f>INDEX(Erfassung5!AJ:AJ,MATCH($A10,Erfassung5!$BR:$BR,0))</f>
        <v>5</v>
      </c>
      <c r="K10" s="129">
        <f>INDEX(Erfassung5!AK:AK,MATCH($A10,Erfassung5!$BR:$BR,0)-1)</f>
        <v>828</v>
      </c>
      <c r="L10" s="130">
        <f>INDEX(Erfassung5!AL:AL,MATCH($A10,Erfassung5!$BR:$BR,0))</f>
        <v>5</v>
      </c>
      <c r="M10" s="129">
        <f>INDEX(Erfassung5!AM:AM,MATCH($A10,Erfassung5!$BR:$BR,0)-1)</f>
        <v>797</v>
      </c>
      <c r="N10" s="130">
        <f>INDEX(Erfassung5!AN:AN,MATCH($A10,Erfassung5!$BR:$BR,0))</f>
        <v>1</v>
      </c>
      <c r="O10" s="129">
        <f>INDEX(Erfassung5!AO:AO,MATCH($A10,Erfassung5!$BR:$BR,0)-1)</f>
        <v>928</v>
      </c>
      <c r="P10" s="130">
        <f>INDEX(Erfassung5!AP:AP,MATCH($A10,Erfassung5!$BR:$BR,0))</f>
        <v>4</v>
      </c>
      <c r="Q10" s="129">
        <f>INDEX(Erfassung5!AQ:AQ,MATCH($A10,Erfassung5!$BR:$BR,0)-1)</f>
        <v>834</v>
      </c>
      <c r="R10" s="130">
        <f>INDEX(Erfassung5!AR:AR,MATCH($A10,Erfassung5!$BR:$BR,0))</f>
        <v>4</v>
      </c>
      <c r="S10" s="129">
        <f>INDEX(Erfassung5!AS:AS,MATCH($A10,Erfassung5!$BR:$BR,0)-1)</f>
        <v>829</v>
      </c>
      <c r="T10" s="130">
        <f>INDEX(Erfassung5!AT:AT,MATCH($A10,Erfassung5!$BR:$BR,0))</f>
        <v>4</v>
      </c>
      <c r="U10" s="131">
        <f t="shared" si="0"/>
        <v>7465</v>
      </c>
      <c r="V10" s="132">
        <f t="shared" si="0"/>
        <v>28</v>
      </c>
      <c r="W10" s="224">
        <f>IFERROR(U10/INDEX(Erfassung5!BF:BF,MATCH(A10,Erfassung5!BR:BR,0)),0)</f>
        <v>207.36111111111111</v>
      </c>
      <c r="X10" s="25"/>
      <c r="AA10" s="225">
        <f>INDEX(TabGes4!K:K,MATCH($B10,TabGes4!$B:$B,0))+U10</f>
        <v>33509</v>
      </c>
      <c r="AB10" s="225">
        <f>INDEX(TabGes4!L:L,MATCH($B10,TabGes4!$B:$B,0))+V10</f>
        <v>100.5</v>
      </c>
      <c r="AC10" s="215">
        <f t="shared" si="1"/>
        <v>100.500033509</v>
      </c>
      <c r="AD10" s="215">
        <f t="shared" si="2"/>
        <v>10</v>
      </c>
      <c r="AE10" s="215">
        <f>INDEX(Tabelle4!AE:AE,MATCH(B10,Tabelle4!B:B,0))+SUMIF(Erfassung5!BU:BU,B10,Erfassung5!BF:BF)</f>
        <v>180</v>
      </c>
    </row>
    <row r="11" spans="1:31" ht="42" customHeight="1" thickBot="1" x14ac:dyDescent="0.3">
      <c r="A11" s="223">
        <v>5</v>
      </c>
      <c r="B11" s="128" t="str">
        <f>INDEX(Erfassung5!$AA:$AA,MATCH($A11,Erfassung5!$BR:$BR,0)-17)</f>
        <v>BC EMAX Unterföhring 2</v>
      </c>
      <c r="C11" s="129">
        <f>INDEX(Erfassung5!AC:AC,MATCH($A11,Erfassung5!$BR:$BR,0)-1)</f>
        <v>850</v>
      </c>
      <c r="D11" s="130">
        <f>INDEX(Erfassung5!AD:AD,MATCH($A11,Erfassung5!$BR:$BR,0))</f>
        <v>4</v>
      </c>
      <c r="E11" s="129">
        <f>INDEX(Erfassung5!AE:AE,MATCH($A11,Erfassung5!$BR:$BR,0)-1)</f>
        <v>870</v>
      </c>
      <c r="F11" s="130">
        <f>INDEX(Erfassung5!AF:AF,MATCH($A11,Erfassung5!$BR:$BR,0))</f>
        <v>4</v>
      </c>
      <c r="G11" s="129">
        <f>INDEX(Erfassung5!AG:AG,MATCH($A11,Erfassung5!$BR:$BR,0)-1)</f>
        <v>823</v>
      </c>
      <c r="H11" s="130">
        <f>INDEX(Erfassung5!AH:AH,MATCH($A11,Erfassung5!$BR:$BR,0))</f>
        <v>4</v>
      </c>
      <c r="I11" s="129">
        <f>INDEX(Erfassung5!AI:AI,MATCH($A11,Erfassung5!$BR:$BR,0)-1)</f>
        <v>851</v>
      </c>
      <c r="J11" s="130">
        <f>INDEX(Erfassung5!AJ:AJ,MATCH($A11,Erfassung5!$BR:$BR,0))</f>
        <v>4</v>
      </c>
      <c r="K11" s="129">
        <f>INDEX(Erfassung5!AK:AK,MATCH($A11,Erfassung5!$BR:$BR,0)-1)</f>
        <v>783</v>
      </c>
      <c r="L11" s="130">
        <f>INDEX(Erfassung5!AL:AL,MATCH($A11,Erfassung5!$BR:$BR,0))</f>
        <v>0</v>
      </c>
      <c r="M11" s="129">
        <f>INDEX(Erfassung5!AM:AM,MATCH($A11,Erfassung5!$BR:$BR,0)-1)</f>
        <v>819</v>
      </c>
      <c r="N11" s="130">
        <f>INDEX(Erfassung5!AN:AN,MATCH($A11,Erfassung5!$BR:$BR,0))</f>
        <v>5</v>
      </c>
      <c r="O11" s="129">
        <f>INDEX(Erfassung5!AO:AO,MATCH($A11,Erfassung5!$BR:$BR,0)-1)</f>
        <v>796</v>
      </c>
      <c r="P11" s="130">
        <f>INDEX(Erfassung5!AP:AP,MATCH($A11,Erfassung5!$BR:$BR,0))</f>
        <v>2</v>
      </c>
      <c r="Q11" s="129">
        <f>INDEX(Erfassung5!AQ:AQ,MATCH($A11,Erfassung5!$BR:$BR,0)-1)</f>
        <v>796</v>
      </c>
      <c r="R11" s="130">
        <f>INDEX(Erfassung5!AR:AR,MATCH($A11,Erfassung5!$BR:$BR,0))</f>
        <v>3</v>
      </c>
      <c r="S11" s="129">
        <f>INDEX(Erfassung5!AS:AS,MATCH($A11,Erfassung5!$BR:$BR,0)-1)</f>
        <v>780</v>
      </c>
      <c r="T11" s="130">
        <f>INDEX(Erfassung5!AT:AT,MATCH($A11,Erfassung5!$BR:$BR,0))</f>
        <v>2</v>
      </c>
      <c r="U11" s="131">
        <f t="shared" si="0"/>
        <v>7368</v>
      </c>
      <c r="V11" s="132">
        <f t="shared" si="0"/>
        <v>28</v>
      </c>
      <c r="W11" s="224">
        <f>IFERROR(U11/INDEX(Erfassung5!BF:BF,MATCH(A11,Erfassung5!BR:BR,0)),0)</f>
        <v>204.66666666666666</v>
      </c>
      <c r="X11" s="25"/>
      <c r="AA11" s="225">
        <f>INDEX(TabGes4!K:K,MATCH($B11,TabGes4!$B:$B,0))+U11</f>
        <v>34335</v>
      </c>
      <c r="AB11" s="225">
        <f>INDEX(TabGes4!L:L,MATCH($B11,TabGes4!$B:$B,0))+V11</f>
        <v>134.5</v>
      </c>
      <c r="AC11" s="215">
        <f t="shared" si="1"/>
        <v>134.50003433500001</v>
      </c>
      <c r="AD11" s="215">
        <f t="shared" si="2"/>
        <v>6</v>
      </c>
      <c r="AE11" s="215">
        <f>INDEX(Tabelle4!AE:AE,MATCH(B11,Tabelle4!B:B,0))+SUMIF(Erfassung5!BU:BU,B11,Erfassung5!BF:BF)</f>
        <v>178</v>
      </c>
    </row>
    <row r="12" spans="1:31" ht="42" customHeight="1" thickBot="1" x14ac:dyDescent="0.3">
      <c r="A12" s="223">
        <v>6</v>
      </c>
      <c r="B12" s="128" t="str">
        <f>INDEX(Erfassung5!$AA:$AA,MATCH($A12,Erfassung5!$BR:$BR,0)-17)</f>
        <v>Bajuwaren München 1</v>
      </c>
      <c r="C12" s="129">
        <f>INDEX(Erfassung5!AC:AC,MATCH($A12,Erfassung5!$BR:$BR,0)-1)</f>
        <v>734</v>
      </c>
      <c r="D12" s="130">
        <f>INDEX(Erfassung5!AD:AD,MATCH($A12,Erfassung5!$BR:$BR,0))</f>
        <v>1</v>
      </c>
      <c r="E12" s="129">
        <f>INDEX(Erfassung5!AE:AE,MATCH($A12,Erfassung5!$BR:$BR,0)-1)</f>
        <v>830</v>
      </c>
      <c r="F12" s="130">
        <f>INDEX(Erfassung5!AF:AF,MATCH($A12,Erfassung5!$BR:$BR,0))</f>
        <v>6</v>
      </c>
      <c r="G12" s="129">
        <f>INDEX(Erfassung5!AG:AG,MATCH($A12,Erfassung5!$BR:$BR,0)-1)</f>
        <v>730</v>
      </c>
      <c r="H12" s="130">
        <f>INDEX(Erfassung5!AH:AH,MATCH($A12,Erfassung5!$BR:$BR,0))</f>
        <v>1</v>
      </c>
      <c r="I12" s="129">
        <f>INDEX(Erfassung5!AI:AI,MATCH($A12,Erfassung5!$BR:$BR,0)-1)</f>
        <v>879</v>
      </c>
      <c r="J12" s="130">
        <f>INDEX(Erfassung5!AJ:AJ,MATCH($A12,Erfassung5!$BR:$BR,0))</f>
        <v>5</v>
      </c>
      <c r="K12" s="129">
        <f>INDEX(Erfassung5!AK:AK,MATCH($A12,Erfassung5!$BR:$BR,0)-1)</f>
        <v>867</v>
      </c>
      <c r="L12" s="130">
        <f>INDEX(Erfassung5!AL:AL,MATCH($A12,Erfassung5!$BR:$BR,0))</f>
        <v>5</v>
      </c>
      <c r="M12" s="129">
        <f>INDEX(Erfassung5!AM:AM,MATCH($A12,Erfassung5!$BR:$BR,0)-1)</f>
        <v>813</v>
      </c>
      <c r="N12" s="130">
        <f>INDEX(Erfassung5!AN:AN,MATCH($A12,Erfassung5!$BR:$BR,0))</f>
        <v>4</v>
      </c>
      <c r="O12" s="129">
        <f>INDEX(Erfassung5!AO:AO,MATCH($A12,Erfassung5!$BR:$BR,0)-1)</f>
        <v>813</v>
      </c>
      <c r="P12" s="130">
        <f>INDEX(Erfassung5!AP:AP,MATCH($A12,Erfassung5!$BR:$BR,0))</f>
        <v>4</v>
      </c>
      <c r="Q12" s="129">
        <f>INDEX(Erfassung5!AQ:AQ,MATCH($A12,Erfassung5!$BR:$BR,0)-1)</f>
        <v>732</v>
      </c>
      <c r="R12" s="130">
        <f>INDEX(Erfassung5!AR:AR,MATCH($A12,Erfassung5!$BR:$BR,0))</f>
        <v>0</v>
      </c>
      <c r="S12" s="129">
        <f>INDEX(Erfassung5!AS:AS,MATCH($A12,Erfassung5!$BR:$BR,0)-1)</f>
        <v>795</v>
      </c>
      <c r="T12" s="130">
        <f>INDEX(Erfassung5!AT:AT,MATCH($A12,Erfassung5!$BR:$BR,0))</f>
        <v>2</v>
      </c>
      <c r="U12" s="131">
        <f t="shared" si="0"/>
        <v>7193</v>
      </c>
      <c r="V12" s="132">
        <f t="shared" si="0"/>
        <v>28</v>
      </c>
      <c r="W12" s="224">
        <f>IFERROR(U12/INDEX(Erfassung5!BF:BF,MATCH(A12,Erfassung5!BR:BR,0)),0)</f>
        <v>199.80555555555554</v>
      </c>
      <c r="X12" s="25"/>
      <c r="AA12" s="225">
        <f>INDEX(TabGes4!K:K,MATCH($B12,TabGes4!$B:$B,0))+U12</f>
        <v>34507</v>
      </c>
      <c r="AB12" s="225">
        <f>INDEX(TabGes4!L:L,MATCH($B12,TabGes4!$B:$B,0))+V12</f>
        <v>143</v>
      </c>
      <c r="AC12" s="215">
        <f t="shared" si="1"/>
        <v>143.00003450700001</v>
      </c>
      <c r="AD12" s="215">
        <f t="shared" si="2"/>
        <v>4</v>
      </c>
      <c r="AE12" s="215">
        <f>INDEX(Tabelle4!AE:AE,MATCH(B12,Tabelle4!B:B,0))+SUMIF(Erfassung5!BU:BU,B12,Erfassung5!BF:BF)</f>
        <v>180</v>
      </c>
    </row>
    <row r="13" spans="1:31" ht="42" customHeight="1" thickBot="1" x14ac:dyDescent="0.3">
      <c r="A13" s="223">
        <v>7</v>
      </c>
      <c r="B13" s="128" t="str">
        <f>INDEX(Erfassung5!$AA:$AA,MATCH($A13,Erfassung5!$BR:$BR,0)-17)</f>
        <v>SG Rottendorf 1</v>
      </c>
      <c r="C13" s="129">
        <f>INDEX(Erfassung5!AC:AC,MATCH($A13,Erfassung5!$BR:$BR,0)-1)</f>
        <v>880</v>
      </c>
      <c r="D13" s="130">
        <f>INDEX(Erfassung5!AD:AD,MATCH($A13,Erfassung5!$BR:$BR,0))</f>
        <v>4</v>
      </c>
      <c r="E13" s="129">
        <f>INDEX(Erfassung5!AE:AE,MATCH($A13,Erfassung5!$BR:$BR,0)-1)</f>
        <v>865</v>
      </c>
      <c r="F13" s="130">
        <f>INDEX(Erfassung5!AF:AF,MATCH($A13,Erfassung5!$BR:$BR,0))</f>
        <v>1</v>
      </c>
      <c r="G13" s="129">
        <f>INDEX(Erfassung5!AG:AG,MATCH($A13,Erfassung5!$BR:$BR,0)-1)</f>
        <v>813</v>
      </c>
      <c r="H13" s="130">
        <f>INDEX(Erfassung5!AH:AH,MATCH($A13,Erfassung5!$BR:$BR,0))</f>
        <v>6</v>
      </c>
      <c r="I13" s="129">
        <f>INDEX(Erfassung5!AI:AI,MATCH($A13,Erfassung5!$BR:$BR,0)-1)</f>
        <v>811</v>
      </c>
      <c r="J13" s="130">
        <f>INDEX(Erfassung5!AJ:AJ,MATCH($A13,Erfassung5!$BR:$BR,0))</f>
        <v>2</v>
      </c>
      <c r="K13" s="129">
        <f>INDEX(Erfassung5!AK:AK,MATCH($A13,Erfassung5!$BR:$BR,0)-1)</f>
        <v>752</v>
      </c>
      <c r="L13" s="130">
        <f>INDEX(Erfassung5!AL:AL,MATCH($A13,Erfassung5!$BR:$BR,0))</f>
        <v>1</v>
      </c>
      <c r="M13" s="129">
        <f>INDEX(Erfassung5!AM:AM,MATCH($A13,Erfassung5!$BR:$BR,0)-1)</f>
        <v>748</v>
      </c>
      <c r="N13" s="130">
        <f>INDEX(Erfassung5!AN:AN,MATCH($A13,Erfassung5!$BR:$BR,0))</f>
        <v>2</v>
      </c>
      <c r="O13" s="129">
        <f>INDEX(Erfassung5!AO:AO,MATCH($A13,Erfassung5!$BR:$BR,0)-1)</f>
        <v>763</v>
      </c>
      <c r="P13" s="130">
        <f>INDEX(Erfassung5!AP:AP,MATCH($A13,Erfassung5!$BR:$BR,0))</f>
        <v>5</v>
      </c>
      <c r="Q13" s="129">
        <f>INDEX(Erfassung5!AQ:AQ,MATCH($A13,Erfassung5!$BR:$BR,0)-1)</f>
        <v>841</v>
      </c>
      <c r="R13" s="130">
        <f>INDEX(Erfassung5!AR:AR,MATCH($A13,Erfassung5!$BR:$BR,0))</f>
        <v>4</v>
      </c>
      <c r="S13" s="129">
        <f>INDEX(Erfassung5!AS:AS,MATCH($A13,Erfassung5!$BR:$BR,0)-1)</f>
        <v>786</v>
      </c>
      <c r="T13" s="130">
        <f>INDEX(Erfassung5!AT:AT,MATCH($A13,Erfassung5!$BR:$BR,0))</f>
        <v>2</v>
      </c>
      <c r="U13" s="131">
        <f t="shared" si="0"/>
        <v>7259</v>
      </c>
      <c r="V13" s="132">
        <f t="shared" si="0"/>
        <v>27</v>
      </c>
      <c r="W13" s="224">
        <f>IFERROR(U13/INDEX(Erfassung5!BF:BF,MATCH(A13,Erfassung5!BR:BR,0)),0)</f>
        <v>201.63888888888889</v>
      </c>
      <c r="X13" s="25"/>
      <c r="AA13" s="225">
        <f>INDEX(TabGes4!K:K,MATCH($B13,TabGes4!$B:$B,0))+U13</f>
        <v>33885</v>
      </c>
      <c r="AB13" s="225">
        <f>INDEX(TabGes4!L:L,MATCH($B13,TabGes4!$B:$B,0))+V13</f>
        <v>135.5</v>
      </c>
      <c r="AC13" s="215">
        <f t="shared" si="1"/>
        <v>135.50003388499999</v>
      </c>
      <c r="AD13" s="215">
        <f t="shared" si="2"/>
        <v>5</v>
      </c>
      <c r="AE13" s="215">
        <f>INDEX(Tabelle4!AE:AE,MATCH(B13,Tabelle4!B:B,0))+SUMIF(Erfassung5!BU:BU,B13,Erfassung5!BF:BF)</f>
        <v>179</v>
      </c>
    </row>
    <row r="14" spans="1:31" ht="42" customHeight="1" thickBot="1" x14ac:dyDescent="0.3">
      <c r="A14" s="223">
        <v>8</v>
      </c>
      <c r="B14" s="128" t="str">
        <f>INDEX(Erfassung5!$AA:$AA,MATCH($A14,Erfassung5!$BR:$BR,0)-17)</f>
        <v>High Roller Rosenheim 1</v>
      </c>
      <c r="C14" s="129">
        <f>INDEX(Erfassung5!AC:AC,MATCH($A14,Erfassung5!$BR:$BR,0)-1)</f>
        <v>861</v>
      </c>
      <c r="D14" s="130">
        <f>INDEX(Erfassung5!AD:AD,MATCH($A14,Erfassung5!$BR:$BR,0))</f>
        <v>4</v>
      </c>
      <c r="E14" s="129">
        <f>INDEX(Erfassung5!AE:AE,MATCH($A14,Erfassung5!$BR:$BR,0)-1)</f>
        <v>808</v>
      </c>
      <c r="F14" s="130">
        <f>INDEX(Erfassung5!AF:AF,MATCH($A14,Erfassung5!$BR:$BR,0))</f>
        <v>5</v>
      </c>
      <c r="G14" s="129">
        <f>INDEX(Erfassung5!AG:AG,MATCH($A14,Erfassung5!$BR:$BR,0)-1)</f>
        <v>817</v>
      </c>
      <c r="H14" s="130">
        <f>INDEX(Erfassung5!AH:AH,MATCH($A14,Erfassung5!$BR:$BR,0))</f>
        <v>1</v>
      </c>
      <c r="I14" s="129">
        <f>INDEX(Erfassung5!AI:AI,MATCH($A14,Erfassung5!$BR:$BR,0)-1)</f>
        <v>818</v>
      </c>
      <c r="J14" s="130">
        <f>INDEX(Erfassung5!AJ:AJ,MATCH($A14,Erfassung5!$BR:$BR,0))</f>
        <v>1</v>
      </c>
      <c r="K14" s="129">
        <f>INDEX(Erfassung5!AK:AK,MATCH($A14,Erfassung5!$BR:$BR,0)-1)</f>
        <v>928</v>
      </c>
      <c r="L14" s="130">
        <f>INDEX(Erfassung5!AL:AL,MATCH($A14,Erfassung5!$BR:$BR,0))</f>
        <v>5</v>
      </c>
      <c r="M14" s="129">
        <f>INDEX(Erfassung5!AM:AM,MATCH($A14,Erfassung5!$BR:$BR,0)-1)</f>
        <v>707</v>
      </c>
      <c r="N14" s="130">
        <f>INDEX(Erfassung5!AN:AN,MATCH($A14,Erfassung5!$BR:$BR,0))</f>
        <v>0</v>
      </c>
      <c r="O14" s="129">
        <f>INDEX(Erfassung5!AO:AO,MATCH($A14,Erfassung5!$BR:$BR,0)-1)</f>
        <v>732</v>
      </c>
      <c r="P14" s="130">
        <f>INDEX(Erfassung5!AP:AP,MATCH($A14,Erfassung5!$BR:$BR,0))</f>
        <v>1</v>
      </c>
      <c r="Q14" s="129">
        <f>INDEX(Erfassung5!AQ:AQ,MATCH($A14,Erfassung5!$BR:$BR,0)-1)</f>
        <v>804</v>
      </c>
      <c r="R14" s="130">
        <f>INDEX(Erfassung5!AR:AR,MATCH($A14,Erfassung5!$BR:$BR,0))</f>
        <v>2</v>
      </c>
      <c r="S14" s="129">
        <f>INDEX(Erfassung5!AS:AS,MATCH($A14,Erfassung5!$BR:$BR,0)-1)</f>
        <v>801</v>
      </c>
      <c r="T14" s="130">
        <f>INDEX(Erfassung5!AT:AT,MATCH($A14,Erfassung5!$BR:$BR,0))</f>
        <v>4</v>
      </c>
      <c r="U14" s="131">
        <f t="shared" si="0"/>
        <v>7276</v>
      </c>
      <c r="V14" s="132">
        <f t="shared" si="0"/>
        <v>23</v>
      </c>
      <c r="W14" s="224">
        <f>IFERROR(U14/INDEX(Erfassung5!BF:BF,MATCH(A14,Erfassung5!BR:BR,0)),0)</f>
        <v>202.11111111111111</v>
      </c>
      <c r="X14" s="25"/>
      <c r="AA14" s="225">
        <f>INDEX(TabGes4!K:K,MATCH($B14,TabGes4!$B:$B,0))+U14</f>
        <v>33272</v>
      </c>
      <c r="AB14" s="225">
        <f>INDEX(TabGes4!L:L,MATCH($B14,TabGes4!$B:$B,0))+V14</f>
        <v>109.5</v>
      </c>
      <c r="AC14" s="215">
        <f t="shared" si="1"/>
        <v>109.500033272</v>
      </c>
      <c r="AD14" s="215">
        <f t="shared" si="2"/>
        <v>8</v>
      </c>
      <c r="AE14" s="215">
        <f>INDEX(Tabelle4!AE:AE,MATCH(B14,Tabelle4!B:B,0))+SUMIF(Erfassung5!BU:BU,B14,Erfassung5!BF:BF)</f>
        <v>180</v>
      </c>
    </row>
    <row r="15" spans="1:31" ht="42" customHeight="1" thickBot="1" x14ac:dyDescent="0.3">
      <c r="A15" s="223">
        <v>9</v>
      </c>
      <c r="B15" s="128" t="str">
        <f>INDEX(Erfassung5!$AA:$AA,MATCH($A15,Erfassung5!$BR:$BR,0)-17)</f>
        <v>Schanzer Ingolstadt 1</v>
      </c>
      <c r="C15" s="129">
        <f>INDEX(Erfassung5!AC:AC,MATCH($A15,Erfassung5!$BR:$BR,0)-1)</f>
        <v>845</v>
      </c>
      <c r="D15" s="130">
        <f>INDEX(Erfassung5!AD:AD,MATCH($A15,Erfassung5!$BR:$BR,0))</f>
        <v>2</v>
      </c>
      <c r="E15" s="129">
        <f>INDEX(Erfassung5!AE:AE,MATCH($A15,Erfassung5!$BR:$BR,0)-1)</f>
        <v>770</v>
      </c>
      <c r="F15" s="130">
        <f>INDEX(Erfassung5!AF:AF,MATCH($A15,Erfassung5!$BR:$BR,0))</f>
        <v>1</v>
      </c>
      <c r="G15" s="129">
        <f>INDEX(Erfassung5!AG:AG,MATCH($A15,Erfassung5!$BR:$BR,0)-1)</f>
        <v>710</v>
      </c>
      <c r="H15" s="130">
        <f>INDEX(Erfassung5!AH:AH,MATCH($A15,Erfassung5!$BR:$BR,0))</f>
        <v>0</v>
      </c>
      <c r="I15" s="129">
        <f>INDEX(Erfassung5!AI:AI,MATCH($A15,Erfassung5!$BR:$BR,0)-1)</f>
        <v>866</v>
      </c>
      <c r="J15" s="130">
        <f>INDEX(Erfassung5!AJ:AJ,MATCH($A15,Erfassung5!$BR:$BR,0))</f>
        <v>4</v>
      </c>
      <c r="K15" s="129">
        <f>INDEX(Erfassung5!AK:AK,MATCH($A15,Erfassung5!$BR:$BR,0)-1)</f>
        <v>798</v>
      </c>
      <c r="L15" s="130">
        <f>INDEX(Erfassung5!AL:AL,MATCH($A15,Erfassung5!$BR:$BR,0))</f>
        <v>1</v>
      </c>
      <c r="M15" s="129">
        <f>INDEX(Erfassung5!AM:AM,MATCH($A15,Erfassung5!$BR:$BR,0)-1)</f>
        <v>701</v>
      </c>
      <c r="N15" s="130">
        <f>INDEX(Erfassung5!AN:AN,MATCH($A15,Erfassung5!$BR:$BR,0))</f>
        <v>2</v>
      </c>
      <c r="O15" s="129">
        <f>INDEX(Erfassung5!AO:AO,MATCH($A15,Erfassung5!$BR:$BR,0)-1)</f>
        <v>843</v>
      </c>
      <c r="P15" s="130">
        <f>INDEX(Erfassung5!AP:AP,MATCH($A15,Erfassung5!$BR:$BR,0))</f>
        <v>6</v>
      </c>
      <c r="Q15" s="129">
        <f>INDEX(Erfassung5!AQ:AQ,MATCH($A15,Erfassung5!$BR:$BR,0)-1)</f>
        <v>790</v>
      </c>
      <c r="R15" s="130">
        <f>INDEX(Erfassung5!AR:AR,MATCH($A15,Erfassung5!$BR:$BR,0))</f>
        <v>2</v>
      </c>
      <c r="S15" s="129">
        <f>INDEX(Erfassung5!AS:AS,MATCH($A15,Erfassung5!$BR:$BR,0)-1)</f>
        <v>807</v>
      </c>
      <c r="T15" s="130">
        <f>INDEX(Erfassung5!AT:AT,MATCH($A15,Erfassung5!$BR:$BR,0))</f>
        <v>2.5</v>
      </c>
      <c r="U15" s="131">
        <f t="shared" si="0"/>
        <v>7130</v>
      </c>
      <c r="V15" s="132">
        <f t="shared" si="0"/>
        <v>20.5</v>
      </c>
      <c r="W15" s="224">
        <f>IFERROR(U15/INDEX(Erfassung5!BF:BF,MATCH(A15,Erfassung5!BR:BR,0)),0)</f>
        <v>198.05555555555554</v>
      </c>
      <c r="X15" s="25"/>
      <c r="AA15" s="225">
        <f>INDEX(TabGes4!K:K,MATCH($B15,TabGes4!$B:$B,0))+U15</f>
        <v>32546</v>
      </c>
      <c r="AB15" s="225">
        <f>INDEX(TabGes4!L:L,MATCH($B15,TabGes4!$B:$B,0))+V15</f>
        <v>105.5</v>
      </c>
      <c r="AC15" s="215">
        <f t="shared" si="1"/>
        <v>105.500032546</v>
      </c>
      <c r="AD15" s="215">
        <f t="shared" si="2"/>
        <v>9</v>
      </c>
      <c r="AE15" s="215">
        <f>INDEX(Tabelle4!AE:AE,MATCH(B15,Tabelle4!B:B,0))+SUMIF(Erfassung5!BU:BU,B15,Erfassung5!BF:BF)</f>
        <v>180</v>
      </c>
    </row>
    <row r="16" spans="1:31" ht="42" customHeight="1" thickBot="1" x14ac:dyDescent="0.3">
      <c r="A16" s="223">
        <v>10</v>
      </c>
      <c r="B16" s="128" t="str">
        <f>INDEX(Erfassung5!$AA:$AA,MATCH($A16,Erfassung5!$BR:$BR,0)-17)</f>
        <v>Bowlinghaus Bamberg 1</v>
      </c>
      <c r="C16" s="129">
        <f>INDEX(Erfassung5!AC:AC,MATCH($A16,Erfassung5!$BR:$BR,0)-1)</f>
        <v>844</v>
      </c>
      <c r="D16" s="130">
        <f>INDEX(Erfassung5!AD:AD,MATCH($A16,Erfassung5!$BR:$BR,0))</f>
        <v>2</v>
      </c>
      <c r="E16" s="129">
        <f>INDEX(Erfassung5!AE:AE,MATCH($A16,Erfassung5!$BR:$BR,0)-1)</f>
        <v>705</v>
      </c>
      <c r="F16" s="130">
        <f>INDEX(Erfassung5!AF:AF,MATCH($A16,Erfassung5!$BR:$BR,0))</f>
        <v>0</v>
      </c>
      <c r="G16" s="129">
        <f>INDEX(Erfassung5!AG:AG,MATCH($A16,Erfassung5!$BR:$BR,0)-1)</f>
        <v>751</v>
      </c>
      <c r="H16" s="130">
        <f>INDEX(Erfassung5!AH:AH,MATCH($A16,Erfassung5!$BR:$BR,0))</f>
        <v>2</v>
      </c>
      <c r="I16" s="129">
        <f>INDEX(Erfassung5!AI:AI,MATCH($A16,Erfassung5!$BR:$BR,0)-1)</f>
        <v>866</v>
      </c>
      <c r="J16" s="130">
        <f>INDEX(Erfassung5!AJ:AJ,MATCH($A16,Erfassung5!$BR:$BR,0))</f>
        <v>5</v>
      </c>
      <c r="K16" s="129">
        <f>INDEX(Erfassung5!AK:AK,MATCH($A16,Erfassung5!$BR:$BR,0)-1)</f>
        <v>809</v>
      </c>
      <c r="L16" s="130">
        <f>INDEX(Erfassung5!AL:AL,MATCH($A16,Erfassung5!$BR:$BR,0))</f>
        <v>1</v>
      </c>
      <c r="M16" s="129">
        <f>INDEX(Erfassung5!AM:AM,MATCH($A16,Erfassung5!$BR:$BR,0)-1)</f>
        <v>793</v>
      </c>
      <c r="N16" s="130">
        <f>INDEX(Erfassung5!AN:AN,MATCH($A16,Erfassung5!$BR:$BR,0))</f>
        <v>4</v>
      </c>
      <c r="O16" s="129">
        <f>INDEX(Erfassung5!AO:AO,MATCH($A16,Erfassung5!$BR:$BR,0)-1)</f>
        <v>753</v>
      </c>
      <c r="P16" s="130">
        <f>INDEX(Erfassung5!AP:AP,MATCH($A16,Erfassung5!$BR:$BR,0))</f>
        <v>0</v>
      </c>
      <c r="Q16" s="129">
        <f>INDEX(Erfassung5!AQ:AQ,MATCH($A16,Erfassung5!$BR:$BR,0)-1)</f>
        <v>762</v>
      </c>
      <c r="R16" s="130">
        <f>INDEX(Erfassung5!AR:AR,MATCH($A16,Erfassung5!$BR:$BR,0))</f>
        <v>0.5</v>
      </c>
      <c r="S16" s="129">
        <f>INDEX(Erfassung5!AS:AS,MATCH($A16,Erfassung5!$BR:$BR,0)-1)</f>
        <v>754</v>
      </c>
      <c r="T16" s="130">
        <f>INDEX(Erfassung5!AT:AT,MATCH($A16,Erfassung5!$BR:$BR,0))</f>
        <v>1</v>
      </c>
      <c r="U16" s="131">
        <f t="shared" si="0"/>
        <v>7037</v>
      </c>
      <c r="V16" s="132">
        <f t="shared" si="0"/>
        <v>15.5</v>
      </c>
      <c r="W16" s="224">
        <f>IFERROR(U16/INDEX(Erfassung5!BF:BF,MATCH(A16,Erfassung5!BR:BR,0)),0)</f>
        <v>195.47222222222223</v>
      </c>
      <c r="X16" s="25"/>
      <c r="AA16" s="225">
        <f>INDEX(TabGes4!K:K,MATCH($B16,TabGes4!$B:$B,0))+U16</f>
        <v>34324</v>
      </c>
      <c r="AB16" s="225">
        <f>INDEX(TabGes4!L:L,MATCH($B16,TabGes4!$B:$B,0))+V16</f>
        <v>120</v>
      </c>
      <c r="AC16" s="215">
        <f t="shared" si="1"/>
        <v>120.000034324</v>
      </c>
      <c r="AD16" s="215">
        <f t="shared" si="2"/>
        <v>7</v>
      </c>
      <c r="AE16" s="215">
        <f>INDEX(Tabelle4!AE:AE,MATCH(B16,Tabelle4!B:B,0))+SUMIF(Erfassung5!BU:BU,B16,Erfassung5!BF:BF)</f>
        <v>180</v>
      </c>
    </row>
    <row r="19" spans="2:23" ht="15.6" x14ac:dyDescent="0.3">
      <c r="B19" s="382" t="s">
        <v>1827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3"/>
      <c r="V19" s="383"/>
      <c r="W19" s="383"/>
    </row>
    <row r="20" spans="2:23" x14ac:dyDescent="0.25">
      <c r="C20" s="383"/>
      <c r="D20" s="383"/>
      <c r="E20" s="383"/>
      <c r="F20" s="383"/>
      <c r="G20" s="383"/>
      <c r="H20" s="383"/>
    </row>
    <row r="21" spans="2:23" x14ac:dyDescent="0.25">
      <c r="B21" s="166" t="s">
        <v>1826</v>
      </c>
      <c r="C21" t="str">
        <f>IFERROR(INDEX(Erfassung5!AA:AA,MATCH(1,Erfassung5!BV:BV,0)),"")</f>
        <v>Hinterwimmer, Sebastian</v>
      </c>
      <c r="H21" t="str">
        <f>INDEX(Erfassung5!BU:BU,MATCH(C21,Erfassung5!AA:AA,0))</f>
        <v>BK München 3</v>
      </c>
      <c r="N21" s="133">
        <f>IFERROR(ROUND(INDEX(Erfassung5!BT:BT,MATCH(1,Erfassung5!BV:BV,0)),0),"")</f>
        <v>300</v>
      </c>
    </row>
    <row r="22" spans="2:23" x14ac:dyDescent="0.25">
      <c r="B22" s="166"/>
      <c r="C22" t="str">
        <f>IF(N22="","",IFERROR(INDEX(Erfassung5!AA:AA,MATCH(2,Erfassung5!BV:BV,0)),""))</f>
        <v>Schwarz, Jan</v>
      </c>
      <c r="H22" t="str">
        <f>IF(C22="","",INDEX(Erfassung5!BU:BU,MATCH(C22,Erfassung5!AA:AA,0)))</f>
        <v>BC Comet Nürnberg</v>
      </c>
      <c r="N22" s="134">
        <f>IF(IFERROR(ROUND(INDEX(Erfassung5!BT:BT,MATCH(2,Erfassung5!BV:BV,0)),0),0)=0,"",IFERROR(ROUND(INDEX(Erfassung5!BT:BT,MATCH(2,Erfassung5!BV:BV,0)),0),0))</f>
        <v>300</v>
      </c>
    </row>
    <row r="23" spans="2:23" x14ac:dyDescent="0.25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x14ac:dyDescent="0.25">
      <c r="B24" s="166" t="s">
        <v>1828</v>
      </c>
      <c r="C24" t="str">
        <f>IFERROR(INDEX(Erfassung5!AA:AA,MATCH(1,Erfassung5!BZ:BZ,0)),"")</f>
        <v>Birkner, Jochen</v>
      </c>
      <c r="H24" t="str">
        <f>INDEX(Erfassung5!BU:BU,MATCH(C24,Erfassung5!AA:AA,0))</f>
        <v>RW Lichtenhof Stein 1</v>
      </c>
      <c r="N24" s="384" t="str">
        <f>IFERROR(ROUND(INDEX(Erfassung5!BW:BW,MATCH(1,Erfassung5!BZ:BZ,0)),0),"")&amp;"  /  "&amp;ROUND(IFERROR(ROUND(INDEX(Erfassung5!BW:BW,MATCH(1,Erfassung5!BZ:BZ,0)),0),"")/9,2)</f>
        <v>2136  /  237,33</v>
      </c>
      <c r="O24" s="384"/>
      <c r="P24" s="384"/>
    </row>
    <row r="25" spans="2:23" x14ac:dyDescent="0.25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25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5" priority="1" stopIfTrue="1" rank="1"/>
  </conditionalFormatting>
  <conditionalFormatting sqref="U7:U16">
    <cfRule type="top10" dxfId="4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topLeftCell="A4"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12" width="8.6640625" customWidth="1"/>
    <col min="13" max="13" width="13.44140625" customWidth="1"/>
    <col min="14" max="14" width="9.44140625" customWidth="1"/>
    <col min="16" max="16" width="6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6" t="str">
        <f>"Saison "&amp;Spielorte!C18&amp;"     -     Spieltag "&amp;Erfassung5!AS2&amp;"     -     "&amp;Erfassung5!AT1</f>
        <v>Saison 2024/2025     -     Spieltag 5     -     15.03./16.03.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6" t="s">
        <v>2082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32"/>
      <c r="C4" s="28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0"/>
      <c r="O4" s="33"/>
    </row>
    <row r="5" spans="1:31" x14ac:dyDescent="0.25">
      <c r="A5" s="389" t="s">
        <v>1816</v>
      </c>
      <c r="B5" s="391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1" t="s">
        <v>1823</v>
      </c>
      <c r="J5" s="380"/>
      <c r="K5" s="381" t="s">
        <v>1824</v>
      </c>
      <c r="L5" s="380"/>
      <c r="M5" s="379" t="s">
        <v>1799</v>
      </c>
      <c r="N5" s="380"/>
      <c r="O5" s="387" t="s">
        <v>1818</v>
      </c>
    </row>
    <row r="6" spans="1:31" ht="13.8" thickBot="1" x14ac:dyDescent="0.3">
      <c r="A6" s="390"/>
      <c r="B6" s="392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8"/>
    </row>
    <row r="7" spans="1:31" ht="42" customHeight="1" thickBot="1" x14ac:dyDescent="0.3">
      <c r="A7" s="34">
        <v>1</v>
      </c>
      <c r="B7" s="128" t="str">
        <f>INDEX(Tabelle5!B:B,MATCH(A7,Tabelle5!AD:AD,0))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5">
        <f>INDEX(Tabelle4!U:U,MATCH(B7,Tabelle4!B:B,0))</f>
        <v>6969</v>
      </c>
      <c r="J7" s="38">
        <f>INDEX(Tabelle4!V:V,MATCH(B7,Tabelle4!B:B,0))</f>
        <v>42</v>
      </c>
      <c r="K7" s="35">
        <f>INDEX(Tabelle5!U:U,MATCH(B7,Tabelle5!B:B,0))</f>
        <v>7708</v>
      </c>
      <c r="L7" s="38">
        <f>INDEX(Tabelle5!V:V,MATCH(B7,Tabelle5!B:B,0))</f>
        <v>33.5</v>
      </c>
      <c r="M7" s="39">
        <f t="shared" ref="M7:M16" si="0">SUM(C7+E7+G7+I7+K7)</f>
        <v>36316</v>
      </c>
      <c r="N7" s="42">
        <f t="shared" ref="N7:N16" si="1">SUM(D7+F7+H7+J7+L7)</f>
        <v>178</v>
      </c>
      <c r="O7" s="37">
        <f>M7/INDEX(Tabelle5!$AE:$AE,MATCH($B7,Tabelle5!$B:$B,0))</f>
        <v>201.75555555555556</v>
      </c>
      <c r="P7" s="25"/>
    </row>
    <row r="8" spans="1:31" ht="42" customHeight="1" thickBot="1" x14ac:dyDescent="0.3">
      <c r="A8" s="34">
        <v>2</v>
      </c>
      <c r="B8" s="128" t="str">
        <f>INDEX(Tabelle5!B:B,MATCH(A8,Tabelle5!AD:AD,0))</f>
        <v>BK München 3</v>
      </c>
      <c r="C8" s="35">
        <f>INDEX(Tabelle1!U:U,MATCH(B8,Tabelle1!B:B,0))</f>
        <v>7670</v>
      </c>
      <c r="D8" s="36">
        <f>INDEX(Tabelle1!V:V,MATCH(B8,Tabelle1!B:B,0))</f>
        <v>35</v>
      </c>
      <c r="E8" s="35">
        <f>INDEX(Tabelle2!U:U,MATCH(B8,Tabelle2!B:B,0))</f>
        <v>6866</v>
      </c>
      <c r="F8" s="36">
        <f>INDEX(Tabelle2!V:V,MATCH(B8,Tabelle2!B:B,0))</f>
        <v>25</v>
      </c>
      <c r="G8" s="35">
        <f>INDEX(Tabelle3!U:U,MATCH(B8,Tabelle3!B:B,0))</f>
        <v>6898</v>
      </c>
      <c r="H8" s="38">
        <f>INDEX(Tabelle3!V:V,MATCH(B8,Tabelle3!B:B,0))</f>
        <v>28</v>
      </c>
      <c r="I8" s="35">
        <f>INDEX(Tabelle4!U:U,MATCH(B8,Tabelle4!B:B,0))</f>
        <v>7173</v>
      </c>
      <c r="J8" s="38">
        <f>INDEX(Tabelle4!V:V,MATCH(B8,Tabelle4!B:B,0))</f>
        <v>39.5</v>
      </c>
      <c r="K8" s="35">
        <f>INDEX(Tabelle5!U:U,MATCH(B8,Tabelle5!B:B,0))</f>
        <v>7755</v>
      </c>
      <c r="L8" s="38">
        <f>INDEX(Tabelle5!V:V,MATCH(B8,Tabelle5!B:B,0))</f>
        <v>37.5</v>
      </c>
      <c r="M8" s="39">
        <f t="shared" si="0"/>
        <v>36362</v>
      </c>
      <c r="N8" s="42">
        <f t="shared" si="1"/>
        <v>165</v>
      </c>
      <c r="O8" s="37">
        <f>M8/INDEX(Tabelle5!$AE:$AE,MATCH($B8,Tabelle5!$B:$B,0))</f>
        <v>202.01111111111112</v>
      </c>
      <c r="P8" s="25"/>
    </row>
    <row r="9" spans="1:31" ht="42" customHeight="1" thickBot="1" x14ac:dyDescent="0.3">
      <c r="A9" s="34">
        <v>3</v>
      </c>
      <c r="B9" s="128" t="str">
        <f>INDEX(Tabelle5!B:B,MATCH(A9,Tabelle5!AD:AD,0))</f>
        <v>SG DJK Rimpar</v>
      </c>
      <c r="C9" s="35">
        <f>INDEX(Tabelle1!U:U,MATCH(B9,Tabelle1!B:B,0))</f>
        <v>7439</v>
      </c>
      <c r="D9" s="36">
        <f>INDEX(Tabelle1!V:V,MATCH(B9,Tabelle1!B:B,0))</f>
        <v>29</v>
      </c>
      <c r="E9" s="35">
        <f>INDEX(Tabelle2!U:U,MATCH(B9,Tabelle2!B:B,0))</f>
        <v>7274</v>
      </c>
      <c r="F9" s="36">
        <f>INDEX(Tabelle2!V:V,MATCH(B9,Tabelle2!B:B,0))</f>
        <v>40.5</v>
      </c>
      <c r="G9" s="35">
        <f>INDEX(Tabelle3!U:U,MATCH(B9,Tabelle3!B:B,0))</f>
        <v>6683</v>
      </c>
      <c r="H9" s="38">
        <f>INDEX(Tabelle3!V:V,MATCH(B9,Tabelle3!B:B,0))</f>
        <v>27</v>
      </c>
      <c r="I9" s="35">
        <f>INDEX(Tabelle4!U:U,MATCH(B9,Tabelle4!B:B,0))</f>
        <v>6972</v>
      </c>
      <c r="J9" s="38">
        <f>INDEX(Tabelle4!V:V,MATCH(B9,Tabelle4!B:B,0))</f>
        <v>33</v>
      </c>
      <c r="K9" s="35">
        <f>INDEX(Tabelle5!U:U,MATCH(B9,Tabelle5!B:B,0))</f>
        <v>7466</v>
      </c>
      <c r="L9" s="38">
        <f>INDEX(Tabelle5!V:V,MATCH(B9,Tabelle5!B:B,0))</f>
        <v>29</v>
      </c>
      <c r="M9" s="39">
        <f t="shared" si="0"/>
        <v>35834</v>
      </c>
      <c r="N9" s="42">
        <f t="shared" si="1"/>
        <v>158.5</v>
      </c>
      <c r="O9" s="37">
        <f>M9/INDEX(Tabelle5!$AE:$AE,MATCH($B9,Tabelle5!$B:$B,0))</f>
        <v>199.07777777777778</v>
      </c>
      <c r="P9" s="25"/>
    </row>
    <row r="10" spans="1:31" ht="42" customHeight="1" thickBot="1" x14ac:dyDescent="0.3">
      <c r="A10" s="34">
        <v>4</v>
      </c>
      <c r="B10" s="128" t="str">
        <f>INDEX(Tabelle5!B:B,MATCH(A10,Tabelle5!AD:AD,0))</f>
        <v>Bajuwaren München 1</v>
      </c>
      <c r="C10" s="35">
        <f>INDEX(Tabelle1!U:U,MATCH(B10,Tabelle1!B:B,0))</f>
        <v>7404</v>
      </c>
      <c r="D10" s="36">
        <f>INDEX(Tabelle1!V:V,MATCH(B10,Tabelle1!B:B,0))</f>
        <v>39</v>
      </c>
      <c r="E10" s="35">
        <f>INDEX(Tabelle2!U:U,MATCH(B10,Tabelle2!B:B,0))</f>
        <v>6704</v>
      </c>
      <c r="F10" s="36">
        <f>INDEX(Tabelle2!V:V,MATCH(B10,Tabelle2!B:B,0))</f>
        <v>26</v>
      </c>
      <c r="G10" s="35">
        <f>INDEX(Tabelle3!U:U,MATCH(B10,Tabelle3!B:B,0))</f>
        <v>6799</v>
      </c>
      <c r="H10" s="38">
        <f>INDEX(Tabelle3!V:V,MATCH(B10,Tabelle3!B:B,0))</f>
        <v>29</v>
      </c>
      <c r="I10" s="35">
        <f>INDEX(Tabelle4!U:U,MATCH(B10,Tabelle4!B:B,0))</f>
        <v>6407</v>
      </c>
      <c r="J10" s="38">
        <f>INDEX(Tabelle4!V:V,MATCH(B10,Tabelle4!B:B,0))</f>
        <v>21</v>
      </c>
      <c r="K10" s="35">
        <f>INDEX(Tabelle5!U:U,MATCH(B10,Tabelle5!B:B,0))</f>
        <v>7193</v>
      </c>
      <c r="L10" s="38">
        <f>INDEX(Tabelle5!V:V,MATCH(B10,Tabelle5!B:B,0))</f>
        <v>28</v>
      </c>
      <c r="M10" s="39">
        <f t="shared" si="0"/>
        <v>34507</v>
      </c>
      <c r="N10" s="42">
        <f t="shared" si="1"/>
        <v>143</v>
      </c>
      <c r="O10" s="37">
        <f>M10/INDEX(Tabelle5!$AE:$AE,MATCH($B10,Tabelle5!$B:$B,0))</f>
        <v>191.70555555555555</v>
      </c>
      <c r="P10" s="25"/>
    </row>
    <row r="11" spans="1:31" ht="42" customHeight="1" thickBot="1" x14ac:dyDescent="0.3">
      <c r="A11" s="34">
        <v>5</v>
      </c>
      <c r="B11" s="128" t="str">
        <f>INDEX(Tabelle5!B:B,MATCH(A11,Tabelle5!AD:AD,0))</f>
        <v>SG Rottendorf 1</v>
      </c>
      <c r="C11" s="35">
        <f>INDEX(Tabelle1!U:U,MATCH(B11,Tabelle1!B:B,0))</f>
        <v>6830</v>
      </c>
      <c r="D11" s="36">
        <f>INDEX(Tabelle1!V:V,MATCH(B11,Tabelle1!B:B,0))</f>
        <v>26.5</v>
      </c>
      <c r="E11" s="35">
        <f>INDEX(Tabelle2!U:U,MATCH(B11,Tabelle2!B:B,0))</f>
        <v>6788</v>
      </c>
      <c r="F11" s="36">
        <f>INDEX(Tabelle2!V:V,MATCH(B11,Tabelle2!B:B,0))</f>
        <v>30</v>
      </c>
      <c r="G11" s="35">
        <f>INDEX(Tabelle3!U:U,MATCH(B11,Tabelle3!B:B,0))</f>
        <v>6507</v>
      </c>
      <c r="H11" s="38">
        <f>INDEX(Tabelle3!V:V,MATCH(B11,Tabelle3!B:B,0))</f>
        <v>20</v>
      </c>
      <c r="I11" s="35">
        <f>INDEX(Tabelle4!U:U,MATCH(B11,Tabelle4!B:B,0))</f>
        <v>6501</v>
      </c>
      <c r="J11" s="38">
        <f>INDEX(Tabelle4!V:V,MATCH(B11,Tabelle4!B:B,0))</f>
        <v>32</v>
      </c>
      <c r="K11" s="35">
        <f>INDEX(Tabelle5!U:U,MATCH(B11,Tabelle5!B:B,0))</f>
        <v>7259</v>
      </c>
      <c r="L11" s="38">
        <f>INDEX(Tabelle5!V:V,MATCH(B11,Tabelle5!B:B,0))</f>
        <v>27</v>
      </c>
      <c r="M11" s="39">
        <f t="shared" si="0"/>
        <v>33885</v>
      </c>
      <c r="N11" s="42">
        <f t="shared" si="1"/>
        <v>135.5</v>
      </c>
      <c r="O11" s="37">
        <f>M11/INDEX(Tabelle5!$AE:$AE,MATCH($B11,Tabelle5!$B:$B,0))</f>
        <v>189.30167597765364</v>
      </c>
      <c r="P11" s="25"/>
    </row>
    <row r="12" spans="1:31" ht="42" customHeight="1" thickBot="1" x14ac:dyDescent="0.3">
      <c r="A12" s="34">
        <v>6</v>
      </c>
      <c r="B12" s="128" t="str">
        <f>INDEX(Tabelle5!B:B,MATCH(A12,Tabelle5!AD:AD,0))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5">
        <f>INDEX(Tabelle4!U:U,MATCH(B12,Tabelle4!B:B,0))</f>
        <v>6417</v>
      </c>
      <c r="J12" s="38">
        <f>INDEX(Tabelle4!V:V,MATCH(B12,Tabelle4!B:B,0))</f>
        <v>27</v>
      </c>
      <c r="K12" s="35">
        <f>INDEX(Tabelle5!U:U,MATCH(B12,Tabelle5!B:B,0))</f>
        <v>7368</v>
      </c>
      <c r="L12" s="38">
        <f>INDEX(Tabelle5!V:V,MATCH(B12,Tabelle5!B:B,0))</f>
        <v>28</v>
      </c>
      <c r="M12" s="39">
        <f t="shared" si="0"/>
        <v>34335</v>
      </c>
      <c r="N12" s="42">
        <f t="shared" si="1"/>
        <v>134.5</v>
      </c>
      <c r="O12" s="37">
        <f>M12/INDEX(Tabelle5!$AE:$AE,MATCH($B12,Tabelle5!$B:$B,0))</f>
        <v>192.8932584269663</v>
      </c>
      <c r="P12" s="25"/>
    </row>
    <row r="13" spans="1:31" ht="42" customHeight="1" thickBot="1" x14ac:dyDescent="0.3">
      <c r="A13" s="34">
        <v>7</v>
      </c>
      <c r="B13" s="128" t="str">
        <f>INDEX(Tabelle5!B:B,MATCH(A13,Tabelle5!AD:AD,0))</f>
        <v>Bowlinghaus Bamberg 1</v>
      </c>
      <c r="C13" s="35">
        <f>INDEX(Tabelle1!U:U,MATCH(B13,Tabelle1!B:B,0))</f>
        <v>6986</v>
      </c>
      <c r="D13" s="36">
        <f>INDEX(Tabelle1!V:V,MATCH(B13,Tabelle1!B:B,0))</f>
        <v>28.5</v>
      </c>
      <c r="E13" s="35">
        <f>INDEX(Tabelle2!U:U,MATCH(B13,Tabelle2!B:B,0))</f>
        <v>6944</v>
      </c>
      <c r="F13" s="36">
        <f>INDEX(Tabelle2!V:V,MATCH(B13,Tabelle2!B:B,0))</f>
        <v>31.5</v>
      </c>
      <c r="G13" s="35">
        <f>INDEX(Tabelle3!U:U,MATCH(B13,Tabelle3!B:B,0))</f>
        <v>6842</v>
      </c>
      <c r="H13" s="38">
        <f>INDEX(Tabelle3!V:V,MATCH(B13,Tabelle3!B:B,0))</f>
        <v>26</v>
      </c>
      <c r="I13" s="35">
        <f>INDEX(Tabelle4!U:U,MATCH(B13,Tabelle4!B:B,0))</f>
        <v>6515</v>
      </c>
      <c r="J13" s="38">
        <f>INDEX(Tabelle4!V:V,MATCH(B13,Tabelle4!B:B,0))</f>
        <v>18.5</v>
      </c>
      <c r="K13" s="35">
        <f>INDEX(Tabelle5!U:U,MATCH(B13,Tabelle5!B:B,0))</f>
        <v>7037</v>
      </c>
      <c r="L13" s="38">
        <f>INDEX(Tabelle5!V:V,MATCH(B13,Tabelle5!B:B,0))</f>
        <v>15.5</v>
      </c>
      <c r="M13" s="39">
        <f t="shared" si="0"/>
        <v>34324</v>
      </c>
      <c r="N13" s="42">
        <f t="shared" si="1"/>
        <v>120</v>
      </c>
      <c r="O13" s="37">
        <f>M13/INDEX(Tabelle5!$AE:$AE,MATCH($B13,Tabelle5!$B:$B,0))</f>
        <v>190.6888888888889</v>
      </c>
      <c r="P13" s="25"/>
    </row>
    <row r="14" spans="1:31" ht="42" customHeight="1" thickBot="1" x14ac:dyDescent="0.3">
      <c r="A14" s="34">
        <v>8</v>
      </c>
      <c r="B14" s="128" t="str">
        <f>INDEX(Tabelle5!B:B,MATCH(A14,Tabelle5!AD:AD,0))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35">
        <f>INDEX(Tabelle3!U:U,MATCH(B14,Tabelle3!B:B,0))</f>
        <v>6507</v>
      </c>
      <c r="H14" s="38">
        <f>INDEX(Tabelle3!V:V,MATCH(B14,Tabelle3!B:B,0))</f>
        <v>23</v>
      </c>
      <c r="I14" s="35">
        <f>INDEX(Tabelle4!U:U,MATCH(B14,Tabelle4!B:B,0))</f>
        <v>6152</v>
      </c>
      <c r="J14" s="38">
        <f>INDEX(Tabelle4!V:V,MATCH(B14,Tabelle4!B:B,0))</f>
        <v>20</v>
      </c>
      <c r="K14" s="35">
        <f>INDEX(Tabelle5!U:U,MATCH(B14,Tabelle5!B:B,0))</f>
        <v>7276</v>
      </c>
      <c r="L14" s="38">
        <f>INDEX(Tabelle5!V:V,MATCH(B14,Tabelle5!B:B,0))</f>
        <v>23</v>
      </c>
      <c r="M14" s="39">
        <f t="shared" si="0"/>
        <v>33272</v>
      </c>
      <c r="N14" s="42">
        <f t="shared" si="1"/>
        <v>109.5</v>
      </c>
      <c r="O14" s="37">
        <f>M14/INDEX(Tabelle5!$AE:$AE,MATCH($B14,Tabelle5!$B:$B,0))</f>
        <v>184.84444444444443</v>
      </c>
      <c r="P14" s="25"/>
    </row>
    <row r="15" spans="1:31" ht="42" customHeight="1" thickBot="1" x14ac:dyDescent="0.3">
      <c r="A15" s="34">
        <v>9</v>
      </c>
      <c r="B15" s="128" t="str">
        <f>INDEX(Tabelle5!B:B,MATCH(A15,Tabelle5!AD:AD,0))</f>
        <v>Schanzer Ingolstadt 1</v>
      </c>
      <c r="C15" s="35">
        <f>INDEX(Tabelle1!U:U,MATCH(B15,Tabelle1!B:B,0))</f>
        <v>6254</v>
      </c>
      <c r="D15" s="36">
        <f>INDEX(Tabelle1!V:V,MATCH(B15,Tabelle1!B:B,0))</f>
        <v>14</v>
      </c>
      <c r="E15" s="35">
        <f>INDEX(Tabelle2!U:U,MATCH(B15,Tabelle2!B:B,0))</f>
        <v>6398</v>
      </c>
      <c r="F15" s="36">
        <f>INDEX(Tabelle2!V:V,MATCH(B15,Tabelle2!B:B,0))</f>
        <v>20</v>
      </c>
      <c r="G15" s="35">
        <f>INDEX(Tabelle3!U:U,MATCH(B15,Tabelle3!B:B,0))</f>
        <v>6642</v>
      </c>
      <c r="H15" s="38">
        <f>INDEX(Tabelle3!V:V,MATCH(B15,Tabelle3!B:B,0))</f>
        <v>34</v>
      </c>
      <c r="I15" s="35">
        <f>INDEX(Tabelle4!U:U,MATCH(B15,Tabelle4!B:B,0))</f>
        <v>6122</v>
      </c>
      <c r="J15" s="38">
        <f>INDEX(Tabelle4!V:V,MATCH(B15,Tabelle4!B:B,0))</f>
        <v>17</v>
      </c>
      <c r="K15" s="35">
        <f>INDEX(Tabelle5!U:U,MATCH(B15,Tabelle5!B:B,0))</f>
        <v>7130</v>
      </c>
      <c r="L15" s="38">
        <f>INDEX(Tabelle5!V:V,MATCH(B15,Tabelle5!B:B,0))</f>
        <v>20.5</v>
      </c>
      <c r="M15" s="39">
        <f t="shared" si="0"/>
        <v>32546</v>
      </c>
      <c r="N15" s="42">
        <f t="shared" si="1"/>
        <v>105.5</v>
      </c>
      <c r="O15" s="37">
        <f>M15/INDEX(Tabelle5!$AE:$AE,MATCH($B15,Tabelle5!$B:$B,0))</f>
        <v>180.8111111111111</v>
      </c>
      <c r="P15" s="25"/>
    </row>
    <row r="16" spans="1:31" ht="42" customHeight="1" thickBot="1" x14ac:dyDescent="0.3">
      <c r="A16" s="34">
        <v>10</v>
      </c>
      <c r="B16" s="128" t="str">
        <f>INDEX(Tabelle5!B:B,MATCH(A16,Tabelle5!AD:AD,0))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5">
        <f>INDEX(Tabelle4!U:U,MATCH(B16,Tabelle4!B:B,0))</f>
        <v>6336</v>
      </c>
      <c r="J16" s="38">
        <f>INDEX(Tabelle4!V:V,MATCH(B16,Tabelle4!B:B,0))</f>
        <v>20</v>
      </c>
      <c r="K16" s="35">
        <f>INDEX(Tabelle5!U:U,MATCH(B16,Tabelle5!B:B,0))</f>
        <v>7465</v>
      </c>
      <c r="L16" s="38">
        <f>INDEX(Tabelle5!V:V,MATCH(B16,Tabelle5!B:B,0))</f>
        <v>28</v>
      </c>
      <c r="M16" s="39">
        <f t="shared" si="0"/>
        <v>33509</v>
      </c>
      <c r="N16" s="42">
        <f t="shared" si="1"/>
        <v>100.5</v>
      </c>
      <c r="O16" s="37">
        <f>M16/INDEX(Tabelle5!$AE:$AE,MATCH($B16,Tabelle5!$B:$B,0))</f>
        <v>186.1611111111111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6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topLeftCell="A10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16253</v>
      </c>
      <c r="M2">
        <f>SUMIF(Erfassung5!BD:BD,L2,Erfassung5!BW:BW)</f>
        <v>1972</v>
      </c>
      <c r="N2">
        <f>SUMIF(Erfassung5!BD:BD,L2,Erfassung5!BG:BG)</f>
        <v>9</v>
      </c>
      <c r="O2">
        <f t="shared" ref="O2:O65" si="0">IF(N2=0,0,M2/N2-ROW()/1000000000)</f>
        <v>219.11111110911111</v>
      </c>
      <c r="P2">
        <f t="shared" ref="P2:P65" si="1">RANK(O2,O:O)</f>
        <v>6</v>
      </c>
    </row>
    <row r="3" spans="1:16" x14ac:dyDescent="0.25">
      <c r="L3" s="227">
        <f>INDEX(Starter!A:A,ROW()-1)</f>
        <v>38687</v>
      </c>
      <c r="M3">
        <f>SUMIF(Erfassung5!BD:BD,L3,Erfassung5!BW:BW)</f>
        <v>1004</v>
      </c>
      <c r="N3">
        <f>SUMIF(Erfassung5!BD:BD,L3,Erfassung5!BG:BG)</f>
        <v>5</v>
      </c>
      <c r="O3">
        <f t="shared" si="0"/>
        <v>200.79999999700001</v>
      </c>
      <c r="P3">
        <f t="shared" si="1"/>
        <v>26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SUMIF(Erfassung5!BD:BD,L4,Erfassung5!BW:BW)</f>
        <v>2023</v>
      </c>
      <c r="N4">
        <f>SUMIF(Erfassung5!BD:BD,L4,Erfassung5!BG:BG)</f>
        <v>9</v>
      </c>
      <c r="O4">
        <f t="shared" si="0"/>
        <v>224.77777777377779</v>
      </c>
      <c r="P4">
        <f t="shared" si="1"/>
        <v>2</v>
      </c>
    </row>
    <row r="5" spans="1:16" x14ac:dyDescent="0.25">
      <c r="A5">
        <v>1</v>
      </c>
      <c r="B5">
        <f t="shared" ref="B5:B36" si="2">IFERROR(INDEX(L:L,MATCH(A5,P:P,0)),"")</f>
        <v>7937</v>
      </c>
      <c r="C5" t="str">
        <f>IFERROR(INDEX(Starter!B:B,MATCH(B5,Starter!A:A,0)),"")</f>
        <v>Birkner, Jochen</v>
      </c>
      <c r="D5" t="str">
        <f>IFERROR(INDEX(Starter!C:C,MATCH(B5,Starter!A:A,0)),"")</f>
        <v>BF Rot-Weiß Lichtenhof 69</v>
      </c>
      <c r="E5" s="102">
        <f t="shared" ref="E5:E36" si="3">IFERROR(INDEX(M:M,MATCH(A5,P:P,0)),"")</f>
        <v>2136</v>
      </c>
      <c r="F5">
        <f t="shared" ref="F5:F36" si="4">IFERROR(INDEX(N:N,MATCH(A5,P:P,0)),"")</f>
        <v>9</v>
      </c>
      <c r="G5" s="137">
        <f t="shared" ref="G5:G36" si="5">IFERROR(INDEX(O:O,MATCH(A5,P:P,0)),"")</f>
        <v>237.33333329233335</v>
      </c>
      <c r="L5" s="227">
        <f>INDEX(Starter!A:A,ROW()-1)</f>
        <v>16301</v>
      </c>
      <c r="M5">
        <f>SUMIF(Erfassung5!BD:BD,L5,Erfassung5!BW:BW)</f>
        <v>1306</v>
      </c>
      <c r="N5">
        <f>SUMIF(Erfassung5!BD:BD,L5,Erfassung5!BG:BG)</f>
        <v>7</v>
      </c>
      <c r="O5">
        <f t="shared" si="0"/>
        <v>186.57142856642858</v>
      </c>
      <c r="P5">
        <f t="shared" si="1"/>
        <v>42</v>
      </c>
    </row>
    <row r="6" spans="1:16" x14ac:dyDescent="0.25">
      <c r="A6">
        <f t="shared" ref="A6:A37" si="6">IFERROR(IF(A5+1&gt;MAX(P:P)-1,"",A5+1),"")</f>
        <v>2</v>
      </c>
      <c r="B6">
        <f t="shared" si="2"/>
        <v>10622</v>
      </c>
      <c r="C6" t="str">
        <f>IFERROR(INDEX(Starter!B:B,MATCH(B6,Starter!A:A,0)),"")</f>
        <v>Kreß, Michael</v>
      </c>
      <c r="D6" t="str">
        <f>IFERROR(INDEX(Starter!C:C,MATCH(B6,Starter!A:A,0)),"")</f>
        <v>DJK Rimpar</v>
      </c>
      <c r="E6" s="102">
        <f t="shared" si="3"/>
        <v>2023</v>
      </c>
      <c r="F6">
        <f t="shared" si="4"/>
        <v>9</v>
      </c>
      <c r="G6" s="137">
        <f t="shared" si="5"/>
        <v>224.77777777377779</v>
      </c>
      <c r="L6" s="227">
        <f>INDEX(Starter!A:A,ROW()-1)</f>
        <v>38411</v>
      </c>
      <c r="M6">
        <f>SUMIF(Erfassung5!BD:BD,L6,Erfassung5!BW:BW)</f>
        <v>1599</v>
      </c>
      <c r="N6">
        <f>SUMIF(Erfassung5!BD:BD,L6,Erfassung5!BG:BG)</f>
        <v>9</v>
      </c>
      <c r="O6">
        <f t="shared" si="0"/>
        <v>177.66666666066666</v>
      </c>
      <c r="P6">
        <f t="shared" si="1"/>
        <v>46</v>
      </c>
    </row>
    <row r="7" spans="1:16" x14ac:dyDescent="0.25">
      <c r="A7">
        <f t="shared" si="6"/>
        <v>3</v>
      </c>
      <c r="B7">
        <f t="shared" si="2"/>
        <v>7885</v>
      </c>
      <c r="C7" t="str">
        <f>IFERROR(INDEX(Starter!B:B,MATCH(B7,Starter!A:A,0)),"")</f>
        <v>Hinterwimmer, Sebastian</v>
      </c>
      <c r="D7" t="str">
        <f>IFERROR(INDEX(Starter!C:C,MATCH(B7,Starter!A:A,0)),"")</f>
        <v>BK München</v>
      </c>
      <c r="E7" s="102">
        <f t="shared" si="3"/>
        <v>2013</v>
      </c>
      <c r="F7">
        <f t="shared" si="4"/>
        <v>9</v>
      </c>
      <c r="G7" s="137">
        <f t="shared" si="5"/>
        <v>223.66666664966667</v>
      </c>
      <c r="L7" s="227">
        <f>INDEX(Starter!A:A,ROW()-1)</f>
        <v>38361</v>
      </c>
      <c r="M7">
        <f>SUMIF(Erfassung5!BD:BD,L7,Erfassung5!BW:BW)</f>
        <v>1647</v>
      </c>
      <c r="N7">
        <f>SUMIF(Erfassung5!BD:BD,L7,Erfassung5!BG:BG)</f>
        <v>9</v>
      </c>
      <c r="O7">
        <f t="shared" si="0"/>
        <v>182.99999999299999</v>
      </c>
      <c r="P7">
        <f t="shared" si="1"/>
        <v>44</v>
      </c>
    </row>
    <row r="8" spans="1:16" x14ac:dyDescent="0.25">
      <c r="A8">
        <f t="shared" si="6"/>
        <v>4</v>
      </c>
      <c r="B8">
        <f t="shared" si="2"/>
        <v>7867</v>
      </c>
      <c r="C8" t="str">
        <f>IFERROR(INDEX(Starter!B:B,MATCH(B8,Starter!A:A,0)),"")</f>
        <v>Hinterwimmer, Georg</v>
      </c>
      <c r="D8" t="str">
        <f>IFERROR(INDEX(Starter!C:C,MATCH(B8,Starter!A:A,0)),"")</f>
        <v>BK München</v>
      </c>
      <c r="E8" s="102">
        <f t="shared" si="3"/>
        <v>2012</v>
      </c>
      <c r="F8">
        <f t="shared" si="4"/>
        <v>9</v>
      </c>
      <c r="G8" s="137">
        <f t="shared" si="5"/>
        <v>223.55555554155555</v>
      </c>
      <c r="L8" s="227">
        <f>INDEX(Starter!A:A,ROW()-1)</f>
        <v>38550</v>
      </c>
      <c r="M8">
        <f>SUMIF(Erfassung5!BD:BD,L8,Erfassung5!BW:BW)</f>
        <v>1941</v>
      </c>
      <c r="N8">
        <f>SUMIF(Erfassung5!BD:BD,L8,Erfassung5!BG:BG)</f>
        <v>9</v>
      </c>
      <c r="O8">
        <f t="shared" si="0"/>
        <v>215.66666665866666</v>
      </c>
      <c r="P8">
        <f t="shared" si="1"/>
        <v>10</v>
      </c>
    </row>
    <row r="9" spans="1:16" x14ac:dyDescent="0.25">
      <c r="A9">
        <f t="shared" si="6"/>
        <v>5</v>
      </c>
      <c r="B9">
        <f t="shared" si="2"/>
        <v>7734</v>
      </c>
      <c r="C9" t="str">
        <f>IFERROR(INDEX(Starter!B:B,MATCH(B9,Starter!A:A,0)),"")</f>
        <v>Schwarz, Jan</v>
      </c>
      <c r="D9" t="str">
        <f>IFERROR(INDEX(Starter!C:C,MATCH(B9,Starter!A:A,0)),"")</f>
        <v>Comet</v>
      </c>
      <c r="E9" s="102">
        <f t="shared" si="3"/>
        <v>2010</v>
      </c>
      <c r="F9">
        <f t="shared" si="4"/>
        <v>9</v>
      </c>
      <c r="G9" s="137">
        <f t="shared" si="5"/>
        <v>223.33333330533335</v>
      </c>
      <c r="L9" s="227">
        <f>INDEX(Starter!A:A,ROW()-1)</f>
        <v>7348</v>
      </c>
      <c r="M9">
        <f>SUMIF(Erfassung5!BD:BD,L9,Erfassung5!BW:BW)</f>
        <v>1943</v>
      </c>
      <c r="N9">
        <f>SUMIF(Erfassung5!BD:BD,L9,Erfassung5!BG:BG)</f>
        <v>9</v>
      </c>
      <c r="O9">
        <f t="shared" si="0"/>
        <v>215.8888888798889</v>
      </c>
      <c r="P9">
        <f t="shared" si="1"/>
        <v>9</v>
      </c>
    </row>
    <row r="10" spans="1:16" x14ac:dyDescent="0.25">
      <c r="A10">
        <f t="shared" si="6"/>
        <v>6</v>
      </c>
      <c r="B10">
        <f t="shared" si="2"/>
        <v>16253</v>
      </c>
      <c r="C10" t="str">
        <f>IFERROR(INDEX(Starter!B:B,MATCH(B10,Starter!A:A,0)),"")</f>
        <v>Altenfeld, Marco</v>
      </c>
      <c r="D10" t="str">
        <f>IFERROR(INDEX(Starter!C:C,MATCH(B10,Starter!A:A,0)),"")</f>
        <v>DJK Rimpar</v>
      </c>
      <c r="E10" s="102">
        <f t="shared" si="3"/>
        <v>1972</v>
      </c>
      <c r="F10">
        <f t="shared" si="4"/>
        <v>9</v>
      </c>
      <c r="G10" s="137">
        <f t="shared" si="5"/>
        <v>219.11111110911111</v>
      </c>
      <c r="L10" s="227">
        <f>INDEX(Starter!A:A,ROW()-1)</f>
        <v>16852</v>
      </c>
      <c r="M10">
        <f>SUMIF(Erfassung5!BD:BD,L10,Erfassung5!BW:BW)</f>
        <v>596</v>
      </c>
      <c r="N10">
        <f>SUMIF(Erfassung5!BD:BD,L10,Erfassung5!BG:BG)</f>
        <v>3</v>
      </c>
      <c r="O10">
        <f t="shared" si="0"/>
        <v>198.66666665666665</v>
      </c>
      <c r="P10">
        <f t="shared" si="1"/>
        <v>30</v>
      </c>
    </row>
    <row r="11" spans="1:16" x14ac:dyDescent="0.25">
      <c r="A11">
        <f t="shared" si="6"/>
        <v>7</v>
      </c>
      <c r="B11">
        <f t="shared" si="2"/>
        <v>16862</v>
      </c>
      <c r="C11" t="str">
        <f>IFERROR(INDEX(Starter!B:B,MATCH(B11,Starter!A:A,0)),"")</f>
        <v>Büttner, Christian</v>
      </c>
      <c r="D11" t="str">
        <f>IFERROR(INDEX(Starter!C:C,MATCH(B11,Starter!A:A,0)),"")</f>
        <v>SG Rottendorf</v>
      </c>
      <c r="E11" s="102">
        <f t="shared" si="3"/>
        <v>1957</v>
      </c>
      <c r="F11">
        <f t="shared" si="4"/>
        <v>9</v>
      </c>
      <c r="G11" s="137">
        <f t="shared" si="5"/>
        <v>217.44444439444445</v>
      </c>
      <c r="L11" s="227">
        <f>INDEX(Starter!A:A,ROW()-1)</f>
        <v>16352</v>
      </c>
      <c r="M11">
        <f>SUMIF(Erfassung5!BD:BD,L11,Erfassung5!BW:BW)</f>
        <v>1705</v>
      </c>
      <c r="N11">
        <f>SUMIF(Erfassung5!BD:BD,L11,Erfassung5!BG:BG)</f>
        <v>9</v>
      </c>
      <c r="O11">
        <f t="shared" si="0"/>
        <v>189.44444443344446</v>
      </c>
      <c r="P11">
        <f t="shared" si="1"/>
        <v>40</v>
      </c>
    </row>
    <row r="12" spans="1:16" x14ac:dyDescent="0.25">
      <c r="A12">
        <f t="shared" si="6"/>
        <v>8</v>
      </c>
      <c r="B12">
        <f t="shared" si="2"/>
        <v>16912</v>
      </c>
      <c r="C12" t="str">
        <f>IFERROR(INDEX(Starter!B:B,MATCH(B12,Starter!A:A,0)),"")</f>
        <v>Hellmessen, Maximilian</v>
      </c>
      <c r="D12" t="str">
        <f>IFERROR(INDEX(Starter!C:C,MATCH(B12,Starter!A:A,0)),"")</f>
        <v>BK München</v>
      </c>
      <c r="E12" s="102">
        <f t="shared" si="3"/>
        <v>865</v>
      </c>
      <c r="F12">
        <f t="shared" si="4"/>
        <v>4</v>
      </c>
      <c r="G12" s="137">
        <f t="shared" si="5"/>
        <v>216.249999984</v>
      </c>
      <c r="L12" s="227">
        <f>INDEX(Starter!A:A,ROW()-1)</f>
        <v>16495</v>
      </c>
      <c r="M12">
        <f>SUMIF(Erfassung5!BD:BD,L12,Erfassung5!BW:BW)</f>
        <v>1834</v>
      </c>
      <c r="N12">
        <f>SUMIF(Erfassung5!BD:BD,L12,Erfassung5!BG:BG)</f>
        <v>9</v>
      </c>
      <c r="O12">
        <f t="shared" si="0"/>
        <v>203.77777776577778</v>
      </c>
      <c r="P12">
        <f t="shared" si="1"/>
        <v>24</v>
      </c>
    </row>
    <row r="13" spans="1:16" x14ac:dyDescent="0.25">
      <c r="A13">
        <f t="shared" si="6"/>
        <v>9</v>
      </c>
      <c r="B13">
        <f t="shared" si="2"/>
        <v>7348</v>
      </c>
      <c r="C13" t="str">
        <f>IFERROR(INDEX(Starter!B:B,MATCH(B13,Starter!A:A,0)),"")</f>
        <v>Spielvogel, Jochen</v>
      </c>
      <c r="D13" t="str">
        <f>IFERROR(INDEX(Starter!C:C,MATCH(B13,Starter!A:A,0)),"")</f>
        <v>BC Schanzer Strikers</v>
      </c>
      <c r="E13" s="102">
        <f t="shared" si="3"/>
        <v>1943</v>
      </c>
      <c r="F13">
        <f t="shared" si="4"/>
        <v>9</v>
      </c>
      <c r="G13" s="137">
        <f t="shared" si="5"/>
        <v>215.8888888798889</v>
      </c>
      <c r="L13" s="227">
        <f>INDEX(Starter!A:A,ROW()-1)</f>
        <v>16945</v>
      </c>
      <c r="M13">
        <f>SUMIF(Erfassung5!BD:BD,L13,Erfassung5!BW:BW)</f>
        <v>1167</v>
      </c>
      <c r="N13">
        <f>SUMIF(Erfassung5!BD:BD,L13,Erfassung5!BG:BG)</f>
        <v>6</v>
      </c>
      <c r="O13">
        <f t="shared" si="0"/>
        <v>194.499999987</v>
      </c>
      <c r="P13">
        <f t="shared" si="1"/>
        <v>34</v>
      </c>
    </row>
    <row r="14" spans="1:16" x14ac:dyDescent="0.25">
      <c r="A14">
        <f t="shared" si="6"/>
        <v>10</v>
      </c>
      <c r="B14">
        <f t="shared" si="2"/>
        <v>38550</v>
      </c>
      <c r="C14" t="str">
        <f>IFERROR(INDEX(Starter!B:B,MATCH(B14,Starter!A:A,0)),"")</f>
        <v>Schütze, Oliver</v>
      </c>
      <c r="D14" t="str">
        <f>IFERROR(INDEX(Starter!C:C,MATCH(B14,Starter!A:A,0)),"")</f>
        <v>BC Schanzer Strikers</v>
      </c>
      <c r="E14" s="102">
        <f t="shared" si="3"/>
        <v>1941</v>
      </c>
      <c r="F14">
        <f t="shared" si="4"/>
        <v>9</v>
      </c>
      <c r="G14" s="137">
        <f t="shared" si="5"/>
        <v>215.66666665866666</v>
      </c>
      <c r="L14" s="227">
        <f>INDEX(Starter!A:A,ROW()-1)</f>
        <v>7867</v>
      </c>
      <c r="M14">
        <f>SUMIF(Erfassung5!BD:BD,L14,Erfassung5!BW:BW)</f>
        <v>2012</v>
      </c>
      <c r="N14">
        <f>SUMIF(Erfassung5!BD:BD,L14,Erfassung5!BG:BG)</f>
        <v>9</v>
      </c>
      <c r="O14">
        <f t="shared" si="0"/>
        <v>223.55555554155555</v>
      </c>
      <c r="P14">
        <f t="shared" si="1"/>
        <v>4</v>
      </c>
    </row>
    <row r="15" spans="1:16" x14ac:dyDescent="0.25">
      <c r="A15">
        <f t="shared" si="6"/>
        <v>11</v>
      </c>
      <c r="B15">
        <f t="shared" si="2"/>
        <v>16398</v>
      </c>
      <c r="C15" t="str">
        <f>IFERROR(INDEX(Starter!B:B,MATCH(B15,Starter!A:A,0)),"")</f>
        <v>Denz, Günter</v>
      </c>
      <c r="D15" t="str">
        <f>IFERROR(INDEX(Starter!C:C,MATCH(B15,Starter!A:A,0)),"")</f>
        <v>BC EMAX</v>
      </c>
      <c r="E15" s="102">
        <f t="shared" si="3"/>
        <v>1938</v>
      </c>
      <c r="F15">
        <f t="shared" si="4"/>
        <v>9</v>
      </c>
      <c r="G15" s="137">
        <f t="shared" si="5"/>
        <v>215.33333326733333</v>
      </c>
      <c r="L15" s="227">
        <f>INDEX(Starter!A:A,ROW()-1)</f>
        <v>7597</v>
      </c>
      <c r="M15">
        <f>SUMIF(Erfassung5!BD:BD,L15,Erfassung5!BW:BW)</f>
        <v>1478</v>
      </c>
      <c r="N15">
        <f>SUMIF(Erfassung5!BD:BD,L15,Erfassung5!BG:BG)</f>
        <v>7</v>
      </c>
      <c r="O15">
        <f t="shared" si="0"/>
        <v>211.14285712785713</v>
      </c>
      <c r="P15">
        <f t="shared" si="1"/>
        <v>16</v>
      </c>
    </row>
    <row r="16" spans="1:16" x14ac:dyDescent="0.25">
      <c r="A16">
        <f t="shared" si="6"/>
        <v>12</v>
      </c>
      <c r="B16">
        <f t="shared" si="2"/>
        <v>7102</v>
      </c>
      <c r="C16" t="str">
        <f>IFERROR(INDEX(Starter!B:B,MATCH(B16,Starter!A:A,0)),"")</f>
        <v>Schick, Andreas</v>
      </c>
      <c r="D16" t="str">
        <f>IFERROR(INDEX(Starter!C:C,MATCH(B16,Starter!A:A,0)),"")</f>
        <v>Comet</v>
      </c>
      <c r="E16" s="102">
        <f t="shared" si="3"/>
        <v>1937</v>
      </c>
      <c r="F16">
        <f t="shared" si="4"/>
        <v>9</v>
      </c>
      <c r="G16" s="137">
        <f t="shared" si="5"/>
        <v>215.22222219122222</v>
      </c>
      <c r="L16" s="227">
        <f>INDEX(Starter!A:A,ROW()-1)</f>
        <v>16912</v>
      </c>
      <c r="M16">
        <f>SUMIF(Erfassung5!BD:BD,L16,Erfassung5!BW:BW)</f>
        <v>865</v>
      </c>
      <c r="N16">
        <f>SUMIF(Erfassung5!BD:BD,L16,Erfassung5!BG:BG)</f>
        <v>4</v>
      </c>
      <c r="O16">
        <f t="shared" si="0"/>
        <v>216.249999984</v>
      </c>
      <c r="P16">
        <f t="shared" si="1"/>
        <v>8</v>
      </c>
    </row>
    <row r="17" spans="1:16" x14ac:dyDescent="0.25">
      <c r="A17">
        <f t="shared" si="6"/>
        <v>13</v>
      </c>
      <c r="B17">
        <f t="shared" si="2"/>
        <v>25297</v>
      </c>
      <c r="C17" t="str">
        <f>IFERROR(INDEX(Starter!B:B,MATCH(B17,Starter!A:A,0)),"")</f>
        <v>Lengen, Peter</v>
      </c>
      <c r="D17" t="str">
        <f>IFERROR(INDEX(Starter!C:C,MATCH(B17,Starter!A:A,0)),"")</f>
        <v>BSC Highroller Rosenheim</v>
      </c>
      <c r="E17" s="102">
        <f t="shared" si="3"/>
        <v>1934</v>
      </c>
      <c r="F17">
        <f t="shared" si="4"/>
        <v>9</v>
      </c>
      <c r="G17" s="137">
        <f t="shared" si="5"/>
        <v>214.88888886588887</v>
      </c>
      <c r="L17" s="227">
        <f>INDEX(Starter!A:A,ROW()-1)</f>
        <v>7885</v>
      </c>
      <c r="M17">
        <f>SUMIF(Erfassung5!BD:BD,L17,Erfassung5!BW:BW)</f>
        <v>2013</v>
      </c>
      <c r="N17">
        <f>SUMIF(Erfassung5!BD:BD,L17,Erfassung5!BG:BG)</f>
        <v>9</v>
      </c>
      <c r="O17">
        <f t="shared" si="0"/>
        <v>223.66666664966667</v>
      </c>
      <c r="P17">
        <f t="shared" si="1"/>
        <v>3</v>
      </c>
    </row>
    <row r="18" spans="1:16" x14ac:dyDescent="0.25">
      <c r="A18">
        <f t="shared" si="6"/>
        <v>14</v>
      </c>
      <c r="B18">
        <f t="shared" si="2"/>
        <v>16243</v>
      </c>
      <c r="C18" t="str">
        <f>IFERROR(INDEX(Starter!B:B,MATCH(B18,Starter!A:A,0)),"")</f>
        <v>Glatzer, Daniel</v>
      </c>
      <c r="D18" t="str">
        <f>IFERROR(INDEX(Starter!C:C,MATCH(B18,Starter!A:A,0)),"")</f>
        <v>Comet</v>
      </c>
      <c r="E18" s="102">
        <f t="shared" si="3"/>
        <v>1926</v>
      </c>
      <c r="F18">
        <f t="shared" si="4"/>
        <v>9</v>
      </c>
      <c r="G18" s="137">
        <f t="shared" si="5"/>
        <v>213.99999997399999</v>
      </c>
      <c r="L18" s="227">
        <f>INDEX(Starter!A:A,ROW()-1)</f>
        <v>7408</v>
      </c>
      <c r="M18">
        <f>SUMIF(Erfassung5!BD:BD,L18,Erfassung5!BW:BW)</f>
        <v>1916</v>
      </c>
      <c r="N18">
        <f>SUMIF(Erfassung5!BD:BD,L18,Erfassung5!BG:BG)</f>
        <v>9</v>
      </c>
      <c r="O18">
        <f t="shared" si="0"/>
        <v>212.88888887088888</v>
      </c>
      <c r="P18">
        <f t="shared" si="1"/>
        <v>15</v>
      </c>
    </row>
    <row r="19" spans="1:16" x14ac:dyDescent="0.25">
      <c r="A19">
        <f t="shared" si="6"/>
        <v>15</v>
      </c>
      <c r="B19">
        <f t="shared" si="2"/>
        <v>7408</v>
      </c>
      <c r="C19" t="str">
        <f>IFERROR(INDEX(Starter!B:B,MATCH(B19,Starter!A:A,0)),"")</f>
        <v>Glasl jun., Hans-Jürgen</v>
      </c>
      <c r="D19" t="str">
        <f>IFERROR(INDEX(Starter!C:C,MATCH(B19,Starter!A:A,0)),"")</f>
        <v>BC Bajuwaren 1976 München</v>
      </c>
      <c r="E19" s="102">
        <f t="shared" si="3"/>
        <v>1916</v>
      </c>
      <c r="F19">
        <f t="shared" si="4"/>
        <v>9</v>
      </c>
      <c r="G19" s="137">
        <f t="shared" si="5"/>
        <v>212.88888887088888</v>
      </c>
      <c r="L19" s="227">
        <f>INDEX(Starter!A:A,ROW()-1)</f>
        <v>16762</v>
      </c>
      <c r="M19">
        <f>SUMIF(Erfassung5!BD:BD,L19,Erfassung5!BW:BW)</f>
        <v>0</v>
      </c>
      <c r="N19">
        <f>SUMIF(Erfassung5!BD:BD,L19,Erfassung5!BG:BG)</f>
        <v>0</v>
      </c>
      <c r="O19">
        <f t="shared" si="0"/>
        <v>0</v>
      </c>
      <c r="P19">
        <f t="shared" si="1"/>
        <v>50</v>
      </c>
    </row>
    <row r="20" spans="1:16" x14ac:dyDescent="0.25">
      <c r="A20">
        <f t="shared" si="6"/>
        <v>16</v>
      </c>
      <c r="B20">
        <f t="shared" si="2"/>
        <v>7597</v>
      </c>
      <c r="C20" t="str">
        <f>IFERROR(INDEX(Starter!B:B,MATCH(B20,Starter!A:A,0)),"")</f>
        <v>Laub, Harald</v>
      </c>
      <c r="D20" t="str">
        <f>IFERROR(INDEX(Starter!C:C,MATCH(B20,Starter!A:A,0)),"")</f>
        <v>BK München</v>
      </c>
      <c r="E20" s="102">
        <f t="shared" si="3"/>
        <v>1478</v>
      </c>
      <c r="F20">
        <f t="shared" si="4"/>
        <v>7</v>
      </c>
      <c r="G20" s="137">
        <f t="shared" si="5"/>
        <v>211.14285712785713</v>
      </c>
      <c r="L20" s="227">
        <f>INDEX(Starter!A:A,ROW()-1)</f>
        <v>7600</v>
      </c>
      <c r="M20">
        <f>SUMIF(Erfassung5!BD:BD,L20,Erfassung5!BW:BW)</f>
        <v>1754</v>
      </c>
      <c r="N20">
        <f>SUMIF(Erfassung5!BD:BD,L20,Erfassung5!BG:BG)</f>
        <v>9</v>
      </c>
      <c r="O20">
        <f t="shared" si="0"/>
        <v>194.8888888688889</v>
      </c>
      <c r="P20">
        <f t="shared" si="1"/>
        <v>33</v>
      </c>
    </row>
    <row r="21" spans="1:16" x14ac:dyDescent="0.25">
      <c r="A21">
        <f t="shared" si="6"/>
        <v>17</v>
      </c>
      <c r="B21">
        <f t="shared" si="2"/>
        <v>16896</v>
      </c>
      <c r="C21" t="str">
        <f>IFERROR(INDEX(Starter!B:B,MATCH(B21,Starter!A:A,0)),"")</f>
        <v>Mittelmaier, Andreas</v>
      </c>
      <c r="D21" t="str">
        <f>IFERROR(INDEX(Starter!C:C,MATCH(B21,Starter!A:A,0)),"")</f>
        <v>Comet</v>
      </c>
      <c r="E21" s="102">
        <f t="shared" si="3"/>
        <v>421</v>
      </c>
      <c r="F21">
        <f t="shared" si="4"/>
        <v>2</v>
      </c>
      <c r="G21" s="137">
        <f t="shared" si="5"/>
        <v>210.49999997</v>
      </c>
      <c r="L21" s="227">
        <f>INDEX(Starter!A:A,ROW()-1)</f>
        <v>7416</v>
      </c>
      <c r="M21">
        <f>SUMIF(Erfassung5!BD:BD,L21,Erfassung5!BW:BW)</f>
        <v>1802</v>
      </c>
      <c r="N21">
        <f>SUMIF(Erfassung5!BD:BD,L21,Erfassung5!BG:BG)</f>
        <v>9</v>
      </c>
      <c r="O21">
        <f t="shared" si="0"/>
        <v>200.22222220122222</v>
      </c>
      <c r="P21">
        <f t="shared" si="1"/>
        <v>27</v>
      </c>
    </row>
    <row r="22" spans="1:16" x14ac:dyDescent="0.25">
      <c r="A22">
        <f t="shared" si="6"/>
        <v>18</v>
      </c>
      <c r="B22">
        <f t="shared" si="2"/>
        <v>7724</v>
      </c>
      <c r="C22" t="str">
        <f>IFERROR(INDEX(Starter!B:B,MATCH(B22,Starter!A:A,0)),"")</f>
        <v>Schlick, Christian</v>
      </c>
      <c r="D22" t="str">
        <f>IFERROR(INDEX(Starter!C:C,MATCH(B22,Starter!A:A,0)),"")</f>
        <v>Comet</v>
      </c>
      <c r="E22" s="102">
        <f t="shared" si="3"/>
        <v>1252</v>
      </c>
      <c r="F22">
        <f t="shared" si="4"/>
        <v>6</v>
      </c>
      <c r="G22" s="137">
        <f t="shared" si="5"/>
        <v>208.66666663766665</v>
      </c>
      <c r="L22" s="227">
        <f>INDEX(Starter!A:A,ROW()-1)</f>
        <v>7425</v>
      </c>
      <c r="M22">
        <f>SUMIF(Erfassung5!BD:BD,L22,Erfassung5!BW:BW)</f>
        <v>0</v>
      </c>
      <c r="N22">
        <f>SUMIF(Erfassung5!BD:BD,L22,Erfassung5!BG:BG)</f>
        <v>0</v>
      </c>
      <c r="O22">
        <f t="shared" si="0"/>
        <v>0</v>
      </c>
      <c r="P22">
        <f t="shared" si="1"/>
        <v>50</v>
      </c>
    </row>
    <row r="23" spans="1:16" x14ac:dyDescent="0.25">
      <c r="A23">
        <f t="shared" si="6"/>
        <v>19</v>
      </c>
      <c r="B23">
        <f t="shared" si="2"/>
        <v>10124</v>
      </c>
      <c r="C23" t="str">
        <f>IFERROR(INDEX(Starter!B:B,MATCH(B23,Starter!A:A,0)),"")</f>
        <v>Kristof, Robert</v>
      </c>
      <c r="D23" t="str">
        <f>IFERROR(INDEX(Starter!C:C,MATCH(B23,Starter!A:A,0)),"")</f>
        <v>BF Rot-Weiß Lichtenhof 69</v>
      </c>
      <c r="E23" s="102">
        <f t="shared" si="3"/>
        <v>1871</v>
      </c>
      <c r="F23">
        <f t="shared" si="4"/>
        <v>9</v>
      </c>
      <c r="G23" s="137">
        <f t="shared" si="5"/>
        <v>207.88888884688888</v>
      </c>
      <c r="L23" s="227">
        <f>INDEX(Starter!A:A,ROW()-1)</f>
        <v>25297</v>
      </c>
      <c r="M23">
        <f>SUMIF(Erfassung5!BD:BD,L23,Erfassung5!BW:BW)</f>
        <v>1934</v>
      </c>
      <c r="N23">
        <f>SUMIF(Erfassung5!BD:BD,L23,Erfassung5!BG:BG)</f>
        <v>9</v>
      </c>
      <c r="O23">
        <f t="shared" si="0"/>
        <v>214.88888886588887</v>
      </c>
      <c r="P23">
        <f t="shared" si="1"/>
        <v>13</v>
      </c>
    </row>
    <row r="24" spans="1:16" x14ac:dyDescent="0.25">
      <c r="A24">
        <f t="shared" si="6"/>
        <v>20</v>
      </c>
      <c r="B24">
        <f t="shared" si="2"/>
        <v>7602</v>
      </c>
      <c r="C24" t="str">
        <f>IFERROR(INDEX(Starter!B:B,MATCH(B24,Starter!A:A,0)),"")</f>
        <v>Probst, Marco</v>
      </c>
      <c r="D24" t="str">
        <f>IFERROR(INDEX(Starter!C:C,MATCH(B24,Starter!A:A,0)),"")</f>
        <v>BC EMAX</v>
      </c>
      <c r="E24" s="102">
        <f t="shared" si="3"/>
        <v>1661</v>
      </c>
      <c r="F24">
        <f t="shared" si="4"/>
        <v>8</v>
      </c>
      <c r="G24" s="137">
        <f t="shared" si="5"/>
        <v>207.624999946</v>
      </c>
      <c r="L24" s="227">
        <f>INDEX(Starter!A:A,ROW()-1)</f>
        <v>16888</v>
      </c>
      <c r="M24">
        <f>SUMIF(Erfassung5!BD:BD,L24,Erfassung5!BW:BW)</f>
        <v>1864</v>
      </c>
      <c r="N24">
        <f>SUMIF(Erfassung5!BD:BD,L24,Erfassung5!BG:BG)</f>
        <v>9</v>
      </c>
      <c r="O24">
        <f t="shared" si="0"/>
        <v>207.11111108711111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1864</v>
      </c>
      <c r="F25">
        <f t="shared" si="4"/>
        <v>9</v>
      </c>
      <c r="G25" s="137">
        <f t="shared" si="5"/>
        <v>207.11111108711111</v>
      </c>
      <c r="L25" s="227">
        <f>INDEX(Starter!A:A,ROW()-1)</f>
        <v>38092</v>
      </c>
      <c r="M25">
        <f>SUMIF(Erfassung5!BD:BD,L25,Erfassung5!BW:BW)</f>
        <v>1798</v>
      </c>
      <c r="N25">
        <f>SUMIF(Erfassung5!BD:BD,L25,Erfassung5!BG:BG)</f>
        <v>9</v>
      </c>
      <c r="O25">
        <f t="shared" si="0"/>
        <v>199.77777775277778</v>
      </c>
      <c r="P25">
        <f t="shared" si="1"/>
        <v>28</v>
      </c>
    </row>
    <row r="26" spans="1:16" x14ac:dyDescent="0.25">
      <c r="A26">
        <f t="shared" si="6"/>
        <v>22</v>
      </c>
      <c r="B26">
        <f t="shared" si="2"/>
        <v>16532</v>
      </c>
      <c r="C26" t="str">
        <f>IFERROR(INDEX(Starter!B:B,MATCH(B26,Starter!A:A,0)),"")</f>
        <v>Karl, William</v>
      </c>
      <c r="D26" t="str">
        <f>IFERROR(INDEX(Starter!C:C,MATCH(B26,Starter!A:A,0)),"")</f>
        <v>BC Bamberger Bowlinghaus</v>
      </c>
      <c r="E26" s="102">
        <f t="shared" si="3"/>
        <v>1849</v>
      </c>
      <c r="F26">
        <f t="shared" si="4"/>
        <v>9</v>
      </c>
      <c r="G26" s="137">
        <f t="shared" si="5"/>
        <v>205.44444438744446</v>
      </c>
      <c r="L26" s="227">
        <f>INDEX(Starter!A:A,ROW()-1)</f>
        <v>16243</v>
      </c>
      <c r="M26">
        <f>SUMIF(Erfassung5!BD:BD,L26,Erfassung5!BW:BW)</f>
        <v>1926</v>
      </c>
      <c r="N26">
        <f>SUMIF(Erfassung5!BD:BD,L26,Erfassung5!BG:BG)</f>
        <v>9</v>
      </c>
      <c r="O26">
        <f t="shared" si="0"/>
        <v>213.99999997399999</v>
      </c>
      <c r="P26">
        <f t="shared" si="1"/>
        <v>14</v>
      </c>
    </row>
    <row r="27" spans="1:16" x14ac:dyDescent="0.25">
      <c r="A27">
        <f t="shared" si="6"/>
        <v>23</v>
      </c>
      <c r="B27">
        <f t="shared" si="2"/>
        <v>25325</v>
      </c>
      <c r="C27" t="str">
        <f>IFERROR(INDEX(Starter!B:B,MATCH(B27,Starter!A:A,0)),"")</f>
        <v>Wegenast, Robert</v>
      </c>
      <c r="D27" t="str">
        <f>IFERROR(INDEX(Starter!C:C,MATCH(B27,Starter!A:A,0)),"")</f>
        <v>BC EMAX</v>
      </c>
      <c r="E27" s="102">
        <f t="shared" si="3"/>
        <v>1643</v>
      </c>
      <c r="F27">
        <f t="shared" si="4"/>
        <v>8</v>
      </c>
      <c r="G27" s="137">
        <f t="shared" si="5"/>
        <v>205.37499994500001</v>
      </c>
      <c r="L27" s="227">
        <f>INDEX(Starter!A:A,ROW()-1)</f>
        <v>7725</v>
      </c>
      <c r="M27">
        <f>SUMIF(Erfassung5!BD:BD,L27,Erfassung5!BW:BW)</f>
        <v>162</v>
      </c>
      <c r="N27">
        <f>SUMIF(Erfassung5!BD:BD,L27,Erfassung5!BG:BG)</f>
        <v>1</v>
      </c>
      <c r="O27">
        <f t="shared" si="0"/>
        <v>161.999999973</v>
      </c>
      <c r="P27">
        <f t="shared" si="1"/>
        <v>49</v>
      </c>
    </row>
    <row r="28" spans="1:16" x14ac:dyDescent="0.25">
      <c r="A28">
        <f t="shared" si="6"/>
        <v>24</v>
      </c>
      <c r="B28">
        <f t="shared" si="2"/>
        <v>16495</v>
      </c>
      <c r="C28" t="str">
        <f>IFERROR(INDEX(Starter!B:B,MATCH(B28,Starter!A:A,0)),"")</f>
        <v>Stemmler, Patrick</v>
      </c>
      <c r="D28" t="str">
        <f>IFERROR(INDEX(Starter!C:C,MATCH(B28,Starter!A:A,0)),"")</f>
        <v>SG Rottendorf</v>
      </c>
      <c r="E28" s="102">
        <f t="shared" si="3"/>
        <v>1834</v>
      </c>
      <c r="F28">
        <f t="shared" si="4"/>
        <v>9</v>
      </c>
      <c r="G28" s="137">
        <f t="shared" si="5"/>
        <v>203.77777776577778</v>
      </c>
      <c r="L28" s="227">
        <f>INDEX(Starter!A:A,ROW()-1)</f>
        <v>7734</v>
      </c>
      <c r="M28">
        <f>SUMIF(Erfassung5!BD:BD,L28,Erfassung5!BW:BW)</f>
        <v>2010</v>
      </c>
      <c r="N28">
        <f>SUMIF(Erfassung5!BD:BD,L28,Erfassung5!BG:BG)</f>
        <v>9</v>
      </c>
      <c r="O28">
        <f t="shared" si="0"/>
        <v>223.33333330533335</v>
      </c>
      <c r="P28">
        <f t="shared" si="1"/>
        <v>5</v>
      </c>
    </row>
    <row r="29" spans="1:16" x14ac:dyDescent="0.25">
      <c r="A29">
        <f t="shared" si="6"/>
        <v>25</v>
      </c>
      <c r="B29">
        <f t="shared" si="2"/>
        <v>41008</v>
      </c>
      <c r="C29" t="str">
        <f>IFERROR(INDEX(Starter!B:B,MATCH(B29,Starter!A:A,0)),"")</f>
        <v>Richter, Benjamin</v>
      </c>
      <c r="D29" t="str">
        <f>IFERROR(INDEX(Starter!C:C,MATCH(B29,Starter!A:A,0)),"")</f>
        <v>BC EMAX</v>
      </c>
      <c r="E29" s="102">
        <f t="shared" si="3"/>
        <v>1423</v>
      </c>
      <c r="F29">
        <f t="shared" si="4"/>
        <v>7</v>
      </c>
      <c r="G29" s="137">
        <f t="shared" si="5"/>
        <v>203.28571422071428</v>
      </c>
      <c r="L29" s="227">
        <f>INDEX(Starter!A:A,ROW()-1)</f>
        <v>7724</v>
      </c>
      <c r="M29">
        <f>SUMIF(Erfassung5!BD:BD,L29,Erfassung5!BW:BW)</f>
        <v>1252</v>
      </c>
      <c r="N29">
        <f>SUMIF(Erfassung5!BD:BD,L29,Erfassung5!BG:BG)</f>
        <v>6</v>
      </c>
      <c r="O29">
        <f t="shared" si="0"/>
        <v>208.66666663766665</v>
      </c>
      <c r="P29">
        <f t="shared" si="1"/>
        <v>18</v>
      </c>
    </row>
    <row r="30" spans="1:16" x14ac:dyDescent="0.25">
      <c r="A30">
        <f t="shared" si="6"/>
        <v>26</v>
      </c>
      <c r="B30">
        <f t="shared" si="2"/>
        <v>38687</v>
      </c>
      <c r="C30" t="str">
        <f>IFERROR(INDEX(Starter!B:B,MATCH(B30,Starter!A:A,0)),"")</f>
        <v>Gräfe, Sebastian</v>
      </c>
      <c r="D30" t="str">
        <f>IFERROR(INDEX(Starter!C:C,MATCH(B30,Starter!A:A,0)),"")</f>
        <v>DJK Rimpar</v>
      </c>
      <c r="E30" s="102">
        <f t="shared" si="3"/>
        <v>1004</v>
      </c>
      <c r="F30">
        <f t="shared" si="4"/>
        <v>5</v>
      </c>
      <c r="G30" s="137">
        <f t="shared" si="5"/>
        <v>200.79999999700001</v>
      </c>
      <c r="L30" s="227">
        <f>INDEX(Starter!A:A,ROW()-1)</f>
        <v>16896</v>
      </c>
      <c r="M30">
        <f>SUMIF(Erfassung5!BD:BD,L30,Erfassung5!BW:BW)</f>
        <v>421</v>
      </c>
      <c r="N30">
        <f>SUMIF(Erfassung5!BD:BD,L30,Erfassung5!BG:BG)</f>
        <v>2</v>
      </c>
      <c r="O30">
        <f t="shared" si="0"/>
        <v>210.49999997</v>
      </c>
      <c r="P30">
        <f t="shared" si="1"/>
        <v>17</v>
      </c>
    </row>
    <row r="31" spans="1:16" x14ac:dyDescent="0.25">
      <c r="A31">
        <f t="shared" si="6"/>
        <v>27</v>
      </c>
      <c r="B31">
        <f t="shared" si="2"/>
        <v>7416</v>
      </c>
      <c r="C31" t="str">
        <f>IFERROR(INDEX(Starter!B:B,MATCH(B31,Starter!A:A,0)),"")</f>
        <v>Reichert, Ralph</v>
      </c>
      <c r="D31" t="str">
        <f>IFERROR(INDEX(Starter!C:C,MATCH(B31,Starter!A:A,0)),"")</f>
        <v>BC Bajuwaren 1976 München</v>
      </c>
      <c r="E31" s="102">
        <f t="shared" si="3"/>
        <v>1802</v>
      </c>
      <c r="F31">
        <f t="shared" si="4"/>
        <v>9</v>
      </c>
      <c r="G31" s="137">
        <f t="shared" si="5"/>
        <v>200.22222220122222</v>
      </c>
      <c r="L31" s="227">
        <f>INDEX(Starter!A:A,ROW()-1)</f>
        <v>7102</v>
      </c>
      <c r="M31">
        <f>SUMIF(Erfassung5!BD:BD,L31,Erfassung5!BW:BW)</f>
        <v>1937</v>
      </c>
      <c r="N31">
        <f>SUMIF(Erfassung5!BD:BD,L31,Erfassung5!BG:BG)</f>
        <v>9</v>
      </c>
      <c r="O31">
        <f t="shared" si="0"/>
        <v>215.22222219122222</v>
      </c>
      <c r="P31">
        <f t="shared" si="1"/>
        <v>12</v>
      </c>
    </row>
    <row r="32" spans="1:16" x14ac:dyDescent="0.25">
      <c r="A32">
        <f t="shared" si="6"/>
        <v>28</v>
      </c>
      <c r="B32">
        <f t="shared" si="2"/>
        <v>38092</v>
      </c>
      <c r="C32" t="str">
        <f>IFERROR(INDEX(Starter!B:B,MATCH(B32,Starter!A:A,0)),"")</f>
        <v>Kabel, Nicolas</v>
      </c>
      <c r="D32" t="str">
        <f>IFERROR(INDEX(Starter!C:C,MATCH(B32,Starter!A:A,0)),"")</f>
        <v>BSC Highroller Rosenheim</v>
      </c>
      <c r="E32" s="102">
        <f t="shared" si="3"/>
        <v>1798</v>
      </c>
      <c r="F32">
        <f t="shared" si="4"/>
        <v>9</v>
      </c>
      <c r="G32" s="137">
        <f t="shared" si="5"/>
        <v>199.77777775277778</v>
      </c>
      <c r="L32" s="227">
        <f>INDEX(Starter!A:A,ROW()-1)</f>
        <v>16245</v>
      </c>
      <c r="M32">
        <f>SUMIF(Erfassung5!BD:BD,L32,Erfassung5!BW:BW)</f>
        <v>0</v>
      </c>
      <c r="N32">
        <f>SUMIF(Erfassung5!BD:BD,L32,Erfassung5!BG:BG)</f>
        <v>0</v>
      </c>
      <c r="O32">
        <f t="shared" si="0"/>
        <v>0</v>
      </c>
      <c r="P32">
        <f t="shared" si="1"/>
        <v>50</v>
      </c>
    </row>
    <row r="33" spans="1:16" x14ac:dyDescent="0.25">
      <c r="A33">
        <f t="shared" si="6"/>
        <v>29</v>
      </c>
      <c r="B33">
        <f t="shared" si="2"/>
        <v>16263</v>
      </c>
      <c r="C33" t="str">
        <f>IFERROR(INDEX(Starter!B:B,MATCH(B33,Starter!A:A,0)),"")</f>
        <v>Jackwerth, Enno</v>
      </c>
      <c r="D33" t="str">
        <f>IFERROR(INDEX(Starter!C:C,MATCH(B33,Starter!A:A,0)),"")</f>
        <v>BF Rot-Weiß Lichtenhof 69</v>
      </c>
      <c r="E33" s="102">
        <f t="shared" si="3"/>
        <v>1789</v>
      </c>
      <c r="F33">
        <f t="shared" si="4"/>
        <v>9</v>
      </c>
      <c r="G33" s="137">
        <f t="shared" si="5"/>
        <v>198.77777773477777</v>
      </c>
      <c r="L33" s="227">
        <f>INDEX(Starter!A:A,ROW()-1)</f>
        <v>27134</v>
      </c>
      <c r="M33">
        <f>SUMIF(Erfassung5!BD:BD,L33,Erfassung5!BW:BW)</f>
        <v>523</v>
      </c>
      <c r="N33">
        <f>SUMIF(Erfassung5!BD:BD,L33,Erfassung5!BG:BG)</f>
        <v>3</v>
      </c>
      <c r="O33">
        <f t="shared" si="0"/>
        <v>174.33333330033335</v>
      </c>
      <c r="P33">
        <f t="shared" si="1"/>
        <v>47</v>
      </c>
    </row>
    <row r="34" spans="1:16" x14ac:dyDescent="0.25">
      <c r="A34">
        <f t="shared" si="6"/>
        <v>30</v>
      </c>
      <c r="B34">
        <f t="shared" si="2"/>
        <v>16852</v>
      </c>
      <c r="C34" t="str">
        <f>IFERROR(INDEX(Starter!B:B,MATCH(B34,Starter!A:A,0)),"")</f>
        <v>Wendel, Dominik</v>
      </c>
      <c r="D34" t="str">
        <f>IFERROR(INDEX(Starter!C:C,MATCH(B34,Starter!A:A,0)),"")</f>
        <v>SG Rottendorf</v>
      </c>
      <c r="E34" s="102">
        <f t="shared" si="3"/>
        <v>596</v>
      </c>
      <c r="F34">
        <f t="shared" si="4"/>
        <v>3</v>
      </c>
      <c r="G34" s="137">
        <f t="shared" si="5"/>
        <v>198.66666665666665</v>
      </c>
      <c r="L34" s="227">
        <f>INDEX(Starter!A:A,ROW()-1)</f>
        <v>7883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50</v>
      </c>
    </row>
    <row r="35" spans="1:16" x14ac:dyDescent="0.25">
      <c r="A35">
        <f t="shared" si="6"/>
        <v>31</v>
      </c>
      <c r="B35">
        <f t="shared" si="2"/>
        <v>7591</v>
      </c>
      <c r="C35" t="str">
        <f>IFERROR(INDEX(Starter!B:B,MATCH(B35,Starter!A:A,0)),"")</f>
        <v>Börding, Daniel</v>
      </c>
      <c r="D35" t="str">
        <f>IFERROR(INDEX(Starter!C:C,MATCH(B35,Starter!A:A,0)),"")</f>
        <v>BK München</v>
      </c>
      <c r="E35" s="102">
        <f t="shared" si="3"/>
        <v>1387</v>
      </c>
      <c r="F35">
        <f t="shared" si="4"/>
        <v>7</v>
      </c>
      <c r="G35" s="137">
        <f t="shared" si="5"/>
        <v>198.14285709585715</v>
      </c>
      <c r="L35" s="227">
        <f>INDEX(Starter!A:A,ROW()-1)</f>
        <v>7653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50</v>
      </c>
    </row>
    <row r="36" spans="1:16" x14ac:dyDescent="0.25">
      <c r="A36">
        <f t="shared" si="6"/>
        <v>32</v>
      </c>
      <c r="B36">
        <f t="shared" si="2"/>
        <v>16469</v>
      </c>
      <c r="C36" t="str">
        <f>IFERROR(INDEX(Starter!B:B,MATCH(B36,Starter!A:A,0)),"")</f>
        <v>Breitenstein, Alexander Kurt</v>
      </c>
      <c r="D36" t="str">
        <f>IFERROR(INDEX(Starter!C:C,MATCH(B36,Starter!A:A,0)),"")</f>
        <v>BF Rot-Weiß Lichtenhof 69</v>
      </c>
      <c r="E36" s="102">
        <f t="shared" si="3"/>
        <v>980</v>
      </c>
      <c r="F36">
        <f t="shared" si="4"/>
        <v>5</v>
      </c>
      <c r="G36" s="137">
        <f t="shared" si="5"/>
        <v>195.999999927</v>
      </c>
      <c r="L36" s="227">
        <f>INDEX(Starter!A:A,ROW()-1)</f>
        <v>25554</v>
      </c>
      <c r="M36">
        <f>SUMIF(Erfassung5!BD:BD,L36,Erfassung5!BW:BW)</f>
        <v>180</v>
      </c>
      <c r="N36">
        <f>SUMIF(Erfassung5!BD:BD,L36,Erfassung5!BG:BG)</f>
        <v>1</v>
      </c>
      <c r="O36">
        <f t="shared" si="0"/>
        <v>179.99999996400001</v>
      </c>
      <c r="P36">
        <f t="shared" si="1"/>
        <v>45</v>
      </c>
    </row>
    <row r="37" spans="1:16" x14ac:dyDescent="0.25">
      <c r="A37">
        <f t="shared" si="6"/>
        <v>33</v>
      </c>
      <c r="B37">
        <f t="shared" ref="B37:B68" si="7">IFERROR(INDEX(L:L,MATCH(A37,P:P,0)),"")</f>
        <v>7600</v>
      </c>
      <c r="C37" t="str">
        <f>IFERROR(INDEX(Starter!B:B,MATCH(B37,Starter!A:A,0)),"")</f>
        <v>Lüthje, Dennis</v>
      </c>
      <c r="D37" t="str">
        <f>IFERROR(INDEX(Starter!C:C,MATCH(B37,Starter!A:A,0)),"")</f>
        <v>BC Bajuwaren 1976 München</v>
      </c>
      <c r="E37" s="102">
        <f t="shared" ref="E37:E68" si="8">IFERROR(INDEX(M:M,MATCH(A37,P:P,0)),"")</f>
        <v>1754</v>
      </c>
      <c r="F37">
        <f t="shared" ref="F37:F68" si="9">IFERROR(INDEX(N:N,MATCH(A37,P:P,0)),"")</f>
        <v>9</v>
      </c>
      <c r="G37" s="137">
        <f t="shared" ref="G37:G68" si="10">IFERROR(INDEX(O:O,MATCH(A37,P:P,0)),"")</f>
        <v>194.8888888688889</v>
      </c>
      <c r="L37" s="227">
        <f>INDEX(Starter!A:A,ROW()-1)</f>
        <v>7099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50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16945</v>
      </c>
      <c r="C38" t="str">
        <f>IFERROR(INDEX(Starter!B:B,MATCH(B38,Starter!A:A,0)),"")</f>
        <v>Reichardt, Stefan</v>
      </c>
      <c r="D38" t="str">
        <f>IFERROR(INDEX(Starter!C:C,MATCH(B38,Starter!A:A,0)),"")</f>
        <v>SG Rottendorf</v>
      </c>
      <c r="E38" s="102">
        <f t="shared" si="8"/>
        <v>1167</v>
      </c>
      <c r="F38">
        <f t="shared" si="9"/>
        <v>6</v>
      </c>
      <c r="G38" s="137">
        <f t="shared" si="10"/>
        <v>194.499999987</v>
      </c>
      <c r="L38" s="227">
        <f>INDEX(Starter!A:A,ROW()-1)</f>
        <v>38041</v>
      </c>
      <c r="M38">
        <f>SUMIF(Erfassung5!BD:BD,L38,Erfassung5!BW:BW)</f>
        <v>1741</v>
      </c>
      <c r="N38">
        <f>SUMIF(Erfassung5!BD:BD,L38,Erfassung5!BG:BG)</f>
        <v>9</v>
      </c>
      <c r="O38">
        <f t="shared" si="0"/>
        <v>193.44444440644446</v>
      </c>
      <c r="P38">
        <f t="shared" si="1"/>
        <v>36</v>
      </c>
    </row>
    <row r="39" spans="1:16" x14ac:dyDescent="0.25">
      <c r="A39">
        <f t="shared" si="11"/>
        <v>35</v>
      </c>
      <c r="B39">
        <f t="shared" si="7"/>
        <v>38039</v>
      </c>
      <c r="C39" t="str">
        <f>IFERROR(INDEX(Starter!B:B,MATCH(B39,Starter!A:A,0)),"")</f>
        <v>Plaschka, Nico</v>
      </c>
      <c r="D39" t="str">
        <f>IFERROR(INDEX(Starter!C:C,MATCH(B39,Starter!A:A,0)),"")</f>
        <v>DJK Rimpar</v>
      </c>
      <c r="E39" s="102">
        <f t="shared" si="8"/>
        <v>1161</v>
      </c>
      <c r="F39">
        <f t="shared" si="9"/>
        <v>6</v>
      </c>
      <c r="G39" s="137">
        <f t="shared" si="10"/>
        <v>193.499999952</v>
      </c>
      <c r="L39" s="227">
        <f>INDEX(Starter!A:A,ROW()-1)</f>
        <v>25516</v>
      </c>
      <c r="M39">
        <f>SUMIF(Erfassung5!BD:BD,L39,Erfassung5!BW:BW)</f>
        <v>1737</v>
      </c>
      <c r="N39">
        <f>SUMIF(Erfassung5!BD:BD,L39,Erfassung5!BG:BG)</f>
        <v>9</v>
      </c>
      <c r="O39">
        <f t="shared" si="0"/>
        <v>192.99999996099999</v>
      </c>
      <c r="P39">
        <f t="shared" si="1"/>
        <v>37</v>
      </c>
    </row>
    <row r="40" spans="1:16" x14ac:dyDescent="0.25">
      <c r="A40">
        <f t="shared" si="11"/>
        <v>36</v>
      </c>
      <c r="B40">
        <f t="shared" si="7"/>
        <v>38041</v>
      </c>
      <c r="C40" t="str">
        <f>IFERROR(INDEX(Starter!B:B,MATCH(B40,Starter!A:A,0)),"")</f>
        <v>Röhlig, Jörg</v>
      </c>
      <c r="D40" t="str">
        <f>IFERROR(INDEX(Starter!C:C,MATCH(B40,Starter!A:A,0)),"")</f>
        <v>BC Bamberger Bowlinghaus</v>
      </c>
      <c r="E40" s="102">
        <f t="shared" si="8"/>
        <v>1741</v>
      </c>
      <c r="F40">
        <f t="shared" si="9"/>
        <v>9</v>
      </c>
      <c r="G40" s="137">
        <f t="shared" si="10"/>
        <v>193.44444440644446</v>
      </c>
      <c r="L40" s="227">
        <f>INDEX(Starter!A:A,ROW()-1)</f>
        <v>16873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50</v>
      </c>
    </row>
    <row r="41" spans="1:16" x14ac:dyDescent="0.25">
      <c r="A41">
        <f t="shared" si="11"/>
        <v>37</v>
      </c>
      <c r="B41">
        <f t="shared" si="7"/>
        <v>25516</v>
      </c>
      <c r="C41" t="str">
        <f>IFERROR(INDEX(Starter!B:B,MATCH(B41,Starter!A:A,0)),"")</f>
        <v>Nikoleit, Thomas</v>
      </c>
      <c r="D41" t="str">
        <f>IFERROR(INDEX(Starter!C:C,MATCH(B41,Starter!A:A,0)),"")</f>
        <v>BC Bamberger Bowlinghaus</v>
      </c>
      <c r="E41" s="102">
        <f t="shared" si="8"/>
        <v>1737</v>
      </c>
      <c r="F41">
        <f t="shared" si="9"/>
        <v>9</v>
      </c>
      <c r="G41" s="137">
        <f t="shared" si="10"/>
        <v>192.99999996099999</v>
      </c>
      <c r="L41" s="227">
        <f>INDEX(Starter!A:A,ROW()-1)</f>
        <v>7937</v>
      </c>
      <c r="M41">
        <f>SUMIF(Erfassung5!BD:BD,L41,Erfassung5!BW:BW)</f>
        <v>2136</v>
      </c>
      <c r="N41">
        <f>SUMIF(Erfassung5!BD:BD,L41,Erfassung5!BG:BG)</f>
        <v>9</v>
      </c>
      <c r="O41">
        <f t="shared" si="0"/>
        <v>237.33333329233335</v>
      </c>
      <c r="P41">
        <f t="shared" si="1"/>
        <v>1</v>
      </c>
    </row>
    <row r="42" spans="1:16" x14ac:dyDescent="0.25">
      <c r="A42">
        <f t="shared" si="11"/>
        <v>38</v>
      </c>
      <c r="B42">
        <f t="shared" si="7"/>
        <v>7601</v>
      </c>
      <c r="C42" t="str">
        <f>IFERROR(INDEX(Starter!B:B,MATCH(B42,Starter!A:A,0)),"")</f>
        <v>Lüthje, Volker</v>
      </c>
      <c r="D42" t="str">
        <f>IFERROR(INDEX(Starter!C:C,MATCH(B42,Starter!A:A,0)),"")</f>
        <v>BC Bajuwaren 1976 München</v>
      </c>
      <c r="E42" s="102">
        <f t="shared" si="8"/>
        <v>1721</v>
      </c>
      <c r="F42">
        <f t="shared" si="9"/>
        <v>9</v>
      </c>
      <c r="G42" s="137">
        <f t="shared" si="10"/>
        <v>191.22222217722222</v>
      </c>
      <c r="L42" s="227">
        <f>INDEX(Starter!A:A,ROW()-1)</f>
        <v>10124</v>
      </c>
      <c r="M42">
        <f>SUMIF(Erfassung5!BD:BD,L42,Erfassung5!BW:BW)</f>
        <v>1871</v>
      </c>
      <c r="N42">
        <f>SUMIF(Erfassung5!BD:BD,L42,Erfassung5!BG:BG)</f>
        <v>9</v>
      </c>
      <c r="O42">
        <f t="shared" si="0"/>
        <v>207.88888884688888</v>
      </c>
      <c r="P42">
        <f t="shared" si="1"/>
        <v>19</v>
      </c>
    </row>
    <row r="43" spans="1:16" x14ac:dyDescent="0.25">
      <c r="A43">
        <f t="shared" si="11"/>
        <v>39</v>
      </c>
      <c r="B43">
        <f t="shared" si="7"/>
        <v>38043</v>
      </c>
      <c r="C43" t="str">
        <f>IFERROR(INDEX(Starter!B:B,MATCH(B43,Starter!A:A,0)),"")</f>
        <v>Badum, Daniel</v>
      </c>
      <c r="D43" t="str">
        <f>IFERROR(INDEX(Starter!C:C,MATCH(B43,Starter!A:A,0)),"")</f>
        <v>BC Bamberger Bowlinghaus</v>
      </c>
      <c r="E43" s="102">
        <f t="shared" si="8"/>
        <v>1710</v>
      </c>
      <c r="F43">
        <f t="shared" si="9"/>
        <v>9</v>
      </c>
      <c r="G43" s="137">
        <f t="shared" si="10"/>
        <v>189.99999994199999</v>
      </c>
      <c r="L43" s="227">
        <f>INDEX(Starter!A:A,ROW()-1)</f>
        <v>16263</v>
      </c>
      <c r="M43">
        <f>SUMIF(Erfassung5!BD:BD,L43,Erfassung5!BW:BW)</f>
        <v>1789</v>
      </c>
      <c r="N43">
        <f>SUMIF(Erfassung5!BD:BD,L43,Erfassung5!BG:BG)</f>
        <v>9</v>
      </c>
      <c r="O43">
        <f t="shared" si="0"/>
        <v>198.77777773477777</v>
      </c>
      <c r="P43">
        <f t="shared" si="1"/>
        <v>29</v>
      </c>
    </row>
    <row r="44" spans="1:16" x14ac:dyDescent="0.25">
      <c r="A44">
        <f t="shared" si="11"/>
        <v>40</v>
      </c>
      <c r="B44">
        <f t="shared" si="7"/>
        <v>16352</v>
      </c>
      <c r="C44" t="str">
        <f>IFERROR(INDEX(Starter!B:B,MATCH(B44,Starter!A:A,0)),"")</f>
        <v>Scholz, Alexander</v>
      </c>
      <c r="D44" t="str">
        <f>IFERROR(INDEX(Starter!C:C,MATCH(B44,Starter!A:A,0)),"")</f>
        <v>SG Rottendorf</v>
      </c>
      <c r="E44" s="102">
        <f t="shared" si="8"/>
        <v>1705</v>
      </c>
      <c r="F44">
        <f t="shared" si="9"/>
        <v>9</v>
      </c>
      <c r="G44" s="137">
        <f t="shared" si="10"/>
        <v>189.44444443344446</v>
      </c>
      <c r="L44" s="227">
        <f>INDEX(Starter!A:A,ROW()-1)</f>
        <v>7959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50</v>
      </c>
    </row>
    <row r="45" spans="1:16" x14ac:dyDescent="0.25">
      <c r="A45">
        <f t="shared" si="11"/>
        <v>41</v>
      </c>
      <c r="B45">
        <f t="shared" si="7"/>
        <v>16519</v>
      </c>
      <c r="C45" t="str">
        <f>IFERROR(INDEX(Starter!B:B,MATCH(B45,Starter!A:A,0)),"")</f>
        <v>Tos, Sascha</v>
      </c>
      <c r="D45" t="str">
        <f>IFERROR(INDEX(Starter!C:C,MATCH(B45,Starter!A:A,0)),"")</f>
        <v>BSC Highroller Rosenheim</v>
      </c>
      <c r="E45" s="102">
        <f t="shared" si="8"/>
        <v>566</v>
      </c>
      <c r="F45">
        <f t="shared" si="9"/>
        <v>3</v>
      </c>
      <c r="G45" s="137">
        <f t="shared" si="10"/>
        <v>188.66666660666667</v>
      </c>
      <c r="L45" s="227">
        <f>INDEX(Starter!A:A,ROW()-1)</f>
        <v>7601</v>
      </c>
      <c r="M45">
        <f>SUMIF(Erfassung5!BD:BD,L45,Erfassung5!BW:BW)</f>
        <v>1721</v>
      </c>
      <c r="N45">
        <f>SUMIF(Erfassung5!BD:BD,L45,Erfassung5!BG:BG)</f>
        <v>9</v>
      </c>
      <c r="O45">
        <f t="shared" si="0"/>
        <v>191.22222217722222</v>
      </c>
      <c r="P45">
        <f t="shared" si="1"/>
        <v>38</v>
      </c>
    </row>
    <row r="46" spans="1:16" x14ac:dyDescent="0.25">
      <c r="A46">
        <f t="shared" si="11"/>
        <v>42</v>
      </c>
      <c r="B46">
        <f t="shared" si="7"/>
        <v>16301</v>
      </c>
      <c r="C46" t="str">
        <f>IFERROR(INDEX(Starter!B:B,MATCH(B46,Starter!A:A,0)),"")</f>
        <v>Werder, Jan-Uwe</v>
      </c>
      <c r="D46" t="str">
        <f>IFERROR(INDEX(Starter!C:C,MATCH(B46,Starter!A:A,0)),"")</f>
        <v>DJK Rimpar</v>
      </c>
      <c r="E46" s="102">
        <f t="shared" si="8"/>
        <v>1306</v>
      </c>
      <c r="F46">
        <f t="shared" si="9"/>
        <v>7</v>
      </c>
      <c r="G46" s="137">
        <f t="shared" si="10"/>
        <v>186.57142856642858</v>
      </c>
      <c r="L46" s="227">
        <f>INDEX(Starter!A:A,ROW()-1)</f>
        <v>7593</v>
      </c>
      <c r="M46">
        <f>SUMIF(Erfassung5!BD:BD,L46,Erfassung5!BW:BW)</f>
        <v>0</v>
      </c>
      <c r="N46">
        <f>SUMIF(Erfassung5!BD:BD,L46,Erfassung5!BG:BG)</f>
        <v>0</v>
      </c>
      <c r="O46">
        <f t="shared" si="0"/>
        <v>0</v>
      </c>
      <c r="P46">
        <f t="shared" si="1"/>
        <v>50</v>
      </c>
    </row>
    <row r="47" spans="1:16" x14ac:dyDescent="0.25">
      <c r="A47">
        <f t="shared" si="11"/>
        <v>43</v>
      </c>
      <c r="B47">
        <f t="shared" si="7"/>
        <v>25061</v>
      </c>
      <c r="C47" t="str">
        <f>IFERROR(INDEX(Starter!B:B,MATCH(B47,Starter!A:A,0)),"")</f>
        <v>Schwarz, Christian</v>
      </c>
      <c r="D47" t="str">
        <f>IFERROR(INDEX(Starter!C:C,MATCH(B47,Starter!A:A,0)),"")</f>
        <v>BSC Highroller Rosenheim</v>
      </c>
      <c r="E47" s="102">
        <f t="shared" si="8"/>
        <v>1114</v>
      </c>
      <c r="F47">
        <f t="shared" si="9"/>
        <v>6</v>
      </c>
      <c r="G47" s="137">
        <f t="shared" si="10"/>
        <v>185.66666660766666</v>
      </c>
      <c r="L47" s="227">
        <f>INDEX(Starter!A:A,ROW()-1)</f>
        <v>7591</v>
      </c>
      <c r="M47">
        <f>SUMIF(Erfassung5!BD:BD,L47,Erfassung5!BW:BW)</f>
        <v>1387</v>
      </c>
      <c r="N47">
        <f>SUMIF(Erfassung5!BD:BD,L47,Erfassung5!BG:BG)</f>
        <v>7</v>
      </c>
      <c r="O47">
        <f t="shared" si="0"/>
        <v>198.14285709585715</v>
      </c>
      <c r="P47">
        <f t="shared" si="1"/>
        <v>31</v>
      </c>
    </row>
    <row r="48" spans="1:16" x14ac:dyDescent="0.25">
      <c r="A48">
        <f t="shared" si="11"/>
        <v>44</v>
      </c>
      <c r="B48">
        <f t="shared" si="7"/>
        <v>38361</v>
      </c>
      <c r="C48" t="str">
        <f>IFERROR(INDEX(Starter!B:B,MATCH(B48,Starter!A:A,0)),"")</f>
        <v>Schmied, Markus</v>
      </c>
      <c r="D48" t="str">
        <f>IFERROR(INDEX(Starter!C:C,MATCH(B48,Starter!A:A,0)),"")</f>
        <v>BC Schanzer Strikers</v>
      </c>
      <c r="E48" s="102">
        <f t="shared" si="8"/>
        <v>1647</v>
      </c>
      <c r="F48">
        <f t="shared" si="9"/>
        <v>9</v>
      </c>
      <c r="G48" s="137">
        <f t="shared" si="10"/>
        <v>182.99999999299999</v>
      </c>
      <c r="L48" s="227">
        <f>INDEX(Starter!A:A,ROW()-1)</f>
        <v>38039</v>
      </c>
      <c r="M48">
        <f>SUMIF(Erfassung5!BD:BD,L48,Erfassung5!BW:BW)</f>
        <v>1161</v>
      </c>
      <c r="N48">
        <f>SUMIF(Erfassung5!BD:BD,L48,Erfassung5!BG:BG)</f>
        <v>6</v>
      </c>
      <c r="O48">
        <f t="shared" si="0"/>
        <v>193.499999952</v>
      </c>
      <c r="P48">
        <f t="shared" si="1"/>
        <v>35</v>
      </c>
    </row>
    <row r="49" spans="1:16" x14ac:dyDescent="0.25">
      <c r="A49">
        <f t="shared" si="11"/>
        <v>45</v>
      </c>
      <c r="B49">
        <f t="shared" si="7"/>
        <v>25554</v>
      </c>
      <c r="C49" t="str">
        <f>IFERROR(INDEX(Starter!B:B,MATCH(B49,Starter!A:A,0)),"")</f>
        <v>Blasits, Ernst</v>
      </c>
      <c r="D49" t="str">
        <f>IFERROR(INDEX(Starter!C:C,MATCH(B49,Starter!A:A,0)),"")</f>
        <v>BC EMAX</v>
      </c>
      <c r="E49" s="102">
        <f t="shared" si="8"/>
        <v>180</v>
      </c>
      <c r="F49">
        <f t="shared" si="9"/>
        <v>1</v>
      </c>
      <c r="G49" s="137">
        <f t="shared" si="10"/>
        <v>179.99999996400001</v>
      </c>
      <c r="L49" s="227">
        <f>INDEX(Starter!A:A,ROW()-1)</f>
        <v>7738</v>
      </c>
      <c r="M49">
        <f>SUMIF(Erfassung5!BD:BD,L49,Erfassung5!BW:BW)</f>
        <v>0</v>
      </c>
      <c r="N49">
        <f>SUMIF(Erfassung5!BD:BD,L49,Erfassung5!BG:BG)</f>
        <v>0</v>
      </c>
      <c r="O49">
        <f t="shared" si="0"/>
        <v>0</v>
      </c>
      <c r="P49">
        <f t="shared" si="1"/>
        <v>50</v>
      </c>
    </row>
    <row r="50" spans="1:16" x14ac:dyDescent="0.25">
      <c r="A50">
        <f t="shared" si="11"/>
        <v>46</v>
      </c>
      <c r="B50">
        <f t="shared" si="7"/>
        <v>38411</v>
      </c>
      <c r="C50" t="str">
        <f>IFERROR(INDEX(Starter!B:B,MATCH(B50,Starter!A:A,0)),"")</f>
        <v>Hartl, Thomas</v>
      </c>
      <c r="D50" t="str">
        <f>IFERROR(INDEX(Starter!C:C,MATCH(B50,Starter!A:A,0)),"")</f>
        <v>BC Schanzer Strikers</v>
      </c>
      <c r="E50" s="102">
        <f t="shared" si="8"/>
        <v>1599</v>
      </c>
      <c r="F50">
        <f t="shared" si="9"/>
        <v>9</v>
      </c>
      <c r="G50" s="137">
        <f t="shared" si="10"/>
        <v>177.66666666066666</v>
      </c>
      <c r="L50" s="227">
        <f>INDEX(Starter!A:A,ROW()-1)</f>
        <v>16862</v>
      </c>
      <c r="M50">
        <f>SUMIF(Erfassung5!BD:BD,L50,Erfassung5!BW:BW)</f>
        <v>1957</v>
      </c>
      <c r="N50">
        <f>SUMIF(Erfassung5!BD:BD,L50,Erfassung5!BG:BG)</f>
        <v>9</v>
      </c>
      <c r="O50">
        <f t="shared" si="0"/>
        <v>217.44444439444445</v>
      </c>
      <c r="P50">
        <f t="shared" si="1"/>
        <v>7</v>
      </c>
    </row>
    <row r="51" spans="1:16" x14ac:dyDescent="0.25">
      <c r="A51">
        <f t="shared" si="11"/>
        <v>47</v>
      </c>
      <c r="B51">
        <f t="shared" si="7"/>
        <v>27134</v>
      </c>
      <c r="C51" t="str">
        <f>IFERROR(INDEX(Starter!B:B,MATCH(B51,Starter!A:A,0)),"")</f>
        <v>Lohse, Sebastian</v>
      </c>
      <c r="D51" t="str">
        <f>IFERROR(INDEX(Starter!C:C,MATCH(B51,Starter!A:A,0)),"")</f>
        <v>BC EMAX</v>
      </c>
      <c r="E51" s="102">
        <f t="shared" si="8"/>
        <v>523</v>
      </c>
      <c r="F51">
        <f t="shared" si="9"/>
        <v>3</v>
      </c>
      <c r="G51" s="137">
        <f t="shared" si="10"/>
        <v>174.33333330033335</v>
      </c>
      <c r="L51" s="227">
        <f>INDEX(Starter!A:A,ROW()-1)</f>
        <v>16346</v>
      </c>
      <c r="M51">
        <f>SUMIF(Erfassung5!BD:BD,L51,Erfassung5!BW:BW)</f>
        <v>0</v>
      </c>
      <c r="N51">
        <f>SUMIF(Erfassung5!BD:BD,L51,Erfassung5!BG:BG)</f>
        <v>0</v>
      </c>
      <c r="O51">
        <f t="shared" si="0"/>
        <v>0</v>
      </c>
      <c r="P51">
        <f t="shared" si="1"/>
        <v>50</v>
      </c>
    </row>
    <row r="52" spans="1:16" x14ac:dyDescent="0.25">
      <c r="A52">
        <f t="shared" si="11"/>
        <v>48</v>
      </c>
      <c r="B52">
        <f t="shared" si="7"/>
        <v>38907</v>
      </c>
      <c r="C52" t="str">
        <f>IFERROR(INDEX(Starter!B:B,MATCH(B52,Starter!A:A,0)),"")</f>
        <v>Moser, Thomas</v>
      </c>
      <c r="D52" t="str">
        <f>IFERROR(INDEX(Starter!C:C,MATCH(B52,Starter!A:A,0)),"")</f>
        <v>BF Rot-Weiß Lichtenhof 69</v>
      </c>
      <c r="E52" s="102">
        <f t="shared" si="8"/>
        <v>689</v>
      </c>
      <c r="F52">
        <f t="shared" si="9"/>
        <v>4</v>
      </c>
      <c r="G52" s="137">
        <f t="shared" si="10"/>
        <v>172.24999992799999</v>
      </c>
      <c r="L52" s="227">
        <f>INDEX(Starter!A:A,ROW()-1)</f>
        <v>25024</v>
      </c>
      <c r="M52">
        <f>SUMIF(Erfassung5!BD:BD,L52,Erfassung5!BW:BW)</f>
        <v>0</v>
      </c>
      <c r="N52">
        <f>SUMIF(Erfassung5!BD:BD,L52,Erfassung5!BG:BG)</f>
        <v>0</v>
      </c>
      <c r="O52">
        <f t="shared" si="0"/>
        <v>0</v>
      </c>
      <c r="P52">
        <f t="shared" si="1"/>
        <v>50</v>
      </c>
    </row>
    <row r="53" spans="1:16" x14ac:dyDescent="0.25">
      <c r="A53">
        <f t="shared" si="11"/>
        <v>49</v>
      </c>
      <c r="B53">
        <f t="shared" si="7"/>
        <v>7725</v>
      </c>
      <c r="C53" t="str">
        <f>IFERROR(INDEX(Starter!B:B,MATCH(B53,Starter!A:A,0)),"")</f>
        <v>Schlundt, Michael</v>
      </c>
      <c r="D53" t="str">
        <f>IFERROR(INDEX(Starter!C:C,MATCH(B53,Starter!A:A,0)),"")</f>
        <v>Comet</v>
      </c>
      <c r="E53" s="102">
        <f t="shared" si="8"/>
        <v>162</v>
      </c>
      <c r="F53">
        <f t="shared" si="9"/>
        <v>1</v>
      </c>
      <c r="G53" s="137">
        <f t="shared" si="10"/>
        <v>161.999999973</v>
      </c>
      <c r="L53" s="227">
        <f>INDEX(Starter!A:A,ROW()-1)</f>
        <v>7344</v>
      </c>
      <c r="M53">
        <f>SUMIF(Erfassung5!BD:BD,L53,Erfassung5!BW:BW)</f>
        <v>0</v>
      </c>
      <c r="N53">
        <f>SUMIF(Erfassung5!BD:BD,L53,Erfassung5!BG:BG)</f>
        <v>0</v>
      </c>
      <c r="O53">
        <f t="shared" si="0"/>
        <v>0</v>
      </c>
      <c r="P53">
        <f t="shared" si="1"/>
        <v>50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SUMIF(Erfassung5!BD:BD,L54,Erfassung5!BW:BW)</f>
        <v>1661</v>
      </c>
      <c r="N54">
        <f>SUMIF(Erfassung5!BD:BD,L54,Erfassung5!BG:BG)</f>
        <v>8</v>
      </c>
      <c r="O54">
        <f t="shared" si="0"/>
        <v>207.624999946</v>
      </c>
      <c r="P54">
        <f t="shared" si="1"/>
        <v>20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SUMIF(Erfassung5!BD:BD,L55,Erfassung5!BW:BW)</f>
        <v>1643</v>
      </c>
      <c r="N55">
        <f>SUMIF(Erfassung5!BD:BD,L55,Erfassung5!BG:BG)</f>
        <v>8</v>
      </c>
      <c r="O55">
        <f t="shared" si="0"/>
        <v>205.37499994500001</v>
      </c>
      <c r="P55">
        <f t="shared" si="1"/>
        <v>23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SUMIF(Erfassung5!BD:BD,L56,Erfassung5!BW:BW)</f>
        <v>0</v>
      </c>
      <c r="N56">
        <f>SUMIF(Erfassung5!BD:BD,L56,Erfassung5!BG:BG)</f>
        <v>0</v>
      </c>
      <c r="O56">
        <f t="shared" si="0"/>
        <v>0</v>
      </c>
      <c r="P56">
        <f t="shared" si="1"/>
        <v>50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SUMIF(Erfassung5!BD:BD,L57,Erfassung5!BW:BW)</f>
        <v>1849</v>
      </c>
      <c r="N57">
        <f>SUMIF(Erfassung5!BD:BD,L57,Erfassung5!BG:BG)</f>
        <v>9</v>
      </c>
      <c r="O57">
        <f t="shared" si="0"/>
        <v>205.44444438744446</v>
      </c>
      <c r="P57">
        <f t="shared" si="1"/>
        <v>22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SUMIF(Erfassung5!BD:BD,L58,Erfassung5!BW:BW)</f>
        <v>1710</v>
      </c>
      <c r="N58">
        <f>SUMIF(Erfassung5!BD:BD,L58,Erfassung5!BG:BG)</f>
        <v>9</v>
      </c>
      <c r="O58">
        <f t="shared" si="0"/>
        <v>189.99999994199999</v>
      </c>
      <c r="P58">
        <f t="shared" si="1"/>
        <v>39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SUMIF(Erfassung5!BD:BD,L59,Erfassung5!BW:BW)</f>
        <v>1114</v>
      </c>
      <c r="N59">
        <f>SUMIF(Erfassung5!BD:BD,L59,Erfassung5!BG:BG)</f>
        <v>6</v>
      </c>
      <c r="O59">
        <f t="shared" si="0"/>
        <v>185.66666660766666</v>
      </c>
      <c r="P59">
        <f t="shared" si="1"/>
        <v>43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SUMIF(Erfassung5!BD:BD,L60,Erfassung5!BW:BW)</f>
        <v>566</v>
      </c>
      <c r="N60">
        <f>SUMIF(Erfassung5!BD:BD,L60,Erfassung5!BG:BG)</f>
        <v>3</v>
      </c>
      <c r="O60">
        <f t="shared" si="0"/>
        <v>188.66666660666667</v>
      </c>
      <c r="P60">
        <f t="shared" si="1"/>
        <v>41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SUMIF(Erfassung5!BD:BD,L61,Erfassung5!BW:BW)</f>
        <v>0</v>
      </c>
      <c r="N61">
        <f>SUMIF(Erfassung5!BD:BD,L61,Erfassung5!BG:BG)</f>
        <v>0</v>
      </c>
      <c r="O61">
        <f t="shared" si="0"/>
        <v>0</v>
      </c>
      <c r="P61">
        <f t="shared" si="1"/>
        <v>50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50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50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50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SUMIF(Erfassung5!BD:BD,L65,Erfassung5!BW:BW)</f>
        <v>1423</v>
      </c>
      <c r="N65">
        <f>SUMIF(Erfassung5!BD:BD,L65,Erfassung5!BG:BG)</f>
        <v>7</v>
      </c>
      <c r="O65">
        <f t="shared" si="0"/>
        <v>203.28571422071428</v>
      </c>
      <c r="P65">
        <f t="shared" si="1"/>
        <v>25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SUMIF(Erfassung5!BD:BD,L66,Erfassung5!BW:BW)</f>
        <v>1938</v>
      </c>
      <c r="N66">
        <f>SUMIF(Erfassung5!BD:BD,L66,Erfassung5!BG:BG)</f>
        <v>9</v>
      </c>
      <c r="O66">
        <f t="shared" ref="O66:O104" si="12">IF(N66=0,0,M66/N66-ROW()/1000000000)</f>
        <v>215.33333326733333</v>
      </c>
      <c r="P66">
        <f t="shared" ref="P66:P104" si="13">RANK(O66,O:O)</f>
        <v>11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SUMIF(Erfassung5!BD:BD,L67,Erfassung5!BW:BW)</f>
        <v>0</v>
      </c>
      <c r="N67">
        <f>SUMIF(Erfassung5!BD:BD,L67,Erfassung5!BG:BG)</f>
        <v>0</v>
      </c>
      <c r="O67">
        <f t="shared" si="12"/>
        <v>0</v>
      </c>
      <c r="P67">
        <f t="shared" si="13"/>
        <v>50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SUMIF(Erfassung5!BD:BD,L68,Erfassung5!BW:BW)</f>
        <v>0</v>
      </c>
      <c r="N68">
        <f>SUMIF(Erfassung5!BD:BD,L68,Erfassung5!BG:BG)</f>
        <v>0</v>
      </c>
      <c r="O68">
        <f t="shared" si="12"/>
        <v>0</v>
      </c>
      <c r="P68">
        <f t="shared" si="13"/>
        <v>50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SUMIF(Erfassung5!BD:BD,L69,Erfassung5!BW:BW)</f>
        <v>0</v>
      </c>
      <c r="N69">
        <f>SUMIF(Erfassung5!BD:BD,L69,Erfassung5!BG:BG)</f>
        <v>0</v>
      </c>
      <c r="O69">
        <f t="shared" si="12"/>
        <v>0</v>
      </c>
      <c r="P69">
        <f t="shared" si="13"/>
        <v>50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SUMIF(Erfassung5!BD:BD,L70,Erfassung5!BW:BW)</f>
        <v>0</v>
      </c>
      <c r="N70">
        <f>SUMIF(Erfassung5!BD:BD,L70,Erfassung5!BG:BG)</f>
        <v>0</v>
      </c>
      <c r="O70">
        <f t="shared" si="12"/>
        <v>0</v>
      </c>
      <c r="P70">
        <f t="shared" si="13"/>
        <v>50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SUMIF(Erfassung5!BD:BD,L71,Erfassung5!BW:BW)</f>
        <v>0</v>
      </c>
      <c r="N71">
        <f>SUMIF(Erfassung5!BD:BD,L71,Erfassung5!BG:BG)</f>
        <v>0</v>
      </c>
      <c r="O71">
        <f t="shared" si="12"/>
        <v>0</v>
      </c>
      <c r="P71">
        <f t="shared" si="13"/>
        <v>50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SUMIF(Erfassung5!BD:BD,L72,Erfassung5!BW:BW)</f>
        <v>689</v>
      </c>
      <c r="N72">
        <f>SUMIF(Erfassung5!BD:BD,L72,Erfassung5!BG:BG)</f>
        <v>4</v>
      </c>
      <c r="O72">
        <f t="shared" si="12"/>
        <v>172.24999992799999</v>
      </c>
      <c r="P72">
        <f t="shared" si="13"/>
        <v>48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SUMIF(Erfassung5!BD:BD,L73,Erfassung5!BW:BW)</f>
        <v>980</v>
      </c>
      <c r="N73">
        <f>SUMIF(Erfassung5!BD:BD,L73,Erfassung5!BG:BG)</f>
        <v>5</v>
      </c>
      <c r="O73">
        <f t="shared" si="12"/>
        <v>195.999999927</v>
      </c>
      <c r="P73">
        <f t="shared" si="13"/>
        <v>32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38018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50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25465</v>
      </c>
      <c r="M75">
        <f>SUMIF(Erfassung5!BD:BD,L75,Erfassung5!BW:BW)</f>
        <v>0</v>
      </c>
      <c r="N75">
        <f>SUMIF(Erfassung5!BD:BD,L75,Erfassung5!BG:BG)</f>
        <v>0</v>
      </c>
      <c r="O75">
        <f t="shared" si="12"/>
        <v>0</v>
      </c>
      <c r="P75">
        <f t="shared" si="13"/>
        <v>50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SUMIF(Erfassung5!BD:BD,L76,Erfassung5!BW:BW)</f>
        <v>0</v>
      </c>
      <c r="N76">
        <f>SUMIF(Erfassung5!BD:BD,L76,Erfassung5!BG:BG)</f>
        <v>0</v>
      </c>
      <c r="O76">
        <f t="shared" si="12"/>
        <v>0</v>
      </c>
      <c r="P76">
        <f t="shared" si="13"/>
        <v>50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50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50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50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50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50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50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50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50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50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50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50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50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50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50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50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50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50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50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50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50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50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50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50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50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50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50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50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50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16253</v>
      </c>
      <c r="M2">
        <f>INDEX(SchnittGes4!M:M,MATCH(L2,SchnittGes4!L:L,0))+INDEX(Schnitt5!M:M,MATCH(L2,Schnitt5!L:L,0))</f>
        <v>7722</v>
      </c>
      <c r="N2">
        <f>INDEX(SchnittGes4!N:N,MATCH(L2,SchnittGes4!L:L,0))+INDEX(Schnitt5!N:N,MATCH(L2,Schnitt5!L:L,0))</f>
        <v>36</v>
      </c>
      <c r="O2">
        <f t="shared" ref="O2:O11" si="0">IF(N2=0,0,M2/N2-ROW()/1000000000)</f>
        <v>214.49999999799999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INDEX(SchnittGes4!M:M,MATCH(L3,SchnittGes4!L:L,0))+INDEX(Schnitt5!M:M,MATCH(L3,Schnitt5!L:L,0))</f>
        <v>6878</v>
      </c>
      <c r="N3">
        <f>INDEX(SchnittGes4!N:N,MATCH(L3,SchnittGes4!L:L,0))+INDEX(Schnitt5!N:N,MATCH(L3,Schnitt5!L:L,0))</f>
        <v>36</v>
      </c>
      <c r="O3">
        <f t="shared" si="0"/>
        <v>191.05555555255555</v>
      </c>
      <c r="P3">
        <f t="shared" si="1"/>
        <v>32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INDEX(SchnittGes4!M:M,MATCH(L4,SchnittGes4!L:L,0))+INDEX(Schnitt5!M:M,MATCH(L4,Schnitt5!L:L,0))</f>
        <v>9077</v>
      </c>
      <c r="N4">
        <f>INDEX(SchnittGes4!N:N,MATCH(L4,SchnittGes4!L:L,0))+INDEX(Schnitt5!N:N,MATCH(L4,Schnitt5!L:L,0))</f>
        <v>44</v>
      </c>
      <c r="O4">
        <f t="shared" si="0"/>
        <v>206.29545454145455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INDEX(SchnittGes4!M:M,MATCH(L5,SchnittGes4!L:L,0))+INDEX(Schnitt5!M:M,MATCH(L5,Schnitt5!L:L,0))</f>
        <v>7315</v>
      </c>
      <c r="N5">
        <f>INDEX(SchnittGes4!N:N,MATCH(L5,SchnittGes4!L:L,0))+INDEX(Schnitt5!N:N,MATCH(L5,Schnitt5!L:L,0))</f>
        <v>38</v>
      </c>
      <c r="O5">
        <f t="shared" si="0"/>
        <v>192.499999995</v>
      </c>
      <c r="P5">
        <f t="shared" si="1"/>
        <v>30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7722</v>
      </c>
      <c r="F6">
        <f t="shared" si="4"/>
        <v>36</v>
      </c>
      <c r="G6" s="137">
        <f t="shared" si="5"/>
        <v>214.49999999799999</v>
      </c>
      <c r="L6" s="227">
        <f>INDEX(Starter!A:A,ROW()-1)</f>
        <v>38411</v>
      </c>
      <c r="M6">
        <f>INDEX(SchnittGes4!M:M,MATCH(L6,SchnittGes4!L:L,0))+INDEX(Schnitt5!M:M,MATCH(L6,Schnitt5!L:L,0))</f>
        <v>6132</v>
      </c>
      <c r="N6">
        <f>INDEX(SchnittGes4!N:N,MATCH(L6,SchnittGes4!L:L,0))+INDEX(Schnitt5!N:N,MATCH(L6,Schnitt5!L:L,0))</f>
        <v>36</v>
      </c>
      <c r="O6">
        <f t="shared" si="0"/>
        <v>170.33333332733335</v>
      </c>
      <c r="P6">
        <f t="shared" si="1"/>
        <v>62</v>
      </c>
    </row>
    <row r="7" spans="1:16" x14ac:dyDescent="0.25">
      <c r="A7">
        <f t="shared" si="6"/>
        <v>3</v>
      </c>
      <c r="B7">
        <f t="shared" si="2"/>
        <v>7734</v>
      </c>
      <c r="C7" t="str">
        <f>IFERROR(INDEX(Starter!B:B,MATCH(B7,Starter!A:A,0)),"")</f>
        <v>Schwarz, Jan</v>
      </c>
      <c r="D7" t="str">
        <f>IFERROR(INDEX(Starter!C:C,MATCH(B7,Starter!A:A,0)),"")</f>
        <v>Comet</v>
      </c>
      <c r="E7" s="102">
        <f t="shared" si="3"/>
        <v>3828</v>
      </c>
      <c r="F7">
        <f t="shared" si="4"/>
        <v>18</v>
      </c>
      <c r="G7" s="137">
        <f t="shared" si="5"/>
        <v>212.66666663866667</v>
      </c>
      <c r="L7" s="227">
        <f>INDEX(Starter!A:A,ROW()-1)</f>
        <v>38361</v>
      </c>
      <c r="M7">
        <f>INDEX(SchnittGes4!M:M,MATCH(L7,SchnittGes4!L:L,0))+INDEX(Schnitt5!M:M,MATCH(L7,Schnitt5!L:L,0))</f>
        <v>7728</v>
      </c>
      <c r="N7">
        <f>INDEX(SchnittGes4!N:N,MATCH(L7,SchnittGes4!L:L,0))+INDEX(Schnitt5!N:N,MATCH(L7,Schnitt5!L:L,0))</f>
        <v>45</v>
      </c>
      <c r="O7">
        <f t="shared" si="0"/>
        <v>171.73333332633331</v>
      </c>
      <c r="P7">
        <f t="shared" si="1"/>
        <v>60</v>
      </c>
    </row>
    <row r="8" spans="1:16" x14ac:dyDescent="0.25">
      <c r="A8">
        <f t="shared" si="6"/>
        <v>4</v>
      </c>
      <c r="B8">
        <f t="shared" si="2"/>
        <v>16243</v>
      </c>
      <c r="C8" t="str">
        <f>IFERROR(INDEX(Starter!B:B,MATCH(B8,Starter!A:A,0)),"")</f>
        <v>Glatzer, Daniel</v>
      </c>
      <c r="D8" t="str">
        <f>IFERROR(INDEX(Starter!C:C,MATCH(B8,Starter!A:A,0)),"")</f>
        <v>Comet</v>
      </c>
      <c r="E8" s="102">
        <f t="shared" si="3"/>
        <v>5717</v>
      </c>
      <c r="F8">
        <f t="shared" si="4"/>
        <v>27</v>
      </c>
      <c r="G8" s="137">
        <f t="shared" si="5"/>
        <v>211.74074071474072</v>
      </c>
      <c r="L8" s="227">
        <f>INDEX(Starter!A:A,ROW()-1)</f>
        <v>38550</v>
      </c>
      <c r="M8">
        <f>INDEX(SchnittGes4!M:M,MATCH(L8,SchnittGes4!L:L,0))+INDEX(Schnitt5!M:M,MATCH(L8,Schnitt5!L:L,0))</f>
        <v>5180</v>
      </c>
      <c r="N8">
        <f>INDEX(SchnittGes4!N:N,MATCH(L8,SchnittGes4!L:L,0))+INDEX(Schnitt5!N:N,MATCH(L8,Schnitt5!L:L,0))</f>
        <v>27</v>
      </c>
      <c r="O8">
        <f t="shared" si="0"/>
        <v>191.85185184385185</v>
      </c>
      <c r="P8">
        <f t="shared" si="1"/>
        <v>31</v>
      </c>
    </row>
    <row r="9" spans="1:16" x14ac:dyDescent="0.25">
      <c r="A9">
        <f t="shared" si="6"/>
        <v>5</v>
      </c>
      <c r="B9">
        <f t="shared" si="2"/>
        <v>16346</v>
      </c>
      <c r="C9" t="str">
        <f>IFERROR(INDEX(Starter!B:B,MATCH(B9,Starter!A:A,0)),"")</f>
        <v>Schön, Horst</v>
      </c>
      <c r="D9" t="str">
        <f>IFERROR(INDEX(Starter!C:C,MATCH(B9,Starter!A:A,0)),"")</f>
        <v>SG Rottendorf</v>
      </c>
      <c r="E9" s="102">
        <f t="shared" si="3"/>
        <v>422</v>
      </c>
      <c r="F9">
        <f t="shared" si="4"/>
        <v>2</v>
      </c>
      <c r="G9" s="137">
        <f t="shared" si="5"/>
        <v>210.999999949</v>
      </c>
      <c r="L9" s="227">
        <f>INDEX(Starter!A:A,ROW()-1)</f>
        <v>7348</v>
      </c>
      <c r="M9">
        <f>INDEX(SchnittGes4!M:M,MATCH(L9,SchnittGes4!L:L,0))+INDEX(Schnitt5!M:M,MATCH(L9,Schnitt5!L:L,0))</f>
        <v>8925</v>
      </c>
      <c r="N9">
        <f>INDEX(SchnittGes4!N:N,MATCH(L9,SchnittGes4!L:L,0))+INDEX(Schnitt5!N:N,MATCH(L9,Schnitt5!L:L,0))</f>
        <v>45</v>
      </c>
      <c r="O9">
        <f t="shared" si="0"/>
        <v>198.33333332433335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7885</v>
      </c>
      <c r="C10" t="str">
        <f>IFERROR(INDEX(Starter!B:B,MATCH(B10,Starter!A:A,0)),"")</f>
        <v>Hinterwimmer, Sebastian</v>
      </c>
      <c r="D10" t="str">
        <f>IFERROR(INDEX(Starter!C:C,MATCH(B10,Starter!A:A,0)),"")</f>
        <v>BK München</v>
      </c>
      <c r="E10" s="102">
        <f t="shared" si="3"/>
        <v>6513</v>
      </c>
      <c r="F10">
        <f t="shared" si="4"/>
        <v>31</v>
      </c>
      <c r="G10" s="137">
        <f t="shared" si="5"/>
        <v>210.09677417654839</v>
      </c>
      <c r="L10" s="227">
        <f>INDEX(Starter!A:A,ROW()-1)</f>
        <v>16852</v>
      </c>
      <c r="M10">
        <f>INDEX(SchnittGes4!M:M,MATCH(L10,SchnittGes4!L:L,0))+INDEX(Schnitt5!M:M,MATCH(L10,Schnitt5!L:L,0))</f>
        <v>6034</v>
      </c>
      <c r="N10">
        <f>INDEX(SchnittGes4!N:N,MATCH(L10,SchnittGes4!L:L,0))+INDEX(Schnitt5!N:N,MATCH(L10,Schnitt5!L:L,0))</f>
        <v>32</v>
      </c>
      <c r="O10">
        <f t="shared" si="0"/>
        <v>188.56249998999999</v>
      </c>
      <c r="P10">
        <f t="shared" si="1"/>
        <v>39</v>
      </c>
    </row>
    <row r="11" spans="1:16" x14ac:dyDescent="0.25">
      <c r="A11">
        <f t="shared" si="6"/>
        <v>7</v>
      </c>
      <c r="B11">
        <f t="shared" si="2"/>
        <v>7099</v>
      </c>
      <c r="C11" t="str">
        <f>IFERROR(INDEX(Starter!B:B,MATCH(B11,Starter!A:A,0)),"")</f>
        <v>Holzinger, Sebastian</v>
      </c>
      <c r="D11" t="str">
        <f>IFERROR(INDEX(Starter!C:C,MATCH(B11,Starter!A:A,0)),"")</f>
        <v>BC Bamberger Bowlinghaus</v>
      </c>
      <c r="E11" s="102">
        <f t="shared" si="3"/>
        <v>4824</v>
      </c>
      <c r="F11">
        <f t="shared" si="4"/>
        <v>23</v>
      </c>
      <c r="G11" s="137">
        <f t="shared" si="5"/>
        <v>209.73913039778259</v>
      </c>
      <c r="L11" s="227">
        <f>INDEX(Starter!A:A,ROW()-1)</f>
        <v>16352</v>
      </c>
      <c r="M11">
        <f>INDEX(SchnittGes4!M:M,MATCH(L11,SchnittGes4!L:L,0))+INDEX(Schnitt5!M:M,MATCH(L11,Schnitt5!L:L,0))</f>
        <v>2902</v>
      </c>
      <c r="N11">
        <f>INDEX(SchnittGes4!N:N,MATCH(L11,SchnittGes4!L:L,0))+INDEX(Schnitt5!N:N,MATCH(L11,Schnitt5!L:L,0))</f>
        <v>16</v>
      </c>
      <c r="O11">
        <f t="shared" si="0"/>
        <v>181.374999989</v>
      </c>
      <c r="P11">
        <f t="shared" si="1"/>
        <v>50</v>
      </c>
    </row>
    <row r="12" spans="1:16" x14ac:dyDescent="0.25">
      <c r="A12">
        <f t="shared" si="6"/>
        <v>8</v>
      </c>
      <c r="B12">
        <f t="shared" si="2"/>
        <v>7591</v>
      </c>
      <c r="C12" t="str">
        <f>IFERROR(INDEX(Starter!B:B,MATCH(B12,Starter!A:A,0)),"")</f>
        <v>Börding, Daniel</v>
      </c>
      <c r="D12" t="str">
        <f>IFERROR(INDEX(Starter!C:C,MATCH(B12,Starter!A:A,0)),"")</f>
        <v>BK München</v>
      </c>
      <c r="E12" s="102">
        <f t="shared" si="3"/>
        <v>5414</v>
      </c>
      <c r="F12">
        <f t="shared" si="4"/>
        <v>26</v>
      </c>
      <c r="G12" s="137">
        <f t="shared" si="5"/>
        <v>208.23076918376924</v>
      </c>
      <c r="L12" s="227">
        <f>INDEX(Starter!A:A,ROW()-1)</f>
        <v>16495</v>
      </c>
      <c r="M12">
        <f>INDEX(SchnittGes4!M:M,MATCH(L12,SchnittGes4!L:L,0))+INDEX(Schnitt5!M:M,MATCH(L12,Schnitt5!L:L,0))</f>
        <v>8276</v>
      </c>
      <c r="N12">
        <f>INDEX(SchnittGes4!N:N,MATCH(L12,SchnittGes4!L:L,0))+INDEX(Schnitt5!N:N,MATCH(L12,Schnitt5!L:L,0))</f>
        <v>44</v>
      </c>
      <c r="O12">
        <f t="shared" ref="O12:O75" si="7">IF(N12=0,0,M12/N12-ROW()/1000000000)</f>
        <v>188.09090907890911</v>
      </c>
      <c r="P12">
        <f t="shared" si="1"/>
        <v>41</v>
      </c>
    </row>
    <row r="13" spans="1:16" x14ac:dyDescent="0.25">
      <c r="A13">
        <f t="shared" si="6"/>
        <v>9</v>
      </c>
      <c r="B13">
        <f t="shared" si="2"/>
        <v>7408</v>
      </c>
      <c r="C13" t="str">
        <f>IFERROR(INDEX(Starter!B:B,MATCH(B13,Starter!A:A,0)),"")</f>
        <v>Glasl jun., Hans-Jürgen</v>
      </c>
      <c r="D13" t="str">
        <f>IFERROR(INDEX(Starter!C:C,MATCH(B13,Starter!A:A,0)),"")</f>
        <v>BC Bajuwaren 1976 München</v>
      </c>
      <c r="E13" s="102">
        <f t="shared" si="3"/>
        <v>9317</v>
      </c>
      <c r="F13">
        <f t="shared" si="4"/>
        <v>45</v>
      </c>
      <c r="G13" s="137">
        <f t="shared" si="5"/>
        <v>207.04444442644444</v>
      </c>
      <c r="L13" s="227">
        <f>INDEX(Starter!A:A,ROW()-1)</f>
        <v>16945</v>
      </c>
      <c r="M13">
        <f>INDEX(SchnittGes4!M:M,MATCH(L13,SchnittGes4!L:L,0))+INDEX(Schnitt5!M:M,MATCH(L13,Schnitt5!L:L,0))</f>
        <v>8144</v>
      </c>
      <c r="N13">
        <f>INDEX(SchnittGes4!N:N,MATCH(L13,SchnittGes4!L:L,0))+INDEX(Schnitt5!N:N,MATCH(L13,Schnitt5!L:L,0))</f>
        <v>42</v>
      </c>
      <c r="O13">
        <f t="shared" si="7"/>
        <v>193.90476189176189</v>
      </c>
      <c r="P13">
        <f t="shared" si="1"/>
        <v>28</v>
      </c>
    </row>
    <row r="14" spans="1:16" x14ac:dyDescent="0.25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9077</v>
      </c>
      <c r="F14">
        <f t="shared" si="4"/>
        <v>44</v>
      </c>
      <c r="G14" s="137">
        <f t="shared" si="5"/>
        <v>206.29545454145455</v>
      </c>
      <c r="L14" s="227">
        <f>INDEX(Starter!A:A,ROW()-1)</f>
        <v>7867</v>
      </c>
      <c r="M14">
        <f>INDEX(SchnittGes4!M:M,MATCH(L14,SchnittGes4!L:L,0))+INDEX(Schnitt5!M:M,MATCH(L14,Schnitt5!L:L,0))</f>
        <v>4411</v>
      </c>
      <c r="N14">
        <f>INDEX(SchnittGes4!N:N,MATCH(L14,SchnittGes4!L:L,0))+INDEX(Schnitt5!N:N,MATCH(L14,Schnitt5!L:L,0))</f>
        <v>22</v>
      </c>
      <c r="O14">
        <f t="shared" si="7"/>
        <v>200.49999998600001</v>
      </c>
      <c r="P14">
        <f t="shared" si="1"/>
        <v>17</v>
      </c>
    </row>
    <row r="15" spans="1:16" x14ac:dyDescent="0.25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5545</v>
      </c>
      <c r="F15">
        <f t="shared" si="4"/>
        <v>27</v>
      </c>
      <c r="G15" s="137">
        <f t="shared" si="5"/>
        <v>205.37037035437038</v>
      </c>
      <c r="L15" s="227">
        <f>INDEX(Starter!A:A,ROW()-1)</f>
        <v>7597</v>
      </c>
      <c r="M15">
        <f>INDEX(SchnittGes4!M:M,MATCH(L15,SchnittGes4!L:L,0))+INDEX(Schnitt5!M:M,MATCH(L15,Schnitt5!L:L,0))</f>
        <v>6257</v>
      </c>
      <c r="N15">
        <f>INDEX(SchnittGes4!N:N,MATCH(L15,SchnittGes4!L:L,0))+INDEX(Schnitt5!N:N,MATCH(L15,Schnitt5!L:L,0))</f>
        <v>33</v>
      </c>
      <c r="O15">
        <f t="shared" si="7"/>
        <v>189.60606059106058</v>
      </c>
      <c r="P15">
        <f t="shared" si="1"/>
        <v>35</v>
      </c>
    </row>
    <row r="16" spans="1:16" x14ac:dyDescent="0.25">
      <c r="A16">
        <f t="shared" si="6"/>
        <v>12</v>
      </c>
      <c r="B16">
        <f t="shared" si="2"/>
        <v>7102</v>
      </c>
      <c r="C16" t="str">
        <f>IFERROR(INDEX(Starter!B:B,MATCH(B16,Starter!A:A,0)),"")</f>
        <v>Schick, Andreas</v>
      </c>
      <c r="D16" t="str">
        <f>IFERROR(INDEX(Starter!C:C,MATCH(B16,Starter!A:A,0)),"")</f>
        <v>Comet</v>
      </c>
      <c r="E16" s="102">
        <f t="shared" si="3"/>
        <v>5536</v>
      </c>
      <c r="F16">
        <f t="shared" si="4"/>
        <v>27</v>
      </c>
      <c r="G16" s="137">
        <f t="shared" si="5"/>
        <v>205.03703700603702</v>
      </c>
      <c r="L16" s="227">
        <f>INDEX(Starter!A:A,ROW()-1)</f>
        <v>16912</v>
      </c>
      <c r="M16">
        <f>INDEX(SchnittGes4!M:M,MATCH(L16,SchnittGes4!L:L,0))+INDEX(Schnitt5!M:M,MATCH(L16,Schnitt5!L:L,0))</f>
        <v>5545</v>
      </c>
      <c r="N16">
        <f>INDEX(SchnittGes4!N:N,MATCH(L16,SchnittGes4!L:L,0))+INDEX(Schnitt5!N:N,MATCH(L16,Schnitt5!L:L,0))</f>
        <v>27</v>
      </c>
      <c r="O16">
        <f t="shared" si="7"/>
        <v>205.37037035437038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6955</v>
      </c>
      <c r="F17">
        <f t="shared" si="4"/>
        <v>34</v>
      </c>
      <c r="G17" s="137">
        <f t="shared" si="5"/>
        <v>204.55882347341176</v>
      </c>
      <c r="L17" s="227">
        <f>INDEX(Starter!A:A,ROW()-1)</f>
        <v>7885</v>
      </c>
      <c r="M17">
        <f>INDEX(SchnittGes4!M:M,MATCH(L17,SchnittGes4!L:L,0))+INDEX(Schnitt5!M:M,MATCH(L17,Schnitt5!L:L,0))</f>
        <v>6513</v>
      </c>
      <c r="N17">
        <f>INDEX(SchnittGes4!N:N,MATCH(L17,SchnittGes4!L:L,0))+INDEX(Schnitt5!N:N,MATCH(L17,Schnitt5!L:L,0))</f>
        <v>31</v>
      </c>
      <c r="O17">
        <f t="shared" si="7"/>
        <v>210.09677417654839</v>
      </c>
      <c r="P17">
        <f t="shared" si="1"/>
        <v>6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6708</v>
      </c>
      <c r="F18">
        <f t="shared" si="4"/>
        <v>33</v>
      </c>
      <c r="G18" s="137">
        <f t="shared" si="5"/>
        <v>203.27272724372727</v>
      </c>
      <c r="L18" s="227">
        <f>INDEX(Starter!A:A,ROW()-1)</f>
        <v>7408</v>
      </c>
      <c r="M18">
        <f>INDEX(SchnittGes4!M:M,MATCH(L18,SchnittGes4!L:L,0))+INDEX(Schnitt5!M:M,MATCH(L18,Schnitt5!L:L,0))</f>
        <v>9317</v>
      </c>
      <c r="N18">
        <f>INDEX(SchnittGes4!N:N,MATCH(L18,SchnittGes4!L:L,0))+INDEX(Schnitt5!N:N,MATCH(L18,Schnitt5!L:L,0))</f>
        <v>45</v>
      </c>
      <c r="O18">
        <f t="shared" si="7"/>
        <v>207.04444442644444</v>
      </c>
      <c r="P18">
        <f t="shared" si="1"/>
        <v>9</v>
      </c>
    </row>
    <row r="19" spans="1:16" x14ac:dyDescent="0.25">
      <c r="A19">
        <f t="shared" si="6"/>
        <v>15</v>
      </c>
      <c r="B19">
        <f t="shared" si="2"/>
        <v>7937</v>
      </c>
      <c r="C19" t="str">
        <f>IFERROR(INDEX(Starter!B:B,MATCH(B19,Starter!A:A,0)),"")</f>
        <v>Birkner, Jochen</v>
      </c>
      <c r="D19" t="str">
        <f>IFERROR(INDEX(Starter!C:C,MATCH(B19,Starter!A:A,0)),"")</f>
        <v>BF Rot-Weiß Lichtenhof 69</v>
      </c>
      <c r="E19" s="102">
        <f t="shared" si="3"/>
        <v>9122</v>
      </c>
      <c r="F19">
        <f t="shared" si="4"/>
        <v>45</v>
      </c>
      <c r="G19" s="137">
        <f t="shared" si="5"/>
        <v>202.71111107011112</v>
      </c>
      <c r="L19" s="227">
        <f>INDEX(Starter!A:A,ROW()-1)</f>
        <v>16762</v>
      </c>
      <c r="M19">
        <f>INDEX(SchnittGes4!M:M,MATCH(L19,SchnittGes4!L:L,0))+INDEX(Schnitt5!M:M,MATCH(L19,Schnitt5!L:L,0))</f>
        <v>4070</v>
      </c>
      <c r="N19">
        <f>INDEX(SchnittGes4!N:N,MATCH(L19,SchnittGes4!L:L,0))+INDEX(Schnitt5!N:N,MATCH(L19,Schnitt5!L:L,0))</f>
        <v>23</v>
      </c>
      <c r="O19">
        <f t="shared" si="7"/>
        <v>176.95652172013044</v>
      </c>
      <c r="P19">
        <f t="shared" si="1"/>
        <v>55</v>
      </c>
    </row>
    <row r="20" spans="1:16" x14ac:dyDescent="0.25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6248</v>
      </c>
      <c r="F20">
        <f t="shared" si="4"/>
        <v>31</v>
      </c>
      <c r="G20" s="137">
        <f t="shared" si="5"/>
        <v>201.54838704277421</v>
      </c>
      <c r="L20" s="227">
        <f>INDEX(Starter!A:A,ROW()-1)</f>
        <v>7600</v>
      </c>
      <c r="M20">
        <f>INDEX(SchnittGes4!M:M,MATCH(L20,SchnittGes4!L:L,0))+INDEX(Schnitt5!M:M,MATCH(L20,Schnitt5!L:L,0))</f>
        <v>6539</v>
      </c>
      <c r="N20">
        <f>INDEX(SchnittGes4!N:N,MATCH(L20,SchnittGes4!L:L,0))+INDEX(Schnitt5!N:N,MATCH(L20,Schnitt5!L:L,0))</f>
        <v>35</v>
      </c>
      <c r="O20">
        <f t="shared" si="7"/>
        <v>186.82857140857143</v>
      </c>
      <c r="P20">
        <f t="shared" si="1"/>
        <v>43</v>
      </c>
    </row>
    <row r="21" spans="1:16" x14ac:dyDescent="0.25">
      <c r="A21">
        <f t="shared" si="6"/>
        <v>17</v>
      </c>
      <c r="B21">
        <f t="shared" si="2"/>
        <v>7867</v>
      </c>
      <c r="C21" t="str">
        <f>IFERROR(INDEX(Starter!B:B,MATCH(B21,Starter!A:A,0)),"")</f>
        <v>Hinterwimmer, Georg</v>
      </c>
      <c r="D21" t="str">
        <f>IFERROR(INDEX(Starter!C:C,MATCH(B21,Starter!A:A,0)),"")</f>
        <v>BK München</v>
      </c>
      <c r="E21" s="102">
        <f t="shared" si="3"/>
        <v>4411</v>
      </c>
      <c r="F21">
        <f t="shared" si="4"/>
        <v>22</v>
      </c>
      <c r="G21" s="137">
        <f t="shared" si="5"/>
        <v>200.49999998600001</v>
      </c>
      <c r="L21" s="227">
        <f>INDEX(Starter!A:A,ROW()-1)</f>
        <v>7416</v>
      </c>
      <c r="M21">
        <f>INDEX(SchnittGes4!M:M,MATCH(L21,SchnittGes4!L:L,0))+INDEX(Schnitt5!M:M,MATCH(L21,Schnitt5!L:L,0))</f>
        <v>8910</v>
      </c>
      <c r="N21">
        <f>INDEX(SchnittGes4!N:N,MATCH(L21,SchnittGes4!L:L,0))+INDEX(Schnitt5!N:N,MATCH(L21,Schnitt5!L:L,0))</f>
        <v>45</v>
      </c>
      <c r="O21">
        <f t="shared" si="7"/>
        <v>197.99999997899999</v>
      </c>
      <c r="P21">
        <f t="shared" si="1"/>
        <v>22</v>
      </c>
    </row>
    <row r="22" spans="1:16" x14ac:dyDescent="0.25">
      <c r="A22">
        <f t="shared" si="6"/>
        <v>18</v>
      </c>
      <c r="B22">
        <f t="shared" si="2"/>
        <v>16532</v>
      </c>
      <c r="C22" t="str">
        <f>IFERROR(INDEX(Starter!B:B,MATCH(B22,Starter!A:A,0)),"")</f>
        <v>Karl, William</v>
      </c>
      <c r="D22" t="str">
        <f>IFERROR(INDEX(Starter!C:C,MATCH(B22,Starter!A:A,0)),"")</f>
        <v>BC Bamberger Bowlinghaus</v>
      </c>
      <c r="E22" s="102">
        <f t="shared" si="3"/>
        <v>4004</v>
      </c>
      <c r="F22">
        <f t="shared" si="4"/>
        <v>20</v>
      </c>
      <c r="G22" s="137">
        <f t="shared" si="5"/>
        <v>200.19999994299999</v>
      </c>
      <c r="L22" s="227">
        <f>INDEX(Starter!A:A,ROW()-1)</f>
        <v>7425</v>
      </c>
      <c r="M22">
        <f>INDEX(SchnittGes4!M:M,MATCH(L22,SchnittGes4!L:L,0))+INDEX(Schnitt5!M:M,MATCH(L22,Schnitt5!L:L,0))</f>
        <v>1192</v>
      </c>
      <c r="N22">
        <f>INDEX(SchnittGes4!N:N,MATCH(L22,SchnittGes4!L:L,0))+INDEX(Schnitt5!N:N,MATCH(L22,Schnitt5!L:L,0))</f>
        <v>7</v>
      </c>
      <c r="O22">
        <f t="shared" si="7"/>
        <v>170.28571426371428</v>
      </c>
      <c r="P22">
        <f t="shared" si="1"/>
        <v>63</v>
      </c>
    </row>
    <row r="23" spans="1:16" x14ac:dyDescent="0.25">
      <c r="A23">
        <f t="shared" si="6"/>
        <v>19</v>
      </c>
      <c r="B23">
        <f t="shared" si="2"/>
        <v>7593</v>
      </c>
      <c r="C23" t="str">
        <f>IFERROR(INDEX(Starter!B:B,MATCH(B23,Starter!A:A,0)),"")</f>
        <v>Börding, Peter</v>
      </c>
      <c r="D23" t="str">
        <f>IFERROR(INDEX(Starter!C:C,MATCH(B23,Starter!A:A,0)),"")</f>
        <v>BK München</v>
      </c>
      <c r="E23" s="102">
        <f t="shared" si="3"/>
        <v>5389</v>
      </c>
      <c r="F23">
        <f t="shared" si="4"/>
        <v>27</v>
      </c>
      <c r="G23" s="137">
        <f t="shared" si="5"/>
        <v>199.59259254659258</v>
      </c>
      <c r="L23" s="227">
        <f>INDEX(Starter!A:A,ROW()-1)</f>
        <v>25297</v>
      </c>
      <c r="M23">
        <f>INDEX(SchnittGes4!M:M,MATCH(L23,SchnittGes4!L:L,0))+INDEX(Schnitt5!M:M,MATCH(L23,Schnitt5!L:L,0))</f>
        <v>4609</v>
      </c>
      <c r="N23">
        <f>INDEX(SchnittGes4!N:N,MATCH(L23,SchnittGes4!L:L,0))+INDEX(Schnitt5!N:N,MATCH(L23,Schnitt5!L:L,0))</f>
        <v>25</v>
      </c>
      <c r="O23">
        <f t="shared" si="7"/>
        <v>184.359999977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16896</v>
      </c>
      <c r="C24" t="str">
        <f>IFERROR(INDEX(Starter!B:B,MATCH(B24,Starter!A:A,0)),"")</f>
        <v>Mittelmaier, Andreas</v>
      </c>
      <c r="D24" t="str">
        <f>IFERROR(INDEX(Starter!C:C,MATCH(B24,Starter!A:A,0)),"")</f>
        <v>Comet</v>
      </c>
      <c r="E24" s="102">
        <f t="shared" si="3"/>
        <v>5760</v>
      </c>
      <c r="F24">
        <f t="shared" si="4"/>
        <v>29</v>
      </c>
      <c r="G24" s="137">
        <f t="shared" si="5"/>
        <v>198.62068962517242</v>
      </c>
      <c r="L24" s="227">
        <f>INDEX(Starter!A:A,ROW()-1)</f>
        <v>16888</v>
      </c>
      <c r="M24">
        <f>INDEX(SchnittGes4!M:M,MATCH(L24,SchnittGes4!L:L,0))+INDEX(Schnitt5!M:M,MATCH(L24,Schnitt5!L:L,0))</f>
        <v>7573</v>
      </c>
      <c r="N24">
        <f>INDEX(SchnittGes4!N:N,MATCH(L24,SchnittGes4!L:L,0))+INDEX(Schnitt5!N:N,MATCH(L24,Schnitt5!L:L,0))</f>
        <v>39</v>
      </c>
      <c r="O24">
        <f t="shared" si="7"/>
        <v>194.17948715548718</v>
      </c>
      <c r="P24">
        <f t="shared" si="1"/>
        <v>27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8925</v>
      </c>
      <c r="F25">
        <f t="shared" si="4"/>
        <v>45</v>
      </c>
      <c r="G25" s="137">
        <f t="shared" si="5"/>
        <v>198.33333332433335</v>
      </c>
      <c r="L25" s="227">
        <f>INDEX(Starter!A:A,ROW()-1)</f>
        <v>38092</v>
      </c>
      <c r="M25">
        <f>INDEX(SchnittGes4!M:M,MATCH(L25,SchnittGes4!L:L,0))+INDEX(Schnitt5!M:M,MATCH(L25,Schnitt5!L:L,0))</f>
        <v>7954</v>
      </c>
      <c r="N25">
        <f>INDEX(SchnittGes4!N:N,MATCH(L25,SchnittGes4!L:L,0))+INDEX(Schnitt5!N:N,MATCH(L25,Schnitt5!L:L,0))</f>
        <v>43</v>
      </c>
      <c r="O25">
        <f t="shared" si="7"/>
        <v>184.97674416104653</v>
      </c>
      <c r="P25">
        <f t="shared" si="1"/>
        <v>46</v>
      </c>
    </row>
    <row r="26" spans="1:16" x14ac:dyDescent="0.25">
      <c r="A26">
        <f t="shared" si="6"/>
        <v>22</v>
      </c>
      <c r="B26">
        <f t="shared" si="2"/>
        <v>7416</v>
      </c>
      <c r="C26" t="str">
        <f>IFERROR(INDEX(Starter!B:B,MATCH(B26,Starter!A:A,0)),"")</f>
        <v>Reichert, Ralph</v>
      </c>
      <c r="D26" t="str">
        <f>IFERROR(INDEX(Starter!C:C,MATCH(B26,Starter!A:A,0)),"")</f>
        <v>BC Bajuwaren 1976 München</v>
      </c>
      <c r="E26" s="102">
        <f t="shared" si="3"/>
        <v>8910</v>
      </c>
      <c r="F26">
        <f t="shared" si="4"/>
        <v>45</v>
      </c>
      <c r="G26" s="137">
        <f t="shared" si="5"/>
        <v>197.99999997899999</v>
      </c>
      <c r="L26" s="227">
        <f>INDEX(Starter!A:A,ROW()-1)</f>
        <v>16243</v>
      </c>
      <c r="M26">
        <f>INDEX(SchnittGes4!M:M,MATCH(L26,SchnittGes4!L:L,0))+INDEX(Schnitt5!M:M,MATCH(L26,Schnitt5!L:L,0))</f>
        <v>5717</v>
      </c>
      <c r="N26">
        <f>INDEX(SchnittGes4!N:N,MATCH(L26,SchnittGes4!L:L,0))+INDEX(Schnitt5!N:N,MATCH(L26,Schnitt5!L:L,0))</f>
        <v>27</v>
      </c>
      <c r="O26">
        <f t="shared" si="7"/>
        <v>211.74074071474072</v>
      </c>
      <c r="P26">
        <f t="shared" si="1"/>
        <v>4</v>
      </c>
    </row>
    <row r="27" spans="1:16" x14ac:dyDescent="0.25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7254</v>
      </c>
      <c r="F27">
        <f t="shared" si="4"/>
        <v>37</v>
      </c>
      <c r="G27" s="137">
        <f t="shared" si="5"/>
        <v>196.05405402705406</v>
      </c>
      <c r="L27" s="227">
        <f>INDEX(Starter!A:A,ROW()-1)</f>
        <v>7725</v>
      </c>
      <c r="M27">
        <f>INDEX(SchnittGes4!M:M,MATCH(L27,SchnittGes4!L:L,0))+INDEX(Schnitt5!M:M,MATCH(L27,Schnitt5!L:L,0))</f>
        <v>7254</v>
      </c>
      <c r="N27">
        <f>INDEX(SchnittGes4!N:N,MATCH(L27,SchnittGes4!L:L,0))+INDEX(Schnitt5!N:N,MATCH(L27,Schnitt5!L:L,0))</f>
        <v>37</v>
      </c>
      <c r="O27">
        <f t="shared" si="7"/>
        <v>196.05405402705406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16469</v>
      </c>
      <c r="C28" t="str">
        <f>IFERROR(INDEX(Starter!B:B,MATCH(B28,Starter!A:A,0)),"")</f>
        <v>Breitenstein, Alexander Kurt</v>
      </c>
      <c r="D28" t="str">
        <f>IFERROR(INDEX(Starter!C:C,MATCH(B28,Starter!A:A,0)),"")</f>
        <v>BF Rot-Weiß Lichtenhof 69</v>
      </c>
      <c r="E28" s="102">
        <f t="shared" si="3"/>
        <v>980</v>
      </c>
      <c r="F28">
        <f t="shared" si="4"/>
        <v>5</v>
      </c>
      <c r="G28" s="137">
        <f t="shared" si="5"/>
        <v>195.999999927</v>
      </c>
      <c r="L28" s="227">
        <f>INDEX(Starter!A:A,ROW()-1)</f>
        <v>7734</v>
      </c>
      <c r="M28">
        <f>INDEX(SchnittGes4!M:M,MATCH(L28,SchnittGes4!L:L,0))+INDEX(Schnitt5!M:M,MATCH(L28,Schnitt5!L:L,0))</f>
        <v>3828</v>
      </c>
      <c r="N28">
        <f>INDEX(SchnittGes4!N:N,MATCH(L28,SchnittGes4!L:L,0))+INDEX(Schnitt5!N:N,MATCH(L28,Schnitt5!L:L,0))</f>
        <v>18</v>
      </c>
      <c r="O28">
        <f t="shared" si="7"/>
        <v>212.66666663866667</v>
      </c>
      <c r="P28">
        <f t="shared" si="1"/>
        <v>3</v>
      </c>
    </row>
    <row r="29" spans="1:16" x14ac:dyDescent="0.25">
      <c r="A29">
        <f t="shared" si="6"/>
        <v>25</v>
      </c>
      <c r="B29">
        <f t="shared" si="2"/>
        <v>25325</v>
      </c>
      <c r="C29" t="str">
        <f>IFERROR(INDEX(Starter!B:B,MATCH(B29,Starter!A:A,0)),"")</f>
        <v>Wegenast, Robert</v>
      </c>
      <c r="D29" t="str">
        <f>IFERROR(INDEX(Starter!C:C,MATCH(B29,Starter!A:A,0)),"")</f>
        <v>BC EMAX</v>
      </c>
      <c r="E29" s="102">
        <f t="shared" si="3"/>
        <v>6075</v>
      </c>
      <c r="F29">
        <f t="shared" si="4"/>
        <v>31</v>
      </c>
      <c r="G29" s="137">
        <f t="shared" si="5"/>
        <v>195.96774188048389</v>
      </c>
      <c r="L29" s="227">
        <f>INDEX(Starter!A:A,ROW()-1)</f>
        <v>7724</v>
      </c>
      <c r="M29">
        <f>INDEX(SchnittGes4!M:M,MATCH(L29,SchnittGes4!L:L,0))+INDEX(Schnitt5!M:M,MATCH(L29,Schnitt5!L:L,0))</f>
        <v>6708</v>
      </c>
      <c r="N29">
        <f>INDEX(SchnittGes4!N:N,MATCH(L29,SchnittGes4!L:L,0))+INDEX(Schnitt5!N:N,MATCH(L29,Schnitt5!L:L,0))</f>
        <v>33</v>
      </c>
      <c r="O29">
        <f t="shared" si="7"/>
        <v>203.27272724372727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INDEX(SchnittGes4!M:M,MATCH(L30,SchnittGes4!L:L,0))+INDEX(Schnitt5!M:M,MATCH(L30,Schnitt5!L:L,0))</f>
        <v>5760</v>
      </c>
      <c r="N30">
        <f>INDEX(SchnittGes4!N:N,MATCH(L30,SchnittGes4!L:L,0))+INDEX(Schnitt5!N:N,MATCH(L30,Schnitt5!L:L,0))</f>
        <v>29</v>
      </c>
      <c r="O30">
        <f t="shared" si="7"/>
        <v>198.62068962517242</v>
      </c>
      <c r="P30">
        <f t="shared" si="1"/>
        <v>20</v>
      </c>
    </row>
    <row r="31" spans="1:16" x14ac:dyDescent="0.25">
      <c r="A31">
        <f t="shared" si="6"/>
        <v>27</v>
      </c>
      <c r="B31">
        <f t="shared" si="2"/>
        <v>16888</v>
      </c>
      <c r="C31" t="str">
        <f>IFERROR(INDEX(Starter!B:B,MATCH(B31,Starter!A:A,0)),"")</f>
        <v>Auer, Thomas</v>
      </c>
      <c r="D31" t="str">
        <f>IFERROR(INDEX(Starter!C:C,MATCH(B31,Starter!A:A,0)),"")</f>
        <v>BSC Highroller Rosenheim</v>
      </c>
      <c r="E31" s="102">
        <f t="shared" si="3"/>
        <v>7573</v>
      </c>
      <c r="F31">
        <f t="shared" si="4"/>
        <v>39</v>
      </c>
      <c r="G31" s="137">
        <f t="shared" si="5"/>
        <v>194.17948715548718</v>
      </c>
      <c r="L31" s="227">
        <f>INDEX(Starter!A:A,ROW()-1)</f>
        <v>7102</v>
      </c>
      <c r="M31">
        <f>INDEX(SchnittGes4!M:M,MATCH(L31,SchnittGes4!L:L,0))+INDEX(Schnitt5!M:M,MATCH(L31,Schnitt5!L:L,0))</f>
        <v>5536</v>
      </c>
      <c r="N31">
        <f>INDEX(SchnittGes4!N:N,MATCH(L31,SchnittGes4!L:L,0))+INDEX(Schnitt5!N:N,MATCH(L31,Schnitt5!L:L,0))</f>
        <v>27</v>
      </c>
      <c r="O31">
        <f t="shared" si="7"/>
        <v>205.03703700603702</v>
      </c>
      <c r="P31">
        <f t="shared" si="1"/>
        <v>12</v>
      </c>
    </row>
    <row r="32" spans="1:16" x14ac:dyDescent="0.25">
      <c r="A32">
        <f t="shared" si="6"/>
        <v>28</v>
      </c>
      <c r="B32">
        <f t="shared" si="2"/>
        <v>16945</v>
      </c>
      <c r="C32" t="str">
        <f>IFERROR(INDEX(Starter!B:B,MATCH(B32,Starter!A:A,0)),"")</f>
        <v>Reichardt, Stefan</v>
      </c>
      <c r="D32" t="str">
        <f>IFERROR(INDEX(Starter!C:C,MATCH(B32,Starter!A:A,0)),"")</f>
        <v>SG Rottendorf</v>
      </c>
      <c r="E32" s="102">
        <f t="shared" si="3"/>
        <v>8144</v>
      </c>
      <c r="F32">
        <f t="shared" si="4"/>
        <v>42</v>
      </c>
      <c r="G32" s="137">
        <f t="shared" si="5"/>
        <v>193.90476189176189</v>
      </c>
      <c r="L32" s="227">
        <f>INDEX(Starter!A:A,ROW()-1)</f>
        <v>16245</v>
      </c>
      <c r="M32">
        <f>INDEX(SchnittGes4!M:M,MATCH(L32,SchnittGes4!L:L,0))+INDEX(Schnitt5!M:M,MATCH(L32,Schnitt5!L:L,0))</f>
        <v>1513</v>
      </c>
      <c r="N32">
        <f>INDEX(SchnittGes4!N:N,MATCH(L32,SchnittGes4!L:L,0))+INDEX(Schnitt5!N:N,MATCH(L32,Schnitt5!L:L,0))</f>
        <v>9</v>
      </c>
      <c r="O32">
        <f t="shared" si="7"/>
        <v>168.11111107911111</v>
      </c>
      <c r="P32">
        <f t="shared" si="1"/>
        <v>67</v>
      </c>
    </row>
    <row r="33" spans="1:16" x14ac:dyDescent="0.25">
      <c r="A33">
        <f t="shared" si="6"/>
        <v>29</v>
      </c>
      <c r="B33">
        <f t="shared" si="2"/>
        <v>38041</v>
      </c>
      <c r="C33" t="str">
        <f>IFERROR(INDEX(Starter!B:B,MATCH(B33,Starter!A:A,0)),"")</f>
        <v>Röhlig, Jörg</v>
      </c>
      <c r="D33" t="str">
        <f>IFERROR(INDEX(Starter!C:C,MATCH(B33,Starter!A:A,0)),"")</f>
        <v>BC Bamberger Bowlinghaus</v>
      </c>
      <c r="E33" s="102">
        <f t="shared" si="3"/>
        <v>5606</v>
      </c>
      <c r="F33">
        <f t="shared" si="4"/>
        <v>29</v>
      </c>
      <c r="G33" s="137">
        <f t="shared" si="5"/>
        <v>193.31034478958622</v>
      </c>
      <c r="L33" s="227">
        <f>INDEX(Starter!A:A,ROW()-1)</f>
        <v>27134</v>
      </c>
      <c r="M33">
        <f>INDEX(SchnittGes4!M:M,MATCH(L33,SchnittGes4!L:L,0))+INDEX(Schnitt5!M:M,MATCH(L33,Schnitt5!L:L,0))</f>
        <v>4578</v>
      </c>
      <c r="N33">
        <f>INDEX(SchnittGes4!N:N,MATCH(L33,SchnittGes4!L:L,0))+INDEX(Schnitt5!N:N,MATCH(L33,Schnitt5!L:L,0))</f>
        <v>26</v>
      </c>
      <c r="O33">
        <f t="shared" si="7"/>
        <v>176.07692304392307</v>
      </c>
      <c r="P33">
        <f t="shared" si="1"/>
        <v>56</v>
      </c>
    </row>
    <row r="34" spans="1:16" x14ac:dyDescent="0.25">
      <c r="A34">
        <f t="shared" si="6"/>
        <v>30</v>
      </c>
      <c r="B34">
        <f t="shared" si="2"/>
        <v>16301</v>
      </c>
      <c r="C34" t="str">
        <f>IFERROR(INDEX(Starter!B:B,MATCH(B34,Starter!A:A,0)),"")</f>
        <v>Werder, Jan-Uwe</v>
      </c>
      <c r="D34" t="str">
        <f>IFERROR(INDEX(Starter!C:C,MATCH(B34,Starter!A:A,0)),"")</f>
        <v>DJK Rimpar</v>
      </c>
      <c r="E34" s="102">
        <f t="shared" si="3"/>
        <v>7315</v>
      </c>
      <c r="F34">
        <f t="shared" si="4"/>
        <v>38</v>
      </c>
      <c r="G34" s="137">
        <f t="shared" si="5"/>
        <v>192.499999995</v>
      </c>
      <c r="L34" s="227">
        <f>INDEX(Starter!A:A,ROW()-1)</f>
        <v>7883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71</v>
      </c>
    </row>
    <row r="35" spans="1:16" x14ac:dyDescent="0.25">
      <c r="A35">
        <f t="shared" si="6"/>
        <v>31</v>
      </c>
      <c r="B35">
        <f t="shared" si="2"/>
        <v>38550</v>
      </c>
      <c r="C35" t="str">
        <f>IFERROR(INDEX(Starter!B:B,MATCH(B35,Starter!A:A,0)),"")</f>
        <v>Schütze, Oliver</v>
      </c>
      <c r="D35" t="str">
        <f>IFERROR(INDEX(Starter!C:C,MATCH(B35,Starter!A:A,0)),"")</f>
        <v>BC Schanzer Strikers</v>
      </c>
      <c r="E35" s="102">
        <f t="shared" si="3"/>
        <v>5180</v>
      </c>
      <c r="F35">
        <f t="shared" si="4"/>
        <v>27</v>
      </c>
      <c r="G35" s="137">
        <f t="shared" si="5"/>
        <v>191.85185184385185</v>
      </c>
      <c r="L35" s="227">
        <f>INDEX(Starter!A:A,ROW()-1)</f>
        <v>7653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71</v>
      </c>
    </row>
    <row r="36" spans="1:16" x14ac:dyDescent="0.25">
      <c r="A36">
        <f t="shared" si="6"/>
        <v>32</v>
      </c>
      <c r="B36">
        <f t="shared" si="2"/>
        <v>38687</v>
      </c>
      <c r="C36" t="str">
        <f>IFERROR(INDEX(Starter!B:B,MATCH(B36,Starter!A:A,0)),"")</f>
        <v>Gräfe, Sebastian</v>
      </c>
      <c r="D36" t="str">
        <f>IFERROR(INDEX(Starter!C:C,MATCH(B36,Starter!A:A,0)),"")</f>
        <v>DJK Rimpar</v>
      </c>
      <c r="E36" s="102">
        <f t="shared" si="3"/>
        <v>6878</v>
      </c>
      <c r="F36">
        <f t="shared" si="4"/>
        <v>36</v>
      </c>
      <c r="G36" s="137">
        <f t="shared" si="5"/>
        <v>191.05555555255555</v>
      </c>
      <c r="L36" s="227">
        <f>INDEX(Starter!A:A,ROW()-1)</f>
        <v>25554</v>
      </c>
      <c r="M36">
        <f>INDEX(SchnittGes4!M:M,MATCH(L36,SchnittGes4!L:L,0))+INDEX(Schnitt5!M:M,MATCH(L36,Schnitt5!L:L,0))</f>
        <v>3640</v>
      </c>
      <c r="N36">
        <f>INDEX(SchnittGes4!N:N,MATCH(L36,SchnittGes4!L:L,0))+INDEX(Schnitt5!N:N,MATCH(L36,Schnitt5!L:L,0))</f>
        <v>20</v>
      </c>
      <c r="O36">
        <f t="shared" si="7"/>
        <v>181.99999996400001</v>
      </c>
      <c r="P36">
        <f t="shared" si="8"/>
        <v>49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3435</v>
      </c>
      <c r="F37">
        <f t="shared" ref="F37:F68" si="11">IFERROR(INDEX(N:N,MATCH(A37,P:P,0)),"")</f>
        <v>18</v>
      </c>
      <c r="G37" s="137">
        <f t="shared" ref="G37:G68" si="12">IFERROR(INDEX(O:O,MATCH(A37,P:P,0)),"")</f>
        <v>190.83333326833335</v>
      </c>
      <c r="L37" s="227">
        <f>INDEX(Starter!A:A,ROW()-1)</f>
        <v>7099</v>
      </c>
      <c r="M37">
        <f>INDEX(SchnittGes4!M:M,MATCH(L37,SchnittGes4!L:L,0))+INDEX(Schnitt5!M:M,MATCH(L37,Schnitt5!L:L,0))</f>
        <v>4824</v>
      </c>
      <c r="N37">
        <f>INDEX(SchnittGes4!N:N,MATCH(L37,SchnittGes4!L:L,0))+INDEX(Schnitt5!N:N,MATCH(L37,Schnitt5!L:L,0))</f>
        <v>23</v>
      </c>
      <c r="O37">
        <f t="shared" si="7"/>
        <v>209.73913039778259</v>
      </c>
      <c r="P37">
        <f t="shared" si="8"/>
        <v>7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16263</v>
      </c>
      <c r="C38" t="str">
        <f>IFERROR(INDEX(Starter!B:B,MATCH(B38,Starter!A:A,0)),"")</f>
        <v>Jackwerth, Enno</v>
      </c>
      <c r="D38" t="str">
        <f>IFERROR(INDEX(Starter!C:C,MATCH(B38,Starter!A:A,0)),"")</f>
        <v>BF Rot-Weiß Lichtenhof 69</v>
      </c>
      <c r="E38" s="102">
        <f t="shared" si="10"/>
        <v>8550</v>
      </c>
      <c r="F38">
        <f t="shared" si="11"/>
        <v>45</v>
      </c>
      <c r="G38" s="137">
        <f t="shared" si="12"/>
        <v>189.999999957</v>
      </c>
      <c r="L38" s="227">
        <f>INDEX(Starter!A:A,ROW()-1)</f>
        <v>38041</v>
      </c>
      <c r="M38">
        <f>INDEX(SchnittGes4!M:M,MATCH(L38,SchnittGes4!L:L,0))+INDEX(Schnitt5!M:M,MATCH(L38,Schnitt5!L:L,0))</f>
        <v>5606</v>
      </c>
      <c r="N38">
        <f>INDEX(SchnittGes4!N:N,MATCH(L38,SchnittGes4!L:L,0))+INDEX(Schnitt5!N:N,MATCH(L38,Schnitt5!L:L,0))</f>
        <v>29</v>
      </c>
      <c r="O38">
        <f t="shared" si="7"/>
        <v>193.31034478958622</v>
      </c>
      <c r="P38">
        <f t="shared" si="8"/>
        <v>29</v>
      </c>
    </row>
    <row r="39" spans="1:16" x14ac:dyDescent="0.25">
      <c r="A39">
        <f t="shared" si="13"/>
        <v>35</v>
      </c>
      <c r="B39">
        <f t="shared" si="9"/>
        <v>7597</v>
      </c>
      <c r="C39" t="str">
        <f>IFERROR(INDEX(Starter!B:B,MATCH(B39,Starter!A:A,0)),"")</f>
        <v>Laub, Harald</v>
      </c>
      <c r="D39" t="str">
        <f>IFERROR(INDEX(Starter!C:C,MATCH(B39,Starter!A:A,0)),"")</f>
        <v>BK München</v>
      </c>
      <c r="E39" s="102">
        <f t="shared" si="10"/>
        <v>6257</v>
      </c>
      <c r="F39">
        <f t="shared" si="11"/>
        <v>33</v>
      </c>
      <c r="G39" s="137">
        <f t="shared" si="12"/>
        <v>189.60606059106058</v>
      </c>
      <c r="L39" s="227">
        <f>INDEX(Starter!A:A,ROW()-1)</f>
        <v>25516</v>
      </c>
      <c r="M39">
        <f>INDEX(SchnittGes4!M:M,MATCH(L39,SchnittGes4!L:L,0))+INDEX(Schnitt5!M:M,MATCH(L39,Schnitt5!L:L,0))</f>
        <v>3971</v>
      </c>
      <c r="N39">
        <f>INDEX(SchnittGes4!N:N,MATCH(L39,SchnittGes4!L:L,0))+INDEX(Schnitt5!N:N,MATCH(L39,Schnitt5!L:L,0))</f>
        <v>22</v>
      </c>
      <c r="O39">
        <f t="shared" si="7"/>
        <v>180.49999996099999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16519</v>
      </c>
      <c r="C40" t="str">
        <f>IFERROR(INDEX(Starter!B:B,MATCH(B40,Starter!A:A,0)),"")</f>
        <v>Tos, Sascha</v>
      </c>
      <c r="D40" t="str">
        <f>IFERROR(INDEX(Starter!C:C,MATCH(B40,Starter!A:A,0)),"")</f>
        <v>BSC Highroller Rosenheim</v>
      </c>
      <c r="E40" s="102">
        <f t="shared" si="10"/>
        <v>3978</v>
      </c>
      <c r="F40">
        <f t="shared" si="11"/>
        <v>21</v>
      </c>
      <c r="G40" s="137">
        <f t="shared" si="12"/>
        <v>189.42857136857143</v>
      </c>
      <c r="L40" s="227">
        <f>INDEX(Starter!A:A,ROW()-1)</f>
        <v>16873</v>
      </c>
      <c r="M40">
        <f>INDEX(SchnittGes4!M:M,MATCH(L40,SchnittGes4!L:L,0))+INDEX(Schnitt5!M:M,MATCH(L40,Schnitt5!L:L,0))</f>
        <v>6668</v>
      </c>
      <c r="N40">
        <f>INDEX(SchnittGes4!N:N,MATCH(L40,SchnittGes4!L:L,0))+INDEX(Schnitt5!N:N,MATCH(L40,Schnitt5!L:L,0))</f>
        <v>36</v>
      </c>
      <c r="O40">
        <f t="shared" si="7"/>
        <v>185.22222218222223</v>
      </c>
      <c r="P40">
        <f t="shared" si="8"/>
        <v>44</v>
      </c>
    </row>
    <row r="41" spans="1:16" x14ac:dyDescent="0.25">
      <c r="A41">
        <f t="shared" si="13"/>
        <v>37</v>
      </c>
      <c r="B41">
        <f t="shared" si="9"/>
        <v>16251</v>
      </c>
      <c r="C41" t="str">
        <f>IFERROR(INDEX(Starter!B:B,MATCH(B41,Starter!A:A,0)),"")</f>
        <v>Renner, Alexander</v>
      </c>
      <c r="D41" t="str">
        <f>IFERROR(INDEX(Starter!C:C,MATCH(B41,Starter!A:A,0)),"")</f>
        <v>BC Bamberger Bowlinghaus</v>
      </c>
      <c r="E41" s="102">
        <f t="shared" si="10"/>
        <v>2270</v>
      </c>
      <c r="F41">
        <f t="shared" si="11"/>
        <v>12</v>
      </c>
      <c r="G41" s="137">
        <f t="shared" si="12"/>
        <v>189.16666659966666</v>
      </c>
      <c r="L41" s="227">
        <f>INDEX(Starter!A:A,ROW()-1)</f>
        <v>7937</v>
      </c>
      <c r="M41">
        <f>INDEX(SchnittGes4!M:M,MATCH(L41,SchnittGes4!L:L,0))+INDEX(Schnitt5!M:M,MATCH(L41,Schnitt5!L:L,0))</f>
        <v>9122</v>
      </c>
      <c r="N41">
        <f>INDEX(SchnittGes4!N:N,MATCH(L41,SchnittGes4!L:L,0))+INDEX(Schnitt5!N:N,MATCH(L41,Schnitt5!L:L,0))</f>
        <v>45</v>
      </c>
      <c r="O41">
        <f t="shared" si="7"/>
        <v>202.71111107011112</v>
      </c>
      <c r="P41">
        <f t="shared" si="8"/>
        <v>15</v>
      </c>
    </row>
    <row r="42" spans="1:16" x14ac:dyDescent="0.25">
      <c r="A42">
        <f t="shared" si="13"/>
        <v>38</v>
      </c>
      <c r="B42">
        <f t="shared" si="9"/>
        <v>16398</v>
      </c>
      <c r="C42" t="str">
        <f>IFERROR(INDEX(Starter!B:B,MATCH(B42,Starter!A:A,0)),"")</f>
        <v>Denz, Günter</v>
      </c>
      <c r="D42" t="str">
        <f>IFERROR(INDEX(Starter!C:C,MATCH(B42,Starter!A:A,0)),"")</f>
        <v>BC EMAX</v>
      </c>
      <c r="E42" s="102">
        <f t="shared" si="10"/>
        <v>3404</v>
      </c>
      <c r="F42">
        <f t="shared" si="11"/>
        <v>18</v>
      </c>
      <c r="G42" s="137">
        <f t="shared" si="12"/>
        <v>189.1111110451111</v>
      </c>
      <c r="L42" s="227">
        <f>INDEX(Starter!A:A,ROW()-1)</f>
        <v>10124</v>
      </c>
      <c r="M42">
        <f>INDEX(SchnittGes4!M:M,MATCH(L42,SchnittGes4!L:L,0))+INDEX(Schnitt5!M:M,MATCH(L42,Schnitt5!L:L,0))</f>
        <v>7857</v>
      </c>
      <c r="N42">
        <f>INDEX(SchnittGes4!N:N,MATCH(L42,SchnittGes4!L:L,0))+INDEX(Schnitt5!N:N,MATCH(L42,Schnitt5!L:L,0))</f>
        <v>43</v>
      </c>
      <c r="O42">
        <f t="shared" si="7"/>
        <v>182.72093019055814</v>
      </c>
      <c r="P42">
        <f t="shared" si="8"/>
        <v>48</v>
      </c>
    </row>
    <row r="43" spans="1:16" x14ac:dyDescent="0.25">
      <c r="A43">
        <f t="shared" si="13"/>
        <v>39</v>
      </c>
      <c r="B43">
        <f t="shared" si="9"/>
        <v>16852</v>
      </c>
      <c r="C43" t="str">
        <f>IFERROR(INDEX(Starter!B:B,MATCH(B43,Starter!A:A,0)),"")</f>
        <v>Wendel, Dominik</v>
      </c>
      <c r="D43" t="str">
        <f>IFERROR(INDEX(Starter!C:C,MATCH(B43,Starter!A:A,0)),"")</f>
        <v>SG Rottendorf</v>
      </c>
      <c r="E43" s="102">
        <f t="shared" si="10"/>
        <v>6034</v>
      </c>
      <c r="F43">
        <f t="shared" si="11"/>
        <v>32</v>
      </c>
      <c r="G43" s="137">
        <f t="shared" si="12"/>
        <v>188.56249998999999</v>
      </c>
      <c r="L43" s="227">
        <f>INDEX(Starter!A:A,ROW()-1)</f>
        <v>16263</v>
      </c>
      <c r="M43">
        <f>INDEX(SchnittGes4!M:M,MATCH(L43,SchnittGes4!L:L,0))+INDEX(Schnitt5!M:M,MATCH(L43,Schnitt5!L:L,0))</f>
        <v>8550</v>
      </c>
      <c r="N43">
        <f>INDEX(SchnittGes4!N:N,MATCH(L43,SchnittGes4!L:L,0))+INDEX(Schnitt5!N:N,MATCH(L43,Schnitt5!L:L,0))</f>
        <v>45</v>
      </c>
      <c r="O43">
        <f t="shared" si="7"/>
        <v>189.999999957</v>
      </c>
      <c r="P43">
        <f t="shared" si="8"/>
        <v>34</v>
      </c>
    </row>
    <row r="44" spans="1:16" x14ac:dyDescent="0.25">
      <c r="A44">
        <f t="shared" si="13"/>
        <v>40</v>
      </c>
      <c r="B44">
        <f t="shared" si="9"/>
        <v>16862</v>
      </c>
      <c r="C44" t="str">
        <f>IFERROR(INDEX(Starter!B:B,MATCH(B44,Starter!A:A,0)),"")</f>
        <v>Büttner, Christian</v>
      </c>
      <c r="D44" t="str">
        <f>IFERROR(INDEX(Starter!C:C,MATCH(B44,Starter!A:A,0)),"")</f>
        <v>SG Rottendorf</v>
      </c>
      <c r="E44" s="102">
        <f t="shared" si="10"/>
        <v>8107</v>
      </c>
      <c r="F44">
        <f t="shared" si="11"/>
        <v>43</v>
      </c>
      <c r="G44" s="137">
        <f t="shared" si="12"/>
        <v>188.53488367093021</v>
      </c>
      <c r="L44" s="227">
        <f>INDEX(Starter!A:A,ROW()-1)</f>
        <v>7959</v>
      </c>
      <c r="M44">
        <f>INDEX(SchnittGes4!M:M,MATCH(L44,SchnittGes4!L:L,0))+INDEX(Schnitt5!M:M,MATCH(L44,Schnitt5!L:L,0))</f>
        <v>2390</v>
      </c>
      <c r="N44">
        <f>INDEX(SchnittGes4!N:N,MATCH(L44,SchnittGes4!L:L,0))+INDEX(Schnitt5!N:N,MATCH(L44,Schnitt5!L:L,0))</f>
        <v>14</v>
      </c>
      <c r="O44">
        <f t="shared" si="7"/>
        <v>170.71428567028573</v>
      </c>
      <c r="P44">
        <f t="shared" si="8"/>
        <v>61</v>
      </c>
    </row>
    <row r="45" spans="1:16" x14ac:dyDescent="0.25">
      <c r="A45">
        <f t="shared" si="13"/>
        <v>41</v>
      </c>
      <c r="B45">
        <f t="shared" si="9"/>
        <v>16495</v>
      </c>
      <c r="C45" t="str">
        <f>IFERROR(INDEX(Starter!B:B,MATCH(B45,Starter!A:A,0)),"")</f>
        <v>Stemmler, Patrick</v>
      </c>
      <c r="D45" t="str">
        <f>IFERROR(INDEX(Starter!C:C,MATCH(B45,Starter!A:A,0)),"")</f>
        <v>SG Rottendorf</v>
      </c>
      <c r="E45" s="102">
        <f t="shared" si="10"/>
        <v>8276</v>
      </c>
      <c r="F45">
        <f t="shared" si="11"/>
        <v>44</v>
      </c>
      <c r="G45" s="137">
        <f t="shared" si="12"/>
        <v>188.09090907890911</v>
      </c>
      <c r="L45" s="227">
        <f>INDEX(Starter!A:A,ROW()-1)</f>
        <v>7601</v>
      </c>
      <c r="M45">
        <f>INDEX(SchnittGes4!M:M,MATCH(L45,SchnittGes4!L:L,0))+INDEX(Schnitt5!M:M,MATCH(L45,Schnitt5!L:L,0))</f>
        <v>5514</v>
      </c>
      <c r="N45">
        <f>INDEX(SchnittGes4!N:N,MATCH(L45,SchnittGes4!L:L,0))+INDEX(Schnitt5!N:N,MATCH(L45,Schnitt5!L:L,0))</f>
        <v>31</v>
      </c>
      <c r="O45">
        <f t="shared" si="7"/>
        <v>177.87096769693548</v>
      </c>
      <c r="P45">
        <f t="shared" si="8"/>
        <v>53</v>
      </c>
    </row>
    <row r="46" spans="1:16" x14ac:dyDescent="0.25">
      <c r="A46">
        <f t="shared" si="13"/>
        <v>42</v>
      </c>
      <c r="B46">
        <f t="shared" si="9"/>
        <v>38039</v>
      </c>
      <c r="C46" t="str">
        <f>IFERROR(INDEX(Starter!B:B,MATCH(B46,Starter!A:A,0)),"")</f>
        <v>Plaschka, Nico</v>
      </c>
      <c r="D46" t="str">
        <f>IFERROR(INDEX(Starter!C:C,MATCH(B46,Starter!A:A,0)),"")</f>
        <v>DJK Rimpar</v>
      </c>
      <c r="E46" s="102">
        <f t="shared" si="10"/>
        <v>4134</v>
      </c>
      <c r="F46">
        <f t="shared" si="11"/>
        <v>22</v>
      </c>
      <c r="G46" s="137">
        <f t="shared" si="12"/>
        <v>187.9090908610909</v>
      </c>
      <c r="L46" s="227">
        <f>INDEX(Starter!A:A,ROW()-1)</f>
        <v>7593</v>
      </c>
      <c r="M46">
        <f>INDEX(SchnittGes4!M:M,MATCH(L46,SchnittGes4!L:L,0))+INDEX(Schnitt5!M:M,MATCH(L46,Schnitt5!L:L,0))</f>
        <v>5389</v>
      </c>
      <c r="N46">
        <f>INDEX(SchnittGes4!N:N,MATCH(L46,SchnittGes4!L:L,0))+INDEX(Schnitt5!N:N,MATCH(L46,Schnitt5!L:L,0))</f>
        <v>27</v>
      </c>
      <c r="O46">
        <f t="shared" si="7"/>
        <v>199.59259254659258</v>
      </c>
      <c r="P46">
        <f t="shared" si="8"/>
        <v>19</v>
      </c>
    </row>
    <row r="47" spans="1:16" x14ac:dyDescent="0.25">
      <c r="A47">
        <f t="shared" si="13"/>
        <v>43</v>
      </c>
      <c r="B47">
        <f t="shared" si="9"/>
        <v>7600</v>
      </c>
      <c r="C47" t="str">
        <f>IFERROR(INDEX(Starter!B:B,MATCH(B47,Starter!A:A,0)),"")</f>
        <v>Lüthje, Dennis</v>
      </c>
      <c r="D47" t="str">
        <f>IFERROR(INDEX(Starter!C:C,MATCH(B47,Starter!A:A,0)),"")</f>
        <v>BC Bajuwaren 1976 München</v>
      </c>
      <c r="E47" s="102">
        <f t="shared" si="10"/>
        <v>6539</v>
      </c>
      <c r="F47">
        <f t="shared" si="11"/>
        <v>35</v>
      </c>
      <c r="G47" s="137">
        <f t="shared" si="12"/>
        <v>186.82857140857143</v>
      </c>
      <c r="L47" s="227">
        <f>INDEX(Starter!A:A,ROW()-1)</f>
        <v>7591</v>
      </c>
      <c r="M47">
        <f>INDEX(SchnittGes4!M:M,MATCH(L47,SchnittGes4!L:L,0))+INDEX(Schnitt5!M:M,MATCH(L47,Schnitt5!L:L,0))</f>
        <v>5414</v>
      </c>
      <c r="N47">
        <f>INDEX(SchnittGes4!N:N,MATCH(L47,SchnittGes4!L:L,0))+INDEX(Schnitt5!N:N,MATCH(L47,Schnitt5!L:L,0))</f>
        <v>26</v>
      </c>
      <c r="O47">
        <f t="shared" si="7"/>
        <v>208.23076918376924</v>
      </c>
      <c r="P47">
        <f t="shared" si="8"/>
        <v>8</v>
      </c>
    </row>
    <row r="48" spans="1:16" x14ac:dyDescent="0.25">
      <c r="A48">
        <f t="shared" si="13"/>
        <v>44</v>
      </c>
      <c r="B48">
        <f t="shared" si="9"/>
        <v>16873</v>
      </c>
      <c r="C48" t="str">
        <f>IFERROR(INDEX(Starter!B:B,MATCH(B48,Starter!A:A,0)),"")</f>
        <v>Nolan, Jonathan</v>
      </c>
      <c r="D48" t="str">
        <f>IFERROR(INDEX(Starter!C:C,MATCH(B48,Starter!A:A,0)),"")</f>
        <v>BC Bamberger Bowlinghaus</v>
      </c>
      <c r="E48" s="102">
        <f t="shared" si="10"/>
        <v>6668</v>
      </c>
      <c r="F48">
        <f t="shared" si="11"/>
        <v>36</v>
      </c>
      <c r="G48" s="137">
        <f t="shared" si="12"/>
        <v>185.22222218222223</v>
      </c>
      <c r="L48" s="227">
        <f>INDEX(Starter!A:A,ROW()-1)</f>
        <v>38039</v>
      </c>
      <c r="M48">
        <f>INDEX(SchnittGes4!M:M,MATCH(L48,SchnittGes4!L:L,0))+INDEX(Schnitt5!M:M,MATCH(L48,Schnitt5!L:L,0))</f>
        <v>4134</v>
      </c>
      <c r="N48">
        <f>INDEX(SchnittGes4!N:N,MATCH(L48,SchnittGes4!L:L,0))+INDEX(Schnitt5!N:N,MATCH(L48,Schnitt5!L:L,0))</f>
        <v>22</v>
      </c>
      <c r="O48">
        <f t="shared" si="7"/>
        <v>187.9090908610909</v>
      </c>
      <c r="P48">
        <f t="shared" si="8"/>
        <v>42</v>
      </c>
    </row>
    <row r="49" spans="1:16" x14ac:dyDescent="0.25">
      <c r="A49">
        <f t="shared" si="13"/>
        <v>45</v>
      </c>
      <c r="B49">
        <f t="shared" si="9"/>
        <v>38043</v>
      </c>
      <c r="C49" t="str">
        <f>IFERROR(INDEX(Starter!B:B,MATCH(B49,Starter!A:A,0)),"")</f>
        <v>Badum, Daniel</v>
      </c>
      <c r="D49" t="str">
        <f>IFERROR(INDEX(Starter!C:C,MATCH(B49,Starter!A:A,0)),"")</f>
        <v>BC Bamberger Bowlinghaus</v>
      </c>
      <c r="E49" s="102">
        <f t="shared" si="10"/>
        <v>6845</v>
      </c>
      <c r="F49">
        <f t="shared" si="11"/>
        <v>37</v>
      </c>
      <c r="G49" s="137">
        <f t="shared" si="12"/>
        <v>184.99999994199999</v>
      </c>
      <c r="L49" s="227">
        <f>INDEX(Starter!A:A,ROW()-1)</f>
        <v>7738</v>
      </c>
      <c r="M49">
        <f>INDEX(SchnittGes4!M:M,MATCH(L49,SchnittGes4!L:L,0))+INDEX(Schnitt5!M:M,MATCH(L49,Schnitt5!L:L,0))</f>
        <v>704</v>
      </c>
      <c r="N49">
        <f>INDEX(SchnittGes4!N:N,MATCH(L49,SchnittGes4!L:L,0))+INDEX(Schnitt5!N:N,MATCH(L49,Schnitt5!L:L,0))</f>
        <v>4</v>
      </c>
      <c r="O49">
        <f t="shared" si="7"/>
        <v>175.99999995100001</v>
      </c>
      <c r="P49">
        <f t="shared" si="8"/>
        <v>57</v>
      </c>
    </row>
    <row r="50" spans="1:16" x14ac:dyDescent="0.25">
      <c r="A50">
        <f t="shared" si="13"/>
        <v>46</v>
      </c>
      <c r="B50">
        <f t="shared" si="9"/>
        <v>38092</v>
      </c>
      <c r="C50" t="str">
        <f>IFERROR(INDEX(Starter!B:B,MATCH(B50,Starter!A:A,0)),"")</f>
        <v>Kabel, Nicolas</v>
      </c>
      <c r="D50" t="str">
        <f>IFERROR(INDEX(Starter!C:C,MATCH(B50,Starter!A:A,0)),"")</f>
        <v>BSC Highroller Rosenheim</v>
      </c>
      <c r="E50" s="102">
        <f t="shared" si="10"/>
        <v>7954</v>
      </c>
      <c r="F50">
        <f t="shared" si="11"/>
        <v>43</v>
      </c>
      <c r="G50" s="137">
        <f t="shared" si="12"/>
        <v>184.97674416104653</v>
      </c>
      <c r="L50" s="227">
        <f>INDEX(Starter!A:A,ROW()-1)</f>
        <v>16862</v>
      </c>
      <c r="M50">
        <f>INDEX(SchnittGes4!M:M,MATCH(L50,SchnittGes4!L:L,0))+INDEX(Schnitt5!M:M,MATCH(L50,Schnitt5!L:L,0))</f>
        <v>8107</v>
      </c>
      <c r="N50">
        <f>INDEX(SchnittGes4!N:N,MATCH(L50,SchnittGes4!L:L,0))+INDEX(Schnitt5!N:N,MATCH(L50,Schnitt5!L:L,0))</f>
        <v>43</v>
      </c>
      <c r="O50">
        <f t="shared" si="7"/>
        <v>188.53488367093021</v>
      </c>
      <c r="P50">
        <f t="shared" si="8"/>
        <v>40</v>
      </c>
    </row>
    <row r="51" spans="1:16" x14ac:dyDescent="0.25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4609</v>
      </c>
      <c r="F51">
        <f t="shared" si="11"/>
        <v>25</v>
      </c>
      <c r="G51" s="137">
        <f t="shared" si="12"/>
        <v>184.359999977</v>
      </c>
      <c r="L51" s="227">
        <f>INDEX(Starter!A:A,ROW()-1)</f>
        <v>16346</v>
      </c>
      <c r="M51">
        <f>INDEX(SchnittGes4!M:M,MATCH(L51,SchnittGes4!L:L,0))+INDEX(Schnitt5!M:M,MATCH(L51,Schnitt5!L:L,0))</f>
        <v>422</v>
      </c>
      <c r="N51">
        <f>INDEX(SchnittGes4!N:N,MATCH(L51,SchnittGes4!L:L,0))+INDEX(Schnitt5!N:N,MATCH(L51,Schnitt5!L:L,0))</f>
        <v>2</v>
      </c>
      <c r="O51">
        <f t="shared" si="7"/>
        <v>210.999999949</v>
      </c>
      <c r="P51">
        <f t="shared" si="8"/>
        <v>5</v>
      </c>
    </row>
    <row r="52" spans="1:16" x14ac:dyDescent="0.25">
      <c r="A52">
        <f t="shared" si="13"/>
        <v>48</v>
      </c>
      <c r="B52">
        <f t="shared" si="9"/>
        <v>10124</v>
      </c>
      <c r="C52" t="str">
        <f>IFERROR(INDEX(Starter!B:B,MATCH(B52,Starter!A:A,0)),"")</f>
        <v>Kristof, Robert</v>
      </c>
      <c r="D52" t="str">
        <f>IFERROR(INDEX(Starter!C:C,MATCH(B52,Starter!A:A,0)),"")</f>
        <v>BF Rot-Weiß Lichtenhof 69</v>
      </c>
      <c r="E52" s="102">
        <f t="shared" si="10"/>
        <v>7857</v>
      </c>
      <c r="F52">
        <f t="shared" si="11"/>
        <v>43</v>
      </c>
      <c r="G52" s="137">
        <f t="shared" si="12"/>
        <v>182.72093019055814</v>
      </c>
      <c r="L52" s="227">
        <f>INDEX(Starter!A:A,ROW()-1)</f>
        <v>25024</v>
      </c>
      <c r="M52">
        <f>INDEX(SchnittGes4!M:M,MATCH(L52,SchnittGes4!L:L,0))+INDEX(Schnitt5!M:M,MATCH(L52,Schnitt5!L:L,0))</f>
        <v>1434</v>
      </c>
      <c r="N52">
        <f>INDEX(SchnittGes4!N:N,MATCH(L52,SchnittGes4!L:L,0))+INDEX(Schnitt5!N:N,MATCH(L52,Schnitt5!L:L,0))</f>
        <v>9</v>
      </c>
      <c r="O52">
        <f t="shared" si="7"/>
        <v>159.33333328133335</v>
      </c>
      <c r="P52">
        <f t="shared" si="8"/>
        <v>69</v>
      </c>
    </row>
    <row r="53" spans="1:16" x14ac:dyDescent="0.25">
      <c r="A53">
        <f t="shared" si="13"/>
        <v>49</v>
      </c>
      <c r="B53">
        <f t="shared" si="9"/>
        <v>25554</v>
      </c>
      <c r="C53" t="str">
        <f>IFERROR(INDEX(Starter!B:B,MATCH(B53,Starter!A:A,0)),"")</f>
        <v>Blasits, Ernst</v>
      </c>
      <c r="D53" t="str">
        <f>IFERROR(INDEX(Starter!C:C,MATCH(B53,Starter!A:A,0)),"")</f>
        <v>BC EMAX</v>
      </c>
      <c r="E53" s="102">
        <f t="shared" si="10"/>
        <v>3640</v>
      </c>
      <c r="F53">
        <f t="shared" si="11"/>
        <v>20</v>
      </c>
      <c r="G53" s="137">
        <f t="shared" si="12"/>
        <v>181.99999996400001</v>
      </c>
      <c r="L53" s="227">
        <f>INDEX(Starter!A:A,ROW()-1)</f>
        <v>7344</v>
      </c>
      <c r="M53">
        <f>INDEX(SchnittGes4!M:M,MATCH(L53,SchnittGes4!L:L,0))+INDEX(Schnitt5!M:M,MATCH(L53,Schnitt5!L:L,0))</f>
        <v>1528</v>
      </c>
      <c r="N53">
        <f>INDEX(SchnittGes4!N:N,MATCH(L53,SchnittGes4!L:L,0))+INDEX(Schnitt5!N:N,MATCH(L53,Schnitt5!L:L,0))</f>
        <v>9</v>
      </c>
      <c r="O53">
        <f t="shared" si="7"/>
        <v>169.77777772477776</v>
      </c>
      <c r="P53">
        <f t="shared" si="8"/>
        <v>64</v>
      </c>
    </row>
    <row r="54" spans="1:16" x14ac:dyDescent="0.25">
      <c r="A54">
        <f t="shared" si="13"/>
        <v>50</v>
      </c>
      <c r="B54">
        <f t="shared" si="9"/>
        <v>16352</v>
      </c>
      <c r="C54" t="str">
        <f>IFERROR(INDEX(Starter!B:B,MATCH(B54,Starter!A:A,0)),"")</f>
        <v>Scholz, Alexander</v>
      </c>
      <c r="D54" t="str">
        <f>IFERROR(INDEX(Starter!C:C,MATCH(B54,Starter!A:A,0)),"")</f>
        <v>SG Rottendorf</v>
      </c>
      <c r="E54" s="102">
        <f t="shared" si="10"/>
        <v>2902</v>
      </c>
      <c r="F54">
        <f t="shared" si="11"/>
        <v>16</v>
      </c>
      <c r="G54" s="137">
        <f t="shared" si="12"/>
        <v>181.374999989</v>
      </c>
      <c r="L54" s="227">
        <f>INDEX(Starter!A:A,ROW()-1)</f>
        <v>7602</v>
      </c>
      <c r="M54">
        <f>INDEX(SchnittGes4!M:M,MATCH(L54,SchnittGes4!L:L,0))+INDEX(Schnitt5!M:M,MATCH(L54,Schnitt5!L:L,0))</f>
        <v>6248</v>
      </c>
      <c r="N54">
        <f>INDEX(SchnittGes4!N:N,MATCH(L54,SchnittGes4!L:L,0))+INDEX(Schnitt5!N:N,MATCH(L54,Schnitt5!L:L,0))</f>
        <v>31</v>
      </c>
      <c r="O54">
        <f t="shared" si="7"/>
        <v>201.54838704277421</v>
      </c>
      <c r="P54">
        <f t="shared" si="8"/>
        <v>16</v>
      </c>
    </row>
    <row r="55" spans="1:16" x14ac:dyDescent="0.25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3971</v>
      </c>
      <c r="F55">
        <f t="shared" si="11"/>
        <v>22</v>
      </c>
      <c r="G55" s="137">
        <f t="shared" si="12"/>
        <v>180.49999996099999</v>
      </c>
      <c r="L55" s="227">
        <f>INDEX(Starter!A:A,ROW()-1)</f>
        <v>25325</v>
      </c>
      <c r="M55">
        <f>INDEX(SchnittGes4!M:M,MATCH(L55,SchnittGes4!L:L,0))+INDEX(Schnitt5!M:M,MATCH(L55,Schnitt5!L:L,0))</f>
        <v>6075</v>
      </c>
      <c r="N55">
        <f>INDEX(SchnittGes4!N:N,MATCH(L55,SchnittGes4!L:L,0))+INDEX(Schnitt5!N:N,MATCH(L55,Schnitt5!L:L,0))</f>
        <v>31</v>
      </c>
      <c r="O55">
        <f t="shared" si="7"/>
        <v>195.96774188048389</v>
      </c>
      <c r="P55">
        <f t="shared" si="8"/>
        <v>25</v>
      </c>
    </row>
    <row r="56" spans="1:16" x14ac:dyDescent="0.25">
      <c r="A56">
        <f t="shared" si="13"/>
        <v>52</v>
      </c>
      <c r="B56">
        <f t="shared" si="9"/>
        <v>25061</v>
      </c>
      <c r="C56" t="str">
        <f>IFERROR(INDEX(Starter!B:B,MATCH(B56,Starter!A:A,0)),"")</f>
        <v>Schwarz, Christian</v>
      </c>
      <c r="D56" t="str">
        <f>IFERROR(INDEX(Starter!C:C,MATCH(B56,Starter!A:A,0)),"")</f>
        <v>BSC Highroller Rosenheim</v>
      </c>
      <c r="E56" s="102">
        <f t="shared" si="10"/>
        <v>6783</v>
      </c>
      <c r="F56">
        <f t="shared" si="11"/>
        <v>38</v>
      </c>
      <c r="G56" s="137">
        <f t="shared" si="12"/>
        <v>178.499999941</v>
      </c>
      <c r="L56" s="227">
        <f>INDEX(Starter!A:A,ROW()-1)</f>
        <v>7428</v>
      </c>
      <c r="M56">
        <f>INDEX(SchnittGes4!M:M,MATCH(L56,SchnittGes4!L:L,0))+INDEX(Schnitt5!M:M,MATCH(L56,Schnitt5!L:L,0))</f>
        <v>6955</v>
      </c>
      <c r="N56">
        <f>INDEX(SchnittGes4!N:N,MATCH(L56,SchnittGes4!L:L,0))+INDEX(Schnitt5!N:N,MATCH(L56,Schnitt5!L:L,0))</f>
        <v>34</v>
      </c>
      <c r="O56">
        <f t="shared" si="7"/>
        <v>204.55882347341176</v>
      </c>
      <c r="P56">
        <f t="shared" si="8"/>
        <v>13</v>
      </c>
    </row>
    <row r="57" spans="1:16" x14ac:dyDescent="0.25">
      <c r="A57">
        <f t="shared" si="13"/>
        <v>53</v>
      </c>
      <c r="B57">
        <f t="shared" si="9"/>
        <v>7601</v>
      </c>
      <c r="C57" t="str">
        <f>IFERROR(INDEX(Starter!B:B,MATCH(B57,Starter!A:A,0)),"")</f>
        <v>Lüthje, Volker</v>
      </c>
      <c r="D57" t="str">
        <f>IFERROR(INDEX(Starter!C:C,MATCH(B57,Starter!A:A,0)),"")</f>
        <v>BC Bajuwaren 1976 München</v>
      </c>
      <c r="E57" s="102">
        <f t="shared" si="10"/>
        <v>5514</v>
      </c>
      <c r="F57">
        <f t="shared" si="11"/>
        <v>31</v>
      </c>
      <c r="G57" s="137">
        <f t="shared" si="12"/>
        <v>177.87096769693548</v>
      </c>
      <c r="L57" s="227">
        <f>INDEX(Starter!A:A,ROW()-1)</f>
        <v>16532</v>
      </c>
      <c r="M57">
        <f>INDEX(SchnittGes4!M:M,MATCH(L57,SchnittGes4!L:L,0))+INDEX(Schnitt5!M:M,MATCH(L57,Schnitt5!L:L,0))</f>
        <v>4004</v>
      </c>
      <c r="N57">
        <f>INDEX(SchnittGes4!N:N,MATCH(L57,SchnittGes4!L:L,0))+INDEX(Schnitt5!N:N,MATCH(L57,Schnitt5!L:L,0))</f>
        <v>20</v>
      </c>
      <c r="O57">
        <f t="shared" si="7"/>
        <v>200.19999994299999</v>
      </c>
      <c r="P57">
        <f t="shared" si="8"/>
        <v>18</v>
      </c>
    </row>
    <row r="58" spans="1:16" x14ac:dyDescent="0.25">
      <c r="A58">
        <f t="shared" si="13"/>
        <v>54</v>
      </c>
      <c r="B58">
        <f t="shared" si="9"/>
        <v>38686</v>
      </c>
      <c r="C58" t="str">
        <f>IFERROR(INDEX(Starter!B:B,MATCH(B58,Starter!A:A,0)),"")</f>
        <v>Beck, Stefan</v>
      </c>
      <c r="D58" t="str">
        <f>IFERROR(INDEX(Starter!C:C,MATCH(B58,Starter!A:A,0)),"")</f>
        <v>DJK Rimpar</v>
      </c>
      <c r="E58" s="102">
        <f t="shared" si="10"/>
        <v>708</v>
      </c>
      <c r="F58">
        <f t="shared" si="11"/>
        <v>4</v>
      </c>
      <c r="G58" s="137">
        <f t="shared" si="12"/>
        <v>176.99999993200001</v>
      </c>
      <c r="L58" s="227">
        <f>INDEX(Starter!A:A,ROW()-1)</f>
        <v>38043</v>
      </c>
      <c r="M58">
        <f>INDEX(SchnittGes4!M:M,MATCH(L58,SchnittGes4!L:L,0))+INDEX(Schnitt5!M:M,MATCH(L58,Schnitt5!L:L,0))</f>
        <v>6845</v>
      </c>
      <c r="N58">
        <f>INDEX(SchnittGes4!N:N,MATCH(L58,SchnittGes4!L:L,0))+INDEX(Schnitt5!N:N,MATCH(L58,Schnitt5!L:L,0))</f>
        <v>37</v>
      </c>
      <c r="O58">
        <f t="shared" si="7"/>
        <v>184.99999994199999</v>
      </c>
      <c r="P58">
        <f t="shared" si="8"/>
        <v>45</v>
      </c>
    </row>
    <row r="59" spans="1:16" x14ac:dyDescent="0.25">
      <c r="A59">
        <f t="shared" si="13"/>
        <v>55</v>
      </c>
      <c r="B59">
        <f t="shared" si="9"/>
        <v>16762</v>
      </c>
      <c r="C59" t="str">
        <f>IFERROR(INDEX(Starter!B:B,MATCH(B59,Starter!A:A,0)),"")</f>
        <v>Glasl sen., Hans</v>
      </c>
      <c r="D59" t="str">
        <f>IFERROR(INDEX(Starter!C:C,MATCH(B59,Starter!A:A,0)),"")</f>
        <v>BC Bajuwaren 1976 München</v>
      </c>
      <c r="E59" s="102">
        <f t="shared" si="10"/>
        <v>4070</v>
      </c>
      <c r="F59">
        <f t="shared" si="11"/>
        <v>23</v>
      </c>
      <c r="G59" s="137">
        <f t="shared" si="12"/>
        <v>176.95652172013044</v>
      </c>
      <c r="L59" s="227">
        <f>INDEX(Starter!A:A,ROW()-1)</f>
        <v>25061</v>
      </c>
      <c r="M59">
        <f>INDEX(SchnittGes4!M:M,MATCH(L59,SchnittGes4!L:L,0))+INDEX(Schnitt5!M:M,MATCH(L59,Schnitt5!L:L,0))</f>
        <v>6783</v>
      </c>
      <c r="N59">
        <f>INDEX(SchnittGes4!N:N,MATCH(L59,SchnittGes4!L:L,0))+INDEX(Schnitt5!N:N,MATCH(L59,Schnitt5!L:L,0))</f>
        <v>38</v>
      </c>
      <c r="O59">
        <f t="shared" si="7"/>
        <v>178.499999941</v>
      </c>
      <c r="P59">
        <f t="shared" si="8"/>
        <v>52</v>
      </c>
    </row>
    <row r="60" spans="1:16" x14ac:dyDescent="0.25">
      <c r="A60">
        <f t="shared" si="13"/>
        <v>56</v>
      </c>
      <c r="B60">
        <f t="shared" si="9"/>
        <v>27134</v>
      </c>
      <c r="C60" t="str">
        <f>IFERROR(INDEX(Starter!B:B,MATCH(B60,Starter!A:A,0)),"")</f>
        <v>Lohse, Sebastian</v>
      </c>
      <c r="D60" t="str">
        <f>IFERROR(INDEX(Starter!C:C,MATCH(B60,Starter!A:A,0)),"")</f>
        <v>BC EMAX</v>
      </c>
      <c r="E60" s="102">
        <f t="shared" si="10"/>
        <v>4578</v>
      </c>
      <c r="F60">
        <f t="shared" si="11"/>
        <v>26</v>
      </c>
      <c r="G60" s="137">
        <f t="shared" si="12"/>
        <v>176.07692304392307</v>
      </c>
      <c r="L60" s="227">
        <f>INDEX(Starter!A:A,ROW()-1)</f>
        <v>16519</v>
      </c>
      <c r="M60">
        <f>INDEX(SchnittGes4!M:M,MATCH(L60,SchnittGes4!L:L,0))+INDEX(Schnitt5!M:M,MATCH(L60,Schnitt5!L:L,0))</f>
        <v>3978</v>
      </c>
      <c r="N60">
        <f>INDEX(SchnittGes4!N:N,MATCH(L60,SchnittGes4!L:L,0))+INDEX(Schnitt5!N:N,MATCH(L60,Schnitt5!L:L,0))</f>
        <v>21</v>
      </c>
      <c r="O60">
        <f t="shared" si="7"/>
        <v>189.42857136857143</v>
      </c>
      <c r="P60">
        <f t="shared" si="8"/>
        <v>36</v>
      </c>
    </row>
    <row r="61" spans="1:16" x14ac:dyDescent="0.25">
      <c r="A61">
        <f t="shared" si="13"/>
        <v>57</v>
      </c>
      <c r="B61">
        <f t="shared" si="9"/>
        <v>7738</v>
      </c>
      <c r="C61" t="str">
        <f>IFERROR(INDEX(Starter!B:B,MATCH(B61,Starter!A:A,0)),"")</f>
        <v>Stöhr, Jürgen</v>
      </c>
      <c r="D61" t="str">
        <f>IFERROR(INDEX(Starter!C:C,MATCH(B61,Starter!A:A,0)),"")</f>
        <v>BF Rot-Weiß Lichtenhof 69</v>
      </c>
      <c r="E61" s="102">
        <f t="shared" si="10"/>
        <v>704</v>
      </c>
      <c r="F61">
        <f t="shared" si="11"/>
        <v>4</v>
      </c>
      <c r="G61" s="137">
        <f t="shared" si="12"/>
        <v>175.99999995100001</v>
      </c>
      <c r="L61" s="227">
        <f>INDEX(Starter!A:A,ROW()-1)</f>
        <v>7485</v>
      </c>
      <c r="M61">
        <f>INDEX(SchnittGes4!M:M,MATCH(L61,SchnittGes4!L:L,0))+INDEX(Schnitt5!M:M,MATCH(L61,Schnitt5!L:L,0))</f>
        <v>862</v>
      </c>
      <c r="N61">
        <f>INDEX(SchnittGes4!N:N,MATCH(L61,SchnittGes4!L:L,0))+INDEX(Schnitt5!N:N,MATCH(L61,Schnitt5!L:L,0))</f>
        <v>5</v>
      </c>
      <c r="O61">
        <f t="shared" si="7"/>
        <v>172.399999939</v>
      </c>
      <c r="P61">
        <f t="shared" si="8"/>
        <v>58</v>
      </c>
    </row>
    <row r="62" spans="1:16" x14ac:dyDescent="0.25">
      <c r="A62">
        <f t="shared" si="13"/>
        <v>58</v>
      </c>
      <c r="B62">
        <f t="shared" si="9"/>
        <v>7485</v>
      </c>
      <c r="C62" t="str">
        <f>IFERROR(INDEX(Starter!B:B,MATCH(B62,Starter!A:A,0)),"")</f>
        <v>Singer, Michael</v>
      </c>
      <c r="D62" t="str">
        <f>IFERROR(INDEX(Starter!C:C,MATCH(B62,Starter!A:A,0)),"")</f>
        <v>BK München</v>
      </c>
      <c r="E62" s="102">
        <f t="shared" si="10"/>
        <v>862</v>
      </c>
      <c r="F62">
        <f t="shared" si="11"/>
        <v>5</v>
      </c>
      <c r="G62" s="137">
        <f t="shared" si="12"/>
        <v>172.399999939</v>
      </c>
      <c r="L62" s="227">
        <f>INDEX(Starter!A:A,ROW()-1)</f>
        <v>7740</v>
      </c>
      <c r="M62">
        <f>INDEX(SchnittGes4!M:M,MATCH(L62,SchnittGes4!L:L,0))+INDEX(Schnitt5!M:M,MATCH(L62,Schnitt5!L:L,0))</f>
        <v>2618</v>
      </c>
      <c r="N62">
        <f>INDEX(SchnittGes4!N:N,MATCH(L62,SchnittGes4!L:L,0))+INDEX(Schnitt5!N:N,MATCH(L62,Schnitt5!L:L,0))</f>
        <v>16</v>
      </c>
      <c r="O62">
        <f t="shared" si="7"/>
        <v>163.624999938</v>
      </c>
      <c r="P62">
        <f t="shared" si="8"/>
        <v>68</v>
      </c>
    </row>
    <row r="63" spans="1:16" x14ac:dyDescent="0.25">
      <c r="A63">
        <f t="shared" si="13"/>
        <v>59</v>
      </c>
      <c r="B63">
        <f t="shared" si="9"/>
        <v>38907</v>
      </c>
      <c r="C63" t="str">
        <f>IFERROR(INDEX(Starter!B:B,MATCH(B63,Starter!A:A,0)),"")</f>
        <v>Moser, Thomas</v>
      </c>
      <c r="D63" t="str">
        <f>IFERROR(INDEX(Starter!C:C,MATCH(B63,Starter!A:A,0)),"")</f>
        <v>BF Rot-Weiß Lichtenhof 69</v>
      </c>
      <c r="E63" s="102">
        <f t="shared" si="10"/>
        <v>689</v>
      </c>
      <c r="F63">
        <f t="shared" si="11"/>
        <v>4</v>
      </c>
      <c r="G63" s="137">
        <f t="shared" si="12"/>
        <v>172.24999992799999</v>
      </c>
      <c r="L63" s="227">
        <f>INDEX(Starter!A:A,ROW()-1)</f>
        <v>7337</v>
      </c>
      <c r="M63">
        <f>INDEX(SchnittGes4!M:M,MATCH(L63,SchnittGes4!L:L,0))+INDEX(Schnitt5!M:M,MATCH(L63,Schnitt5!L:L,0))</f>
        <v>777</v>
      </c>
      <c r="N63">
        <f>INDEX(SchnittGes4!N:N,MATCH(L63,SchnittGes4!L:L,0))+INDEX(Schnitt5!N:N,MATCH(L63,Schnitt5!L:L,0))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38361</v>
      </c>
      <c r="C64" t="str">
        <f>IFERROR(INDEX(Starter!B:B,MATCH(B64,Starter!A:A,0)),"")</f>
        <v>Schmied, Markus</v>
      </c>
      <c r="D64" t="str">
        <f>IFERROR(INDEX(Starter!C:C,MATCH(B64,Starter!A:A,0)),"")</f>
        <v>BC Schanzer Strikers</v>
      </c>
      <c r="E64" s="102">
        <f t="shared" si="10"/>
        <v>7728</v>
      </c>
      <c r="F64">
        <f t="shared" si="11"/>
        <v>45</v>
      </c>
      <c r="G64" s="137">
        <f t="shared" si="12"/>
        <v>171.73333332633331</v>
      </c>
      <c r="L64" s="227">
        <f>INDEX(Starter!A:A,ROW()-1)</f>
        <v>38360</v>
      </c>
      <c r="M64">
        <f>INDEX(SchnittGes4!M:M,MATCH(L64,SchnittGes4!L:L,0))+INDEX(Schnitt5!M:M,MATCH(L64,Schnitt5!L:L,0))</f>
        <v>842</v>
      </c>
      <c r="N64">
        <f>INDEX(SchnittGes4!N:N,MATCH(L64,SchnittGes4!L:L,0))+INDEX(Schnitt5!N:N,MATCH(L64,Schnitt5!L:L,0))</f>
        <v>5</v>
      </c>
      <c r="O64">
        <f t="shared" si="7"/>
        <v>168.399999936</v>
      </c>
      <c r="P64">
        <f t="shared" si="8"/>
        <v>66</v>
      </c>
    </row>
    <row r="65" spans="1:16" x14ac:dyDescent="0.25">
      <c r="A65">
        <f t="shared" si="13"/>
        <v>61</v>
      </c>
      <c r="B65">
        <f t="shared" si="9"/>
        <v>7959</v>
      </c>
      <c r="C65" t="str">
        <f>IFERROR(INDEX(Starter!B:B,MATCH(B65,Starter!A:A,0)),"")</f>
        <v>Netscheporenko, Marco</v>
      </c>
      <c r="D65" t="str">
        <f>IFERROR(INDEX(Starter!C:C,MATCH(B65,Starter!A:A,0)),"")</f>
        <v>BF Rot-Weiß Lichtenhof 69</v>
      </c>
      <c r="E65" s="102">
        <f t="shared" si="10"/>
        <v>2390</v>
      </c>
      <c r="F65">
        <f t="shared" si="11"/>
        <v>14</v>
      </c>
      <c r="G65" s="137">
        <f t="shared" si="12"/>
        <v>170.71428567028573</v>
      </c>
      <c r="L65" s="227">
        <f>INDEX(Starter!A:A,ROW()-1)</f>
        <v>41008</v>
      </c>
      <c r="M65">
        <f>INDEX(SchnittGes4!M:M,MATCH(L65,SchnittGes4!L:L,0))+INDEX(Schnitt5!M:M,MATCH(L65,Schnitt5!L:L,0))</f>
        <v>3435</v>
      </c>
      <c r="N65">
        <f>INDEX(SchnittGes4!N:N,MATCH(L65,SchnittGes4!L:L,0))+INDEX(Schnitt5!N:N,MATCH(L65,Schnitt5!L:L,0))</f>
        <v>18</v>
      </c>
      <c r="O65">
        <f t="shared" si="7"/>
        <v>190.83333326833335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38411</v>
      </c>
      <c r="C66" t="str">
        <f>IFERROR(INDEX(Starter!B:B,MATCH(B66,Starter!A:A,0)),"")</f>
        <v>Hartl, Thomas</v>
      </c>
      <c r="D66" t="str">
        <f>IFERROR(INDEX(Starter!C:C,MATCH(B66,Starter!A:A,0)),"")</f>
        <v>BC Schanzer Strikers</v>
      </c>
      <c r="E66" s="102">
        <f t="shared" si="10"/>
        <v>6132</v>
      </c>
      <c r="F66">
        <f t="shared" si="11"/>
        <v>36</v>
      </c>
      <c r="G66" s="137">
        <f t="shared" si="12"/>
        <v>170.33333332733335</v>
      </c>
      <c r="L66" s="227">
        <f>INDEX(Starter!A:A,ROW()-1)</f>
        <v>16398</v>
      </c>
      <c r="M66">
        <f>INDEX(SchnittGes4!M:M,MATCH(L66,SchnittGes4!L:L,0))+INDEX(Schnitt5!M:M,MATCH(L66,Schnitt5!L:L,0))</f>
        <v>3404</v>
      </c>
      <c r="N66">
        <f>INDEX(SchnittGes4!N:N,MATCH(L66,SchnittGes4!L:L,0))+INDEX(Schnitt5!N:N,MATCH(L66,Schnitt5!L:L,0))</f>
        <v>18</v>
      </c>
      <c r="O66">
        <f t="shared" si="7"/>
        <v>189.1111110451111</v>
      </c>
      <c r="P66">
        <f t="shared" ref="P66:P97" si="14">RANK(O66,O:O)</f>
        <v>38</v>
      </c>
    </row>
    <row r="67" spans="1:16" x14ac:dyDescent="0.25">
      <c r="A67">
        <f t="shared" si="13"/>
        <v>63</v>
      </c>
      <c r="B67">
        <f t="shared" si="9"/>
        <v>7425</v>
      </c>
      <c r="C67" t="str">
        <f>IFERROR(INDEX(Starter!B:B,MATCH(B67,Starter!A:A,0)),"")</f>
        <v>Wimmer, Peter</v>
      </c>
      <c r="D67" t="str">
        <f>IFERROR(INDEX(Starter!C:C,MATCH(B67,Starter!A:A,0)),"")</f>
        <v>BSC Highroller Rosenheim</v>
      </c>
      <c r="E67" s="102">
        <f t="shared" si="10"/>
        <v>1192</v>
      </c>
      <c r="F67">
        <f t="shared" si="11"/>
        <v>7</v>
      </c>
      <c r="G67" s="137">
        <f t="shared" si="12"/>
        <v>170.28571426371428</v>
      </c>
      <c r="L67" s="227">
        <f>INDEX(Starter!A:A,ROW()-1)</f>
        <v>16251</v>
      </c>
      <c r="M67">
        <f>INDEX(SchnittGes4!M:M,MATCH(L67,SchnittGes4!L:L,0))+INDEX(Schnitt5!M:M,MATCH(L67,Schnitt5!L:L,0))</f>
        <v>2270</v>
      </c>
      <c r="N67">
        <f>INDEX(SchnittGes4!N:N,MATCH(L67,SchnittGes4!L:L,0))+INDEX(Schnitt5!N:N,MATCH(L67,Schnitt5!L:L,0))</f>
        <v>12</v>
      </c>
      <c r="O67">
        <f t="shared" si="7"/>
        <v>189.16666659966666</v>
      </c>
      <c r="P67">
        <f t="shared" si="14"/>
        <v>37</v>
      </c>
    </row>
    <row r="68" spans="1:16" x14ac:dyDescent="0.25">
      <c r="A68">
        <f t="shared" si="13"/>
        <v>64</v>
      </c>
      <c r="B68">
        <f t="shared" si="9"/>
        <v>7344</v>
      </c>
      <c r="C68" t="str">
        <f>IFERROR(INDEX(Starter!B:B,MATCH(B68,Starter!A:A,0)),"")</f>
        <v>Kirschenbauer, Frank</v>
      </c>
      <c r="D68" t="str">
        <f>IFERROR(INDEX(Starter!C:C,MATCH(B68,Starter!A:A,0)),"")</f>
        <v>BC Schanzer Strikers</v>
      </c>
      <c r="E68" s="102">
        <f t="shared" si="10"/>
        <v>1528</v>
      </c>
      <c r="F68">
        <f t="shared" si="11"/>
        <v>9</v>
      </c>
      <c r="G68" s="137">
        <f t="shared" si="12"/>
        <v>169.77777772477776</v>
      </c>
      <c r="L68" s="227">
        <f>INDEX(Starter!A:A,ROW()-1)</f>
        <v>38686</v>
      </c>
      <c r="M68">
        <f>INDEX(SchnittGes4!M:M,MATCH(L68,SchnittGes4!L:L,0))+INDEX(Schnitt5!M:M,MATCH(L68,Schnitt5!L:L,0))</f>
        <v>708</v>
      </c>
      <c r="N68">
        <f>INDEX(SchnittGes4!N:N,MATCH(L68,SchnittGes4!L:L,0))+INDEX(Schnitt5!N:N,MATCH(L68,Schnitt5!L:L,0))</f>
        <v>4</v>
      </c>
      <c r="O68">
        <f t="shared" si="7"/>
        <v>176.99999993200001</v>
      </c>
      <c r="P68">
        <f t="shared" si="14"/>
        <v>54</v>
      </c>
    </row>
    <row r="69" spans="1:16" x14ac:dyDescent="0.25">
      <c r="A69">
        <f t="shared" si="13"/>
        <v>65</v>
      </c>
      <c r="B69">
        <f t="shared" ref="B69:B100" si="15">IFERROR(INDEX(L:L,MATCH(A69,P:P,0)),"")</f>
        <v>22116</v>
      </c>
      <c r="C69" t="str">
        <f>IFERROR(INDEX(Starter!B:B,MATCH(B69,Starter!A:A,0)),"")</f>
        <v>Tavares, S.</v>
      </c>
      <c r="D69" t="str">
        <f>IFERROR(INDEX(Starter!C:C,MATCH(B69,Starter!A:A,0)),"")</f>
        <v>BC Highroller Rosenheim</v>
      </c>
      <c r="E69" s="102">
        <f t="shared" ref="E69:E104" si="16">IFERROR(INDEX(M:M,MATCH(A69,P:P,0)),"")</f>
        <v>1183</v>
      </c>
      <c r="F69">
        <f t="shared" ref="F69:F104" si="17">IFERROR(INDEX(N:N,MATCH(A69,P:P,0)),"")</f>
        <v>7</v>
      </c>
      <c r="G69" s="137">
        <f t="shared" ref="G69:G104" si="18">IFERROR(INDEX(O:O,MATCH(A69,P:P,0)),"")</f>
        <v>168.99999993099999</v>
      </c>
      <c r="L69" s="227">
        <f>INDEX(Starter!A:A,ROW()-1)</f>
        <v>22116</v>
      </c>
      <c r="M69">
        <f>INDEX(SchnittGes4!M:M,MATCH(L69,SchnittGes4!L:L,0))+INDEX(Schnitt5!M:M,MATCH(L69,Schnitt5!L:L,0))</f>
        <v>1183</v>
      </c>
      <c r="N69">
        <f>INDEX(SchnittGes4!N:N,MATCH(L69,SchnittGes4!L:L,0))+INDEX(Schnitt5!N:N,MATCH(L69,Schnitt5!L:L,0))</f>
        <v>7</v>
      </c>
      <c r="O69">
        <f t="shared" si="7"/>
        <v>168.99999993099999</v>
      </c>
      <c r="P69">
        <f t="shared" si="14"/>
        <v>65</v>
      </c>
    </row>
    <row r="70" spans="1:16" x14ac:dyDescent="0.25">
      <c r="A70">
        <f t="shared" ref="A70:A104" si="19">IFERROR(IF(A69+1&gt;MAX(P:P)-1,"",A69+1),"")</f>
        <v>66</v>
      </c>
      <c r="B70">
        <f t="shared" si="15"/>
        <v>38360</v>
      </c>
      <c r="C70" t="str">
        <f>IFERROR(INDEX(Starter!B:B,MATCH(B70,Starter!A:A,0)),"")</f>
        <v>Hutter, Sebastian</v>
      </c>
      <c r="D70" t="str">
        <f>IFERROR(INDEX(Starter!C:C,MATCH(B70,Starter!A:A,0)),"")</f>
        <v>BC Schanzer Strikers</v>
      </c>
      <c r="E70" s="102">
        <f t="shared" si="16"/>
        <v>842</v>
      </c>
      <c r="F70">
        <f t="shared" si="17"/>
        <v>5</v>
      </c>
      <c r="G70" s="137">
        <f t="shared" si="18"/>
        <v>168.399999936</v>
      </c>
      <c r="L70" s="227">
        <f>INDEX(Starter!A:A,ROW()-1)</f>
        <v>16965</v>
      </c>
      <c r="M70">
        <f>INDEX(SchnittGes4!M:M,MATCH(L70,SchnittGes4!L:L,0))+INDEX(Schnitt5!M:M,MATCH(L70,Schnitt5!L:L,0))</f>
        <v>1971</v>
      </c>
      <c r="N70">
        <f>INDEX(SchnittGes4!N:N,MATCH(L70,SchnittGes4!L:L,0))+INDEX(Schnitt5!N:N,MATCH(L70,Schnitt5!L:L,0))</f>
        <v>9</v>
      </c>
      <c r="O70">
        <f t="shared" si="7"/>
        <v>218.99999993</v>
      </c>
      <c r="P70">
        <f t="shared" si="14"/>
        <v>1</v>
      </c>
    </row>
    <row r="71" spans="1:16" x14ac:dyDescent="0.25">
      <c r="A71">
        <f t="shared" si="19"/>
        <v>67</v>
      </c>
      <c r="B71">
        <f t="shared" si="15"/>
        <v>16245</v>
      </c>
      <c r="C71" t="str">
        <f>IFERROR(INDEX(Starter!B:B,MATCH(B71,Starter!A:A,0)),"")</f>
        <v>Fischbach, Max</v>
      </c>
      <c r="D71" t="str">
        <f>IFERROR(INDEX(Starter!C:C,MATCH(B71,Starter!A:A,0)),"")</f>
        <v>Comet</v>
      </c>
      <c r="E71" s="102">
        <f t="shared" si="16"/>
        <v>1513</v>
      </c>
      <c r="F71">
        <f t="shared" si="17"/>
        <v>9</v>
      </c>
      <c r="G71" s="137">
        <f t="shared" si="18"/>
        <v>168.11111107911111</v>
      </c>
      <c r="L71" s="227">
        <f>INDEX(Starter!A:A,ROW()-1)</f>
        <v>39948</v>
      </c>
      <c r="M71">
        <f>INDEX(SchnittGes4!M:M,MATCH(L71,SchnittGes4!L:L,0))+INDEX(Schnitt5!M:M,MATCH(L71,Schnitt5!L:L,0))</f>
        <v>599</v>
      </c>
      <c r="N71">
        <f>INDEX(SchnittGes4!N:N,MATCH(L71,SchnittGes4!L:L,0))+INDEX(Schnitt5!N:N,MATCH(L71,Schnitt5!L:L,0))</f>
        <v>4</v>
      </c>
      <c r="O71">
        <f t="shared" si="7"/>
        <v>149.74999992900001</v>
      </c>
      <c r="P71">
        <f t="shared" si="14"/>
        <v>70</v>
      </c>
    </row>
    <row r="72" spans="1:16" x14ac:dyDescent="0.25">
      <c r="A72">
        <f t="shared" si="19"/>
        <v>68</v>
      </c>
      <c r="B72">
        <f t="shared" si="15"/>
        <v>7740</v>
      </c>
      <c r="C72" t="str">
        <f>IFERROR(INDEX(Starter!B:B,MATCH(B72,Starter!A:A,0)),"")</f>
        <v>Mesch, John</v>
      </c>
      <c r="D72" t="str">
        <f>IFERROR(INDEX(Starter!C:C,MATCH(B72,Starter!A:A,0)),"")</f>
        <v>BF Rot-Weiß Lichtenhof 69</v>
      </c>
      <c r="E72" s="102">
        <f t="shared" si="16"/>
        <v>2618</v>
      </c>
      <c r="F72">
        <f t="shared" si="17"/>
        <v>16</v>
      </c>
      <c r="G72" s="137">
        <f t="shared" si="18"/>
        <v>163.624999938</v>
      </c>
      <c r="L72" s="227">
        <f>INDEX(Starter!A:A,ROW()-1)</f>
        <v>38907</v>
      </c>
      <c r="M72">
        <f>INDEX(SchnittGes4!M:M,MATCH(L72,SchnittGes4!L:L,0))+INDEX(Schnitt5!M:M,MATCH(L72,Schnitt5!L:L,0))</f>
        <v>689</v>
      </c>
      <c r="N72">
        <f>INDEX(SchnittGes4!N:N,MATCH(L72,SchnittGes4!L:L,0))+INDEX(Schnitt5!N:N,MATCH(L72,Schnitt5!L:L,0))</f>
        <v>4</v>
      </c>
      <c r="O72">
        <f t="shared" si="7"/>
        <v>172.24999992799999</v>
      </c>
      <c r="P72">
        <f t="shared" si="14"/>
        <v>59</v>
      </c>
    </row>
    <row r="73" spans="1:16" x14ac:dyDescent="0.25">
      <c r="A73">
        <f t="shared" si="19"/>
        <v>69</v>
      </c>
      <c r="B73">
        <f t="shared" si="15"/>
        <v>25024</v>
      </c>
      <c r="C73" t="str">
        <f>IFERROR(INDEX(Starter!B:B,MATCH(B73,Starter!A:A,0)),"")</f>
        <v>Klapper, Michael</v>
      </c>
      <c r="D73" t="str">
        <f>IFERROR(INDEX(Starter!C:C,MATCH(B73,Starter!A:A,0)),"")</f>
        <v>BC Schanzer Strikers</v>
      </c>
      <c r="E73" s="102">
        <f t="shared" si="16"/>
        <v>1434</v>
      </c>
      <c r="F73">
        <f t="shared" si="17"/>
        <v>9</v>
      </c>
      <c r="G73" s="137">
        <f t="shared" si="18"/>
        <v>159.33333328133335</v>
      </c>
      <c r="L73" s="227">
        <f>INDEX(Starter!A:A,ROW()-1)</f>
        <v>16469</v>
      </c>
      <c r="M73">
        <f>INDEX(SchnittGes4!M:M,MATCH(L73,SchnittGes4!L:L,0))+INDEX(Schnitt5!M:M,MATCH(L73,Schnitt5!L:L,0))</f>
        <v>980</v>
      </c>
      <c r="N73">
        <f>INDEX(SchnittGes4!N:N,MATCH(L73,SchnittGes4!L:L,0))+INDEX(Schnitt5!N:N,MATCH(L73,Schnitt5!L:L,0))</f>
        <v>5</v>
      </c>
      <c r="O73">
        <f t="shared" si="7"/>
        <v>195.999999927</v>
      </c>
      <c r="P73">
        <f t="shared" si="14"/>
        <v>24</v>
      </c>
    </row>
    <row r="74" spans="1:16" x14ac:dyDescent="0.25">
      <c r="A74">
        <f t="shared" si="19"/>
        <v>70</v>
      </c>
      <c r="B74">
        <f t="shared" si="15"/>
        <v>39948</v>
      </c>
      <c r="C74" t="str">
        <f>IFERROR(INDEX(Starter!B:B,MATCH(B74,Starter!A:A,0)),"")</f>
        <v>Wieczorek Ben</v>
      </c>
      <c r="D74" t="str">
        <f>IFERROR(INDEX(Starter!C:C,MATCH(B74,Starter!A:A,0)),"")</f>
        <v>BF Rot-Weiß Lichtenhof 69</v>
      </c>
      <c r="E74" s="102">
        <f t="shared" si="16"/>
        <v>599</v>
      </c>
      <c r="F74">
        <f t="shared" si="17"/>
        <v>4</v>
      </c>
      <c r="G74" s="137">
        <f t="shared" si="18"/>
        <v>149.74999992900001</v>
      </c>
      <c r="L74" s="227">
        <f>INDEX(Starter!A:A,ROW()-1)</f>
        <v>38018</v>
      </c>
      <c r="M74">
        <f>INDEX(SchnittGes4!M:M,MATCH(L74,SchnittGes4!L:L,0))+INDEX(Schnitt5!M:M,MATCH(L74,Schnitt5!L:L,0))</f>
        <v>0</v>
      </c>
      <c r="N74">
        <f>INDEX(SchnittGes4!N:N,MATCH(L74,SchnittGes4!L:L,0))+INDEX(Schnitt5!N:N,MATCH(L74,Schnitt5!L:L,0))</f>
        <v>0</v>
      </c>
      <c r="O74">
        <f t="shared" si="7"/>
        <v>0</v>
      </c>
      <c r="P74">
        <f t="shared" si="14"/>
        <v>71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25465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7"/>
        <v>0</v>
      </c>
      <c r="P75">
        <f t="shared" si="14"/>
        <v>71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ref="O76:O104" si="20">IF(N76=0,0,M76/N76-ROW()/1000000000)</f>
        <v>0</v>
      </c>
      <c r="P76">
        <f t="shared" si="14"/>
        <v>71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71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71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71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71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71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71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71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71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71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71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71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71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71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71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71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71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71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71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71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71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71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71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71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71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71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71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71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71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zoomScaleNormal="100" workbookViewId="0">
      <selection activeCell="D81" sqref="D81:M81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31" t="s">
        <v>1837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2"/>
      <c r="R4" s="332"/>
      <c r="S4" s="332"/>
      <c r="T4" s="332"/>
      <c r="U4" s="332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3">
        <f>+Spielzettel6!T2</f>
        <v>6</v>
      </c>
      <c r="F6" s="334"/>
      <c r="P6" s="140" t="s">
        <v>1838</v>
      </c>
      <c r="Q6" s="335" t="str">
        <f>+Spielzettel6!U1</f>
        <v>05.04./06.04.</v>
      </c>
      <c r="R6" s="336">
        <v>0</v>
      </c>
      <c r="S6" s="336">
        <v>0</v>
      </c>
      <c r="T6" s="337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8" t="str">
        <f>+Spielzettel6!F2</f>
        <v>Dettelbach Extreme Bowlingarena</v>
      </c>
      <c r="F8" s="339"/>
      <c r="G8" s="339"/>
      <c r="H8" s="339">
        <v>0</v>
      </c>
      <c r="I8" s="339"/>
      <c r="J8" s="340"/>
      <c r="N8" s="140" t="s">
        <v>1840</v>
      </c>
      <c r="P8" s="338" t="str">
        <f>+Spielzettel6!F1</f>
        <v>Bayernliga Herren</v>
      </c>
      <c r="Q8" s="339"/>
      <c r="R8" s="339"/>
      <c r="S8" s="339"/>
      <c r="T8" s="340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6" t="s">
        <v>1841</v>
      </c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163"/>
    </row>
    <row r="12" spans="2:21" ht="21.75" customHeight="1" x14ac:dyDescent="0.25">
      <c r="B12" s="164"/>
      <c r="C12" s="327" t="s">
        <v>1842</v>
      </c>
      <c r="D12" s="327"/>
      <c r="E12" s="327"/>
      <c r="F12" s="327"/>
      <c r="G12" s="327"/>
      <c r="H12" s="327"/>
      <c r="I12" s="327"/>
      <c r="J12" s="327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9"/>
      <c r="D19" s="320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9"/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1"/>
      <c r="U24" s="18"/>
    </row>
    <row r="25" spans="2:21" ht="12.75" customHeight="1" x14ac:dyDescent="0.25">
      <c r="B25" s="17"/>
      <c r="C25" s="171"/>
      <c r="D25" s="171"/>
      <c r="U25" s="18"/>
    </row>
    <row r="26" spans="2:21" ht="13.5" customHeight="1" thickBot="1" x14ac:dyDescent="0.3">
      <c r="B26" s="17"/>
      <c r="C26" s="148" t="s">
        <v>1851</v>
      </c>
      <c r="D26" s="148"/>
      <c r="U26" s="18"/>
    </row>
    <row r="27" spans="2:21" s="175" customFormat="1" ht="21.75" customHeight="1" x14ac:dyDescent="0.25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35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3">
      <c r="B29" s="177"/>
      <c r="U29" s="18"/>
    </row>
    <row r="30" spans="2:21" x14ac:dyDescent="0.25">
      <c r="B30" s="17"/>
      <c r="C30" s="148" t="s">
        <v>1854</v>
      </c>
      <c r="D30" s="148"/>
      <c r="F30" s="151"/>
      <c r="H30" t="s">
        <v>1845</v>
      </c>
      <c r="J30" s="151"/>
      <c r="L30" t="s">
        <v>1846</v>
      </c>
      <c r="U30" s="18"/>
    </row>
    <row r="31" spans="2:21" ht="17.25" customHeight="1" x14ac:dyDescent="0.25">
      <c r="B31" s="17"/>
      <c r="C31" s="148" t="s">
        <v>1855</v>
      </c>
      <c r="D31" s="148"/>
      <c r="F31" s="330"/>
      <c r="G31" s="330"/>
      <c r="H31" s="148"/>
      <c r="U31" s="18"/>
    </row>
    <row r="32" spans="2:21" ht="17.25" customHeight="1" x14ac:dyDescent="0.25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" customHeight="1" x14ac:dyDescent="0.25">
      <c r="B33" s="17"/>
      <c r="C33" s="319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20"/>
      <c r="T33" s="321"/>
      <c r="U33" s="18"/>
    </row>
    <row r="34" spans="2:21" x14ac:dyDescent="0.25">
      <c r="B34" s="17"/>
      <c r="C34" s="171"/>
      <c r="D34" s="171"/>
      <c r="U34" s="18"/>
    </row>
    <row r="35" spans="2:21" ht="6.75" customHeight="1" x14ac:dyDescent="0.25">
      <c r="B35" s="17"/>
      <c r="C35" s="171"/>
      <c r="D35" s="171"/>
      <c r="U35" s="18"/>
    </row>
    <row r="36" spans="2:21" x14ac:dyDescent="0.25">
      <c r="B36" s="17"/>
      <c r="C36" s="148" t="s">
        <v>1857</v>
      </c>
      <c r="D36" s="148"/>
      <c r="F36" s="151"/>
      <c r="H36" t="s">
        <v>1858</v>
      </c>
      <c r="J36" s="151"/>
      <c r="L36" s="178" t="s">
        <v>1859</v>
      </c>
      <c r="N36" s="151"/>
      <c r="P36" t="s">
        <v>1860</v>
      </c>
      <c r="U36" s="18"/>
    </row>
    <row r="37" spans="2:21" ht="16.5" customHeight="1" x14ac:dyDescent="0.25">
      <c r="B37" s="17"/>
      <c r="C37" s="149" t="s">
        <v>1861</v>
      </c>
      <c r="D37" s="149"/>
      <c r="F37" s="325"/>
      <c r="G37" s="325"/>
      <c r="H37" s="325"/>
      <c r="U37" s="18"/>
    </row>
    <row r="38" spans="2:21" ht="11.25" customHeight="1" x14ac:dyDescent="0.25">
      <c r="B38" s="17"/>
      <c r="U38" s="18"/>
    </row>
    <row r="39" spans="2:21" ht="13.8" x14ac:dyDescent="0.25">
      <c r="B39" s="179" t="s">
        <v>1862</v>
      </c>
      <c r="U39" s="18"/>
    </row>
    <row r="40" spans="2:21" ht="9" customHeight="1" x14ac:dyDescent="0.25">
      <c r="B40" s="17"/>
      <c r="U40" s="18"/>
    </row>
    <row r="41" spans="2:21" ht="80.25" customHeight="1" x14ac:dyDescent="0.25">
      <c r="B41" s="17"/>
      <c r="C41" s="319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1"/>
      <c r="U41" s="18"/>
    </row>
    <row r="42" spans="2:21" ht="11.25" customHeight="1" thickBot="1" x14ac:dyDescent="0.3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.8" thickBot="1" x14ac:dyDescent="0.3"/>
    <row r="44" spans="2:21" s="1" customFormat="1" ht="30" customHeight="1" thickBot="1" x14ac:dyDescent="0.3">
      <c r="B44" s="162"/>
      <c r="C44" s="326" t="s">
        <v>1863</v>
      </c>
      <c r="D44" s="326"/>
      <c r="E44" s="326"/>
      <c r="F44" s="326"/>
      <c r="G44" s="326"/>
      <c r="H44" s="326"/>
      <c r="I44" s="326"/>
      <c r="J44" s="326"/>
      <c r="K44" s="326"/>
      <c r="L44" s="326"/>
      <c r="M44" s="326"/>
      <c r="N44" s="326"/>
      <c r="O44" s="326"/>
      <c r="P44" s="326"/>
      <c r="Q44" s="326"/>
      <c r="R44" s="326"/>
      <c r="S44" s="326"/>
      <c r="T44" s="326"/>
      <c r="U44" s="163"/>
    </row>
    <row r="45" spans="2:21" ht="9" customHeight="1" x14ac:dyDescent="0.25">
      <c r="B45" s="17"/>
      <c r="U45" s="18"/>
    </row>
    <row r="46" spans="2:21" ht="13.8" x14ac:dyDescent="0.25">
      <c r="B46" s="179"/>
      <c r="C46" s="166" t="s">
        <v>1864</v>
      </c>
      <c r="D46" s="166"/>
      <c r="U46" s="18"/>
    </row>
    <row r="47" spans="2:21" ht="9" customHeight="1" x14ac:dyDescent="0.25">
      <c r="B47" s="17"/>
      <c r="U47" s="18"/>
    </row>
    <row r="48" spans="2:21" ht="36.75" customHeight="1" x14ac:dyDescent="0.25">
      <c r="B48" s="17"/>
      <c r="C48" s="319"/>
      <c r="D48" s="320"/>
      <c r="E48" s="320"/>
      <c r="F48" s="320"/>
      <c r="G48" s="320"/>
      <c r="H48" s="320"/>
      <c r="I48" s="320"/>
      <c r="J48" s="320"/>
      <c r="K48" s="320"/>
      <c r="L48" s="320"/>
      <c r="M48" s="320"/>
      <c r="N48" s="320"/>
      <c r="O48" s="320"/>
      <c r="P48" s="320"/>
      <c r="Q48" s="320"/>
      <c r="R48" s="320"/>
      <c r="S48" s="320"/>
      <c r="T48" s="321"/>
      <c r="U48" s="18"/>
    </row>
    <row r="49" spans="2:21" ht="12.75" customHeight="1" x14ac:dyDescent="0.25">
      <c r="B49" s="17"/>
      <c r="C49" s="171"/>
      <c r="D49" s="171"/>
      <c r="U49" s="18"/>
    </row>
    <row r="50" spans="2:21" ht="12.75" customHeight="1" x14ac:dyDescent="0.25">
      <c r="B50" s="179"/>
      <c r="C50" s="166" t="s">
        <v>1865</v>
      </c>
      <c r="D50" s="166"/>
      <c r="U50" s="18"/>
    </row>
    <row r="51" spans="2:21" ht="6.75" customHeight="1" x14ac:dyDescent="0.25">
      <c r="B51" s="17"/>
      <c r="U51" s="18"/>
    </row>
    <row r="52" spans="2:21" ht="36.75" customHeight="1" x14ac:dyDescent="0.25">
      <c r="B52" s="17"/>
      <c r="C52" s="319"/>
      <c r="D52" s="320"/>
      <c r="E52" s="320"/>
      <c r="F52" s="320"/>
      <c r="G52" s="320"/>
      <c r="H52" s="320"/>
      <c r="I52" s="320"/>
      <c r="J52" s="320"/>
      <c r="K52" s="320"/>
      <c r="L52" s="320"/>
      <c r="M52" s="320"/>
      <c r="N52" s="320"/>
      <c r="O52" s="320"/>
      <c r="P52" s="320"/>
      <c r="Q52" s="320"/>
      <c r="R52" s="320"/>
      <c r="S52" s="320"/>
      <c r="T52" s="321"/>
      <c r="U52" s="18"/>
    </row>
    <row r="53" spans="2:21" ht="12.75" customHeight="1" x14ac:dyDescent="0.25">
      <c r="B53" s="17"/>
      <c r="C53" s="171"/>
      <c r="D53" s="171"/>
      <c r="U53" s="18"/>
    </row>
    <row r="54" spans="2:21" ht="12.75" customHeight="1" x14ac:dyDescent="0.25">
      <c r="B54" s="179"/>
      <c r="C54" s="166" t="s">
        <v>1866</v>
      </c>
      <c r="D54" s="166"/>
      <c r="U54" s="18"/>
    </row>
    <row r="55" spans="2:21" ht="6.75" customHeight="1" x14ac:dyDescent="0.25">
      <c r="B55" s="17"/>
      <c r="U55" s="18"/>
    </row>
    <row r="56" spans="2:21" ht="36.75" customHeight="1" x14ac:dyDescent="0.25">
      <c r="B56" s="17"/>
      <c r="C56" s="319"/>
      <c r="D56" s="320"/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1"/>
      <c r="U56" s="18"/>
    </row>
    <row r="57" spans="2:21" ht="11.25" customHeight="1" x14ac:dyDescent="0.25">
      <c r="B57" s="17"/>
      <c r="C57" s="171"/>
      <c r="D57" s="171"/>
      <c r="U57" s="18"/>
    </row>
    <row r="58" spans="2:21" ht="13.5" customHeight="1" x14ac:dyDescent="0.25">
      <c r="B58" s="179"/>
      <c r="C58" s="166" t="s">
        <v>1867</v>
      </c>
      <c r="D58" s="166"/>
      <c r="U58" s="18"/>
    </row>
    <row r="59" spans="2:21" ht="6.75" customHeight="1" x14ac:dyDescent="0.25">
      <c r="B59" s="17"/>
      <c r="U59" s="18"/>
    </row>
    <row r="60" spans="2:21" ht="36.75" customHeight="1" x14ac:dyDescent="0.25">
      <c r="B60" s="17"/>
      <c r="C60" s="319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1"/>
      <c r="U60" s="18"/>
    </row>
    <row r="61" spans="2:21" ht="11.25" customHeight="1" x14ac:dyDescent="0.25">
      <c r="B61" s="17"/>
      <c r="C61" s="171"/>
      <c r="D61" s="171"/>
      <c r="U61" s="18"/>
    </row>
    <row r="62" spans="2:21" ht="13.8" x14ac:dyDescent="0.25">
      <c r="B62" s="179"/>
      <c r="C62" s="166" t="s">
        <v>1868</v>
      </c>
      <c r="D62" s="166"/>
      <c r="U62" s="18"/>
    </row>
    <row r="63" spans="2:21" ht="6" customHeight="1" x14ac:dyDescent="0.25">
      <c r="B63" s="17"/>
      <c r="U63" s="18"/>
    </row>
    <row r="64" spans="2:21" ht="36.75" customHeight="1" x14ac:dyDescent="0.25">
      <c r="B64" s="17"/>
      <c r="C64" s="319"/>
      <c r="D64" s="320"/>
      <c r="E64" s="320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20"/>
      <c r="T64" s="321"/>
      <c r="U64" s="18"/>
    </row>
    <row r="65" spans="1:21" ht="12.75" customHeight="1" x14ac:dyDescent="0.25">
      <c r="B65" s="17"/>
      <c r="C65" s="171"/>
      <c r="D65" s="171"/>
      <c r="U65" s="18"/>
    </row>
    <row r="66" spans="1:21" ht="12.75" customHeight="1" x14ac:dyDescent="0.25">
      <c r="B66" s="179"/>
      <c r="C66" s="166" t="s">
        <v>1869</v>
      </c>
      <c r="D66" s="166"/>
      <c r="U66" s="18"/>
    </row>
    <row r="67" spans="1:21" ht="6.75" customHeight="1" x14ac:dyDescent="0.25">
      <c r="B67" s="17"/>
      <c r="U67" s="18"/>
    </row>
    <row r="68" spans="1:21" ht="36.75" customHeight="1" x14ac:dyDescent="0.25">
      <c r="B68" s="17"/>
      <c r="C68" s="319"/>
      <c r="D68" s="320"/>
      <c r="E68" s="320"/>
      <c r="F68" s="320"/>
      <c r="G68" s="320"/>
      <c r="H68" s="320"/>
      <c r="I68" s="320"/>
      <c r="J68" s="320"/>
      <c r="K68" s="320"/>
      <c r="L68" s="320"/>
      <c r="M68" s="320"/>
      <c r="N68" s="320"/>
      <c r="O68" s="320"/>
      <c r="P68" s="320"/>
      <c r="Q68" s="320"/>
      <c r="R68" s="320"/>
      <c r="S68" s="320"/>
      <c r="T68" s="321"/>
      <c r="U68" s="18"/>
    </row>
    <row r="69" spans="1:21" ht="11.25" customHeight="1" thickBot="1" x14ac:dyDescent="0.3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3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3">
      <c r="B71" s="177"/>
      <c r="U71" s="18"/>
    </row>
    <row r="72" spans="1:21" s="52" customFormat="1" ht="18" customHeight="1" x14ac:dyDescent="0.3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25">
      <c r="B73" s="17"/>
      <c r="P73" s="52"/>
      <c r="Q73" s="52"/>
      <c r="U73" s="18"/>
    </row>
    <row r="74" spans="1:21" ht="6" customHeight="1" x14ac:dyDescent="0.25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" customHeight="1" x14ac:dyDescent="0.25">
      <c r="B75" s="17"/>
      <c r="C75" s="394"/>
      <c r="D75" s="395"/>
      <c r="E75" s="395"/>
      <c r="F75" s="395"/>
      <c r="G75" s="395"/>
      <c r="H75" s="395"/>
      <c r="I75" s="395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6"/>
      <c r="U75" s="18"/>
    </row>
    <row r="76" spans="1:21" ht="11.25" customHeight="1" thickBot="1" x14ac:dyDescent="0.3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25"/>
    <row r="78" spans="1:21" x14ac:dyDescent="0.25">
      <c r="B78" s="166" t="s">
        <v>1871</v>
      </c>
      <c r="D78" s="318"/>
      <c r="E78" s="318"/>
      <c r="F78" s="318"/>
      <c r="G78" s="318"/>
      <c r="H78" s="318"/>
      <c r="I78" s="318"/>
      <c r="J78" s="318"/>
      <c r="K78" s="318"/>
      <c r="L78" s="318"/>
      <c r="M78" s="318"/>
      <c r="P78" s="318"/>
      <c r="Q78" s="318"/>
      <c r="R78" s="318"/>
      <c r="S78" s="318"/>
      <c r="T78" s="318"/>
      <c r="U78" s="318"/>
    </row>
    <row r="79" spans="1:21" x14ac:dyDescent="0.25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25"/>
    <row r="81" spans="2:21" x14ac:dyDescent="0.25">
      <c r="B81" s="166" t="s">
        <v>1874</v>
      </c>
      <c r="D81" s="317" t="s">
        <v>2576</v>
      </c>
      <c r="E81" s="318"/>
      <c r="F81" s="318"/>
      <c r="G81" s="318"/>
      <c r="H81" s="318"/>
      <c r="I81" s="318"/>
      <c r="J81" s="318"/>
      <c r="K81" s="318"/>
      <c r="L81" s="318"/>
      <c r="M81" s="318"/>
      <c r="P81" s="318"/>
      <c r="Q81" s="318"/>
      <c r="R81" s="318"/>
      <c r="S81" s="318"/>
      <c r="T81" s="318"/>
      <c r="U81" s="318"/>
    </row>
    <row r="82" spans="2:21" x14ac:dyDescent="0.25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F37:H37"/>
    <mergeCell ref="C41:T41"/>
    <mergeCell ref="C44:T44"/>
    <mergeCell ref="C48:T48"/>
    <mergeCell ref="C52:T52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5" t="str">
        <f>Schlüssel!$C$1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45"/>
      <c r="Q1" s="45"/>
      <c r="R1" s="48"/>
      <c r="S1" s="49" t="s">
        <v>1794</v>
      </c>
      <c r="T1" s="50"/>
      <c r="U1" s="341" t="str">
        <f>Schlüssel!$DI$1</f>
        <v>05.04./06.04.</v>
      </c>
      <c r="V1" s="342"/>
      <c r="W1" s="34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4" t="str">
        <f>Schlüssel!$CY$2</f>
        <v>Dettelbach Extreme Bowlingarena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3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3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3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3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6">
        <f>VLOOKUP(B2,Schlüssel!$A$5:$DZ$14,103)</f>
        <v>7</v>
      </c>
      <c r="E22" s="356"/>
      <c r="F22" s="356">
        <f>VLOOKUP(B2,Schlüssel!$A$5:$DZ$14,104)</f>
        <v>8</v>
      </c>
      <c r="G22" s="356"/>
      <c r="H22" s="356">
        <f>VLOOKUP(B2,Schlüssel!$A$5:$DZ$14,105)</f>
        <v>5</v>
      </c>
      <c r="I22" s="356"/>
      <c r="J22" s="356">
        <f>VLOOKUP(B2,Schlüssel!$A$5:$DZ$14,106)</f>
        <v>3</v>
      </c>
      <c r="K22" s="356"/>
      <c r="L22" s="356">
        <f>VLOOKUP(B2,Schlüssel!$A$5:$DZ$14,107)</f>
        <v>4</v>
      </c>
      <c r="M22" s="356"/>
      <c r="N22" s="356">
        <f>VLOOKUP(B2,Schlüssel!$A$5:$DZ$14,108)</f>
        <v>9</v>
      </c>
      <c r="O22" s="356"/>
      <c r="P22" s="356">
        <f>VLOOKUP(B2,Schlüssel!$A$5:$DZ$14,109)</f>
        <v>10</v>
      </c>
      <c r="Q22" s="356"/>
      <c r="R22" s="356">
        <f>VLOOKUP(B2,Schlüssel!$A$5:$DZ$14,110)</f>
        <v>6</v>
      </c>
      <c r="S22" s="356"/>
      <c r="T22" s="356">
        <f>VLOOKUP(B2,Schlüssel!$A$5:$DZ$14,111)</f>
        <v>2</v>
      </c>
      <c r="U22" s="356"/>
      <c r="V22" s="357"/>
      <c r="W22" s="357"/>
    </row>
    <row r="23" spans="1:29" ht="28.5" customHeight="1" x14ac:dyDescent="0.25">
      <c r="B23" s="90"/>
      <c r="C23" s="86"/>
      <c r="D23" s="358" t="str">
        <f>VLOOKUP(D22,Schlüssel!$A$5:$K$14,2)</f>
        <v>Schanzer Ingolstadt 1</v>
      </c>
      <c r="E23" s="359"/>
      <c r="F23" s="358" t="str">
        <f>VLOOKUP(F22,Schlüssel!$A$5:$K$14,2)</f>
        <v>BC EMAX Unterföhring 2</v>
      </c>
      <c r="G23" s="359"/>
      <c r="H23" s="358" t="str">
        <f>VLOOKUP(H22,Schlüssel!$A$5:$K$14,2)</f>
        <v>RW Lichtenhof Stein 1</v>
      </c>
      <c r="I23" s="359"/>
      <c r="J23" s="358" t="str">
        <f>VLOOKUP(J22,Schlüssel!$A$5:$K$14,2)</f>
        <v>BK München 3</v>
      </c>
      <c r="K23" s="359"/>
      <c r="L23" s="358" t="str">
        <f>VLOOKUP(L22,Schlüssel!$A$5:$K$14,2)</f>
        <v>SG DJK Rimpar</v>
      </c>
      <c r="M23" s="359"/>
      <c r="N23" s="358" t="str">
        <f>VLOOKUP(N22,Schlüssel!$A$5:$K$14,2)</f>
        <v>Bowlinghaus Bamberg 1</v>
      </c>
      <c r="O23" s="359"/>
      <c r="P23" s="358" t="str">
        <f>VLOOKUP(P22,Schlüssel!$A$5:$K$14,2)</f>
        <v>High Roller Rosenheim 1</v>
      </c>
      <c r="Q23" s="359"/>
      <c r="R23" s="358" t="str">
        <f>VLOOKUP(R22,Schlüssel!$A$5:$K$14,2)</f>
        <v>SG Rottendorf 1</v>
      </c>
      <c r="S23" s="359"/>
      <c r="T23" s="358" t="str">
        <f>VLOOKUP(T22,Schlüssel!$A$5:$K$14,2)</f>
        <v>Bajuwaren München 1</v>
      </c>
      <c r="U23" s="359"/>
      <c r="V23" s="363"/>
      <c r="W23" s="363"/>
    </row>
    <row r="24" spans="1:29" ht="12" customHeight="1" x14ac:dyDescent="0.25">
      <c r="B24" s="90"/>
      <c r="C24" s="86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1"/>
      <c r="V24" s="298"/>
      <c r="W24" s="298"/>
    </row>
    <row r="25" spans="1:29" ht="15.9" customHeight="1" x14ac:dyDescent="0.25">
      <c r="B25" s="91" t="s">
        <v>0</v>
      </c>
      <c r="C25" s="9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4"/>
      <c r="W25" s="364"/>
    </row>
    <row r="26" spans="1:29" ht="15.9" customHeight="1" x14ac:dyDescent="0.25">
      <c r="B26" s="91" t="s">
        <v>2</v>
      </c>
      <c r="C26" s="9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4"/>
      <c r="W26" s="364"/>
    </row>
    <row r="27" spans="1:29" ht="15.9" customHeight="1" x14ac:dyDescent="0.25">
      <c r="B27" s="91" t="s">
        <v>3</v>
      </c>
      <c r="C27" s="9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4"/>
      <c r="W27" s="364"/>
    </row>
    <row r="28" spans="1:29" ht="15.9" customHeight="1" x14ac:dyDescent="0.25">
      <c r="B28" s="91" t="s">
        <v>11</v>
      </c>
      <c r="C28" s="9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4"/>
      <c r="W28" s="364"/>
    </row>
    <row r="29" spans="1:29" ht="15.9" customHeight="1" x14ac:dyDescent="0.25">
      <c r="B29" s="93" t="s">
        <v>1799</v>
      </c>
      <c r="C29" s="94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01"/>
      <c r="W29" s="30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5" t="str">
        <f>Schlüssel!$C$1</f>
        <v>Bayernliga Herren</v>
      </c>
      <c r="G30" s="345"/>
      <c r="H30" s="345"/>
      <c r="I30" s="345"/>
      <c r="J30" s="345"/>
      <c r="K30" s="345"/>
      <c r="L30" s="345"/>
      <c r="M30" s="345"/>
      <c r="N30" s="345"/>
      <c r="O30" s="345"/>
      <c r="P30" s="45"/>
      <c r="Q30" s="45"/>
      <c r="R30" s="48"/>
      <c r="S30" s="49" t="s">
        <v>1794</v>
      </c>
      <c r="T30" s="50"/>
      <c r="U30" s="341" t="str">
        <f>Schlüssel!$DI$1</f>
        <v>05.04./06.04.</v>
      </c>
      <c r="V30" s="342"/>
      <c r="W30" s="34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4" t="str">
        <f>Schlüssel!$CY$2</f>
        <v>Dettelbach Extreme Bowlingarena</v>
      </c>
      <c r="G31" s="344"/>
      <c r="H31" s="344"/>
      <c r="I31" s="344"/>
      <c r="J31" s="344"/>
      <c r="K31" s="344"/>
      <c r="L31" s="344"/>
      <c r="M31" s="344"/>
      <c r="N31" s="344"/>
      <c r="O31" s="344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25">
      <c r="B34" s="67" t="s">
        <v>1</v>
      </c>
      <c r="C34" s="68"/>
      <c r="D34" s="346" t="s">
        <v>1800</v>
      </c>
      <c r="E34" s="347"/>
      <c r="F34" s="346" t="s">
        <v>1801</v>
      </c>
      <c r="G34" s="347"/>
      <c r="H34" s="346" t="s">
        <v>1802</v>
      </c>
      <c r="I34" s="347"/>
      <c r="J34" s="346" t="s">
        <v>1803</v>
      </c>
      <c r="K34" s="347"/>
      <c r="L34" s="346" t="s">
        <v>1804</v>
      </c>
      <c r="M34" s="347"/>
      <c r="N34" s="346" t="s">
        <v>1805</v>
      </c>
      <c r="O34" s="347"/>
      <c r="P34" s="346" t="s">
        <v>1806</v>
      </c>
      <c r="Q34" s="347"/>
      <c r="R34" s="346" t="s">
        <v>1807</v>
      </c>
      <c r="S34" s="347"/>
      <c r="T34" s="346" t="s">
        <v>1808</v>
      </c>
      <c r="U34" s="347"/>
      <c r="V34" s="354" t="s">
        <v>1799</v>
      </c>
      <c r="W34" s="355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3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3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3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3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6">
        <f>VLOOKUP(B31,Schlüssel!$A$5:$DZ$14,103)</f>
        <v>5</v>
      </c>
      <c r="E51" s="356"/>
      <c r="F51" s="356">
        <f>VLOOKUP(B31,Schlüssel!$A$5:$DZ$14,104)</f>
        <v>4</v>
      </c>
      <c r="G51" s="356"/>
      <c r="H51" s="356">
        <f>VLOOKUP(B31,Schlüssel!$A$5:$DZ$14,105)</f>
        <v>8</v>
      </c>
      <c r="I51" s="356"/>
      <c r="J51" s="356">
        <f>VLOOKUP(B31,Schlüssel!$A$5:$DZ$14,106)</f>
        <v>7</v>
      </c>
      <c r="K51" s="356"/>
      <c r="L51" s="356">
        <f>VLOOKUP(B31,Schlüssel!$A$5:$DZ$14,107)</f>
        <v>6</v>
      </c>
      <c r="M51" s="356"/>
      <c r="N51" s="356">
        <f>VLOOKUP(B31,Schlüssel!$A$5:$DZ$14,108)</f>
        <v>10</v>
      </c>
      <c r="O51" s="356"/>
      <c r="P51" s="356">
        <f>VLOOKUP(B31,Schlüssel!$A$5:$DZ$14,109)</f>
        <v>3</v>
      </c>
      <c r="Q51" s="356"/>
      <c r="R51" s="356">
        <f>VLOOKUP(B31,Schlüssel!$A$5:$DZ$14,110)</f>
        <v>9</v>
      </c>
      <c r="S51" s="356"/>
      <c r="T51" s="356">
        <f>VLOOKUP(B31,Schlüssel!$A$5:$DZ$14,111)</f>
        <v>1</v>
      </c>
      <c r="U51" s="356"/>
      <c r="V51" s="357"/>
      <c r="W51" s="357"/>
    </row>
    <row r="52" spans="1:29" ht="28.5" customHeight="1" x14ac:dyDescent="0.25">
      <c r="B52" s="90"/>
      <c r="C52" s="86"/>
      <c r="D52" s="358" t="str">
        <f>VLOOKUP(D51,Schlüssel!$A$5:$K$14,2)</f>
        <v>RW Lichtenhof Stein 1</v>
      </c>
      <c r="E52" s="359"/>
      <c r="F52" s="358" t="str">
        <f>VLOOKUP(F51,Schlüssel!$A$5:$K$14,2)</f>
        <v>SG DJK Rimpar</v>
      </c>
      <c r="G52" s="359"/>
      <c r="H52" s="358" t="str">
        <f>VLOOKUP(H51,Schlüssel!$A$5:$K$14,2)</f>
        <v>BC EMAX Unterföhring 2</v>
      </c>
      <c r="I52" s="359"/>
      <c r="J52" s="358" t="str">
        <f>VLOOKUP(J51,Schlüssel!$A$5:$K$14,2)</f>
        <v>Schanzer Ingolstadt 1</v>
      </c>
      <c r="K52" s="359"/>
      <c r="L52" s="358" t="str">
        <f>VLOOKUP(L51,Schlüssel!$A$5:$K$14,2)</f>
        <v>SG Rottendorf 1</v>
      </c>
      <c r="M52" s="359"/>
      <c r="N52" s="358" t="str">
        <f>VLOOKUP(N51,Schlüssel!$A$5:$K$14,2)</f>
        <v>High Roller Rosenheim 1</v>
      </c>
      <c r="O52" s="359"/>
      <c r="P52" s="358" t="str">
        <f>VLOOKUP(P51,Schlüssel!$A$5:$K$14,2)</f>
        <v>BK München 3</v>
      </c>
      <c r="Q52" s="359"/>
      <c r="R52" s="358" t="str">
        <f>VLOOKUP(R51,Schlüssel!$A$5:$K$14,2)</f>
        <v>Bowlinghaus Bamberg 1</v>
      </c>
      <c r="S52" s="359"/>
      <c r="T52" s="358" t="str">
        <f>VLOOKUP(T51,Schlüssel!$A$5:$K$14,2)</f>
        <v>BC Comet Nürnberg</v>
      </c>
      <c r="U52" s="359"/>
      <c r="V52" s="363"/>
      <c r="W52" s="363"/>
    </row>
    <row r="53" spans="1:29" ht="12" customHeight="1" x14ac:dyDescent="0.25">
      <c r="B53" s="90"/>
      <c r="C53" s="86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1"/>
      <c r="V53" s="298"/>
      <c r="W53" s="298"/>
    </row>
    <row r="54" spans="1:29" ht="15.9" customHeight="1" x14ac:dyDescent="0.25">
      <c r="B54" s="91" t="s">
        <v>0</v>
      </c>
      <c r="C54" s="9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4"/>
      <c r="W54" s="364"/>
    </row>
    <row r="55" spans="1:29" ht="15.9" customHeight="1" x14ac:dyDescent="0.25">
      <c r="B55" s="91" t="s">
        <v>2</v>
      </c>
      <c r="C55" s="9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4"/>
      <c r="W55" s="364"/>
    </row>
    <row r="56" spans="1:29" ht="15.9" customHeight="1" x14ac:dyDescent="0.25">
      <c r="B56" s="91" t="s">
        <v>3</v>
      </c>
      <c r="C56" s="9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4"/>
      <c r="W56" s="364"/>
    </row>
    <row r="57" spans="1:29" ht="15.9" customHeight="1" x14ac:dyDescent="0.25">
      <c r="B57" s="91" t="s">
        <v>11</v>
      </c>
      <c r="C57" s="9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4"/>
      <c r="W57" s="364"/>
    </row>
    <row r="58" spans="1:29" ht="15.9" customHeight="1" x14ac:dyDescent="0.25">
      <c r="B58" s="93" t="s">
        <v>1799</v>
      </c>
      <c r="C58" s="94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01"/>
      <c r="W58" s="30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5" t="str">
        <f>Schlüssel!$C$1</f>
        <v>Bayernliga Herren</v>
      </c>
      <c r="G59" s="345"/>
      <c r="H59" s="345"/>
      <c r="I59" s="345"/>
      <c r="J59" s="345"/>
      <c r="K59" s="345"/>
      <c r="L59" s="345"/>
      <c r="M59" s="345"/>
      <c r="N59" s="345"/>
      <c r="O59" s="345"/>
      <c r="P59" s="45"/>
      <c r="Q59" s="45"/>
      <c r="R59" s="48"/>
      <c r="S59" s="49" t="s">
        <v>1794</v>
      </c>
      <c r="T59" s="50"/>
      <c r="U59" s="341" t="str">
        <f>Schlüssel!$DI$1</f>
        <v>05.04./06.04.</v>
      </c>
      <c r="V59" s="342"/>
      <c r="W59" s="34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4" t="str">
        <f>Schlüssel!$CY$2</f>
        <v>Dettelbach Extreme Bowlingarena</v>
      </c>
      <c r="G60" s="344"/>
      <c r="H60" s="344"/>
      <c r="I60" s="344"/>
      <c r="J60" s="344"/>
      <c r="K60" s="344"/>
      <c r="L60" s="344"/>
      <c r="M60" s="344"/>
      <c r="N60" s="344"/>
      <c r="O60" s="344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25">
      <c r="B63" s="67" t="s">
        <v>1</v>
      </c>
      <c r="C63" s="68"/>
      <c r="D63" s="346" t="s">
        <v>1800</v>
      </c>
      <c r="E63" s="347"/>
      <c r="F63" s="346" t="s">
        <v>1801</v>
      </c>
      <c r="G63" s="347"/>
      <c r="H63" s="346" t="s">
        <v>1802</v>
      </c>
      <c r="I63" s="347"/>
      <c r="J63" s="346" t="s">
        <v>1803</v>
      </c>
      <c r="K63" s="347"/>
      <c r="L63" s="346" t="s">
        <v>1804</v>
      </c>
      <c r="M63" s="347"/>
      <c r="N63" s="346" t="s">
        <v>1805</v>
      </c>
      <c r="O63" s="347"/>
      <c r="P63" s="346" t="s">
        <v>1806</v>
      </c>
      <c r="Q63" s="347"/>
      <c r="R63" s="346" t="s">
        <v>1807</v>
      </c>
      <c r="S63" s="347"/>
      <c r="T63" s="346" t="s">
        <v>1808</v>
      </c>
      <c r="U63" s="347"/>
      <c r="V63" s="354" t="s">
        <v>1799</v>
      </c>
      <c r="W63" s="355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3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3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3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3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6">
        <f>VLOOKUP(B60,Schlüssel!$A$5:$DZ$14,103)</f>
        <v>6</v>
      </c>
      <c r="E80" s="356"/>
      <c r="F80" s="356">
        <f>VLOOKUP(B60,Schlüssel!$A$5:$DZ$14,104)</f>
        <v>9</v>
      </c>
      <c r="G80" s="356"/>
      <c r="H80" s="356">
        <f>VLOOKUP(B60,Schlüssel!$A$5:$DZ$14,105)</f>
        <v>10</v>
      </c>
      <c r="I80" s="356"/>
      <c r="J80" s="356">
        <f>VLOOKUP(B60,Schlüssel!$A$5:$DZ$14,106)</f>
        <v>1</v>
      </c>
      <c r="K80" s="356"/>
      <c r="L80" s="356">
        <f>VLOOKUP(B60,Schlüssel!$A$5:$DZ$14,107)</f>
        <v>8</v>
      </c>
      <c r="M80" s="356"/>
      <c r="N80" s="356">
        <f>VLOOKUP(B60,Schlüssel!$A$5:$DZ$14,108)</f>
        <v>5</v>
      </c>
      <c r="O80" s="356"/>
      <c r="P80" s="356">
        <f>VLOOKUP(B60,Schlüssel!$A$5:$DZ$14,109)</f>
        <v>2</v>
      </c>
      <c r="Q80" s="356"/>
      <c r="R80" s="356">
        <f>VLOOKUP(B60,Schlüssel!$A$5:$DZ$14,110)</f>
        <v>7</v>
      </c>
      <c r="S80" s="356"/>
      <c r="T80" s="356">
        <f>VLOOKUP(B60,Schlüssel!$A$5:$DZ$14,111)</f>
        <v>4</v>
      </c>
      <c r="U80" s="356"/>
      <c r="V80" s="357"/>
      <c r="W80" s="357"/>
    </row>
    <row r="81" spans="1:29" ht="28.5" customHeight="1" x14ac:dyDescent="0.25">
      <c r="B81" s="90"/>
      <c r="C81" s="86"/>
      <c r="D81" s="358" t="str">
        <f>VLOOKUP(D80,Schlüssel!$A$5:$K$14,2)</f>
        <v>SG Rottendorf 1</v>
      </c>
      <c r="E81" s="359"/>
      <c r="F81" s="358" t="str">
        <f>VLOOKUP(F80,Schlüssel!$A$5:$K$14,2)</f>
        <v>Bowlinghaus Bamberg 1</v>
      </c>
      <c r="G81" s="359"/>
      <c r="H81" s="358" t="str">
        <f>VLOOKUP(H80,Schlüssel!$A$5:$K$14,2)</f>
        <v>High Roller Rosenheim 1</v>
      </c>
      <c r="I81" s="359"/>
      <c r="J81" s="358" t="str">
        <f>VLOOKUP(J80,Schlüssel!$A$5:$K$14,2)</f>
        <v>BC Comet Nürnberg</v>
      </c>
      <c r="K81" s="359"/>
      <c r="L81" s="358" t="str">
        <f>VLOOKUP(L80,Schlüssel!$A$5:$K$14,2)</f>
        <v>BC EMAX Unterföhring 2</v>
      </c>
      <c r="M81" s="359"/>
      <c r="N81" s="358" t="str">
        <f>VLOOKUP(N80,Schlüssel!$A$5:$K$14,2)</f>
        <v>RW Lichtenhof Stein 1</v>
      </c>
      <c r="O81" s="359"/>
      <c r="P81" s="358" t="str">
        <f>VLOOKUP(P80,Schlüssel!$A$5:$K$14,2)</f>
        <v>Bajuwaren München 1</v>
      </c>
      <c r="Q81" s="359"/>
      <c r="R81" s="358" t="str">
        <f>VLOOKUP(R80,Schlüssel!$A$5:$K$14,2)</f>
        <v>Schanzer Ingolstadt 1</v>
      </c>
      <c r="S81" s="359"/>
      <c r="T81" s="358" t="str">
        <f>VLOOKUP(T80,Schlüssel!$A$5:$K$14,2)</f>
        <v>SG DJK Rimpar</v>
      </c>
      <c r="U81" s="359"/>
      <c r="V81" s="363"/>
      <c r="W81" s="363"/>
    </row>
    <row r="82" spans="1:29" ht="12" customHeight="1" x14ac:dyDescent="0.25">
      <c r="B82" s="90"/>
      <c r="C82" s="86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1"/>
      <c r="V82" s="298"/>
      <c r="W82" s="298"/>
    </row>
    <row r="83" spans="1:29" ht="15.9" customHeight="1" x14ac:dyDescent="0.25">
      <c r="B83" s="91" t="s">
        <v>0</v>
      </c>
      <c r="C83" s="9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4"/>
      <c r="W83" s="364"/>
    </row>
    <row r="84" spans="1:29" ht="15.9" customHeight="1" x14ac:dyDescent="0.25">
      <c r="B84" s="91" t="s">
        <v>2</v>
      </c>
      <c r="C84" s="9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4"/>
      <c r="W84" s="364"/>
    </row>
    <row r="85" spans="1:29" ht="15.9" customHeight="1" x14ac:dyDescent="0.25">
      <c r="B85" s="91" t="s">
        <v>3</v>
      </c>
      <c r="C85" s="9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4"/>
      <c r="W85" s="364"/>
    </row>
    <row r="86" spans="1:29" ht="15.9" customHeight="1" x14ac:dyDescent="0.25">
      <c r="B86" s="91" t="s">
        <v>11</v>
      </c>
      <c r="C86" s="9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4"/>
      <c r="W86" s="364"/>
    </row>
    <row r="87" spans="1:29" ht="15.9" customHeight="1" x14ac:dyDescent="0.25">
      <c r="B87" s="93" t="s">
        <v>1799</v>
      </c>
      <c r="C87" s="94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01"/>
      <c r="W87" s="30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5" t="str">
        <f>Schlüssel!$C$1</f>
        <v>Bayernliga Herren</v>
      </c>
      <c r="G88" s="345"/>
      <c r="H88" s="345"/>
      <c r="I88" s="345"/>
      <c r="J88" s="345"/>
      <c r="K88" s="345"/>
      <c r="L88" s="345"/>
      <c r="M88" s="345"/>
      <c r="N88" s="345"/>
      <c r="O88" s="345"/>
      <c r="P88" s="45"/>
      <c r="Q88" s="45"/>
      <c r="R88" s="48"/>
      <c r="S88" s="49" t="s">
        <v>1794</v>
      </c>
      <c r="T88" s="50"/>
      <c r="U88" s="341" t="str">
        <f>Schlüssel!$DI$1</f>
        <v>05.04./06.04.</v>
      </c>
      <c r="V88" s="342"/>
      <c r="W88" s="34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4" t="str">
        <f>Schlüssel!$CY$2</f>
        <v>Dettelbach Extreme Bowlingarena</v>
      </c>
      <c r="G89" s="344"/>
      <c r="H89" s="344"/>
      <c r="I89" s="344"/>
      <c r="J89" s="344"/>
      <c r="K89" s="344"/>
      <c r="L89" s="344"/>
      <c r="M89" s="344"/>
      <c r="N89" s="344"/>
      <c r="O89" s="344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25">
      <c r="B92" s="67" t="s">
        <v>1</v>
      </c>
      <c r="C92" s="68"/>
      <c r="D92" s="346" t="s">
        <v>1800</v>
      </c>
      <c r="E92" s="347"/>
      <c r="F92" s="346" t="s">
        <v>1801</v>
      </c>
      <c r="G92" s="347"/>
      <c r="H92" s="346" t="s">
        <v>1802</v>
      </c>
      <c r="I92" s="347"/>
      <c r="J92" s="346" t="s">
        <v>1803</v>
      </c>
      <c r="K92" s="347"/>
      <c r="L92" s="346" t="s">
        <v>1804</v>
      </c>
      <c r="M92" s="347"/>
      <c r="N92" s="346" t="s">
        <v>1805</v>
      </c>
      <c r="O92" s="347"/>
      <c r="P92" s="346" t="s">
        <v>1806</v>
      </c>
      <c r="Q92" s="347"/>
      <c r="R92" s="346" t="s">
        <v>1807</v>
      </c>
      <c r="S92" s="347"/>
      <c r="T92" s="346" t="s">
        <v>1808</v>
      </c>
      <c r="U92" s="347"/>
      <c r="V92" s="354" t="s">
        <v>1799</v>
      </c>
      <c r="W92" s="355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3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3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3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3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6">
        <f>VLOOKUP(B89,Schlüssel!$A$5:$DZ$14,103)</f>
        <v>9</v>
      </c>
      <c r="E109" s="356"/>
      <c r="F109" s="356">
        <f>VLOOKUP(B89,Schlüssel!$A$5:$DZ$14,104)</f>
        <v>2</v>
      </c>
      <c r="G109" s="356"/>
      <c r="H109" s="356">
        <f>VLOOKUP(B89,Schlüssel!$A$5:$DZ$14,105)</f>
        <v>6</v>
      </c>
      <c r="I109" s="356"/>
      <c r="J109" s="356">
        <f>VLOOKUP(B89,Schlüssel!$A$5:$DZ$14,106)</f>
        <v>10</v>
      </c>
      <c r="K109" s="356"/>
      <c r="L109" s="356">
        <f>VLOOKUP(B89,Schlüssel!$A$5:$DZ$14,107)</f>
        <v>1</v>
      </c>
      <c r="M109" s="356"/>
      <c r="N109" s="356">
        <f>VLOOKUP(B89,Schlüssel!$A$5:$DZ$14,108)</f>
        <v>7</v>
      </c>
      <c r="O109" s="356"/>
      <c r="P109" s="356">
        <f>VLOOKUP(B89,Schlüssel!$A$5:$DZ$14,109)</f>
        <v>5</v>
      </c>
      <c r="Q109" s="356"/>
      <c r="R109" s="356">
        <f>VLOOKUP(B89,Schlüssel!$A$5:$DZ$14,110)</f>
        <v>8</v>
      </c>
      <c r="S109" s="356"/>
      <c r="T109" s="356">
        <f>VLOOKUP(B89,Schlüssel!$A$5:$DZ$14,111)</f>
        <v>3</v>
      </c>
      <c r="U109" s="356"/>
      <c r="V109" s="357"/>
      <c r="W109" s="357"/>
    </row>
    <row r="110" spans="1:23" ht="28.5" customHeight="1" x14ac:dyDescent="0.25">
      <c r="B110" s="90"/>
      <c r="C110" s="86"/>
      <c r="D110" s="358" t="str">
        <f>VLOOKUP(D109,Schlüssel!$A$5:$K$14,2)</f>
        <v>Bowlinghaus Bamberg 1</v>
      </c>
      <c r="E110" s="359"/>
      <c r="F110" s="358" t="str">
        <f>VLOOKUP(F109,Schlüssel!$A$5:$K$14,2)</f>
        <v>Bajuwaren München 1</v>
      </c>
      <c r="G110" s="359"/>
      <c r="H110" s="358" t="str">
        <f>VLOOKUP(H109,Schlüssel!$A$5:$K$14,2)</f>
        <v>SG Rottendorf 1</v>
      </c>
      <c r="I110" s="359"/>
      <c r="J110" s="358" t="str">
        <f>VLOOKUP(J109,Schlüssel!$A$5:$K$14,2)</f>
        <v>High Roller Rosenheim 1</v>
      </c>
      <c r="K110" s="359"/>
      <c r="L110" s="358" t="str">
        <f>VLOOKUP(L109,Schlüssel!$A$5:$K$14,2)</f>
        <v>BC Comet Nürnberg</v>
      </c>
      <c r="M110" s="359"/>
      <c r="N110" s="358" t="str">
        <f>VLOOKUP(N109,Schlüssel!$A$5:$K$14,2)</f>
        <v>Schanzer Ingolstadt 1</v>
      </c>
      <c r="O110" s="359"/>
      <c r="P110" s="358" t="str">
        <f>VLOOKUP(P109,Schlüssel!$A$5:$K$14,2)</f>
        <v>RW Lichtenhof Stein 1</v>
      </c>
      <c r="Q110" s="359"/>
      <c r="R110" s="358" t="str">
        <f>VLOOKUP(R109,Schlüssel!$A$5:$K$14,2)</f>
        <v>BC EMAX Unterföhring 2</v>
      </c>
      <c r="S110" s="359"/>
      <c r="T110" s="358" t="str">
        <f>VLOOKUP(T109,Schlüssel!$A$5:$K$14,2)</f>
        <v>BK München 3</v>
      </c>
      <c r="U110" s="359"/>
      <c r="V110" s="363"/>
      <c r="W110" s="363"/>
    </row>
    <row r="111" spans="1:23" ht="12" customHeight="1" x14ac:dyDescent="0.25">
      <c r="B111" s="90"/>
      <c r="C111" s="86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1"/>
      <c r="V111" s="298"/>
      <c r="W111" s="298"/>
    </row>
    <row r="112" spans="1:23" ht="15.9" customHeight="1" x14ac:dyDescent="0.25">
      <c r="B112" s="91" t="s">
        <v>0</v>
      </c>
      <c r="C112" s="92"/>
      <c r="D112" s="362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2"/>
      <c r="S112" s="362"/>
      <c r="T112" s="362"/>
      <c r="U112" s="362"/>
      <c r="V112" s="364"/>
      <c r="W112" s="364"/>
    </row>
    <row r="113" spans="1:29" ht="15.9" customHeight="1" x14ac:dyDescent="0.25">
      <c r="B113" s="91" t="s">
        <v>2</v>
      </c>
      <c r="C113" s="92"/>
      <c r="D113" s="362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4"/>
      <c r="W113" s="364"/>
    </row>
    <row r="114" spans="1:29" ht="15.9" customHeight="1" x14ac:dyDescent="0.25">
      <c r="B114" s="91" t="s">
        <v>3</v>
      </c>
      <c r="C114" s="92"/>
      <c r="D114" s="362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4"/>
      <c r="W114" s="364"/>
    </row>
    <row r="115" spans="1:29" ht="15.9" customHeight="1" x14ac:dyDescent="0.25">
      <c r="B115" s="91" t="s">
        <v>11</v>
      </c>
      <c r="C115" s="92"/>
      <c r="D115" s="362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4"/>
      <c r="W115" s="364"/>
    </row>
    <row r="116" spans="1:29" ht="15.9" customHeight="1" x14ac:dyDescent="0.25">
      <c r="B116" s="93" t="s">
        <v>1799</v>
      </c>
      <c r="C116" s="94"/>
      <c r="D116" s="365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01"/>
      <c r="W116" s="30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5" t="str">
        <f>Schlüssel!$C$1</f>
        <v>Bayernliga Herren</v>
      </c>
      <c r="G117" s="345"/>
      <c r="H117" s="345"/>
      <c r="I117" s="345"/>
      <c r="J117" s="345"/>
      <c r="K117" s="345"/>
      <c r="L117" s="345"/>
      <c r="M117" s="345"/>
      <c r="N117" s="345"/>
      <c r="O117" s="345"/>
      <c r="P117" s="45"/>
      <c r="Q117" s="45"/>
      <c r="R117" s="48"/>
      <c r="S117" s="49" t="s">
        <v>1794</v>
      </c>
      <c r="T117" s="50"/>
      <c r="U117" s="341" t="str">
        <f>Schlüssel!$DI$1</f>
        <v>05.04./06.04.</v>
      </c>
      <c r="V117" s="342"/>
      <c r="W117" s="34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4" t="str">
        <f>Schlüssel!$CY$2</f>
        <v>Dettelbach Extreme Bowlingarena</v>
      </c>
      <c r="G118" s="344"/>
      <c r="H118" s="344"/>
      <c r="I118" s="344"/>
      <c r="J118" s="344"/>
      <c r="K118" s="344"/>
      <c r="L118" s="344"/>
      <c r="M118" s="344"/>
      <c r="N118" s="344"/>
      <c r="O118" s="344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25">
      <c r="B121" s="67" t="s">
        <v>1</v>
      </c>
      <c r="C121" s="68"/>
      <c r="D121" s="346" t="s">
        <v>1800</v>
      </c>
      <c r="E121" s="347"/>
      <c r="F121" s="346" t="s">
        <v>1801</v>
      </c>
      <c r="G121" s="347"/>
      <c r="H121" s="346" t="s">
        <v>1802</v>
      </c>
      <c r="I121" s="347"/>
      <c r="J121" s="346" t="s">
        <v>1803</v>
      </c>
      <c r="K121" s="347"/>
      <c r="L121" s="346" t="s">
        <v>1804</v>
      </c>
      <c r="M121" s="347"/>
      <c r="N121" s="346" t="s">
        <v>1805</v>
      </c>
      <c r="O121" s="347"/>
      <c r="P121" s="346" t="s">
        <v>1806</v>
      </c>
      <c r="Q121" s="347"/>
      <c r="R121" s="346" t="s">
        <v>1807</v>
      </c>
      <c r="S121" s="347"/>
      <c r="T121" s="346" t="s">
        <v>1808</v>
      </c>
      <c r="U121" s="347"/>
      <c r="V121" s="354" t="s">
        <v>1799</v>
      </c>
      <c r="W121" s="355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3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3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3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3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6">
        <f>VLOOKUP(B118,Schlüssel!$A$5:$DZ$14,103)</f>
        <v>2</v>
      </c>
      <c r="E138" s="356"/>
      <c r="F138" s="356">
        <f>VLOOKUP(B118,Schlüssel!$A$5:$DZ$14,104)</f>
        <v>7</v>
      </c>
      <c r="G138" s="356"/>
      <c r="H138" s="356">
        <f>VLOOKUP(B118,Schlüssel!$A$5:$DZ$14,105)</f>
        <v>1</v>
      </c>
      <c r="I138" s="356"/>
      <c r="J138" s="356">
        <f>VLOOKUP(B118,Schlüssel!$A$5:$DZ$14,106)</f>
        <v>8</v>
      </c>
      <c r="K138" s="356"/>
      <c r="L138" s="356">
        <f>VLOOKUP(B118,Schlüssel!$A$5:$DZ$14,107)</f>
        <v>9</v>
      </c>
      <c r="M138" s="356"/>
      <c r="N138" s="356">
        <f>VLOOKUP(B118,Schlüssel!$A$5:$DZ$14,108)</f>
        <v>3</v>
      </c>
      <c r="O138" s="356"/>
      <c r="P138" s="356">
        <f>VLOOKUP(B118,Schlüssel!$A$5:$DZ$14,109)</f>
        <v>4</v>
      </c>
      <c r="Q138" s="356"/>
      <c r="R138" s="356">
        <f>VLOOKUP(B118,Schlüssel!$A$5:$DZ$14,110)</f>
        <v>10</v>
      </c>
      <c r="S138" s="356"/>
      <c r="T138" s="356">
        <f>VLOOKUP(B118,Schlüssel!$A$5:$DZ$14,111)</f>
        <v>6</v>
      </c>
      <c r="U138" s="356"/>
      <c r="V138" s="357"/>
      <c r="W138" s="357"/>
    </row>
    <row r="139" spans="1:23" ht="28.5" customHeight="1" x14ac:dyDescent="0.25">
      <c r="B139" s="90"/>
      <c r="C139" s="86"/>
      <c r="D139" s="358" t="str">
        <f>VLOOKUP(D138,Schlüssel!$A$5:$K$14,2)</f>
        <v>Bajuwaren München 1</v>
      </c>
      <c r="E139" s="359"/>
      <c r="F139" s="358" t="str">
        <f>VLOOKUP(F138,Schlüssel!$A$5:$K$14,2)</f>
        <v>Schanzer Ingolstadt 1</v>
      </c>
      <c r="G139" s="359"/>
      <c r="H139" s="358" t="str">
        <f>VLOOKUP(H138,Schlüssel!$A$5:$K$14,2)</f>
        <v>BC Comet Nürnberg</v>
      </c>
      <c r="I139" s="359"/>
      <c r="J139" s="358" t="str">
        <f>VLOOKUP(J138,Schlüssel!$A$5:$K$14,2)</f>
        <v>BC EMAX Unterföhring 2</v>
      </c>
      <c r="K139" s="359"/>
      <c r="L139" s="358" t="str">
        <f>VLOOKUP(L138,Schlüssel!$A$5:$K$14,2)</f>
        <v>Bowlinghaus Bamberg 1</v>
      </c>
      <c r="M139" s="359"/>
      <c r="N139" s="358" t="str">
        <f>VLOOKUP(N138,Schlüssel!$A$5:$K$14,2)</f>
        <v>BK München 3</v>
      </c>
      <c r="O139" s="359"/>
      <c r="P139" s="358" t="str">
        <f>VLOOKUP(P138,Schlüssel!$A$5:$K$14,2)</f>
        <v>SG DJK Rimpar</v>
      </c>
      <c r="Q139" s="359"/>
      <c r="R139" s="358" t="str">
        <f>VLOOKUP(R138,Schlüssel!$A$5:$K$14,2)</f>
        <v>High Roller Rosenheim 1</v>
      </c>
      <c r="S139" s="359"/>
      <c r="T139" s="358" t="str">
        <f>VLOOKUP(T138,Schlüssel!$A$5:$K$14,2)</f>
        <v>SG Rottendorf 1</v>
      </c>
      <c r="U139" s="359"/>
      <c r="V139" s="363"/>
      <c r="W139" s="363"/>
    </row>
    <row r="140" spans="1:23" ht="12" customHeight="1" x14ac:dyDescent="0.25">
      <c r="B140" s="90"/>
      <c r="C140" s="86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  <c r="O140" s="360"/>
      <c r="P140" s="360"/>
      <c r="Q140" s="360"/>
      <c r="R140" s="360"/>
      <c r="S140" s="360"/>
      <c r="T140" s="360"/>
      <c r="U140" s="361"/>
      <c r="V140" s="298"/>
      <c r="W140" s="298"/>
    </row>
    <row r="141" spans="1:23" ht="15.9" customHeight="1" x14ac:dyDescent="0.25">
      <c r="B141" s="91" t="s">
        <v>0</v>
      </c>
      <c r="C141" s="92"/>
      <c r="D141" s="362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4"/>
      <c r="W141" s="364"/>
    </row>
    <row r="142" spans="1:23" ht="15.9" customHeight="1" x14ac:dyDescent="0.25">
      <c r="B142" s="91" t="s">
        <v>2</v>
      </c>
      <c r="C142" s="92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4"/>
      <c r="W142" s="364"/>
    </row>
    <row r="143" spans="1:23" ht="15.9" customHeight="1" x14ac:dyDescent="0.25">
      <c r="B143" s="91" t="s">
        <v>3</v>
      </c>
      <c r="C143" s="92"/>
      <c r="D143" s="362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4"/>
      <c r="W143" s="364"/>
    </row>
    <row r="144" spans="1:23" ht="15.9" customHeight="1" x14ac:dyDescent="0.25">
      <c r="B144" s="91" t="s">
        <v>11</v>
      </c>
      <c r="C144" s="9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4"/>
      <c r="W144" s="364"/>
    </row>
    <row r="145" spans="1:29" ht="15.9" customHeight="1" x14ac:dyDescent="0.25">
      <c r="B145" s="93" t="s">
        <v>1799</v>
      </c>
      <c r="C145" s="94"/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01"/>
      <c r="W145" s="30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5" t="str">
        <f>Schlüssel!$C$1</f>
        <v>Bayernliga Herren</v>
      </c>
      <c r="G146" s="345"/>
      <c r="H146" s="345"/>
      <c r="I146" s="345"/>
      <c r="J146" s="345"/>
      <c r="K146" s="345"/>
      <c r="L146" s="345"/>
      <c r="M146" s="345"/>
      <c r="N146" s="345"/>
      <c r="O146" s="345"/>
      <c r="P146" s="45"/>
      <c r="Q146" s="45"/>
      <c r="R146" s="48"/>
      <c r="S146" s="49" t="s">
        <v>1794</v>
      </c>
      <c r="T146" s="50"/>
      <c r="U146" s="341" t="str">
        <f>Schlüssel!$DI$1</f>
        <v>05.04./06.04.</v>
      </c>
      <c r="V146" s="342"/>
      <c r="W146" s="34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4" t="str">
        <f>Schlüssel!$CY$2</f>
        <v>Dettelbach Extreme Bowlingarena</v>
      </c>
      <c r="G147" s="344"/>
      <c r="H147" s="344"/>
      <c r="I147" s="344"/>
      <c r="J147" s="344"/>
      <c r="K147" s="344"/>
      <c r="L147" s="344"/>
      <c r="M147" s="344"/>
      <c r="N147" s="344"/>
      <c r="O147" s="344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25">
      <c r="B150" s="67" t="s">
        <v>1</v>
      </c>
      <c r="C150" s="68"/>
      <c r="D150" s="346" t="s">
        <v>1800</v>
      </c>
      <c r="E150" s="347"/>
      <c r="F150" s="346" t="s">
        <v>1801</v>
      </c>
      <c r="G150" s="347"/>
      <c r="H150" s="346" t="s">
        <v>1802</v>
      </c>
      <c r="I150" s="347"/>
      <c r="J150" s="346" t="s">
        <v>1803</v>
      </c>
      <c r="K150" s="347"/>
      <c r="L150" s="346" t="s">
        <v>1804</v>
      </c>
      <c r="M150" s="347"/>
      <c r="N150" s="346" t="s">
        <v>1805</v>
      </c>
      <c r="O150" s="347"/>
      <c r="P150" s="346" t="s">
        <v>1806</v>
      </c>
      <c r="Q150" s="347"/>
      <c r="R150" s="346" t="s">
        <v>1807</v>
      </c>
      <c r="S150" s="347"/>
      <c r="T150" s="346" t="s">
        <v>1808</v>
      </c>
      <c r="U150" s="347"/>
      <c r="V150" s="354" t="s">
        <v>1799</v>
      </c>
      <c r="W150" s="355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3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3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3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3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6">
        <f>VLOOKUP(B147,Schlüssel!$A$5:$DZ$14,103)</f>
        <v>3</v>
      </c>
      <c r="E167" s="356"/>
      <c r="F167" s="356">
        <f>VLOOKUP(B147,Schlüssel!$A$5:$DZ$14,104)</f>
        <v>10</v>
      </c>
      <c r="G167" s="356"/>
      <c r="H167" s="356">
        <f>VLOOKUP(B147,Schlüssel!$A$5:$DZ$14,105)</f>
        <v>4</v>
      </c>
      <c r="I167" s="356"/>
      <c r="J167" s="356">
        <f>VLOOKUP(B147,Schlüssel!$A$5:$DZ$14,106)</f>
        <v>9</v>
      </c>
      <c r="K167" s="356"/>
      <c r="L167" s="356">
        <f>VLOOKUP(B147,Schlüssel!$A$5:$DZ$14,107)</f>
        <v>2</v>
      </c>
      <c r="M167" s="356"/>
      <c r="N167" s="356">
        <f>VLOOKUP(B147,Schlüssel!$A$5:$DZ$14,108)</f>
        <v>8</v>
      </c>
      <c r="O167" s="356"/>
      <c r="P167" s="356">
        <f>VLOOKUP(B147,Schlüssel!$A$5:$DZ$14,109)</f>
        <v>7</v>
      </c>
      <c r="Q167" s="356"/>
      <c r="R167" s="356">
        <f>VLOOKUP(B147,Schlüssel!$A$5:$DZ$14,110)</f>
        <v>1</v>
      </c>
      <c r="S167" s="356"/>
      <c r="T167" s="356">
        <f>VLOOKUP(B147,Schlüssel!$A$5:$DZ$14,111)</f>
        <v>5</v>
      </c>
      <c r="U167" s="356"/>
      <c r="V167" s="357"/>
      <c r="W167" s="357"/>
    </row>
    <row r="168" spans="1:29" ht="28.5" customHeight="1" x14ac:dyDescent="0.25">
      <c r="B168" s="90"/>
      <c r="C168" s="86"/>
      <c r="D168" s="358" t="str">
        <f>VLOOKUP(D167,Schlüssel!$A$5:$K$14,2)</f>
        <v>BK München 3</v>
      </c>
      <c r="E168" s="359"/>
      <c r="F168" s="358" t="str">
        <f>VLOOKUP(F167,Schlüssel!$A$5:$K$14,2)</f>
        <v>High Roller Rosenheim 1</v>
      </c>
      <c r="G168" s="359"/>
      <c r="H168" s="358" t="str">
        <f>VLOOKUP(H167,Schlüssel!$A$5:$K$14,2)</f>
        <v>SG DJK Rimpar</v>
      </c>
      <c r="I168" s="359"/>
      <c r="J168" s="358" t="str">
        <f>VLOOKUP(J167,Schlüssel!$A$5:$K$14,2)</f>
        <v>Bowlinghaus Bamberg 1</v>
      </c>
      <c r="K168" s="359"/>
      <c r="L168" s="358" t="str">
        <f>VLOOKUP(L167,Schlüssel!$A$5:$K$14,2)</f>
        <v>Bajuwaren München 1</v>
      </c>
      <c r="M168" s="359"/>
      <c r="N168" s="358" t="str">
        <f>VLOOKUP(N167,Schlüssel!$A$5:$K$14,2)</f>
        <v>BC EMAX Unterföhring 2</v>
      </c>
      <c r="O168" s="359"/>
      <c r="P168" s="358" t="str">
        <f>VLOOKUP(P167,Schlüssel!$A$5:$K$14,2)</f>
        <v>Schanzer Ingolstadt 1</v>
      </c>
      <c r="Q168" s="359"/>
      <c r="R168" s="358" t="str">
        <f>VLOOKUP(R167,Schlüssel!$A$5:$K$14,2)</f>
        <v>BC Comet Nürnberg</v>
      </c>
      <c r="S168" s="359"/>
      <c r="T168" s="358" t="str">
        <f>VLOOKUP(T167,Schlüssel!$A$5:$K$14,2)</f>
        <v>RW Lichtenhof Stein 1</v>
      </c>
      <c r="U168" s="359"/>
      <c r="V168" s="363"/>
      <c r="W168" s="363"/>
    </row>
    <row r="169" spans="1:29" ht="12" customHeight="1" x14ac:dyDescent="0.25">
      <c r="B169" s="90"/>
      <c r="C169" s="86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  <c r="O169" s="360"/>
      <c r="P169" s="360"/>
      <c r="Q169" s="360"/>
      <c r="R169" s="360"/>
      <c r="S169" s="360"/>
      <c r="T169" s="360"/>
      <c r="U169" s="361"/>
      <c r="V169" s="298"/>
      <c r="W169" s="298"/>
    </row>
    <row r="170" spans="1:29" ht="15.9" customHeight="1" x14ac:dyDescent="0.25">
      <c r="B170" s="91" t="s">
        <v>0</v>
      </c>
      <c r="C170" s="92"/>
      <c r="D170" s="362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4"/>
      <c r="W170" s="364"/>
    </row>
    <row r="171" spans="1:29" ht="15.9" customHeight="1" x14ac:dyDescent="0.25">
      <c r="B171" s="91" t="s">
        <v>2</v>
      </c>
      <c r="C171" s="92"/>
      <c r="D171" s="362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4"/>
      <c r="W171" s="364"/>
    </row>
    <row r="172" spans="1:29" ht="15.9" customHeight="1" x14ac:dyDescent="0.25">
      <c r="B172" s="91" t="s">
        <v>3</v>
      </c>
      <c r="C172" s="92"/>
      <c r="D172" s="362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4"/>
      <c r="W172" s="364"/>
    </row>
    <row r="173" spans="1:29" ht="15.9" customHeight="1" x14ac:dyDescent="0.25">
      <c r="B173" s="91" t="s">
        <v>11</v>
      </c>
      <c r="C173" s="92"/>
      <c r="D173" s="362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4"/>
      <c r="W173" s="364"/>
    </row>
    <row r="174" spans="1:29" ht="15.9" customHeight="1" x14ac:dyDescent="0.25">
      <c r="B174" s="93" t="s">
        <v>1799</v>
      </c>
      <c r="C174" s="94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01"/>
      <c r="W174" s="30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5" t="str">
        <f>Schlüssel!$C$1</f>
        <v>Bayernliga Herren</v>
      </c>
      <c r="G175" s="345"/>
      <c r="H175" s="345"/>
      <c r="I175" s="345"/>
      <c r="J175" s="345"/>
      <c r="K175" s="345"/>
      <c r="L175" s="345"/>
      <c r="M175" s="345"/>
      <c r="N175" s="345"/>
      <c r="O175" s="345"/>
      <c r="P175" s="45"/>
      <c r="Q175" s="45"/>
      <c r="R175" s="48"/>
      <c r="S175" s="49" t="s">
        <v>1794</v>
      </c>
      <c r="T175" s="50"/>
      <c r="U175" s="341" t="str">
        <f>Schlüssel!$DI$1</f>
        <v>05.04./06.04.</v>
      </c>
      <c r="V175" s="342"/>
      <c r="W175" s="34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4" t="str">
        <f>Schlüssel!$CY$2</f>
        <v>Dettelbach Extreme Bowlingarena</v>
      </c>
      <c r="G176" s="344"/>
      <c r="H176" s="344"/>
      <c r="I176" s="344"/>
      <c r="J176" s="344"/>
      <c r="K176" s="344"/>
      <c r="L176" s="344"/>
      <c r="M176" s="344"/>
      <c r="N176" s="344"/>
      <c r="O176" s="344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25">
      <c r="B179" s="67" t="s">
        <v>1</v>
      </c>
      <c r="C179" s="68"/>
      <c r="D179" s="346" t="s">
        <v>1800</v>
      </c>
      <c r="E179" s="347"/>
      <c r="F179" s="346" t="s">
        <v>1801</v>
      </c>
      <c r="G179" s="347"/>
      <c r="H179" s="346" t="s">
        <v>1802</v>
      </c>
      <c r="I179" s="347"/>
      <c r="J179" s="346" t="s">
        <v>1803</v>
      </c>
      <c r="K179" s="347"/>
      <c r="L179" s="346" t="s">
        <v>1804</v>
      </c>
      <c r="M179" s="347"/>
      <c r="N179" s="346" t="s">
        <v>1805</v>
      </c>
      <c r="O179" s="347"/>
      <c r="P179" s="346" t="s">
        <v>1806</v>
      </c>
      <c r="Q179" s="347"/>
      <c r="R179" s="346" t="s">
        <v>1807</v>
      </c>
      <c r="S179" s="347"/>
      <c r="T179" s="346" t="s">
        <v>1808</v>
      </c>
      <c r="U179" s="347"/>
      <c r="V179" s="354" t="s">
        <v>1799</v>
      </c>
      <c r="W179" s="355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3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3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3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3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6">
        <f>VLOOKUP(B176,Schlüssel!$A$5:$DZ$14,103)</f>
        <v>1</v>
      </c>
      <c r="E196" s="356"/>
      <c r="F196" s="356">
        <f>VLOOKUP(B176,Schlüssel!$A$5:$DZ$14,104)</f>
        <v>5</v>
      </c>
      <c r="G196" s="356"/>
      <c r="H196" s="356">
        <f>VLOOKUP(B176,Schlüssel!$A$5:$DZ$14,105)</f>
        <v>9</v>
      </c>
      <c r="I196" s="356"/>
      <c r="J196" s="356">
        <f>VLOOKUP(B176,Schlüssel!$A$5:$DZ$14,106)</f>
        <v>2</v>
      </c>
      <c r="K196" s="356"/>
      <c r="L196" s="356">
        <f>VLOOKUP(B176,Schlüssel!$A$5:$DZ$14,107)</f>
        <v>10</v>
      </c>
      <c r="M196" s="356"/>
      <c r="N196" s="356">
        <f>VLOOKUP(B176,Schlüssel!$A$5:$DZ$14,108)</f>
        <v>4</v>
      </c>
      <c r="O196" s="356"/>
      <c r="P196" s="356">
        <f>VLOOKUP(B176,Schlüssel!$A$5:$DZ$14,109)</f>
        <v>6</v>
      </c>
      <c r="Q196" s="356"/>
      <c r="R196" s="356">
        <f>VLOOKUP(B176,Schlüssel!$A$5:$DZ$14,110)</f>
        <v>3</v>
      </c>
      <c r="S196" s="356"/>
      <c r="T196" s="356">
        <f>VLOOKUP(B176,Schlüssel!$A$5:$DZ$14,111)</f>
        <v>8</v>
      </c>
      <c r="U196" s="356"/>
      <c r="V196" s="357"/>
      <c r="W196" s="357"/>
    </row>
    <row r="197" spans="1:29" ht="28.5" customHeight="1" x14ac:dyDescent="0.25">
      <c r="B197" s="90"/>
      <c r="C197" s="86"/>
      <c r="D197" s="358" t="str">
        <f>VLOOKUP(D196,Schlüssel!$A$5:$K$14,2)</f>
        <v>BC Comet Nürnberg</v>
      </c>
      <c r="E197" s="359"/>
      <c r="F197" s="358" t="str">
        <f>VLOOKUP(F196,Schlüssel!$A$5:$K$14,2)</f>
        <v>RW Lichtenhof Stein 1</v>
      </c>
      <c r="G197" s="359"/>
      <c r="H197" s="358" t="str">
        <f>VLOOKUP(H196,Schlüssel!$A$5:$K$14,2)</f>
        <v>Bowlinghaus Bamberg 1</v>
      </c>
      <c r="I197" s="359"/>
      <c r="J197" s="358" t="str">
        <f>VLOOKUP(J196,Schlüssel!$A$5:$K$14,2)</f>
        <v>Bajuwaren München 1</v>
      </c>
      <c r="K197" s="359"/>
      <c r="L197" s="358" t="str">
        <f>VLOOKUP(L196,Schlüssel!$A$5:$K$14,2)</f>
        <v>High Roller Rosenheim 1</v>
      </c>
      <c r="M197" s="359"/>
      <c r="N197" s="358" t="str">
        <f>VLOOKUP(N196,Schlüssel!$A$5:$K$14,2)</f>
        <v>SG DJK Rimpar</v>
      </c>
      <c r="O197" s="359"/>
      <c r="P197" s="358" t="str">
        <f>VLOOKUP(P196,Schlüssel!$A$5:$K$14,2)</f>
        <v>SG Rottendorf 1</v>
      </c>
      <c r="Q197" s="359"/>
      <c r="R197" s="358" t="str">
        <f>VLOOKUP(R196,Schlüssel!$A$5:$K$14,2)</f>
        <v>BK München 3</v>
      </c>
      <c r="S197" s="359"/>
      <c r="T197" s="358" t="str">
        <f>VLOOKUP(T196,Schlüssel!$A$5:$K$14,2)</f>
        <v>BC EMAX Unterföhring 2</v>
      </c>
      <c r="U197" s="359"/>
      <c r="V197" s="363"/>
      <c r="W197" s="363"/>
    </row>
    <row r="198" spans="1:29" ht="12" customHeight="1" x14ac:dyDescent="0.25">
      <c r="B198" s="90"/>
      <c r="C198" s="86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1"/>
      <c r="V198" s="298"/>
      <c r="W198" s="298"/>
    </row>
    <row r="199" spans="1:29" ht="15.9" customHeight="1" x14ac:dyDescent="0.25">
      <c r="B199" s="91" t="s">
        <v>0</v>
      </c>
      <c r="C199" s="92"/>
      <c r="D199" s="362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4"/>
      <c r="W199" s="364"/>
    </row>
    <row r="200" spans="1:29" ht="15.9" customHeight="1" x14ac:dyDescent="0.25">
      <c r="B200" s="91" t="s">
        <v>2</v>
      </c>
      <c r="C200" s="92"/>
      <c r="D200" s="362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4"/>
      <c r="W200" s="364"/>
    </row>
    <row r="201" spans="1:29" ht="15.9" customHeight="1" x14ac:dyDescent="0.25">
      <c r="B201" s="91" t="s">
        <v>3</v>
      </c>
      <c r="C201" s="92"/>
      <c r="D201" s="362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4"/>
      <c r="W201" s="364"/>
    </row>
    <row r="202" spans="1:29" ht="15.9" customHeight="1" x14ac:dyDescent="0.25">
      <c r="B202" s="91" t="s">
        <v>11</v>
      </c>
      <c r="C202" s="92"/>
      <c r="D202" s="362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4"/>
      <c r="W202" s="364"/>
    </row>
    <row r="203" spans="1:29" ht="15.9" customHeight="1" x14ac:dyDescent="0.25">
      <c r="B203" s="93" t="s">
        <v>1799</v>
      </c>
      <c r="C203" s="94"/>
      <c r="D203" s="365"/>
      <c r="E203" s="365"/>
      <c r="F203" s="365"/>
      <c r="G203" s="365"/>
      <c r="H203" s="365"/>
      <c r="I203" s="365"/>
      <c r="J203" s="365"/>
      <c r="K203" s="365"/>
      <c r="L203" s="365"/>
      <c r="M203" s="365"/>
      <c r="N203" s="365"/>
      <c r="O203" s="365"/>
      <c r="P203" s="365"/>
      <c r="Q203" s="365"/>
      <c r="R203" s="365"/>
      <c r="S203" s="365"/>
      <c r="T203" s="365"/>
      <c r="U203" s="365"/>
      <c r="V203" s="301"/>
      <c r="W203" s="30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5" t="str">
        <f>Schlüssel!$C$1</f>
        <v>Bayernliga Herren</v>
      </c>
      <c r="G204" s="345"/>
      <c r="H204" s="345"/>
      <c r="I204" s="345"/>
      <c r="J204" s="345"/>
      <c r="K204" s="345"/>
      <c r="L204" s="345"/>
      <c r="M204" s="345"/>
      <c r="N204" s="345"/>
      <c r="O204" s="345"/>
      <c r="P204" s="45"/>
      <c r="Q204" s="45"/>
      <c r="R204" s="48"/>
      <c r="S204" s="49" t="s">
        <v>1794</v>
      </c>
      <c r="T204" s="50"/>
      <c r="U204" s="341" t="str">
        <f>Schlüssel!$DI$1</f>
        <v>05.04./06.04.</v>
      </c>
      <c r="V204" s="342"/>
      <c r="W204" s="34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4" t="str">
        <f>Schlüssel!$CY$2</f>
        <v>Dettelbach Extreme Bowlingarena</v>
      </c>
      <c r="G205" s="344"/>
      <c r="H205" s="344"/>
      <c r="I205" s="344"/>
      <c r="J205" s="344"/>
      <c r="K205" s="344"/>
      <c r="L205" s="344"/>
      <c r="M205" s="344"/>
      <c r="N205" s="344"/>
      <c r="O205" s="344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25">
      <c r="B208" s="67" t="s">
        <v>1</v>
      </c>
      <c r="C208" s="68"/>
      <c r="D208" s="346" t="s">
        <v>1800</v>
      </c>
      <c r="E208" s="347"/>
      <c r="F208" s="346" t="s">
        <v>1801</v>
      </c>
      <c r="G208" s="347"/>
      <c r="H208" s="346" t="s">
        <v>1802</v>
      </c>
      <c r="I208" s="347"/>
      <c r="J208" s="346" t="s">
        <v>1803</v>
      </c>
      <c r="K208" s="347"/>
      <c r="L208" s="346" t="s">
        <v>1804</v>
      </c>
      <c r="M208" s="347"/>
      <c r="N208" s="346" t="s">
        <v>1805</v>
      </c>
      <c r="O208" s="347"/>
      <c r="P208" s="346" t="s">
        <v>1806</v>
      </c>
      <c r="Q208" s="347"/>
      <c r="R208" s="346" t="s">
        <v>1807</v>
      </c>
      <c r="S208" s="347"/>
      <c r="T208" s="346" t="s">
        <v>1808</v>
      </c>
      <c r="U208" s="347"/>
      <c r="V208" s="354" t="s">
        <v>1799</v>
      </c>
      <c r="W208" s="355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3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3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3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3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6">
        <f>VLOOKUP(B205,Schlüssel!$A$5:$DZ$14,103)</f>
        <v>10</v>
      </c>
      <c r="E225" s="356"/>
      <c r="F225" s="356">
        <f>VLOOKUP(B205,Schlüssel!$A$5:$DZ$14,104)</f>
        <v>1</v>
      </c>
      <c r="G225" s="356"/>
      <c r="H225" s="356">
        <f>VLOOKUP(B205,Schlüssel!$A$5:$DZ$14,105)</f>
        <v>2</v>
      </c>
      <c r="I225" s="356"/>
      <c r="J225" s="356">
        <f>VLOOKUP(B205,Schlüssel!$A$5:$DZ$14,106)</f>
        <v>5</v>
      </c>
      <c r="K225" s="356"/>
      <c r="L225" s="356">
        <f>VLOOKUP(B205,Schlüssel!$A$5:$DZ$14,107)</f>
        <v>3</v>
      </c>
      <c r="M225" s="356"/>
      <c r="N225" s="356">
        <f>VLOOKUP(B205,Schlüssel!$A$5:$DZ$14,108)</f>
        <v>6</v>
      </c>
      <c r="O225" s="356"/>
      <c r="P225" s="356">
        <f>VLOOKUP(B205,Schlüssel!$A$5:$DZ$14,109)</f>
        <v>9</v>
      </c>
      <c r="Q225" s="356"/>
      <c r="R225" s="356">
        <f>VLOOKUP(B205,Schlüssel!$A$5:$DZ$14,110)</f>
        <v>4</v>
      </c>
      <c r="S225" s="356"/>
      <c r="T225" s="356">
        <f>VLOOKUP(B205,Schlüssel!$A$5:$DZ$14,111)</f>
        <v>7</v>
      </c>
      <c r="U225" s="356"/>
      <c r="V225" s="357"/>
      <c r="W225" s="357"/>
    </row>
    <row r="226" spans="1:29" ht="28.5" customHeight="1" x14ac:dyDescent="0.25">
      <c r="B226" s="90"/>
      <c r="C226" s="86"/>
      <c r="D226" s="358" t="str">
        <f>VLOOKUP(D225,Schlüssel!$A$5:$K$14,2)</f>
        <v>High Roller Rosenheim 1</v>
      </c>
      <c r="E226" s="359"/>
      <c r="F226" s="358" t="str">
        <f>VLOOKUP(F225,Schlüssel!$A$5:$K$14,2)</f>
        <v>BC Comet Nürnberg</v>
      </c>
      <c r="G226" s="359"/>
      <c r="H226" s="358" t="str">
        <f>VLOOKUP(H225,Schlüssel!$A$5:$K$14,2)</f>
        <v>Bajuwaren München 1</v>
      </c>
      <c r="I226" s="359"/>
      <c r="J226" s="358" t="str">
        <f>VLOOKUP(J225,Schlüssel!$A$5:$K$14,2)</f>
        <v>RW Lichtenhof Stein 1</v>
      </c>
      <c r="K226" s="359"/>
      <c r="L226" s="358" t="str">
        <f>VLOOKUP(L225,Schlüssel!$A$5:$K$14,2)</f>
        <v>BK München 3</v>
      </c>
      <c r="M226" s="359"/>
      <c r="N226" s="358" t="str">
        <f>VLOOKUP(N225,Schlüssel!$A$5:$K$14,2)</f>
        <v>SG Rottendorf 1</v>
      </c>
      <c r="O226" s="359"/>
      <c r="P226" s="358" t="str">
        <f>VLOOKUP(P225,Schlüssel!$A$5:$K$14,2)</f>
        <v>Bowlinghaus Bamberg 1</v>
      </c>
      <c r="Q226" s="359"/>
      <c r="R226" s="358" t="str">
        <f>VLOOKUP(R225,Schlüssel!$A$5:$K$14,2)</f>
        <v>SG DJK Rimpar</v>
      </c>
      <c r="S226" s="359"/>
      <c r="T226" s="358" t="str">
        <f>VLOOKUP(T225,Schlüssel!$A$5:$K$14,2)</f>
        <v>Schanzer Ingolstadt 1</v>
      </c>
      <c r="U226" s="359"/>
      <c r="V226" s="363"/>
      <c r="W226" s="363"/>
    </row>
    <row r="227" spans="1:29" ht="12" customHeight="1" x14ac:dyDescent="0.25">
      <c r="B227" s="90"/>
      <c r="C227" s="86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1"/>
      <c r="V227" s="298"/>
      <c r="W227" s="298"/>
    </row>
    <row r="228" spans="1:29" ht="15.9" customHeight="1" x14ac:dyDescent="0.25">
      <c r="B228" s="91" t="s">
        <v>0</v>
      </c>
      <c r="C228" s="92"/>
      <c r="D228" s="362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4"/>
      <c r="W228" s="364"/>
    </row>
    <row r="229" spans="1:29" ht="15.9" customHeight="1" x14ac:dyDescent="0.25">
      <c r="B229" s="91" t="s">
        <v>2</v>
      </c>
      <c r="C229" s="92"/>
      <c r="D229" s="362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4"/>
      <c r="W229" s="364"/>
    </row>
    <row r="230" spans="1:29" ht="15.9" customHeight="1" x14ac:dyDescent="0.25">
      <c r="B230" s="91" t="s">
        <v>3</v>
      </c>
      <c r="C230" s="92"/>
      <c r="D230" s="362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4"/>
      <c r="W230" s="364"/>
    </row>
    <row r="231" spans="1:29" ht="15.9" customHeight="1" x14ac:dyDescent="0.25">
      <c r="B231" s="91" t="s">
        <v>11</v>
      </c>
      <c r="C231" s="92"/>
      <c r="D231" s="362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4"/>
      <c r="W231" s="364"/>
    </row>
    <row r="232" spans="1:29" ht="15.9" customHeight="1" x14ac:dyDescent="0.25">
      <c r="B232" s="93" t="s">
        <v>1799</v>
      </c>
      <c r="C232" s="94"/>
      <c r="D232" s="365"/>
      <c r="E232" s="36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01"/>
      <c r="W232" s="30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5" t="str">
        <f>Schlüssel!$C$1</f>
        <v>Bayernliga Herren</v>
      </c>
      <c r="G233" s="345"/>
      <c r="H233" s="345"/>
      <c r="I233" s="345"/>
      <c r="J233" s="345"/>
      <c r="K233" s="345"/>
      <c r="L233" s="345"/>
      <c r="M233" s="345"/>
      <c r="N233" s="345"/>
      <c r="O233" s="345"/>
      <c r="P233" s="45"/>
      <c r="Q233" s="45"/>
      <c r="R233" s="48"/>
      <c r="S233" s="49" t="s">
        <v>1794</v>
      </c>
      <c r="T233" s="50"/>
      <c r="U233" s="341" t="str">
        <f>Schlüssel!$DI$1</f>
        <v>05.04./06.04.</v>
      </c>
      <c r="V233" s="342"/>
      <c r="W233" s="34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4" t="str">
        <f>Schlüssel!$CY$2</f>
        <v>Dettelbach Extreme Bowlingarena</v>
      </c>
      <c r="G234" s="344"/>
      <c r="H234" s="344"/>
      <c r="I234" s="344"/>
      <c r="J234" s="344"/>
      <c r="K234" s="344"/>
      <c r="L234" s="344"/>
      <c r="M234" s="344"/>
      <c r="N234" s="344"/>
      <c r="O234" s="344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25">
      <c r="B237" s="67" t="s">
        <v>1</v>
      </c>
      <c r="C237" s="68"/>
      <c r="D237" s="346" t="s">
        <v>1800</v>
      </c>
      <c r="E237" s="347"/>
      <c r="F237" s="346" t="s">
        <v>1801</v>
      </c>
      <c r="G237" s="347"/>
      <c r="H237" s="346" t="s">
        <v>1802</v>
      </c>
      <c r="I237" s="347"/>
      <c r="J237" s="346" t="s">
        <v>1803</v>
      </c>
      <c r="K237" s="347"/>
      <c r="L237" s="346" t="s">
        <v>1804</v>
      </c>
      <c r="M237" s="347"/>
      <c r="N237" s="346" t="s">
        <v>1805</v>
      </c>
      <c r="O237" s="347"/>
      <c r="P237" s="346" t="s">
        <v>1806</v>
      </c>
      <c r="Q237" s="347"/>
      <c r="R237" s="346" t="s">
        <v>1807</v>
      </c>
      <c r="S237" s="347"/>
      <c r="T237" s="346" t="s">
        <v>1808</v>
      </c>
      <c r="U237" s="347"/>
      <c r="V237" s="354" t="s">
        <v>1799</v>
      </c>
      <c r="W237" s="355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3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3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3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3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6">
        <f>VLOOKUP(B234,Schlüssel!$A$5:$DZ$14,103)</f>
        <v>4</v>
      </c>
      <c r="E254" s="356"/>
      <c r="F254" s="356">
        <f>VLOOKUP(B234,Schlüssel!$A$5:$DZ$14,104)</f>
        <v>3</v>
      </c>
      <c r="G254" s="356"/>
      <c r="H254" s="356">
        <f>VLOOKUP(B234,Schlüssel!$A$5:$DZ$14,105)</f>
        <v>7</v>
      </c>
      <c r="I254" s="356"/>
      <c r="J254" s="356">
        <f>VLOOKUP(B234,Schlüssel!$A$5:$DZ$14,106)</f>
        <v>6</v>
      </c>
      <c r="K254" s="356"/>
      <c r="L254" s="356">
        <f>VLOOKUP(B234,Schlüssel!$A$5:$DZ$14,107)</f>
        <v>5</v>
      </c>
      <c r="M254" s="356"/>
      <c r="N254" s="356">
        <f>VLOOKUP(B234,Schlüssel!$A$5:$DZ$14,108)</f>
        <v>1</v>
      </c>
      <c r="O254" s="356"/>
      <c r="P254" s="356">
        <f>VLOOKUP(B234,Schlüssel!$A$5:$DZ$14,109)</f>
        <v>8</v>
      </c>
      <c r="Q254" s="356"/>
      <c r="R254" s="356">
        <f>VLOOKUP(B234,Schlüssel!$A$5:$DZ$14,110)</f>
        <v>2</v>
      </c>
      <c r="S254" s="356"/>
      <c r="T254" s="356">
        <f>VLOOKUP(B234,Schlüssel!$A$5:$DZ$14,111)</f>
        <v>10</v>
      </c>
      <c r="U254" s="356"/>
      <c r="V254" s="357"/>
      <c r="W254" s="357"/>
    </row>
    <row r="255" spans="1:23" ht="28.5" customHeight="1" x14ac:dyDescent="0.25">
      <c r="B255" s="90"/>
      <c r="C255" s="86"/>
      <c r="D255" s="358" t="str">
        <f>VLOOKUP(D254,Schlüssel!$A$5:$K$14,2)</f>
        <v>SG DJK Rimpar</v>
      </c>
      <c r="E255" s="359"/>
      <c r="F255" s="358" t="str">
        <f>VLOOKUP(F254,Schlüssel!$A$5:$K$14,2)</f>
        <v>BK München 3</v>
      </c>
      <c r="G255" s="359"/>
      <c r="H255" s="358" t="str">
        <f>VLOOKUP(H254,Schlüssel!$A$5:$K$14,2)</f>
        <v>Schanzer Ingolstadt 1</v>
      </c>
      <c r="I255" s="359"/>
      <c r="J255" s="358" t="str">
        <f>VLOOKUP(J254,Schlüssel!$A$5:$K$14,2)</f>
        <v>SG Rottendorf 1</v>
      </c>
      <c r="K255" s="359"/>
      <c r="L255" s="358" t="str">
        <f>VLOOKUP(L254,Schlüssel!$A$5:$K$14,2)</f>
        <v>RW Lichtenhof Stein 1</v>
      </c>
      <c r="M255" s="359"/>
      <c r="N255" s="358" t="str">
        <f>VLOOKUP(N254,Schlüssel!$A$5:$K$14,2)</f>
        <v>BC Comet Nürnberg</v>
      </c>
      <c r="O255" s="359"/>
      <c r="P255" s="358" t="str">
        <f>VLOOKUP(P254,Schlüssel!$A$5:$K$14,2)</f>
        <v>BC EMAX Unterföhring 2</v>
      </c>
      <c r="Q255" s="359"/>
      <c r="R255" s="358" t="str">
        <f>VLOOKUP(R254,Schlüssel!$A$5:$K$14,2)</f>
        <v>Bajuwaren München 1</v>
      </c>
      <c r="S255" s="359"/>
      <c r="T255" s="358" t="str">
        <f>VLOOKUP(T254,Schlüssel!$A$5:$K$14,2)</f>
        <v>High Roller Rosenheim 1</v>
      </c>
      <c r="U255" s="359"/>
      <c r="V255" s="363"/>
      <c r="W255" s="363"/>
    </row>
    <row r="256" spans="1:23" ht="12" customHeight="1" x14ac:dyDescent="0.25">
      <c r="B256" s="90"/>
      <c r="C256" s="86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1"/>
      <c r="V256" s="298"/>
      <c r="W256" s="298"/>
    </row>
    <row r="257" spans="1:29" ht="15.9" customHeight="1" x14ac:dyDescent="0.25">
      <c r="B257" s="91" t="s">
        <v>0</v>
      </c>
      <c r="C257" s="92"/>
      <c r="D257" s="362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4"/>
      <c r="W257" s="364"/>
    </row>
    <row r="258" spans="1:29" ht="15.9" customHeight="1" x14ac:dyDescent="0.25">
      <c r="B258" s="91" t="s">
        <v>2</v>
      </c>
      <c r="C258" s="92"/>
      <c r="D258" s="362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4"/>
      <c r="W258" s="364"/>
    </row>
    <row r="259" spans="1:29" ht="15.9" customHeight="1" x14ac:dyDescent="0.25">
      <c r="B259" s="91" t="s">
        <v>3</v>
      </c>
      <c r="C259" s="92"/>
      <c r="D259" s="362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4"/>
      <c r="W259" s="364"/>
    </row>
    <row r="260" spans="1:29" ht="15.9" customHeight="1" x14ac:dyDescent="0.25">
      <c r="B260" s="91" t="s">
        <v>11</v>
      </c>
      <c r="C260" s="9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4"/>
      <c r="W260" s="364"/>
    </row>
    <row r="261" spans="1:29" ht="15.9" customHeight="1" x14ac:dyDescent="0.25">
      <c r="B261" s="93" t="s">
        <v>1799</v>
      </c>
      <c r="C261" s="94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01"/>
      <c r="W261" s="30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5" t="str">
        <f>Schlüssel!$C$1</f>
        <v>Bayernliga Herren</v>
      </c>
      <c r="G262" s="345"/>
      <c r="H262" s="345"/>
      <c r="I262" s="345"/>
      <c r="J262" s="345"/>
      <c r="K262" s="345"/>
      <c r="L262" s="345"/>
      <c r="M262" s="345"/>
      <c r="N262" s="345"/>
      <c r="O262" s="345"/>
      <c r="P262" s="45"/>
      <c r="Q262" s="45"/>
      <c r="R262" s="48"/>
      <c r="S262" s="49" t="s">
        <v>1794</v>
      </c>
      <c r="T262" s="50"/>
      <c r="U262" s="341" t="str">
        <f>Schlüssel!$DI$1</f>
        <v>05.04./06.04.</v>
      </c>
      <c r="V262" s="342"/>
      <c r="W262" s="34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4" t="str">
        <f>Schlüssel!$CY$2</f>
        <v>Dettelbach Extreme Bowlingarena</v>
      </c>
      <c r="G263" s="344"/>
      <c r="H263" s="344"/>
      <c r="I263" s="344"/>
      <c r="J263" s="344"/>
      <c r="K263" s="344"/>
      <c r="L263" s="344"/>
      <c r="M263" s="344"/>
      <c r="N263" s="344"/>
      <c r="O263" s="344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25">
      <c r="B266" s="67" t="s">
        <v>1</v>
      </c>
      <c r="C266" s="68"/>
      <c r="D266" s="346" t="s">
        <v>1800</v>
      </c>
      <c r="E266" s="347"/>
      <c r="F266" s="346" t="s">
        <v>1801</v>
      </c>
      <c r="G266" s="347"/>
      <c r="H266" s="346" t="s">
        <v>1802</v>
      </c>
      <c r="I266" s="347"/>
      <c r="J266" s="346" t="s">
        <v>1803</v>
      </c>
      <c r="K266" s="347"/>
      <c r="L266" s="346" t="s">
        <v>1804</v>
      </c>
      <c r="M266" s="347"/>
      <c r="N266" s="346" t="s">
        <v>1805</v>
      </c>
      <c r="O266" s="347"/>
      <c r="P266" s="346" t="s">
        <v>1806</v>
      </c>
      <c r="Q266" s="347"/>
      <c r="R266" s="346" t="s">
        <v>1807</v>
      </c>
      <c r="S266" s="347"/>
      <c r="T266" s="346" t="s">
        <v>1808</v>
      </c>
      <c r="U266" s="347"/>
      <c r="V266" s="354" t="s">
        <v>1799</v>
      </c>
      <c r="W266" s="355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3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3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3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3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6">
        <f>VLOOKUP(B263,Schlüssel!$A$5:$DZ$14,103)</f>
        <v>8</v>
      </c>
      <c r="E283" s="356"/>
      <c r="F283" s="356">
        <f>VLOOKUP(B263,Schlüssel!$A$5:$DZ$14,104)</f>
        <v>6</v>
      </c>
      <c r="G283" s="356"/>
      <c r="H283" s="356">
        <f>VLOOKUP(B263,Schlüssel!$A$5:$DZ$14,105)</f>
        <v>3</v>
      </c>
      <c r="I283" s="356"/>
      <c r="J283" s="356">
        <f>VLOOKUP(B263,Schlüssel!$A$5:$DZ$14,106)</f>
        <v>4</v>
      </c>
      <c r="K283" s="356"/>
      <c r="L283" s="356">
        <f>VLOOKUP(B263,Schlüssel!$A$5:$DZ$14,107)</f>
        <v>7</v>
      </c>
      <c r="M283" s="356"/>
      <c r="N283" s="356">
        <f>VLOOKUP(B263,Schlüssel!$A$5:$DZ$14,108)</f>
        <v>2</v>
      </c>
      <c r="O283" s="356"/>
      <c r="P283" s="356">
        <f>VLOOKUP(B263,Schlüssel!$A$5:$DZ$14,109)</f>
        <v>1</v>
      </c>
      <c r="Q283" s="356"/>
      <c r="R283" s="356">
        <f>VLOOKUP(B263,Schlüssel!$A$5:$DZ$14,110)</f>
        <v>5</v>
      </c>
      <c r="S283" s="356"/>
      <c r="T283" s="356">
        <f>VLOOKUP(B263,Schlüssel!$A$5:$DZ$14,111)</f>
        <v>9</v>
      </c>
      <c r="U283" s="356"/>
      <c r="V283" s="357"/>
      <c r="W283" s="357"/>
    </row>
    <row r="284" spans="1:23" ht="28.5" customHeight="1" x14ac:dyDescent="0.25">
      <c r="B284" s="90"/>
      <c r="C284" s="86"/>
      <c r="D284" s="358" t="str">
        <f>VLOOKUP(D283,Schlüssel!$A$5:$K$14,2)</f>
        <v>BC EMAX Unterföhring 2</v>
      </c>
      <c r="E284" s="359"/>
      <c r="F284" s="358" t="str">
        <f>VLOOKUP(F283,Schlüssel!$A$5:$K$14,2)</f>
        <v>SG Rottendorf 1</v>
      </c>
      <c r="G284" s="359"/>
      <c r="H284" s="358" t="str">
        <f>VLOOKUP(H283,Schlüssel!$A$5:$K$14,2)</f>
        <v>BK München 3</v>
      </c>
      <c r="I284" s="359"/>
      <c r="J284" s="358" t="str">
        <f>VLOOKUP(J283,Schlüssel!$A$5:$K$14,2)</f>
        <v>SG DJK Rimpar</v>
      </c>
      <c r="K284" s="359"/>
      <c r="L284" s="358" t="str">
        <f>VLOOKUP(L283,Schlüssel!$A$5:$K$14,2)</f>
        <v>Schanzer Ingolstadt 1</v>
      </c>
      <c r="M284" s="359"/>
      <c r="N284" s="358" t="str">
        <f>VLOOKUP(N283,Schlüssel!$A$5:$K$14,2)</f>
        <v>Bajuwaren München 1</v>
      </c>
      <c r="O284" s="359"/>
      <c r="P284" s="358" t="str">
        <f>VLOOKUP(P283,Schlüssel!$A$5:$K$14,2)</f>
        <v>BC Comet Nürnberg</v>
      </c>
      <c r="Q284" s="359"/>
      <c r="R284" s="358" t="str">
        <f>VLOOKUP(R283,Schlüssel!$A$5:$K$14,2)</f>
        <v>RW Lichtenhof Stein 1</v>
      </c>
      <c r="S284" s="359"/>
      <c r="T284" s="358" t="str">
        <f>VLOOKUP(T283,Schlüssel!$A$5:$K$14,2)</f>
        <v>Bowlinghaus Bamberg 1</v>
      </c>
      <c r="U284" s="359"/>
      <c r="V284" s="363"/>
      <c r="W284" s="363"/>
    </row>
    <row r="285" spans="1:23" ht="12" customHeight="1" x14ac:dyDescent="0.25">
      <c r="B285" s="90"/>
      <c r="C285" s="86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0"/>
      <c r="O285" s="360"/>
      <c r="P285" s="360"/>
      <c r="Q285" s="360"/>
      <c r="R285" s="360"/>
      <c r="S285" s="360"/>
      <c r="T285" s="360"/>
      <c r="U285" s="361"/>
      <c r="V285" s="298"/>
      <c r="W285" s="298"/>
    </row>
    <row r="286" spans="1:23" ht="15.9" customHeight="1" x14ac:dyDescent="0.25">
      <c r="B286" s="91" t="s">
        <v>0</v>
      </c>
      <c r="C286" s="92"/>
      <c r="D286" s="362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4"/>
      <c r="W286" s="364"/>
    </row>
    <row r="287" spans="1:23" ht="15.9" customHeight="1" x14ac:dyDescent="0.25">
      <c r="B287" s="91" t="s">
        <v>2</v>
      </c>
      <c r="C287" s="92"/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4"/>
      <c r="W287" s="364"/>
    </row>
    <row r="288" spans="1:23" ht="15.9" customHeight="1" x14ac:dyDescent="0.25">
      <c r="B288" s="91" t="s">
        <v>3</v>
      </c>
      <c r="C288" s="92"/>
      <c r="D288" s="36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4"/>
      <c r="W288" s="364"/>
    </row>
    <row r="289" spans="2:23" ht="15.9" customHeight="1" x14ac:dyDescent="0.25">
      <c r="B289" s="91" t="s">
        <v>11</v>
      </c>
      <c r="C289" s="92"/>
      <c r="D289" s="36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4"/>
      <c r="W289" s="364"/>
    </row>
    <row r="290" spans="2:23" ht="15.9" customHeight="1" x14ac:dyDescent="0.25">
      <c r="B290" s="93" t="s">
        <v>1799</v>
      </c>
      <c r="C290" s="94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01"/>
      <c r="W290" s="301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J14" sqref="J14"/>
    </sheetView>
  </sheetViews>
  <sheetFormatPr baseColWidth="10" defaultColWidth="11.44140625" defaultRowHeight="13.2" x14ac:dyDescent="0.25"/>
  <cols>
    <col min="1" max="1" width="6.5546875" style="2" customWidth="1"/>
    <col min="2" max="2" width="27.5546875" customWidth="1"/>
    <col min="3" max="3" width="28.5546875" customWidth="1"/>
    <col min="4" max="9" width="6.6640625" style="2" customWidth="1"/>
    <col min="10" max="10" width="64.6640625" customWidth="1"/>
    <col min="11" max="11" width="2.5546875" bestFit="1" customWidth="1"/>
    <col min="12" max="12" width="33.44140625" style="133" bestFit="1" customWidth="1"/>
  </cols>
  <sheetData>
    <row r="1" spans="1:12" s="165" customFormat="1" ht="13.8" x14ac:dyDescent="0.25">
      <c r="A1" s="313" t="str">
        <f>Schlüssel!C1&amp;"     -     Saison "&amp;Spielorte!C18</f>
        <v>Bayernliga Herren     -     Saison 2024/2025</v>
      </c>
      <c r="B1" s="313"/>
      <c r="C1" s="313"/>
      <c r="D1" s="313"/>
      <c r="E1" s="313"/>
      <c r="F1" s="313"/>
      <c r="G1" s="313"/>
      <c r="H1" s="313"/>
      <c r="I1" s="313"/>
      <c r="J1" s="313"/>
      <c r="L1" s="202"/>
    </row>
    <row r="2" spans="1:12" s="5" customFormat="1" x14ac:dyDescent="0.25">
      <c r="A2" s="4"/>
      <c r="D2" s="4"/>
      <c r="E2" s="4"/>
      <c r="F2" s="4"/>
      <c r="G2" s="4"/>
      <c r="H2" s="4"/>
      <c r="I2" s="4"/>
      <c r="L2" s="203"/>
    </row>
    <row r="3" spans="1:12" s="175" customFormat="1" ht="13.8" x14ac:dyDescent="0.25">
      <c r="A3" s="314" t="s">
        <v>1871</v>
      </c>
      <c r="B3" s="314"/>
      <c r="C3" s="315" t="s">
        <v>2553</v>
      </c>
      <c r="D3" s="315"/>
      <c r="E3" s="315"/>
      <c r="F3" s="315"/>
      <c r="G3" s="315"/>
      <c r="H3" s="315"/>
      <c r="I3" s="315"/>
      <c r="J3" s="315"/>
      <c r="L3" s="204"/>
    </row>
    <row r="4" spans="1:12" s="175" customFormat="1" ht="13.8" x14ac:dyDescent="0.25">
      <c r="A4" s="314" t="s">
        <v>2024</v>
      </c>
      <c r="B4" s="314"/>
      <c r="C4" s="315" t="s">
        <v>2554</v>
      </c>
      <c r="D4" s="315"/>
      <c r="E4" s="315"/>
      <c r="F4" s="315"/>
      <c r="G4" s="315"/>
      <c r="H4" s="315"/>
      <c r="I4" s="315"/>
      <c r="J4" s="315"/>
      <c r="L4" s="204"/>
    </row>
    <row r="5" spans="1:12" s="5" customFormat="1" x14ac:dyDescent="0.25">
      <c r="A5" s="4"/>
      <c r="D5" s="4"/>
      <c r="E5" s="4"/>
      <c r="F5" s="4"/>
      <c r="G5" s="4"/>
      <c r="H5" s="4"/>
      <c r="I5" s="4"/>
      <c r="L5" s="203"/>
    </row>
    <row r="6" spans="1:12" s="207" customFormat="1" ht="13.8" x14ac:dyDescent="0.25">
      <c r="A6" s="316" t="s">
        <v>2025</v>
      </c>
      <c r="B6" s="316"/>
      <c r="C6" s="205">
        <v>1</v>
      </c>
      <c r="D6" s="206"/>
      <c r="E6" s="206"/>
      <c r="F6" s="206"/>
      <c r="G6" s="206"/>
      <c r="H6" s="206"/>
      <c r="I6" s="206"/>
      <c r="K6" s="312" t="s">
        <v>2026</v>
      </c>
      <c r="L6" s="312"/>
    </row>
    <row r="7" spans="1:12" ht="13.8" x14ac:dyDescent="0.25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25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25">
      <c r="E9" s="4"/>
      <c r="K9" s="4" t="s">
        <v>2039</v>
      </c>
      <c r="L9" s="133" t="s">
        <v>2040</v>
      </c>
    </row>
    <row r="10" spans="1:12" x14ac:dyDescent="0.25">
      <c r="K10" s="4" t="s">
        <v>45</v>
      </c>
      <c r="L10" s="133" t="s">
        <v>2041</v>
      </c>
    </row>
    <row r="11" spans="1:12" x14ac:dyDescent="0.25">
      <c r="K11" s="4" t="s">
        <v>2037</v>
      </c>
      <c r="L11" s="133" t="s">
        <v>2042</v>
      </c>
    </row>
    <row r="19" spans="1:12" x14ac:dyDescent="0.25">
      <c r="D19"/>
      <c r="E19"/>
      <c r="F19"/>
      <c r="G19"/>
      <c r="H19"/>
      <c r="I19"/>
    </row>
    <row r="20" spans="1:12" x14ac:dyDescent="0.25">
      <c r="B20" s="292" t="s">
        <v>2555</v>
      </c>
      <c r="C20" s="292"/>
      <c r="D20" s="292"/>
      <c r="E20" s="292"/>
      <c r="F20" s="292"/>
      <c r="G20" s="292"/>
      <c r="H20" s="292"/>
      <c r="I20" s="292"/>
      <c r="J20" s="292"/>
    </row>
    <row r="21" spans="1:12" x14ac:dyDescent="0.25">
      <c r="B21" s="166"/>
      <c r="C21" s="166"/>
    </row>
    <row r="22" spans="1:12" x14ac:dyDescent="0.25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x14ac:dyDescent="0.25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25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25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2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u2fXG4FQDhay31FPj+OU4QAgmH003Fof2xTVEmqOGSFsI0+y8Vcz4DAb6c9u+8wStKWC8+2pCtghna4ng8+zZw==" saltValue="Zp7PC2uBv1XluldraLC0nw==" spinCount="100000" sheet="1"/>
  <mergeCells count="8">
    <mergeCell ref="B20:J20"/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2" priority="1" operator="equal">
      <formula>"S"</formula>
    </cfRule>
    <cfRule type="cellIs" dxfId="21" priority="2" operator="equal">
      <formula>"R"</formula>
    </cfRule>
    <cfRule type="cellIs" dxfId="20" priority="3" operator="equal">
      <formula>"G"</formula>
    </cfRule>
  </conditionalFormatting>
  <conditionalFormatting sqref="J7 D21:I21 D24:I24 D28:I28 D32:I65536">
    <cfRule type="cellIs" dxfId="19" priority="7" operator="equal">
      <formula>"S"</formula>
    </cfRule>
    <cfRule type="cellIs" dxfId="18" priority="8" operator="equal">
      <formula>"R"</formula>
    </cfRule>
    <cfRule type="cellIs" dxfId="17" priority="9" operator="equal">
      <formula>"G"</formula>
    </cfRule>
  </conditionalFormatting>
  <conditionalFormatting sqref="K7:K11">
    <cfRule type="cellIs" dxfId="16" priority="4" operator="equal">
      <formula>"S"</formula>
    </cfRule>
    <cfRule type="cellIs" dxfId="15" priority="5" operator="equal">
      <formula>"R"</formula>
    </cfRule>
    <cfRule type="cellIs" dxfId="14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tabSelected="1" view="pageBreakPreview" topLeftCell="Z91" zoomScaleNormal="100" zoomScaleSheetLayoutView="100" workbookViewId="0">
      <selection activeCell="AM288" sqref="AM288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5" t="str">
        <f>AE1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48"/>
      <c r="S1" s="49" t="s">
        <v>1794</v>
      </c>
      <c r="T1" s="50"/>
      <c r="U1" s="341" t="str">
        <f>AT1</f>
        <v>05.04./06.04.</v>
      </c>
      <c r="V1" s="342"/>
      <c r="W1" s="343"/>
      <c r="X1" s="372"/>
      <c r="Y1" s="373"/>
      <c r="Z1" s="373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41" t="str">
        <f>VLOOKUP(AS2,Spielorte!$A$1:$C$6,2)</f>
        <v>05.04./06.04.</v>
      </c>
      <c r="AU1" s="342"/>
      <c r="AV1" s="34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4" t="str">
        <f>AE2</f>
        <v>Dettelbach Extreme Bowlingarena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Dettelbach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6" t="s">
        <v>0</v>
      </c>
      <c r="B7" s="73" t="str">
        <f>IF(AA7=0,"",AA7)</f>
        <v>Schwarz, Jan</v>
      </c>
      <c r="C7" s="74">
        <f>IF(AB7=0,"",AB7)</f>
        <v>7734</v>
      </c>
      <c r="D7" s="75">
        <f>IF(AC7=0,"",AC7)</f>
        <v>190</v>
      </c>
      <c r="E7" s="348">
        <f>IF(AD7="","",AD7)</f>
        <v>0.5</v>
      </c>
      <c r="F7" s="75">
        <f t="shared" ref="F7:F20" si="0">IF(AE7=0,"",AE7)</f>
        <v>201</v>
      </c>
      <c r="G7" s="348">
        <f>IF(AF7="","",AF7)</f>
        <v>0</v>
      </c>
      <c r="H7" s="75">
        <f t="shared" ref="H7:H20" si="1">IF(AG7=0,"",AG7)</f>
        <v>147</v>
      </c>
      <c r="I7" s="348">
        <f>IF(AH7="","",AH7)</f>
        <v>0</v>
      </c>
      <c r="J7" s="75" t="str">
        <f t="shared" ref="J7:J20" si="2">IF(AI7=0,"",AI7)</f>
        <v/>
      </c>
      <c r="K7" s="348">
        <f>IF(AJ7="","",AJ7)</f>
        <v>0.5</v>
      </c>
      <c r="L7" s="75" t="str">
        <f t="shared" ref="L7:L20" si="3">IF(AK7=0,"",AK7)</f>
        <v/>
      </c>
      <c r="M7" s="348">
        <f>IF(AL7="","",AL7)</f>
        <v>0</v>
      </c>
      <c r="N7" s="75" t="str">
        <f>IF(AM7=0,"",AM7)</f>
        <v/>
      </c>
      <c r="O7" s="348">
        <f>IF(AN7="","",AN7)</f>
        <v>0</v>
      </c>
      <c r="P7" s="75" t="str">
        <f t="shared" ref="P7:P20" si="4">IF(AO7=0,"",AO7)</f>
        <v/>
      </c>
      <c r="Q7" s="348">
        <f>IF(AP7="","",AP7)</f>
        <v>0</v>
      </c>
      <c r="R7" s="75" t="str">
        <f t="shared" ref="R7:R20" si="5">IF(AQ7=0,"",AQ7)</f>
        <v/>
      </c>
      <c r="S7" s="348">
        <f>IF(AR7="","",AR7)</f>
        <v>0</v>
      </c>
      <c r="T7" s="75" t="str">
        <f t="shared" ref="T7:T20" si="6">IF(AS7=0,"",AS7)</f>
        <v/>
      </c>
      <c r="U7" s="348">
        <f>IF(AT7="","",AT7)</f>
        <v>0</v>
      </c>
      <c r="V7" s="75">
        <f t="shared" ref="V7:V20" si="7">IF(AU7=0,"",AU7)</f>
        <v>538</v>
      </c>
      <c r="W7" s="348">
        <f>IF(AV7="","",AV7)</f>
        <v>1</v>
      </c>
      <c r="Z7" s="351" t="s">
        <v>0</v>
      </c>
      <c r="AA7" s="108" t="str">
        <f>IF(AB7=0,"",VLOOKUP(AB7,Starter!$A$1:$D$199,2,FALSE))</f>
        <v>Schwarz, Jan</v>
      </c>
      <c r="AB7" s="99">
        <v>7734</v>
      </c>
      <c r="AC7" s="185">
        <v>190</v>
      </c>
      <c r="AD7" s="109">
        <f>IF(SUM(AC7:AC9)+AC25=0,0,IF(SUM(AC7:AC9)=AC25,0.5,IF(SUM(AC7:AC9)&gt;AC25,1,0)))</f>
        <v>0.5</v>
      </c>
      <c r="AE7" s="185">
        <v>201</v>
      </c>
      <c r="AF7" s="109">
        <f>IF(SUM(AE7:AE9)+AE25=0,0,IF(SUM(AE7:AE9)=AE25,0.5,IF(SUM(AE7:AE9)&gt;AE25,1,0)))</f>
        <v>0</v>
      </c>
      <c r="AG7" s="185">
        <v>147</v>
      </c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0.5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538</v>
      </c>
      <c r="AV7" s="111">
        <f>SUM(AD7+AF7+AH7+AJ7+AL7+AN7+AP7+AR7+AT7)</f>
        <v>1</v>
      </c>
      <c r="AW7" s="101"/>
      <c r="AX7" s="102"/>
      <c r="AZ7" s="63"/>
      <c r="BA7" s="212"/>
      <c r="BB7" s="213"/>
      <c r="BC7" s="214"/>
      <c r="BD7" s="217">
        <f>+AB7</f>
        <v>7734</v>
      </c>
      <c r="BE7" s="213">
        <f>+AU7</f>
        <v>538</v>
      </c>
      <c r="BF7" s="215">
        <f>COUNT(BH7:BP7)</f>
        <v>3</v>
      </c>
      <c r="BG7" s="215">
        <f>COUNTIF(BH7:BP7,"&gt;0")</f>
        <v>3</v>
      </c>
      <c r="BH7" s="215">
        <f t="shared" ref="BH7:BH18" si="9">IF(AC7=0,"",AC7)</f>
        <v>190</v>
      </c>
      <c r="BI7" s="215">
        <f t="shared" ref="BI7:BI18" si="10">IF(AE7=0,"",AE7)</f>
        <v>201</v>
      </c>
      <c r="BJ7" s="215">
        <f t="shared" ref="BJ7:BJ18" si="11">IF(AG7=0,"",AG7)</f>
        <v>147</v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201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538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77"/>
      <c r="B8" s="76" t="str">
        <f t="shared" ref="B8:D20" si="19">IF(AA8=0,"",AA8)</f>
        <v>Schlick, Christian</v>
      </c>
      <c r="C8" s="77">
        <f t="shared" si="19"/>
        <v>7724</v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>
        <f t="shared" si="2"/>
        <v>171</v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>
        <f t="shared" si="7"/>
        <v>171</v>
      </c>
      <c r="W8" s="349"/>
      <c r="Z8" s="352"/>
      <c r="AA8" s="108" t="str">
        <f>IF(AB8=0,"",VLOOKUP(AB8,Starter!$A$1:$D$199,2,FALSE))</f>
        <v>Schlick, Christian</v>
      </c>
      <c r="AB8" s="98">
        <v>7724</v>
      </c>
      <c r="AC8" s="186"/>
      <c r="AD8" s="112"/>
      <c r="AE8" s="186"/>
      <c r="AF8" s="112"/>
      <c r="AG8" s="186"/>
      <c r="AH8" s="112"/>
      <c r="AI8" s="186">
        <v>171</v>
      </c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171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7724</v>
      </c>
      <c r="BE8" s="213">
        <f t="shared" ref="BE8:BE18" si="22">+AU8</f>
        <v>171</v>
      </c>
      <c r="BF8" s="215">
        <f t="shared" ref="BF8:BF18" si="23">COUNT(BH8:BP8)</f>
        <v>1</v>
      </c>
      <c r="BG8" s="215">
        <f t="shared" ref="BG8:BG18" si="24">COUNTIF(BH8:BP8,"&gt;0")</f>
        <v>1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>
        <f t="shared" si="12"/>
        <v>171</v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171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171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8"/>
      <c r="B9" s="79" t="str">
        <f t="shared" si="19"/>
        <v>Mittelmaier, Andreas</v>
      </c>
      <c r="C9" s="80">
        <f t="shared" si="19"/>
        <v>16896</v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>
        <f t="shared" si="3"/>
        <v>188</v>
      </c>
      <c r="M9" s="350"/>
      <c r="N9" s="69">
        <f t="shared" si="20"/>
        <v>194</v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>
        <f t="shared" si="7"/>
        <v>382</v>
      </c>
      <c r="W9" s="350"/>
      <c r="Z9" s="353"/>
      <c r="AA9" s="115" t="str">
        <f>IF(AB9=0,"",VLOOKUP(AB9,Starter!$A$1:$D$199,2,FALSE))</f>
        <v>Mittelmaier, Andreas</v>
      </c>
      <c r="AB9" s="100">
        <v>16896</v>
      </c>
      <c r="AC9" s="187"/>
      <c r="AD9" s="112"/>
      <c r="AE9" s="187"/>
      <c r="AF9" s="112"/>
      <c r="AG9" s="187"/>
      <c r="AH9" s="112"/>
      <c r="AI9" s="187"/>
      <c r="AJ9" s="112"/>
      <c r="AK9" s="187">
        <v>188</v>
      </c>
      <c r="AL9" s="112"/>
      <c r="AM9" s="187">
        <v>194</v>
      </c>
      <c r="AN9" s="112"/>
      <c r="AO9" s="187"/>
      <c r="AP9" s="112"/>
      <c r="AQ9" s="187"/>
      <c r="AR9" s="112"/>
      <c r="AS9" s="187"/>
      <c r="AT9" s="112"/>
      <c r="AU9" s="116">
        <f t="shared" si="8"/>
        <v>382</v>
      </c>
      <c r="AV9" s="117"/>
      <c r="AW9" s="101"/>
      <c r="AX9" s="102"/>
      <c r="AZ9" s="63"/>
      <c r="BA9" s="212"/>
      <c r="BB9" s="213"/>
      <c r="BC9" s="214"/>
      <c r="BD9" s="217">
        <f t="shared" si="21"/>
        <v>16896</v>
      </c>
      <c r="BE9" s="213">
        <f t="shared" si="22"/>
        <v>382</v>
      </c>
      <c r="BF9" s="215">
        <f t="shared" si="23"/>
        <v>2</v>
      </c>
      <c r="BG9" s="215">
        <f t="shared" si="24"/>
        <v>2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>
        <f t="shared" si="13"/>
        <v>188</v>
      </c>
      <c r="BM9" s="215">
        <f t="shared" si="14"/>
        <v>194</v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194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382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76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214</v>
      </c>
      <c r="E10" s="348">
        <f>IF(AD10="","",AD10)</f>
        <v>0</v>
      </c>
      <c r="F10" s="75">
        <f t="shared" si="0"/>
        <v>190</v>
      </c>
      <c r="G10" s="348">
        <f>IF(AF10="","",AF10)</f>
        <v>0</v>
      </c>
      <c r="H10" s="75">
        <f t="shared" si="1"/>
        <v>267</v>
      </c>
      <c r="I10" s="348">
        <f>IF(AH10="","",AH10)</f>
        <v>1</v>
      </c>
      <c r="J10" s="75">
        <f t="shared" si="2"/>
        <v>212</v>
      </c>
      <c r="K10" s="348">
        <f>IF(AJ10="","",AJ10)</f>
        <v>0</v>
      </c>
      <c r="L10" s="75">
        <f t="shared" si="3"/>
        <v>244</v>
      </c>
      <c r="M10" s="348">
        <f>IF(AL10="","",AL10)</f>
        <v>1</v>
      </c>
      <c r="N10" s="75">
        <f t="shared" si="20"/>
        <v>203</v>
      </c>
      <c r="O10" s="348">
        <f>IF(AN10="","",AN10)</f>
        <v>1</v>
      </c>
      <c r="P10" s="75" t="str">
        <f t="shared" si="4"/>
        <v/>
      </c>
      <c r="Q10" s="348">
        <f>IF(AP10="","",AP10)</f>
        <v>0</v>
      </c>
      <c r="R10" s="75" t="str">
        <f t="shared" si="5"/>
        <v/>
      </c>
      <c r="S10" s="348">
        <f>IF(AR10="","",AR10)</f>
        <v>0</v>
      </c>
      <c r="T10" s="75" t="str">
        <f t="shared" si="6"/>
        <v/>
      </c>
      <c r="U10" s="348">
        <f>IF(AT10="","",AT10)</f>
        <v>0</v>
      </c>
      <c r="V10" s="75">
        <f t="shared" si="7"/>
        <v>1330</v>
      </c>
      <c r="W10" s="348">
        <f>IF(AV10="","",AV10)</f>
        <v>3</v>
      </c>
      <c r="Z10" s="351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214</v>
      </c>
      <c r="AD10" s="109">
        <f>IF(SUM(AC10:AC12)+AC26=0,0,IF(SUM(AC10:AC12)=AC26,0.5,IF(SUM(AC10:AC12)&gt;AC26,1,0)))</f>
        <v>0</v>
      </c>
      <c r="AE10" s="188">
        <v>190</v>
      </c>
      <c r="AF10" s="109">
        <f>IF(SUM(AE10:AE12)+AE26=0,0,IF(SUM(AE10:AE12)=AE26,0.5,IF(SUM(AE10:AE12)&gt;AE26,1,0)))</f>
        <v>0</v>
      </c>
      <c r="AG10" s="188">
        <v>267</v>
      </c>
      <c r="AH10" s="109">
        <f>IF(SUM(AG10:AG12)+AG26=0,0,IF(SUM(AG10:AG12)=AG26,0.5,IF(SUM(AG10:AG12)&gt;AG26,1,0)))</f>
        <v>1</v>
      </c>
      <c r="AI10" s="188">
        <v>212</v>
      </c>
      <c r="AJ10" s="109">
        <f>IF(SUM(AI10:AI12)+AI26=0,0,IF(SUM(AI10:AI12)=AI26,0.5,IF(SUM(AI10:AI12)&gt;AI26,1,0)))</f>
        <v>0</v>
      </c>
      <c r="AK10" s="188">
        <v>244</v>
      </c>
      <c r="AL10" s="109">
        <f>IF(SUM(AK10:AK12)+AK26=0,0,IF(SUM(AK10:AK12)=AK26,0.5,IF(SUM(AK10:AK12)&gt;AK26,1,0)))</f>
        <v>1</v>
      </c>
      <c r="AM10" s="188">
        <v>203</v>
      </c>
      <c r="AN10" s="109">
        <f>IF(SUM(AM10:AM12)+AM26=0,0,IF(SUM(AM10:AM12)=AM26,0.5,IF(SUM(AM10:AM12)&gt;AM26,1,0)))</f>
        <v>1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1330</v>
      </c>
      <c r="AV10" s="111">
        <f>SUM(AD10+AF10+AH10+AJ10+AL10+AN10+AP10+AR10+AT10)</f>
        <v>3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1330</v>
      </c>
      <c r="BF10" s="215">
        <f t="shared" si="23"/>
        <v>6</v>
      </c>
      <c r="BG10" s="215">
        <f t="shared" si="24"/>
        <v>6</v>
      </c>
      <c r="BH10" s="215">
        <f t="shared" si="9"/>
        <v>214</v>
      </c>
      <c r="BI10" s="215">
        <f t="shared" si="10"/>
        <v>190</v>
      </c>
      <c r="BJ10" s="215">
        <f t="shared" si="11"/>
        <v>267</v>
      </c>
      <c r="BK10" s="215">
        <f t="shared" si="12"/>
        <v>212</v>
      </c>
      <c r="BL10" s="215">
        <f t="shared" si="13"/>
        <v>244</v>
      </c>
      <c r="BM10" s="215">
        <f t="shared" si="14"/>
        <v>203</v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267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1330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77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8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76" t="s">
        <v>3</v>
      </c>
      <c r="B13" s="73" t="str">
        <f t="shared" si="19"/>
        <v>Mittelmaier, Andreas</v>
      </c>
      <c r="C13" s="74">
        <f t="shared" si="19"/>
        <v>16896</v>
      </c>
      <c r="D13" s="75">
        <f t="shared" si="19"/>
        <v>183</v>
      </c>
      <c r="E13" s="348">
        <f>IF(AD13="","",AD13)</f>
        <v>0</v>
      </c>
      <c r="F13" s="75" t="str">
        <f t="shared" si="0"/>
        <v/>
      </c>
      <c r="G13" s="348">
        <f>IF(AF13="","",AF13)</f>
        <v>1</v>
      </c>
      <c r="H13" s="75" t="str">
        <f t="shared" si="1"/>
        <v/>
      </c>
      <c r="I13" s="348">
        <f>IF(AH13="","",AH13)</f>
        <v>1</v>
      </c>
      <c r="J13" s="75" t="str">
        <f t="shared" si="2"/>
        <v/>
      </c>
      <c r="K13" s="348">
        <f>IF(AJ13="","",AJ13)</f>
        <v>1</v>
      </c>
      <c r="L13" s="75" t="str">
        <f t="shared" si="3"/>
        <v/>
      </c>
      <c r="M13" s="348">
        <f>IF(AL13="","",AL13)</f>
        <v>0</v>
      </c>
      <c r="N13" s="75" t="str">
        <f t="shared" si="20"/>
        <v/>
      </c>
      <c r="O13" s="348">
        <f>IF(AN13="","",AN13)</f>
        <v>1</v>
      </c>
      <c r="P13" s="75" t="str">
        <f t="shared" si="4"/>
        <v/>
      </c>
      <c r="Q13" s="348">
        <f>IF(AP13="","",AP13)</f>
        <v>0</v>
      </c>
      <c r="R13" s="75" t="str">
        <f t="shared" si="5"/>
        <v/>
      </c>
      <c r="S13" s="348">
        <f>IF(AR13="","",AR13)</f>
        <v>0</v>
      </c>
      <c r="T13" s="75" t="str">
        <f t="shared" si="6"/>
        <v/>
      </c>
      <c r="U13" s="348">
        <f>IF(AT13="","",AT13)</f>
        <v>0</v>
      </c>
      <c r="V13" s="75">
        <f t="shared" si="7"/>
        <v>183</v>
      </c>
      <c r="W13" s="348">
        <f>IF(AV13="","",AV13)</f>
        <v>4</v>
      </c>
      <c r="Z13" s="351" t="s">
        <v>3</v>
      </c>
      <c r="AA13" s="108" t="str">
        <f>IF(AB13=0,"",VLOOKUP(AB13,Starter!$A$1:$D$199,2,FALSE))</f>
        <v>Mittelmaier, Andreas</v>
      </c>
      <c r="AB13" s="99">
        <v>16896</v>
      </c>
      <c r="AC13" s="188">
        <v>183</v>
      </c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1</v>
      </c>
      <c r="AG13" s="188"/>
      <c r="AH13" s="109">
        <f>IF(SUM(AG13:AG15)+AG27=0,0,IF(SUM(AG13:AG15)=AG27,0.5,IF(SUM(AG13:AG15)&gt;AG27,1,0)))</f>
        <v>1</v>
      </c>
      <c r="AI13" s="188"/>
      <c r="AJ13" s="109">
        <f>IF(SUM(AI13:AI15)+AI27=0,0,IF(SUM(AI13:AI15)=AI27,0.5,IF(SUM(AI13:AI15)&gt;AI27,1,0)))</f>
        <v>1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1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183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16896</v>
      </c>
      <c r="BE13" s="213">
        <f t="shared" si="22"/>
        <v>183</v>
      </c>
      <c r="BF13" s="215">
        <f t="shared" si="23"/>
        <v>1</v>
      </c>
      <c r="BG13" s="215">
        <f t="shared" si="24"/>
        <v>1</v>
      </c>
      <c r="BH13" s="215">
        <f t="shared" si="9"/>
        <v>183</v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183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183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77"/>
      <c r="B14" s="76" t="str">
        <f t="shared" si="19"/>
        <v>Schlundt, Michael</v>
      </c>
      <c r="C14" s="77">
        <f t="shared" si="19"/>
        <v>7725</v>
      </c>
      <c r="D14" s="78" t="str">
        <f t="shared" si="19"/>
        <v/>
      </c>
      <c r="E14" s="349"/>
      <c r="F14" s="78">
        <f t="shared" si="0"/>
        <v>194</v>
      </c>
      <c r="G14" s="349"/>
      <c r="H14" s="78">
        <f t="shared" si="1"/>
        <v>182</v>
      </c>
      <c r="I14" s="349"/>
      <c r="J14" s="78">
        <f t="shared" si="2"/>
        <v>259</v>
      </c>
      <c r="K14" s="349"/>
      <c r="L14" s="78">
        <f t="shared" si="3"/>
        <v>148</v>
      </c>
      <c r="M14" s="349"/>
      <c r="N14" s="78">
        <f t="shared" si="20"/>
        <v>194</v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>
        <f t="shared" si="7"/>
        <v>977</v>
      </c>
      <c r="W14" s="349"/>
      <c r="Z14" s="352"/>
      <c r="AA14" s="108" t="str">
        <f>IF(AB14=0,"",VLOOKUP(AB14,Starter!$A$1:$D$199,2,FALSE))</f>
        <v>Schlundt, Michael</v>
      </c>
      <c r="AB14" s="98">
        <v>7725</v>
      </c>
      <c r="AC14" s="186"/>
      <c r="AD14" s="112"/>
      <c r="AE14" s="186">
        <v>194</v>
      </c>
      <c r="AF14" s="112"/>
      <c r="AG14" s="186">
        <v>182</v>
      </c>
      <c r="AH14" s="112"/>
      <c r="AI14" s="186">
        <v>259</v>
      </c>
      <c r="AJ14" s="112"/>
      <c r="AK14" s="186">
        <v>148</v>
      </c>
      <c r="AL14" s="112"/>
      <c r="AM14" s="186">
        <v>194</v>
      </c>
      <c r="AN14" s="112"/>
      <c r="AO14" s="186"/>
      <c r="AP14" s="112"/>
      <c r="AQ14" s="186"/>
      <c r="AR14" s="112"/>
      <c r="AS14" s="186"/>
      <c r="AT14" s="112"/>
      <c r="AU14" s="113">
        <f t="shared" si="8"/>
        <v>977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7725</v>
      </c>
      <c r="BE14" s="213">
        <f t="shared" si="22"/>
        <v>977</v>
      </c>
      <c r="BF14" s="215">
        <f t="shared" si="23"/>
        <v>5</v>
      </c>
      <c r="BG14" s="215">
        <f t="shared" si="24"/>
        <v>5</v>
      </c>
      <c r="BH14" s="215" t="str">
        <f t="shared" si="9"/>
        <v/>
      </c>
      <c r="BI14" s="215">
        <f t="shared" si="10"/>
        <v>194</v>
      </c>
      <c r="BJ14" s="215">
        <f t="shared" si="11"/>
        <v>182</v>
      </c>
      <c r="BK14" s="215">
        <f t="shared" si="12"/>
        <v>259</v>
      </c>
      <c r="BL14" s="215">
        <f t="shared" si="13"/>
        <v>148</v>
      </c>
      <c r="BM14" s="215">
        <f t="shared" si="14"/>
        <v>194</v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259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977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8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76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226</v>
      </c>
      <c r="E16" s="348">
        <f>IF(AD16="","",AD16)</f>
        <v>0</v>
      </c>
      <c r="F16" s="75">
        <f t="shared" si="0"/>
        <v>215</v>
      </c>
      <c r="G16" s="348">
        <f>IF(AF16="","",AF16)</f>
        <v>1</v>
      </c>
      <c r="H16" s="75">
        <f t="shared" si="1"/>
        <v>217</v>
      </c>
      <c r="I16" s="348">
        <f>IF(AH16="","",AH16)</f>
        <v>1</v>
      </c>
      <c r="J16" s="75">
        <f t="shared" si="2"/>
        <v>244</v>
      </c>
      <c r="K16" s="348">
        <f>IF(AJ16="","",AJ16)</f>
        <v>1</v>
      </c>
      <c r="L16" s="75">
        <f t="shared" si="3"/>
        <v>222</v>
      </c>
      <c r="M16" s="348">
        <f>IF(AL16="","",AL16)</f>
        <v>1</v>
      </c>
      <c r="N16" s="75">
        <f t="shared" si="20"/>
        <v>172</v>
      </c>
      <c r="O16" s="348">
        <f>IF(AN16="","",AN16)</f>
        <v>0</v>
      </c>
      <c r="P16" s="75" t="str">
        <f t="shared" si="4"/>
        <v/>
      </c>
      <c r="Q16" s="348">
        <f>IF(AP16="","",AP16)</f>
        <v>0</v>
      </c>
      <c r="R16" s="75" t="str">
        <f t="shared" si="5"/>
        <v/>
      </c>
      <c r="S16" s="348">
        <f>IF(AR16="","",AR16)</f>
        <v>0</v>
      </c>
      <c r="T16" s="75" t="str">
        <f t="shared" si="6"/>
        <v/>
      </c>
      <c r="U16" s="348">
        <f>IF(AT16="","",AT16)</f>
        <v>0</v>
      </c>
      <c r="V16" s="75">
        <f t="shared" si="7"/>
        <v>1296</v>
      </c>
      <c r="W16" s="348">
        <f>IF(AV16="","",AV16)</f>
        <v>4</v>
      </c>
      <c r="Z16" s="351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226</v>
      </c>
      <c r="AD16" s="109">
        <f>IF(SUM(AC16:AC18)+AC28=0,0,IF(SUM(AC16:AC18)=AC28,0.5,IF(SUM(AC16:AC18)&gt;AC28,1,0)))</f>
        <v>0</v>
      </c>
      <c r="AE16" s="188">
        <v>215</v>
      </c>
      <c r="AF16" s="109">
        <f>IF(SUM(AE16:AE18)+AE28=0,0,IF(SUM(AE16:AE18)=AE28,0.5,IF(SUM(AE16:AE18)&gt;AE28,1,0)))</f>
        <v>1</v>
      </c>
      <c r="AG16" s="188">
        <v>217</v>
      </c>
      <c r="AH16" s="109">
        <f>IF(SUM(AG16:AG18)+AG28=0,0,IF(SUM(AG16:AG18)=AG28,0.5,IF(SUM(AG16:AG18)&gt;AG28,1,0)))</f>
        <v>1</v>
      </c>
      <c r="AI16" s="188">
        <v>244</v>
      </c>
      <c r="AJ16" s="109">
        <f>IF(SUM(AI16:AI18)+AI28=0,0,IF(SUM(AI16:AI18)=AI28,0.5,IF(SUM(AI16:AI18)&gt;AI28,1,0)))</f>
        <v>1</v>
      </c>
      <c r="AK16" s="188">
        <v>222</v>
      </c>
      <c r="AL16" s="109">
        <f>IF(SUM(AK16:AK18)+AK28=0,0,IF(SUM(AK16:AK18)=AK28,0.5,IF(SUM(AK16:AK18)&gt;AK28,1,0)))</f>
        <v>1</v>
      </c>
      <c r="AM16" s="188">
        <v>172</v>
      </c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1296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1296</v>
      </c>
      <c r="BF16" s="215">
        <f t="shared" si="23"/>
        <v>6</v>
      </c>
      <c r="BG16" s="215">
        <f t="shared" si="24"/>
        <v>6</v>
      </c>
      <c r="BH16" s="215">
        <f t="shared" si="9"/>
        <v>226</v>
      </c>
      <c r="BI16" s="215">
        <f t="shared" si="10"/>
        <v>215</v>
      </c>
      <c r="BJ16" s="215">
        <f t="shared" si="11"/>
        <v>217</v>
      </c>
      <c r="BK16" s="215">
        <f t="shared" si="12"/>
        <v>244</v>
      </c>
      <c r="BL16" s="215">
        <f t="shared" si="13"/>
        <v>222</v>
      </c>
      <c r="BM16" s="215">
        <f t="shared" si="14"/>
        <v>172</v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244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1296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77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8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813</v>
      </c>
      <c r="E19" s="84">
        <f>IF(AD19="","",AD19)</f>
        <v>0</v>
      </c>
      <c r="F19" s="83">
        <f t="shared" si="0"/>
        <v>800</v>
      </c>
      <c r="G19" s="84">
        <f>IF(AF19="","",AF19)</f>
        <v>2</v>
      </c>
      <c r="H19" s="83">
        <f t="shared" si="1"/>
        <v>813</v>
      </c>
      <c r="I19" s="84">
        <f>IF(AH19="","",AH19)</f>
        <v>2</v>
      </c>
      <c r="J19" s="83">
        <f t="shared" si="2"/>
        <v>886</v>
      </c>
      <c r="K19" s="84">
        <f>IF(AJ19="","",AJ19)</f>
        <v>2</v>
      </c>
      <c r="L19" s="83">
        <f t="shared" si="3"/>
        <v>802</v>
      </c>
      <c r="M19" s="84">
        <f>IF(AL19="","",AL19)</f>
        <v>2</v>
      </c>
      <c r="N19" s="83">
        <f t="shared" si="20"/>
        <v>763</v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>
        <f t="shared" si="7"/>
        <v>4877</v>
      </c>
      <c r="W19" s="84">
        <f>IF(AV19="","",AV19)</f>
        <v>8</v>
      </c>
      <c r="AA19" s="81" t="s">
        <v>1799</v>
      </c>
      <c r="AB19" s="120"/>
      <c r="AC19" s="211">
        <f>ABS(SUM(AC7:AC9))+ABS(SUM(AC10:AC12))+ABS(SUM(AC13:AC15))+ABS(SUM(AC16:AC18))</f>
        <v>813</v>
      </c>
      <c r="AD19" s="121">
        <f>IF(AC19+AC29=0,0,IF(AC19=AC29,1,IF(AC19&gt;AC29,2,0)))</f>
        <v>0</v>
      </c>
      <c r="AE19" s="211">
        <f>ABS(SUM(AE7:AE9))+ABS(SUM(AE10:AE12))+ABS(SUM(AE13:AE15))+ABS(SUM(AE16:AE18))</f>
        <v>800</v>
      </c>
      <c r="AF19" s="121">
        <f>IF(AE19+AE29=0,0,IF(AE19=AE29,1,IF(AE19&gt;AE29,2,0)))</f>
        <v>2</v>
      </c>
      <c r="AG19" s="211">
        <f>ABS(SUM(AG7:AG9))+ABS(SUM(AG10:AG12))+ABS(SUM(AG13:AG15))+ABS(SUM(AG16:AG18))</f>
        <v>813</v>
      </c>
      <c r="AH19" s="121">
        <f>IF(AG19+AG29=0,0,IF(AG19=AG29,1,IF(AG19&gt;AG29,2,0)))</f>
        <v>2</v>
      </c>
      <c r="AI19" s="211">
        <f>ABS(SUM(AI7:AI9))+ABS(SUM(AI10:AI12))+ABS(SUM(AI13:AI15))+ABS(SUM(AI16:AI18))</f>
        <v>886</v>
      </c>
      <c r="AJ19" s="121">
        <f>IF(AI19+AI29=0,0,IF(AI19=AI29,1,IF(AI19&gt;AI29,2,0)))</f>
        <v>2</v>
      </c>
      <c r="AK19" s="211">
        <f>ABS(SUM(AK7:AK9))+ABS(SUM(AK10:AK12))+ABS(SUM(AK13:AK15))+ABS(SUM(AK16:AK18))</f>
        <v>802</v>
      </c>
      <c r="AL19" s="121">
        <f>IF(AK19+AK29=0,0,IF(AK19=AK29,1,IF(AK19&gt;AK29,2,0)))</f>
        <v>2</v>
      </c>
      <c r="AM19" s="211">
        <f>ABS(SUM(AM7:AM9))+ABS(SUM(AM10:AM12))+ABS(SUM(AM13:AM15))+ABS(SUM(AM16:AM18))</f>
        <v>763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4877</v>
      </c>
      <c r="AV19" s="123">
        <f>SUM(AD19+AF19+AH19+AJ19+AL19+AN19+AP19+AR19+AT19)</f>
        <v>8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0.5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4.5</v>
      </c>
      <c r="L20" s="86" t="str">
        <f t="shared" si="3"/>
        <v/>
      </c>
      <c r="M20" s="87">
        <f>IF(AL20="","",AL20)</f>
        <v>4</v>
      </c>
      <c r="N20" s="86" t="str">
        <f t="shared" si="20"/>
        <v/>
      </c>
      <c r="O20" s="87">
        <f>IF(AN20="","",AN20)</f>
        <v>2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20</v>
      </c>
      <c r="AA20" s="85" t="s">
        <v>1814</v>
      </c>
      <c r="AB20" s="86"/>
      <c r="AC20" s="86"/>
      <c r="AD20" s="124">
        <f>SUM(AD7:AD19)</f>
        <v>0.5</v>
      </c>
      <c r="AE20" s="86"/>
      <c r="AF20" s="124">
        <f>SUM(AF7:AF19)</f>
        <v>4</v>
      </c>
      <c r="AG20" s="86"/>
      <c r="AH20" s="124">
        <f>SUM(AH7:AH19)</f>
        <v>5</v>
      </c>
      <c r="AI20" s="86"/>
      <c r="AJ20" s="124">
        <f>SUM(AJ7:AJ19)</f>
        <v>4.5</v>
      </c>
      <c r="AK20" s="86"/>
      <c r="AL20" s="124">
        <f>SUM(AL7:AL19)</f>
        <v>4</v>
      </c>
      <c r="AM20" s="86"/>
      <c r="AN20" s="124">
        <f>SUM(AN7:AN19)</f>
        <v>2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20</v>
      </c>
      <c r="AW20" s="101"/>
      <c r="AX20" s="102"/>
      <c r="BA20" s="212">
        <f>+AV20</f>
        <v>20</v>
      </c>
      <c r="BB20" s="213">
        <f>+AU19</f>
        <v>4877</v>
      </c>
      <c r="BC20" s="214">
        <f>+AA2</f>
        <v>1</v>
      </c>
      <c r="BF20" s="215">
        <f>SUM(BF1:BF19)</f>
        <v>24</v>
      </c>
      <c r="BQ20" s="212">
        <f>+BB20/1000000+BA20</f>
        <v>20.004877</v>
      </c>
      <c r="BR20" s="214">
        <f>RANK(BQ20,BQ:BQ)</f>
        <v>4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6">
        <f t="shared" si="31"/>
        <v>7</v>
      </c>
      <c r="E22" s="356" t="str">
        <f t="shared" si="31"/>
        <v/>
      </c>
      <c r="F22" s="356">
        <f t="shared" si="31"/>
        <v>8</v>
      </c>
      <c r="G22" s="356" t="str">
        <f t="shared" si="31"/>
        <v/>
      </c>
      <c r="H22" s="356">
        <f t="shared" si="31"/>
        <v>5</v>
      </c>
      <c r="I22" s="356" t="str">
        <f t="shared" si="31"/>
        <v/>
      </c>
      <c r="J22" s="356">
        <f t="shared" si="31"/>
        <v>3</v>
      </c>
      <c r="K22" s="356" t="str">
        <f t="shared" si="31"/>
        <v/>
      </c>
      <c r="L22" s="356">
        <f t="shared" ref="L22:U24" si="32">IF(AK22=0,"",AK22)</f>
        <v>4</v>
      </c>
      <c r="M22" s="356" t="str">
        <f t="shared" si="32"/>
        <v/>
      </c>
      <c r="N22" s="356">
        <f t="shared" si="32"/>
        <v>9</v>
      </c>
      <c r="O22" s="356" t="str">
        <f t="shared" si="32"/>
        <v/>
      </c>
      <c r="P22" s="356">
        <f t="shared" si="32"/>
        <v>10</v>
      </c>
      <c r="Q22" s="356" t="str">
        <f t="shared" si="32"/>
        <v/>
      </c>
      <c r="R22" s="356">
        <f t="shared" si="32"/>
        <v>6</v>
      </c>
      <c r="S22" s="356" t="str">
        <f t="shared" si="32"/>
        <v/>
      </c>
      <c r="T22" s="356">
        <f t="shared" si="32"/>
        <v>2</v>
      </c>
      <c r="U22" s="356" t="str">
        <f t="shared" si="32"/>
        <v/>
      </c>
      <c r="V22" s="357"/>
      <c r="W22" s="357"/>
      <c r="AA22" s="88" t="s">
        <v>1797</v>
      </c>
      <c r="AB22" s="89" t="s">
        <v>1798</v>
      </c>
      <c r="AC22" s="370">
        <f>VLOOKUP($AA2,Schlüssel!$A$5:$DG$14,103)</f>
        <v>7</v>
      </c>
      <c r="AD22" s="371"/>
      <c r="AE22" s="370">
        <f>VLOOKUP($AA2,Schlüssel!$A$5:$EK$14,104)</f>
        <v>8</v>
      </c>
      <c r="AF22" s="371"/>
      <c r="AG22" s="370">
        <f>VLOOKUP($AA2,Schlüssel!$A$5:$EK$14,105)</f>
        <v>5</v>
      </c>
      <c r="AH22" s="371"/>
      <c r="AI22" s="370">
        <f>VLOOKUP($AA2,Schlüssel!$A$5:$EK$14,106)</f>
        <v>3</v>
      </c>
      <c r="AJ22" s="371"/>
      <c r="AK22" s="370">
        <f>VLOOKUP($AA2,Schlüssel!$A$5:$EK$14,107)</f>
        <v>4</v>
      </c>
      <c r="AL22" s="371"/>
      <c r="AM22" s="370">
        <f>VLOOKUP($AA2,Schlüssel!$A$5:$EK$14,108)</f>
        <v>9</v>
      </c>
      <c r="AN22" s="371"/>
      <c r="AO22" s="370">
        <f>VLOOKUP($AA2,Schlüssel!$A$5:$EK$14,109)</f>
        <v>10</v>
      </c>
      <c r="AP22" s="371"/>
      <c r="AQ22" s="370">
        <f>VLOOKUP($AA2,Schlüssel!$A$5:$EK$14,110)</f>
        <v>6</v>
      </c>
      <c r="AR22" s="371"/>
      <c r="AS22" s="370">
        <f>VLOOKUP($AA2,Schlüssel!$A$5:$EK$14,111)</f>
        <v>2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8" t="str">
        <f t="shared" si="31"/>
        <v>Schanzer Ingolstadt 1</v>
      </c>
      <c r="E23" s="359" t="str">
        <f t="shared" si="31"/>
        <v/>
      </c>
      <c r="F23" s="358" t="str">
        <f t="shared" si="31"/>
        <v>BC EMAX Unterföhring 2</v>
      </c>
      <c r="G23" s="359" t="str">
        <f t="shared" si="31"/>
        <v/>
      </c>
      <c r="H23" s="358" t="str">
        <f t="shared" si="31"/>
        <v>RW Lichtenhof Stein 1</v>
      </c>
      <c r="I23" s="359" t="str">
        <f t="shared" si="31"/>
        <v/>
      </c>
      <c r="J23" s="358" t="str">
        <f t="shared" si="31"/>
        <v>BK München 3</v>
      </c>
      <c r="K23" s="359" t="str">
        <f t="shared" si="31"/>
        <v/>
      </c>
      <c r="L23" s="358" t="str">
        <f t="shared" si="32"/>
        <v>SG DJK Rimpar</v>
      </c>
      <c r="M23" s="359" t="str">
        <f t="shared" si="32"/>
        <v/>
      </c>
      <c r="N23" s="358" t="str">
        <f t="shared" si="32"/>
        <v>Bowlinghaus Bamberg 1</v>
      </c>
      <c r="O23" s="359" t="str">
        <f t="shared" si="32"/>
        <v/>
      </c>
      <c r="P23" s="358" t="str">
        <f t="shared" si="32"/>
        <v>High Roller Rosenheim 1</v>
      </c>
      <c r="Q23" s="359" t="str">
        <f t="shared" si="32"/>
        <v/>
      </c>
      <c r="R23" s="358" t="str">
        <f t="shared" si="32"/>
        <v>SG Rottendorf 1</v>
      </c>
      <c r="S23" s="359" t="str">
        <f t="shared" si="32"/>
        <v/>
      </c>
      <c r="T23" s="358" t="str">
        <f t="shared" si="32"/>
        <v>Bajuwaren München 1</v>
      </c>
      <c r="U23" s="359" t="str">
        <f t="shared" si="32"/>
        <v/>
      </c>
      <c r="V23" s="363"/>
      <c r="W23" s="363"/>
      <c r="AA23" s="90"/>
      <c r="AB23" s="86"/>
      <c r="AC23" s="358" t="str">
        <f>VLOOKUP(AC22,Schlüssel!$A$5:$K$14,2)</f>
        <v>Schanzer Ingolstadt 1</v>
      </c>
      <c r="AD23" s="359"/>
      <c r="AE23" s="358" t="str">
        <f>VLOOKUP(AE22,Schlüssel!$A$5:$K$14,2)</f>
        <v>BC EMAX Unterföhring 2</v>
      </c>
      <c r="AF23" s="359"/>
      <c r="AG23" s="358" t="str">
        <f>VLOOKUP(AG22,Schlüssel!$A$5:$K$14,2)</f>
        <v>RW Lichtenhof Stein 1</v>
      </c>
      <c r="AH23" s="359"/>
      <c r="AI23" s="358" t="str">
        <f>VLOOKUP(AI22,Schlüssel!$A$5:$K$14,2)</f>
        <v>BK München 3</v>
      </c>
      <c r="AJ23" s="359"/>
      <c r="AK23" s="358" t="str">
        <f>VLOOKUP(AK22,Schlüssel!$A$5:$K$14,2)</f>
        <v>SG DJK Rimpar</v>
      </c>
      <c r="AL23" s="359"/>
      <c r="AM23" s="358" t="str">
        <f>VLOOKUP(AM22,Schlüssel!$A$5:$K$14,2)</f>
        <v>Bowlinghaus Bamberg 1</v>
      </c>
      <c r="AN23" s="359"/>
      <c r="AO23" s="358" t="str">
        <f>VLOOKUP(AO22,Schlüssel!$A$5:$K$14,2)</f>
        <v>High Roller Rosenheim 1</v>
      </c>
      <c r="AP23" s="359"/>
      <c r="AQ23" s="358" t="str">
        <f>VLOOKUP(AQ22,Schlüssel!$A$5:$K$14,2)</f>
        <v>SG Rottendorf 1</v>
      </c>
      <c r="AR23" s="359"/>
      <c r="AS23" s="358" t="str">
        <f>VLOOKUP(AS22,Schlüssel!$A$5:$K$14,2)</f>
        <v>Bajuwaren München 1</v>
      </c>
      <c r="AT23" s="359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60" t="str">
        <f t="shared" si="31"/>
        <v/>
      </c>
      <c r="E24" s="360" t="str">
        <f t="shared" si="31"/>
        <v/>
      </c>
      <c r="F24" s="360" t="str">
        <f t="shared" si="31"/>
        <v/>
      </c>
      <c r="G24" s="360" t="str">
        <f t="shared" si="31"/>
        <v/>
      </c>
      <c r="H24" s="360" t="str">
        <f t="shared" si="31"/>
        <v/>
      </c>
      <c r="I24" s="360" t="str">
        <f t="shared" si="31"/>
        <v/>
      </c>
      <c r="J24" s="360" t="str">
        <f t="shared" si="31"/>
        <v/>
      </c>
      <c r="K24" s="360" t="str">
        <f t="shared" si="31"/>
        <v/>
      </c>
      <c r="L24" s="360" t="str">
        <f t="shared" si="32"/>
        <v/>
      </c>
      <c r="M24" s="360" t="str">
        <f t="shared" si="32"/>
        <v/>
      </c>
      <c r="N24" s="360" t="str">
        <f t="shared" si="32"/>
        <v/>
      </c>
      <c r="O24" s="360" t="str">
        <f t="shared" si="32"/>
        <v/>
      </c>
      <c r="P24" s="360" t="str">
        <f t="shared" si="32"/>
        <v/>
      </c>
      <c r="Q24" s="360" t="str">
        <f t="shared" si="32"/>
        <v/>
      </c>
      <c r="R24" s="360" t="str">
        <f t="shared" si="32"/>
        <v/>
      </c>
      <c r="S24" s="360" t="str">
        <f t="shared" si="32"/>
        <v/>
      </c>
      <c r="T24" s="360" t="str">
        <f t="shared" si="32"/>
        <v/>
      </c>
      <c r="U24" s="361" t="str">
        <f t="shared" si="32"/>
        <v/>
      </c>
      <c r="V24" s="298"/>
      <c r="W24" s="298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4" t="str">
        <f t="shared" ref="B25:C29" si="33">IF(AA25=0,"",AA25)</f>
        <v>Spieler 1</v>
      </c>
      <c r="C25" s="375" t="str">
        <f t="shared" si="33"/>
        <v/>
      </c>
      <c r="D25" s="362">
        <f>IF(AC25=301,"",AC25)</f>
        <v>190</v>
      </c>
      <c r="E25" s="362" t="str">
        <f>IF(AD25=0,"",AD25)</f>
        <v/>
      </c>
      <c r="F25" s="362">
        <f>IF(AE25=301,"",AE25)</f>
        <v>238</v>
      </c>
      <c r="G25" s="362" t="str">
        <f>IF(AF25=0,"",AF25)</f>
        <v/>
      </c>
      <c r="H25" s="362">
        <f>IF(AG25=301,"",AG25)</f>
        <v>213</v>
      </c>
      <c r="I25" s="362" t="str">
        <f>IF(AH25=0,"",AH25)</f>
        <v/>
      </c>
      <c r="J25" s="362">
        <f>IF(AI25=301,"",AI25)</f>
        <v>171</v>
      </c>
      <c r="K25" s="362" t="str">
        <f>IF(AJ25=0,"",AJ25)</f>
        <v/>
      </c>
      <c r="L25" s="362">
        <f>IF(AK25=301,"",AK25)</f>
        <v>235</v>
      </c>
      <c r="M25" s="362" t="str">
        <f>IF(AL25=0,"",AL25)</f>
        <v/>
      </c>
      <c r="N25" s="362">
        <f>IF(AM25=301,"",AM25)</f>
        <v>245</v>
      </c>
      <c r="O25" s="362" t="str">
        <f>IF(AN25=0,"",AN25)</f>
        <v/>
      </c>
      <c r="P25" s="362">
        <f>IF(AO25=301,"",AO25)</f>
        <v>0</v>
      </c>
      <c r="Q25" s="362" t="str">
        <f>IF(AP25=0,"",AP25)</f>
        <v/>
      </c>
      <c r="R25" s="362">
        <f>IF(AQ25=301,"",AQ25)</f>
        <v>0</v>
      </c>
      <c r="S25" s="362" t="str">
        <f>IF(AR25=0,"",AR25)</f>
        <v/>
      </c>
      <c r="T25" s="362">
        <f>IF(AS25=301,"",AS25)</f>
        <v>0</v>
      </c>
      <c r="U25" s="362" t="str">
        <f>IF(AT25=0,"",AT25)</f>
        <v/>
      </c>
      <c r="V25" s="364"/>
      <c r="W25" s="364"/>
      <c r="AA25" s="91" t="s">
        <v>0</v>
      </c>
      <c r="AB25" s="92"/>
      <c r="AC25" s="368">
        <f>ABS(INDEX(AC:AC,MATCH(AC22,$AA:$AA,0)+5)+INDEX(AC:AC,MATCH(AC22,$AA:$AA,0)+6)+INDEX(AC:AC,MATCH(AC22,$AA:$AA,0)+7))</f>
        <v>190</v>
      </c>
      <c r="AD25" s="369"/>
      <c r="AE25" s="368">
        <f>ABS(INDEX(AE:AE,MATCH(AE22,$AA:$AA,0)+5)+INDEX(AE:AE,MATCH(AE22,$AA:$AA,0)+6)+INDEX(AE:AE,MATCH(AE22,$AA:$AA,0)+7))</f>
        <v>238</v>
      </c>
      <c r="AF25" s="369"/>
      <c r="AG25" s="368">
        <f>ABS(INDEX(AG:AG,MATCH(AG22,$AA:$AA,0)+5)+INDEX(AG:AG,MATCH(AG22,$AA:$AA,0)+6)+INDEX(AG:AG,MATCH(AG22,$AA:$AA,0)+7))</f>
        <v>213</v>
      </c>
      <c r="AH25" s="369"/>
      <c r="AI25" s="368">
        <f>ABS(INDEX(AI:AI,MATCH(AI22,$AA:$AA,0)+5)+INDEX(AI:AI,MATCH(AI22,$AA:$AA,0)+6)+INDEX(AI:AI,MATCH(AI22,$AA:$AA,0)+7))</f>
        <v>171</v>
      </c>
      <c r="AJ25" s="369"/>
      <c r="AK25" s="368">
        <f>ABS(INDEX(AK:AK,MATCH(AK22,$AA:$AA,0)+5)+INDEX(AK:AK,MATCH(AK22,$AA:$AA,0)+6)+INDEX(AK:AK,MATCH(AK22,$AA:$AA,0)+7))</f>
        <v>235</v>
      </c>
      <c r="AL25" s="369"/>
      <c r="AM25" s="368">
        <f>ABS(INDEX(AM:AM,MATCH(AM22,$AA:$AA,0)+5)+INDEX(AM:AM,MATCH(AM22,$AA:$AA,0)+6)+INDEX(AM:AM,MATCH(AM22,$AA:$AA,0)+7))</f>
        <v>245</v>
      </c>
      <c r="AN25" s="369"/>
      <c r="AO25" s="368">
        <f>ABS(INDEX(AO:AO,MATCH(AO22,$AA:$AA,0)+5)+INDEX(AO:AO,MATCH(AO22,$AA:$AA,0)+6)+INDEX(AO:AO,MATCH(AO22,$AA:$AA,0)+7))</f>
        <v>0</v>
      </c>
      <c r="AP25" s="369"/>
      <c r="AQ25" s="368">
        <f>ABS(INDEX(AQ:AQ,MATCH(AQ22,$AA:$AA,0)+5)+INDEX(AQ:AQ,MATCH(AQ22,$AA:$AA,0)+6)+INDEX(AQ:AQ,MATCH(AQ22,$AA:$AA,0)+7))</f>
        <v>0</v>
      </c>
      <c r="AR25" s="369"/>
      <c r="AS25" s="368">
        <f>ABS(INDEX(AS:AS,MATCH(AS22,$AA:$AA,0)+5)+INDEX(AS:AS,MATCH(AS22,$AA:$AA,0)+6)+INDEX(AS:AS,MATCH(AS22,$AA:$AA,0)+7))</f>
        <v>0</v>
      </c>
      <c r="AT25" s="369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4" t="str">
        <f t="shared" si="33"/>
        <v>Spieler 2</v>
      </c>
      <c r="C26" s="375" t="str">
        <f t="shared" si="33"/>
        <v/>
      </c>
      <c r="D26" s="362">
        <f>IF(AC26=301,"",AC26)</f>
        <v>231</v>
      </c>
      <c r="E26" s="362" t="str">
        <f>IF(AD26=0,"",AD26)</f>
        <v/>
      </c>
      <c r="F26" s="362">
        <f>IF(AE26=301,"",AE26)</f>
        <v>222</v>
      </c>
      <c r="G26" s="362" t="str">
        <f>IF(AF26=0,"",AF26)</f>
        <v/>
      </c>
      <c r="H26" s="362">
        <f>IF(AG26=301,"",AG26)</f>
        <v>212</v>
      </c>
      <c r="I26" s="362" t="str">
        <f>IF(AH26=0,"",AH26)</f>
        <v/>
      </c>
      <c r="J26" s="362">
        <f>IF(AI26=301,"",AI26)</f>
        <v>222</v>
      </c>
      <c r="K26" s="362" t="str">
        <f>IF(AJ26=0,"",AJ26)</f>
        <v/>
      </c>
      <c r="L26" s="362">
        <f>IF(AK26=301,"",AK26)</f>
        <v>191</v>
      </c>
      <c r="M26" s="362" t="str">
        <f>IF(AL26=0,"",AL26)</f>
        <v/>
      </c>
      <c r="N26" s="362">
        <f>IF(AM26=301,"",AM26)</f>
        <v>145</v>
      </c>
      <c r="O26" s="362" t="str">
        <f>IF(AN26=0,"",AN26)</f>
        <v/>
      </c>
      <c r="P26" s="362">
        <f>IF(AO26=301,"",AO26)</f>
        <v>0</v>
      </c>
      <c r="Q26" s="362" t="str">
        <f>IF(AP26=0,"",AP26)</f>
        <v/>
      </c>
      <c r="R26" s="362">
        <f>IF(AQ26=301,"",AQ26)</f>
        <v>0</v>
      </c>
      <c r="S26" s="362" t="str">
        <f>IF(AR26=0,"",AR26)</f>
        <v/>
      </c>
      <c r="T26" s="362">
        <f>IF(AS26=301,"",AS26)</f>
        <v>0</v>
      </c>
      <c r="U26" s="362" t="str">
        <f>IF(AT26=0,"",AT26)</f>
        <v/>
      </c>
      <c r="V26" s="364"/>
      <c r="W26" s="364"/>
      <c r="AA26" s="91" t="s">
        <v>2</v>
      </c>
      <c r="AB26" s="92"/>
      <c r="AC26" s="366">
        <f>ABS(INDEX(AC:AC,MATCH(AC22,$AA:$AA,0)+8)+INDEX(AC:AC,MATCH(AC22,$AA:$AA,0)+9)+INDEX(AC:AC,MATCH(AC22,$AA:$AA,0)+10))</f>
        <v>231</v>
      </c>
      <c r="AD26" s="367"/>
      <c r="AE26" s="366">
        <f>ABS(INDEX(AE:AE,MATCH(AE22,$AA:$AA,0)+8)+INDEX(AE:AE,MATCH(AE22,$AA:$AA,0)+9)+INDEX(AE:AE,MATCH(AE22,$AA:$AA,0)+10))</f>
        <v>222</v>
      </c>
      <c r="AF26" s="367"/>
      <c r="AG26" s="366">
        <f>ABS(INDEX(AG:AG,MATCH(AG22,$AA:$AA,0)+8)+INDEX(AG:AG,MATCH(AG22,$AA:$AA,0)+9)+INDEX(AG:AG,MATCH(AG22,$AA:$AA,0)+10))</f>
        <v>212</v>
      </c>
      <c r="AH26" s="367"/>
      <c r="AI26" s="366">
        <f>ABS(INDEX(AI:AI,MATCH(AI22,$AA:$AA,0)+8)+INDEX(AI:AI,MATCH(AI22,$AA:$AA,0)+9)+INDEX(AI:AI,MATCH(AI22,$AA:$AA,0)+10))</f>
        <v>222</v>
      </c>
      <c r="AJ26" s="367"/>
      <c r="AK26" s="366">
        <f>ABS(INDEX(AK:AK,MATCH(AK22,$AA:$AA,0)+8)+INDEX(AK:AK,MATCH(AK22,$AA:$AA,0)+9)+INDEX(AK:AK,MATCH(AK22,$AA:$AA,0)+10))</f>
        <v>191</v>
      </c>
      <c r="AL26" s="367"/>
      <c r="AM26" s="366">
        <f>ABS(INDEX(AM:AM,MATCH(AM22,$AA:$AA,0)+8)+INDEX(AM:AM,MATCH(AM22,$AA:$AA,0)+9)+INDEX(AM:AM,MATCH(AM22,$AA:$AA,0)+10))</f>
        <v>145</v>
      </c>
      <c r="AN26" s="367"/>
      <c r="AO26" s="366">
        <f>ABS(INDEX(AO:AO,MATCH(AO22,$AA:$AA,0)+8)+INDEX(AO:AO,MATCH(AO22,$AA:$AA,0)+9)+INDEX(AO:AO,MATCH(AO22,$AA:$AA,0)+10))</f>
        <v>0</v>
      </c>
      <c r="AP26" s="367"/>
      <c r="AQ26" s="366">
        <f>ABS(INDEX(AQ:AQ,MATCH(AQ22,$AA:$AA,0)+8)+INDEX(AQ:AQ,MATCH(AQ22,$AA:$AA,0)+9)+INDEX(AQ:AQ,MATCH(AQ22,$AA:$AA,0)+10))</f>
        <v>0</v>
      </c>
      <c r="AR26" s="367"/>
      <c r="AS26" s="366">
        <f>ABS(INDEX(AS:AS,MATCH(AS22,$AA:$AA,0)+8)+INDEX(AS:AS,MATCH(AS22,$AA:$AA,0)+9)+INDEX(AS:AS,MATCH(AS22,$AA:$AA,0)+10))</f>
        <v>0</v>
      </c>
      <c r="AT26" s="367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4" t="str">
        <f t="shared" si="33"/>
        <v>Spieler 3</v>
      </c>
      <c r="C27" s="375" t="str">
        <f t="shared" si="33"/>
        <v/>
      </c>
      <c r="D27" s="362">
        <f>IF(AC27=301,"",AC27)</f>
        <v>244</v>
      </c>
      <c r="E27" s="362" t="str">
        <f>IF(AD27=0,"",AD27)</f>
        <v/>
      </c>
      <c r="F27" s="362">
        <f>IF(AE27=301,"",AE27)</f>
        <v>158</v>
      </c>
      <c r="G27" s="362" t="str">
        <f>IF(AF27=0,"",AF27)</f>
        <v/>
      </c>
      <c r="H27" s="362">
        <f>IF(AG27=301,"",AG27)</f>
        <v>149</v>
      </c>
      <c r="I27" s="362" t="str">
        <f>IF(AH27=0,"",AH27)</f>
        <v/>
      </c>
      <c r="J27" s="362">
        <f>IF(AI27=301,"",AI27)</f>
        <v>189</v>
      </c>
      <c r="K27" s="362" t="str">
        <f>IF(AJ27=0,"",AJ27)</f>
        <v/>
      </c>
      <c r="L27" s="362">
        <f>IF(AK27=301,"",AK27)</f>
        <v>171</v>
      </c>
      <c r="M27" s="362" t="str">
        <f>IF(AL27=0,"",AL27)</f>
        <v/>
      </c>
      <c r="N27" s="362">
        <f>IF(AM27=301,"",AM27)</f>
        <v>178</v>
      </c>
      <c r="O27" s="362" t="str">
        <f>IF(AN27=0,"",AN27)</f>
        <v/>
      </c>
      <c r="P27" s="362">
        <f>IF(AO27=301,"",AO27)</f>
        <v>0</v>
      </c>
      <c r="Q27" s="362" t="str">
        <f>IF(AP27=0,"",AP27)</f>
        <v/>
      </c>
      <c r="R27" s="362">
        <f>IF(AQ27=301,"",AQ27)</f>
        <v>0</v>
      </c>
      <c r="S27" s="362" t="str">
        <f>IF(AR27=0,"",AR27)</f>
        <v/>
      </c>
      <c r="T27" s="362">
        <f>IF(AS27=301,"",AS27)</f>
        <v>0</v>
      </c>
      <c r="U27" s="362" t="str">
        <f>IF(AT27=0,"",AT27)</f>
        <v/>
      </c>
      <c r="V27" s="364"/>
      <c r="W27" s="364"/>
      <c r="AA27" s="91" t="s">
        <v>3</v>
      </c>
      <c r="AB27" s="92"/>
      <c r="AC27" s="366">
        <f>ABS(INDEX(AC:AC,MATCH(AC22,$AA:$AA,0)+11)+INDEX(AC:AC,MATCH(AC22,$AA:$AA,0)+12)+INDEX(AC:AC,MATCH(AC22,$AA:$AA,0)+13))</f>
        <v>244</v>
      </c>
      <c r="AD27" s="367"/>
      <c r="AE27" s="366">
        <f>ABS(INDEX(AE:AE,MATCH(AE22,$AA:$AA,0)+11)+INDEX(AE:AE,MATCH(AE22,$AA:$AA,0)+12)+INDEX(AE:AE,MATCH(AE22,$AA:$AA,0)+13))</f>
        <v>158</v>
      </c>
      <c r="AF27" s="367"/>
      <c r="AG27" s="366">
        <f>ABS(INDEX(AG:AG,MATCH(AG22,$AA:$AA,0)+11)+INDEX(AG:AG,MATCH(AG22,$AA:$AA,0)+12)+INDEX(AG:AG,MATCH(AG22,$AA:$AA,0)+13))</f>
        <v>149</v>
      </c>
      <c r="AH27" s="367"/>
      <c r="AI27" s="366">
        <f>ABS(INDEX(AI:AI,MATCH(AI22,$AA:$AA,0)+11)+INDEX(AI:AI,MATCH(AI22,$AA:$AA,0)+12)+INDEX(AI:AI,MATCH(AI22,$AA:$AA,0)+13))</f>
        <v>189</v>
      </c>
      <c r="AJ27" s="367"/>
      <c r="AK27" s="366">
        <f>ABS(INDEX(AK:AK,MATCH(AK22,$AA:$AA,0)+11)+INDEX(AK:AK,MATCH(AK22,$AA:$AA,0)+12)+INDEX(AK:AK,MATCH(AK22,$AA:$AA,0)+13))</f>
        <v>171</v>
      </c>
      <c r="AL27" s="367"/>
      <c r="AM27" s="366">
        <f>ABS(INDEX(AM:AM,MATCH(AM22,$AA:$AA,0)+11)+INDEX(AM:AM,MATCH(AM22,$AA:$AA,0)+12)+INDEX(AM:AM,MATCH(AM22,$AA:$AA,0)+13))</f>
        <v>178</v>
      </c>
      <c r="AN27" s="367"/>
      <c r="AO27" s="366">
        <f>ABS(INDEX(AO:AO,MATCH(AO22,$AA:$AA,0)+11)+INDEX(AO:AO,MATCH(AO22,$AA:$AA,0)+12)+INDEX(AO:AO,MATCH(AO22,$AA:$AA,0)+13))</f>
        <v>0</v>
      </c>
      <c r="AP27" s="367"/>
      <c r="AQ27" s="366">
        <f>ABS(INDEX(AQ:AQ,MATCH(AQ22,$AA:$AA,0)+11)+INDEX(AQ:AQ,MATCH(AQ22,$AA:$AA,0)+12)+INDEX(AQ:AQ,MATCH(AQ22,$AA:$AA,0)+13))</f>
        <v>0</v>
      </c>
      <c r="AR27" s="367"/>
      <c r="AS27" s="366">
        <f>ABS(INDEX(AS:AS,MATCH(AS22,$AA:$AA,0)+11)+INDEX(AS:AS,MATCH(AS22,$AA:$AA,0)+12)+INDEX(AS:AS,MATCH(AS22,$AA:$AA,0)+13))</f>
        <v>0</v>
      </c>
      <c r="AT27" s="367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4" t="str">
        <f t="shared" si="33"/>
        <v>Spieler 4</v>
      </c>
      <c r="C28" s="375" t="str">
        <f t="shared" si="33"/>
        <v/>
      </c>
      <c r="D28" s="362">
        <f>IF(AC28=301,"",AC28)</f>
        <v>245</v>
      </c>
      <c r="E28" s="362" t="str">
        <f>IF(AD28=0,"",AD28)</f>
        <v/>
      </c>
      <c r="F28" s="362">
        <f>IF(AE28=301,"",AE28)</f>
        <v>181</v>
      </c>
      <c r="G28" s="362" t="str">
        <f>IF(AF28=0,"",AF28)</f>
        <v/>
      </c>
      <c r="H28" s="362">
        <f>IF(AG28=301,"",AG28)</f>
        <v>203</v>
      </c>
      <c r="I28" s="362" t="str">
        <f>IF(AH28=0,"",AH28)</f>
        <v/>
      </c>
      <c r="J28" s="362">
        <f>IF(AI28=301,"",AI28)</f>
        <v>160</v>
      </c>
      <c r="K28" s="362" t="str">
        <f>IF(AJ28=0,"",AJ28)</f>
        <v/>
      </c>
      <c r="L28" s="362">
        <f>IF(AK28=301,"",AK28)</f>
        <v>169</v>
      </c>
      <c r="M28" s="362" t="str">
        <f>IF(AL28=0,"",AL28)</f>
        <v/>
      </c>
      <c r="N28" s="362">
        <f>IF(AM28=301,"",AM28)</f>
        <v>245</v>
      </c>
      <c r="O28" s="362" t="str">
        <f>IF(AN28=0,"",AN28)</f>
        <v/>
      </c>
      <c r="P28" s="362">
        <f>IF(AO28=301,"",AO28)</f>
        <v>0</v>
      </c>
      <c r="Q28" s="362" t="str">
        <f>IF(AP28=0,"",AP28)</f>
        <v/>
      </c>
      <c r="R28" s="362">
        <f>IF(AQ28=301,"",AQ28)</f>
        <v>0</v>
      </c>
      <c r="S28" s="362" t="str">
        <f>IF(AR28=0,"",AR28)</f>
        <v/>
      </c>
      <c r="T28" s="362">
        <f>IF(AS28=301,"",AS28)</f>
        <v>0</v>
      </c>
      <c r="U28" s="362" t="str">
        <f>IF(AT28=0,"",AT28)</f>
        <v/>
      </c>
      <c r="V28" s="364"/>
      <c r="W28" s="364"/>
      <c r="AA28" s="91" t="s">
        <v>11</v>
      </c>
      <c r="AB28" s="92"/>
      <c r="AC28" s="366">
        <f>ABS(INDEX(AC:AC,MATCH(AC22,$AA:$AA,0)+14)+INDEX(AC:AC,MATCH(AC22,$AA:$AA,0)+15)+INDEX(AC:AC,MATCH(AC22,$AA:$AA,0)+16))</f>
        <v>245</v>
      </c>
      <c r="AD28" s="367"/>
      <c r="AE28" s="366">
        <f>ABS(INDEX(AE:AE,MATCH(AE22,$AA:$AA,0)+14)+INDEX(AE:AE,MATCH(AE22,$AA:$AA,0)+15)+INDEX(AE:AE,MATCH(AE22,$AA:$AA,0)+16))</f>
        <v>181</v>
      </c>
      <c r="AF28" s="367"/>
      <c r="AG28" s="366">
        <f>ABS(INDEX(AG:AG,MATCH(AG22,$AA:$AA,0)+14)+INDEX(AG:AG,MATCH(AG22,$AA:$AA,0)+15)+INDEX(AG:AG,MATCH(AG22,$AA:$AA,0)+16))</f>
        <v>203</v>
      </c>
      <c r="AH28" s="367"/>
      <c r="AI28" s="366">
        <f>ABS(INDEX(AI:AI,MATCH(AI22,$AA:$AA,0)+14)+INDEX(AI:AI,MATCH(AI22,$AA:$AA,0)+15)+INDEX(AI:AI,MATCH(AI22,$AA:$AA,0)+16))</f>
        <v>160</v>
      </c>
      <c r="AJ28" s="367"/>
      <c r="AK28" s="366">
        <f>ABS(INDEX(AK:AK,MATCH(AK22,$AA:$AA,0)+14)+INDEX(AK:AK,MATCH(AK22,$AA:$AA,0)+15)+INDEX(AK:AK,MATCH(AK22,$AA:$AA,0)+16))</f>
        <v>169</v>
      </c>
      <c r="AL28" s="367"/>
      <c r="AM28" s="366">
        <f>ABS(INDEX(AM:AM,MATCH(AM22,$AA:$AA,0)+14)+INDEX(AM:AM,MATCH(AM22,$AA:$AA,0)+15)+INDEX(AM:AM,MATCH(AM22,$AA:$AA,0)+16))</f>
        <v>245</v>
      </c>
      <c r="AN28" s="367"/>
      <c r="AO28" s="366">
        <f>ABS(INDEX(AO:AO,MATCH(AO22,$AA:$AA,0)+14)+INDEX(AO:AO,MATCH(AO22,$AA:$AA,0)+15)+INDEX(AO:AO,MATCH(AO22,$AA:$AA,0)+16))</f>
        <v>0</v>
      </c>
      <c r="AP28" s="367"/>
      <c r="AQ28" s="366">
        <f>ABS(INDEX(AQ:AQ,MATCH(AQ22,$AA:$AA,0)+14)+INDEX(AQ:AQ,MATCH(AQ22,$AA:$AA,0)+15)+INDEX(AQ:AQ,MATCH(AQ22,$AA:$AA,0)+16))</f>
        <v>0</v>
      </c>
      <c r="AR28" s="367"/>
      <c r="AS28" s="366">
        <f>ABS(INDEX(AS:AS,MATCH(AS22,$AA:$AA,0)+14)+INDEX(AS:AS,MATCH(AS22,$AA:$AA,0)+15)+INDEX(AS:AS,MATCH(AS22,$AA:$AA,0)+16))</f>
        <v>0</v>
      </c>
      <c r="AT28" s="367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6" t="str">
        <f t="shared" si="33"/>
        <v>Gesamt</v>
      </c>
      <c r="C29" s="347" t="str">
        <f t="shared" si="33"/>
        <v/>
      </c>
      <c r="D29" s="365">
        <f>IF(AC29=1505,"",AC29)</f>
        <v>910</v>
      </c>
      <c r="E29" s="365" t="str">
        <f>IF(AD29=0,"",AD29)</f>
        <v/>
      </c>
      <c r="F29" s="365">
        <f>IF(AE29=1505,"",AE29)</f>
        <v>799</v>
      </c>
      <c r="G29" s="365" t="str">
        <f>IF(AF29=0,"",AF29)</f>
        <v/>
      </c>
      <c r="H29" s="365">
        <f>IF(AG29=1505,"",AG29)</f>
        <v>777</v>
      </c>
      <c r="I29" s="365" t="str">
        <f>IF(AH29=0,"",AH29)</f>
        <v/>
      </c>
      <c r="J29" s="365">
        <f>IF(AI29=1505,"",AI29)</f>
        <v>742</v>
      </c>
      <c r="K29" s="365" t="str">
        <f>IF(AJ29=0,"",AJ29)</f>
        <v/>
      </c>
      <c r="L29" s="365">
        <f>IF(AK29=1505,"",AK29)</f>
        <v>766</v>
      </c>
      <c r="M29" s="365" t="str">
        <f>IF(AL29=0,"",AL29)</f>
        <v/>
      </c>
      <c r="N29" s="365">
        <f>IF(AM29=1505,"",AM29)</f>
        <v>813</v>
      </c>
      <c r="O29" s="365" t="str">
        <f>IF(AN29=0,"",AN29)</f>
        <v/>
      </c>
      <c r="P29" s="365">
        <f>IF(AO29=1505,"",AO29)</f>
        <v>0</v>
      </c>
      <c r="Q29" s="365" t="str">
        <f>IF(AP29=0,"",AP29)</f>
        <v/>
      </c>
      <c r="R29" s="365">
        <f>IF(AQ29=1505,"",AQ29)</f>
        <v>0</v>
      </c>
      <c r="S29" s="365" t="str">
        <f>IF(AR29=0,"",AR29)</f>
        <v/>
      </c>
      <c r="T29" s="365">
        <f>IF(AS29=1505,"",AS29)</f>
        <v>0</v>
      </c>
      <c r="U29" s="365" t="str">
        <f>IF(AT29=0,"",AT29)</f>
        <v/>
      </c>
      <c r="V29" s="301"/>
      <c r="W29" s="301"/>
      <c r="AA29" s="93" t="s">
        <v>1799</v>
      </c>
      <c r="AB29" s="94"/>
      <c r="AC29" s="346">
        <f>SUM(AC25:AC28)</f>
        <v>910</v>
      </c>
      <c r="AD29" s="347"/>
      <c r="AE29" s="346">
        <f>SUM(AE25:AE28)</f>
        <v>799</v>
      </c>
      <c r="AF29" s="347"/>
      <c r="AG29" s="346">
        <f>SUM(AG25:AG28)</f>
        <v>777</v>
      </c>
      <c r="AH29" s="347"/>
      <c r="AI29" s="346">
        <f>SUM(AI25:AI28)</f>
        <v>742</v>
      </c>
      <c r="AJ29" s="347"/>
      <c r="AK29" s="346">
        <f>SUM(AK25:AK28)</f>
        <v>766</v>
      </c>
      <c r="AL29" s="347"/>
      <c r="AM29" s="346">
        <f>SUM(AM25:AM28)</f>
        <v>813</v>
      </c>
      <c r="AN29" s="347"/>
      <c r="AO29" s="346">
        <f>SUM(AO25:AO28)</f>
        <v>0</v>
      </c>
      <c r="AP29" s="347"/>
      <c r="AQ29" s="346">
        <f>SUM(AQ25:AQ28)</f>
        <v>0</v>
      </c>
      <c r="AR29" s="347"/>
      <c r="AS29" s="346">
        <f>SUM(AS25:AS28)</f>
        <v>0</v>
      </c>
      <c r="AT29" s="347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5" t="str">
        <f>AE31</f>
        <v>Bayernliga Herren</v>
      </c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48"/>
      <c r="S31" s="49" t="s">
        <v>1794</v>
      </c>
      <c r="T31" s="50"/>
      <c r="U31" s="341" t="str">
        <f>AT31</f>
        <v>05.04./06.04.</v>
      </c>
      <c r="V31" s="342"/>
      <c r="W31" s="343"/>
      <c r="X31" s="372"/>
      <c r="Y31" s="373"/>
      <c r="Z31" s="373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41" t="str">
        <f>VLOOKUP(AS32,Spielorte!$A$1:$C$6,2)</f>
        <v>05.04./06.04.</v>
      </c>
      <c r="AU31" s="342"/>
      <c r="AV31" s="34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4" t="str">
        <f>AE32</f>
        <v>Dettelbach Extreme Bowlingarena</v>
      </c>
      <c r="G32" s="344"/>
      <c r="H32" s="344"/>
      <c r="I32" s="344"/>
      <c r="J32" s="344"/>
      <c r="K32" s="344"/>
      <c r="L32" s="344"/>
      <c r="M32" s="344"/>
      <c r="N32" s="344"/>
      <c r="O32" s="344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Dettelbach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6" t="s">
        <v>1800</v>
      </c>
      <c r="E35" s="347"/>
      <c r="F35" s="346" t="s">
        <v>1801</v>
      </c>
      <c r="G35" s="347"/>
      <c r="H35" s="346" t="s">
        <v>1802</v>
      </c>
      <c r="I35" s="347"/>
      <c r="J35" s="346" t="s">
        <v>1803</v>
      </c>
      <c r="K35" s="347"/>
      <c r="L35" s="346" t="s">
        <v>1804</v>
      </c>
      <c r="M35" s="347"/>
      <c r="N35" s="346" t="s">
        <v>1805</v>
      </c>
      <c r="O35" s="347"/>
      <c r="P35" s="346" t="s">
        <v>1806</v>
      </c>
      <c r="Q35" s="347"/>
      <c r="R35" s="346" t="s">
        <v>1807</v>
      </c>
      <c r="S35" s="347"/>
      <c r="T35" s="346" t="s">
        <v>1808</v>
      </c>
      <c r="U35" s="347"/>
      <c r="V35" s="354" t="s">
        <v>1799</v>
      </c>
      <c r="W35" s="355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6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216</v>
      </c>
      <c r="E37" s="348">
        <f>IF(AD37="","",AD37)</f>
        <v>0</v>
      </c>
      <c r="F37" s="75">
        <f t="shared" ref="F37:F50" si="34">IF(AE37=0,"",AE37)</f>
        <v>234</v>
      </c>
      <c r="G37" s="348">
        <f>IF(AF37="","",AF37)</f>
        <v>1</v>
      </c>
      <c r="H37" s="75">
        <f t="shared" ref="H37:H50" si="35">IF(AG37=0,"",AG37)</f>
        <v>194</v>
      </c>
      <c r="I37" s="348">
        <f>IF(AH37="","",AH37)</f>
        <v>1</v>
      </c>
      <c r="J37" s="75">
        <f t="shared" ref="J37:J50" si="36">IF(AI37=0,"",AI37)</f>
        <v>223</v>
      </c>
      <c r="K37" s="348">
        <f>IF(AJ37="","",AJ37)</f>
        <v>1</v>
      </c>
      <c r="L37" s="75">
        <f t="shared" ref="L37:L50" si="37">IF(AK37=0,"",AK37)</f>
        <v>215</v>
      </c>
      <c r="M37" s="348">
        <f>IF(AL37="","",AL37)</f>
        <v>1</v>
      </c>
      <c r="N37" s="75">
        <f>IF(AM37=0,"",AM37)</f>
        <v>176</v>
      </c>
      <c r="O37" s="348">
        <f>IF(AN37="","",AN37)</f>
        <v>0</v>
      </c>
      <c r="P37" s="75" t="str">
        <f t="shared" ref="P37:P50" si="38">IF(AO37=0,"",AO37)</f>
        <v/>
      </c>
      <c r="Q37" s="348">
        <f>IF(AP37="","",AP37)</f>
        <v>0</v>
      </c>
      <c r="R37" s="75" t="str">
        <f t="shared" ref="R37:R50" si="39">IF(AQ37=0,"",AQ37)</f>
        <v/>
      </c>
      <c r="S37" s="348">
        <f>IF(AR37="","",AR37)</f>
        <v>0</v>
      </c>
      <c r="T37" s="75" t="str">
        <f t="shared" ref="T37:T50" si="40">IF(AS37=0,"",AS37)</f>
        <v/>
      </c>
      <c r="U37" s="348">
        <f>IF(AT37="","",AT37)</f>
        <v>0</v>
      </c>
      <c r="V37" s="75">
        <f t="shared" ref="V37:V50" si="41">IF(AU37=0,"",AU37)</f>
        <v>1258</v>
      </c>
      <c r="W37" s="348">
        <f>IF(AV37="","",AV37)</f>
        <v>4</v>
      </c>
      <c r="Z37" s="351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216</v>
      </c>
      <c r="AD37" s="109">
        <f>IF(SUM(AC37:AC39)+AC55=0,0,IF(SUM(AC37:AC39)=AC55,0.5,IF(SUM(AC37:AC39)&gt;AC55,1,0)))</f>
        <v>0</v>
      </c>
      <c r="AE37" s="185">
        <v>234</v>
      </c>
      <c r="AF37" s="109">
        <f>IF(SUM(AE37:AE39)+AE55=0,0,IF(SUM(AE37:AE39)=AE55,0.5,IF(SUM(AE37:AE39)&gt;AE55,1,0)))</f>
        <v>1</v>
      </c>
      <c r="AG37" s="185">
        <v>194</v>
      </c>
      <c r="AH37" s="109">
        <f>IF(SUM(AG37:AG39)+AG55=0,0,IF(SUM(AG37:AG39)=AG55,0.5,IF(SUM(AG37:AG39)&gt;AG55,1,0)))</f>
        <v>1</v>
      </c>
      <c r="AI37" s="185">
        <v>223</v>
      </c>
      <c r="AJ37" s="109">
        <f>IF(SUM(AI37:AI39)+AI55=0,0,IF(SUM(AI37:AI39)=AI55,0.5,IF(SUM(AI37:AI39)&gt;AI55,1,0)))</f>
        <v>1</v>
      </c>
      <c r="AK37" s="185">
        <v>215</v>
      </c>
      <c r="AL37" s="109">
        <f>IF(SUM(AK37:AK39)+AK55=0,0,IF(SUM(AK37:AK39)=AK55,0.5,IF(SUM(AK37:AK39)&gt;AK55,1,0)))</f>
        <v>1</v>
      </c>
      <c r="AM37" s="185">
        <v>176</v>
      </c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1258</v>
      </c>
      <c r="AV37" s="111">
        <f>SUM(AD37+AF37+AH37+AJ37+AL37+AN37+AP37+AR37+AT37)</f>
        <v>4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1258</v>
      </c>
      <c r="BF37" s="215">
        <f>COUNT(BH37:BP37)</f>
        <v>6</v>
      </c>
      <c r="BG37" s="215">
        <f>COUNTIF(BH37:BP37,"&gt;0")</f>
        <v>6</v>
      </c>
      <c r="BH37" s="215">
        <f t="shared" ref="BH37:BH48" si="43">IF(AC37=0,"",AC37)</f>
        <v>216</v>
      </c>
      <c r="BI37" s="215">
        <f t="shared" ref="BI37:BI48" si="44">IF(AE37=0,"",AE37)</f>
        <v>234</v>
      </c>
      <c r="BJ37" s="215">
        <f t="shared" ref="BJ37:BJ48" si="45">IF(AG37=0,"",AG37)</f>
        <v>194</v>
      </c>
      <c r="BK37" s="215">
        <f t="shared" ref="BK37:BK48" si="46">IF(AI37=0,"",AI37)</f>
        <v>223</v>
      </c>
      <c r="BL37" s="215">
        <f t="shared" ref="BL37:BL48" si="47">IF(AK37=0,"",AK37)</f>
        <v>215</v>
      </c>
      <c r="BM37" s="215">
        <f t="shared" ref="BM37:BM48" si="48">IF(AM37=0,"",AM37)</f>
        <v>176</v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234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1258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5">
      <c r="A38" s="377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9"/>
      <c r="F38" s="78" t="str">
        <f t="shared" si="34"/>
        <v/>
      </c>
      <c r="G38" s="349"/>
      <c r="H38" s="78" t="str">
        <f t="shared" si="35"/>
        <v/>
      </c>
      <c r="I38" s="349"/>
      <c r="J38" s="78" t="str">
        <f t="shared" si="36"/>
        <v/>
      </c>
      <c r="K38" s="349"/>
      <c r="L38" s="78" t="str">
        <f t="shared" si="37"/>
        <v/>
      </c>
      <c r="M38" s="349"/>
      <c r="N38" s="78" t="str">
        <f t="shared" ref="N38:N50" si="54">IF(AM38=0,"",AM38)</f>
        <v/>
      </c>
      <c r="O38" s="349"/>
      <c r="P38" s="78" t="str">
        <f t="shared" si="38"/>
        <v/>
      </c>
      <c r="Q38" s="349"/>
      <c r="R38" s="78" t="str">
        <f t="shared" si="39"/>
        <v/>
      </c>
      <c r="S38" s="349"/>
      <c r="T38" s="78" t="str">
        <f t="shared" si="40"/>
        <v/>
      </c>
      <c r="U38" s="349"/>
      <c r="V38" s="78" t="str">
        <f t="shared" si="41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3">
      <c r="A39" s="378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0"/>
      <c r="F39" s="69" t="str">
        <f t="shared" si="34"/>
        <v/>
      </c>
      <c r="G39" s="350"/>
      <c r="H39" s="69" t="str">
        <f t="shared" si="35"/>
        <v/>
      </c>
      <c r="I39" s="350"/>
      <c r="J39" s="69" t="str">
        <f t="shared" si="36"/>
        <v/>
      </c>
      <c r="K39" s="350"/>
      <c r="L39" s="69" t="str">
        <f t="shared" si="37"/>
        <v/>
      </c>
      <c r="M39" s="350"/>
      <c r="N39" s="69" t="str">
        <f t="shared" si="54"/>
        <v/>
      </c>
      <c r="O39" s="350"/>
      <c r="P39" s="69" t="str">
        <f t="shared" si="38"/>
        <v/>
      </c>
      <c r="Q39" s="350"/>
      <c r="R39" s="69" t="str">
        <f t="shared" si="39"/>
        <v/>
      </c>
      <c r="S39" s="350"/>
      <c r="T39" s="69" t="str">
        <f t="shared" si="40"/>
        <v/>
      </c>
      <c r="U39" s="350"/>
      <c r="V39" s="69" t="str">
        <f t="shared" si="41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5">
      <c r="A40" s="376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174</v>
      </c>
      <c r="E40" s="348">
        <f>IF(AD40="","",AD40)</f>
        <v>0</v>
      </c>
      <c r="F40" s="75">
        <f t="shared" si="34"/>
        <v>183</v>
      </c>
      <c r="G40" s="348">
        <f>IF(AF40="","",AF40)</f>
        <v>1</v>
      </c>
      <c r="H40" s="75">
        <f t="shared" si="35"/>
        <v>173</v>
      </c>
      <c r="I40" s="348">
        <f>IF(AH40="","",AH40)</f>
        <v>0</v>
      </c>
      <c r="J40" s="75">
        <f t="shared" si="36"/>
        <v>132</v>
      </c>
      <c r="K40" s="348">
        <f>IF(AJ40="","",AJ40)</f>
        <v>0</v>
      </c>
      <c r="L40" s="75">
        <f t="shared" si="37"/>
        <v>174</v>
      </c>
      <c r="M40" s="348">
        <f>IF(AL40="","",AL40)</f>
        <v>0</v>
      </c>
      <c r="N40" s="75">
        <f t="shared" si="54"/>
        <v>202</v>
      </c>
      <c r="O40" s="348">
        <f>IF(AN40="","",AN40)</f>
        <v>1</v>
      </c>
      <c r="P40" s="75" t="str">
        <f t="shared" si="38"/>
        <v/>
      </c>
      <c r="Q40" s="348">
        <f>IF(AP40="","",AP40)</f>
        <v>0</v>
      </c>
      <c r="R40" s="75" t="str">
        <f t="shared" si="39"/>
        <v/>
      </c>
      <c r="S40" s="348">
        <f>IF(AR40="","",AR40)</f>
        <v>0</v>
      </c>
      <c r="T40" s="75" t="str">
        <f t="shared" si="40"/>
        <v/>
      </c>
      <c r="U40" s="348">
        <f>IF(AT40="","",AT40)</f>
        <v>0</v>
      </c>
      <c r="V40" s="75">
        <f t="shared" si="41"/>
        <v>1038</v>
      </c>
      <c r="W40" s="348">
        <f>IF(AV40="","",AV40)</f>
        <v>2</v>
      </c>
      <c r="Z40" s="351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174</v>
      </c>
      <c r="AD40" s="109">
        <f>IF(SUM(AC40:AC42)+AC56=0,0,IF(SUM(AC40:AC42)=AC56,0.5,IF(SUM(AC40:AC42)&gt;AC56,1,0)))</f>
        <v>0</v>
      </c>
      <c r="AE40" s="188">
        <v>183</v>
      </c>
      <c r="AF40" s="109">
        <f>IF(SUM(AE40:AE42)+AE56=0,0,IF(SUM(AE40:AE42)=AE56,0.5,IF(SUM(AE40:AE42)&gt;AE56,1,0)))</f>
        <v>1</v>
      </c>
      <c r="AG40" s="188">
        <v>173</v>
      </c>
      <c r="AH40" s="109">
        <f>IF(SUM(AG40:AG42)+AG56=0,0,IF(SUM(AG40:AG42)=AG56,0.5,IF(SUM(AG40:AG42)&gt;AG56,1,0)))</f>
        <v>0</v>
      </c>
      <c r="AI40" s="188">
        <v>132</v>
      </c>
      <c r="AJ40" s="109">
        <f>IF(SUM(AI40:AI42)+AI56=0,0,IF(SUM(AI40:AI42)=AI56,0.5,IF(SUM(AI40:AI42)&gt;AI56,1,0)))</f>
        <v>0</v>
      </c>
      <c r="AK40" s="188">
        <v>174</v>
      </c>
      <c r="AL40" s="109">
        <f>IF(SUM(AK40:AK42)+AK56=0,0,IF(SUM(AK40:AK42)=AK56,0.5,IF(SUM(AK40:AK42)&gt;AK56,1,0)))</f>
        <v>0</v>
      </c>
      <c r="AM40" s="188">
        <v>202</v>
      </c>
      <c r="AN40" s="109">
        <f>IF(SUM(AM40:AM42)+AM56=0,0,IF(SUM(AM40:AM42)=AM56,0.5,IF(SUM(AM40:AM42)&gt;AM56,1,0)))</f>
        <v>1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1038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1038</v>
      </c>
      <c r="BF40" s="215">
        <f t="shared" si="57"/>
        <v>6</v>
      </c>
      <c r="BG40" s="215">
        <f t="shared" si="58"/>
        <v>6</v>
      </c>
      <c r="BH40" s="215">
        <f t="shared" si="43"/>
        <v>174</v>
      </c>
      <c r="BI40" s="215">
        <f t="shared" si="44"/>
        <v>183</v>
      </c>
      <c r="BJ40" s="215">
        <f t="shared" si="45"/>
        <v>173</v>
      </c>
      <c r="BK40" s="215">
        <f t="shared" si="46"/>
        <v>132</v>
      </c>
      <c r="BL40" s="215">
        <f t="shared" si="47"/>
        <v>174</v>
      </c>
      <c r="BM40" s="215">
        <f t="shared" si="48"/>
        <v>202</v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202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2</v>
      </c>
      <c r="BW40" s="215">
        <f t="shared" si="63"/>
        <v>1038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5">
      <c r="A41" s="377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9"/>
      <c r="F41" s="78" t="str">
        <f t="shared" si="34"/>
        <v/>
      </c>
      <c r="G41" s="349"/>
      <c r="H41" s="78" t="str">
        <f t="shared" si="35"/>
        <v/>
      </c>
      <c r="I41" s="349"/>
      <c r="J41" s="78" t="str">
        <f t="shared" si="36"/>
        <v/>
      </c>
      <c r="K41" s="349"/>
      <c r="L41" s="78" t="str">
        <f t="shared" si="37"/>
        <v/>
      </c>
      <c r="M41" s="349"/>
      <c r="N41" s="78" t="str">
        <f t="shared" si="54"/>
        <v/>
      </c>
      <c r="O41" s="349"/>
      <c r="P41" s="78" t="str">
        <f t="shared" si="38"/>
        <v/>
      </c>
      <c r="Q41" s="349"/>
      <c r="R41" s="78" t="str">
        <f t="shared" si="39"/>
        <v/>
      </c>
      <c r="S41" s="349"/>
      <c r="T41" s="78" t="str">
        <f t="shared" si="40"/>
        <v/>
      </c>
      <c r="U41" s="349"/>
      <c r="V41" s="78" t="str">
        <f t="shared" si="41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2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3">
      <c r="A42" s="378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0"/>
      <c r="F42" s="69" t="str">
        <f t="shared" si="34"/>
        <v/>
      </c>
      <c r="G42" s="350"/>
      <c r="H42" s="69" t="str">
        <f t="shared" si="35"/>
        <v/>
      </c>
      <c r="I42" s="350"/>
      <c r="J42" s="69" t="str">
        <f t="shared" si="36"/>
        <v/>
      </c>
      <c r="K42" s="350"/>
      <c r="L42" s="69" t="str">
        <f t="shared" si="37"/>
        <v/>
      </c>
      <c r="M42" s="350"/>
      <c r="N42" s="69" t="str">
        <f t="shared" si="54"/>
        <v/>
      </c>
      <c r="O42" s="350"/>
      <c r="P42" s="69" t="str">
        <f t="shared" si="38"/>
        <v/>
      </c>
      <c r="Q42" s="350"/>
      <c r="R42" s="69" t="str">
        <f t="shared" si="39"/>
        <v/>
      </c>
      <c r="S42" s="350"/>
      <c r="T42" s="69" t="str">
        <f t="shared" si="40"/>
        <v/>
      </c>
      <c r="U42" s="350"/>
      <c r="V42" s="69" t="str">
        <f t="shared" si="41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5">
      <c r="A43" s="376" t="s">
        <v>3</v>
      </c>
      <c r="B43" s="73" t="str">
        <f t="shared" si="53"/>
        <v>Lüthje, Volker</v>
      </c>
      <c r="C43" s="74">
        <f t="shared" si="53"/>
        <v>7601</v>
      </c>
      <c r="D43" s="75">
        <f t="shared" si="53"/>
        <v>171</v>
      </c>
      <c r="E43" s="348">
        <f>IF(AD43="","",AD43)</f>
        <v>1</v>
      </c>
      <c r="F43" s="75">
        <f t="shared" si="34"/>
        <v>171</v>
      </c>
      <c r="G43" s="348">
        <f>IF(AF43="","",AF43)</f>
        <v>0</v>
      </c>
      <c r="H43" s="75">
        <f t="shared" si="35"/>
        <v>179</v>
      </c>
      <c r="I43" s="348">
        <f>IF(AH43="","",AH43)</f>
        <v>0.5</v>
      </c>
      <c r="J43" s="75">
        <f t="shared" si="36"/>
        <v>187</v>
      </c>
      <c r="K43" s="348">
        <f>IF(AJ43="","",AJ43)</f>
        <v>0</v>
      </c>
      <c r="L43" s="75" t="str">
        <f t="shared" si="37"/>
        <v/>
      </c>
      <c r="M43" s="348">
        <f>IF(AL43="","",AL43)</f>
        <v>0</v>
      </c>
      <c r="N43" s="75" t="str">
        <f t="shared" si="54"/>
        <v/>
      </c>
      <c r="O43" s="348">
        <f>IF(AN43="","",AN43)</f>
        <v>0</v>
      </c>
      <c r="P43" s="75" t="str">
        <f t="shared" si="38"/>
        <v/>
      </c>
      <c r="Q43" s="348">
        <f>IF(AP43="","",AP43)</f>
        <v>0</v>
      </c>
      <c r="R43" s="75" t="str">
        <f t="shared" si="39"/>
        <v/>
      </c>
      <c r="S43" s="348">
        <f>IF(AR43="","",AR43)</f>
        <v>0</v>
      </c>
      <c r="T43" s="75" t="str">
        <f t="shared" si="40"/>
        <v/>
      </c>
      <c r="U43" s="348">
        <f>IF(AT43="","",AT43)</f>
        <v>0</v>
      </c>
      <c r="V43" s="75">
        <f t="shared" si="41"/>
        <v>708</v>
      </c>
      <c r="W43" s="348">
        <f>IF(AV43="","",AV43)</f>
        <v>1.5</v>
      </c>
      <c r="Z43" s="351" t="s">
        <v>3</v>
      </c>
      <c r="AA43" s="108" t="str">
        <f>IF(AB43=0,"",VLOOKUP(AB43,Starter!$A$1:$D$199,2,FALSE))</f>
        <v>Lüthje, Volker</v>
      </c>
      <c r="AB43" s="99">
        <v>7601</v>
      </c>
      <c r="AC43" s="188">
        <v>171</v>
      </c>
      <c r="AD43" s="109">
        <f>IF(SUM(AC43:AC45)+AC57=0,0,IF(SUM(AC43:AC45)=AC57,0.5,IF(SUM(AC43:AC45)&gt;AC57,1,0)))</f>
        <v>1</v>
      </c>
      <c r="AE43" s="188">
        <v>171</v>
      </c>
      <c r="AF43" s="109">
        <f>IF(SUM(AE43:AE45)+AE57=0,0,IF(SUM(AE43:AE45)=AE57,0.5,IF(SUM(AE43:AE45)&gt;AE57,1,0)))</f>
        <v>0</v>
      </c>
      <c r="AG43" s="188">
        <v>179</v>
      </c>
      <c r="AH43" s="109">
        <f>IF(SUM(AG43:AG45)+AG57=0,0,IF(SUM(AG43:AG45)=AG57,0.5,IF(SUM(AG43:AG45)&gt;AG57,1,0)))</f>
        <v>0.5</v>
      </c>
      <c r="AI43" s="188">
        <v>187</v>
      </c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708</v>
      </c>
      <c r="AV43" s="111">
        <f>SUM(AD43+AF43+AH43+AJ43+AL43+AN43+AP43+AR43+AT43)</f>
        <v>1.5</v>
      </c>
      <c r="AW43" s="101"/>
      <c r="AX43" s="102"/>
      <c r="AZ43" s="63"/>
      <c r="BA43" s="212"/>
      <c r="BB43" s="213"/>
      <c r="BC43" s="214"/>
      <c r="BD43" s="217">
        <f t="shared" si="55"/>
        <v>7601</v>
      </c>
      <c r="BE43" s="213">
        <f t="shared" si="56"/>
        <v>708</v>
      </c>
      <c r="BF43" s="215">
        <f t="shared" si="57"/>
        <v>4</v>
      </c>
      <c r="BG43" s="215">
        <f t="shared" si="58"/>
        <v>4</v>
      </c>
      <c r="BH43" s="215">
        <f t="shared" si="43"/>
        <v>171</v>
      </c>
      <c r="BI43" s="215">
        <f t="shared" si="44"/>
        <v>171</v>
      </c>
      <c r="BJ43" s="215">
        <f t="shared" si="45"/>
        <v>179</v>
      </c>
      <c r="BK43" s="215">
        <f t="shared" si="46"/>
        <v>187</v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187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2</v>
      </c>
      <c r="BW43" s="215">
        <f t="shared" si="63"/>
        <v>708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5">
      <c r="A44" s="377"/>
      <c r="B44" s="76" t="str">
        <f t="shared" si="53"/>
        <v>Glasl sen., Hans</v>
      </c>
      <c r="C44" s="77">
        <f t="shared" si="53"/>
        <v>16762</v>
      </c>
      <c r="D44" s="78" t="str">
        <f t="shared" si="53"/>
        <v/>
      </c>
      <c r="E44" s="349"/>
      <c r="F44" s="78" t="str">
        <f t="shared" si="34"/>
        <v/>
      </c>
      <c r="G44" s="349"/>
      <c r="H44" s="78" t="str">
        <f t="shared" si="35"/>
        <v/>
      </c>
      <c r="I44" s="349"/>
      <c r="J44" s="78" t="str">
        <f t="shared" si="36"/>
        <v/>
      </c>
      <c r="K44" s="349"/>
      <c r="L44" s="78">
        <f t="shared" si="37"/>
        <v>182</v>
      </c>
      <c r="M44" s="349"/>
      <c r="N44" s="78">
        <f t="shared" si="54"/>
        <v>137</v>
      </c>
      <c r="O44" s="349"/>
      <c r="P44" s="78" t="str">
        <f t="shared" si="38"/>
        <v/>
      </c>
      <c r="Q44" s="349"/>
      <c r="R44" s="78" t="str">
        <f t="shared" si="39"/>
        <v/>
      </c>
      <c r="S44" s="349"/>
      <c r="T44" s="78" t="str">
        <f t="shared" si="40"/>
        <v/>
      </c>
      <c r="U44" s="349"/>
      <c r="V44" s="78">
        <f t="shared" si="41"/>
        <v>319</v>
      </c>
      <c r="W44" s="349"/>
      <c r="Z44" s="352"/>
      <c r="AA44" s="108" t="str">
        <f>IF(AB44=0,"",VLOOKUP(AB44,Starter!$A$1:$D$199,2,FALSE))</f>
        <v>Glasl sen., Hans</v>
      </c>
      <c r="AB44" s="98">
        <v>16762</v>
      </c>
      <c r="AC44" s="186"/>
      <c r="AD44" s="112"/>
      <c r="AE44" s="186"/>
      <c r="AF44" s="112"/>
      <c r="AG44" s="186"/>
      <c r="AH44" s="112"/>
      <c r="AI44" s="186"/>
      <c r="AJ44" s="112"/>
      <c r="AK44" s="186">
        <v>182</v>
      </c>
      <c r="AL44" s="112"/>
      <c r="AM44" s="186">
        <v>137</v>
      </c>
      <c r="AN44" s="112"/>
      <c r="AO44" s="186"/>
      <c r="AP44" s="112"/>
      <c r="AQ44" s="186"/>
      <c r="AR44" s="112"/>
      <c r="AS44" s="186"/>
      <c r="AT44" s="112"/>
      <c r="AU44" s="113">
        <f t="shared" si="42"/>
        <v>319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16762</v>
      </c>
      <c r="BE44" s="213">
        <f t="shared" si="56"/>
        <v>319</v>
      </c>
      <c r="BF44" s="215">
        <f t="shared" si="57"/>
        <v>2</v>
      </c>
      <c r="BG44" s="215">
        <f t="shared" si="58"/>
        <v>2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>
        <f t="shared" si="47"/>
        <v>182</v>
      </c>
      <c r="BM44" s="215">
        <f t="shared" si="48"/>
        <v>137</v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182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2</v>
      </c>
      <c r="BW44" s="215">
        <f t="shared" si="63"/>
        <v>319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3">
      <c r="A45" s="378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0"/>
      <c r="F45" s="69" t="str">
        <f t="shared" si="34"/>
        <v/>
      </c>
      <c r="G45" s="350"/>
      <c r="H45" s="69" t="str">
        <f t="shared" si="35"/>
        <v/>
      </c>
      <c r="I45" s="350"/>
      <c r="J45" s="69" t="str">
        <f t="shared" si="36"/>
        <v/>
      </c>
      <c r="K45" s="350"/>
      <c r="L45" s="69" t="str">
        <f t="shared" si="37"/>
        <v/>
      </c>
      <c r="M45" s="350"/>
      <c r="N45" s="69" t="str">
        <f t="shared" si="54"/>
        <v/>
      </c>
      <c r="O45" s="350"/>
      <c r="P45" s="69" t="str">
        <f t="shared" si="38"/>
        <v/>
      </c>
      <c r="Q45" s="350"/>
      <c r="R45" s="69" t="str">
        <f t="shared" si="39"/>
        <v/>
      </c>
      <c r="S45" s="350"/>
      <c r="T45" s="69" t="str">
        <f t="shared" si="40"/>
        <v/>
      </c>
      <c r="U45" s="350"/>
      <c r="V45" s="69" t="str">
        <f t="shared" si="41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5">
      <c r="A46" s="376" t="s">
        <v>11</v>
      </c>
      <c r="B46" s="73" t="str">
        <f>IF(AA46=0,"",AA46)</f>
        <v>Glasl sen., Hans</v>
      </c>
      <c r="C46" s="74">
        <f t="shared" si="53"/>
        <v>16762</v>
      </c>
      <c r="D46" s="75">
        <f t="shared" si="53"/>
        <v>162</v>
      </c>
      <c r="E46" s="348">
        <f>IF(AD46="","",AD46)</f>
        <v>0</v>
      </c>
      <c r="F46" s="75">
        <f t="shared" si="34"/>
        <v>148</v>
      </c>
      <c r="G46" s="348">
        <f>IF(AF46="","",AF46)</f>
        <v>0</v>
      </c>
      <c r="H46" s="75" t="str">
        <f t="shared" si="35"/>
        <v/>
      </c>
      <c r="I46" s="348">
        <f>IF(AH46="","",AH46)</f>
        <v>0</v>
      </c>
      <c r="J46" s="75" t="str">
        <f t="shared" si="36"/>
        <v/>
      </c>
      <c r="K46" s="348">
        <f>IF(AJ46="","",AJ46)</f>
        <v>0</v>
      </c>
      <c r="L46" s="75" t="str">
        <f t="shared" si="37"/>
        <v/>
      </c>
      <c r="M46" s="348">
        <f>IF(AL46="","",AL46)</f>
        <v>1</v>
      </c>
      <c r="N46" s="75" t="str">
        <f t="shared" si="54"/>
        <v/>
      </c>
      <c r="O46" s="348">
        <f>IF(AN46="","",AN46)</f>
        <v>1</v>
      </c>
      <c r="P46" s="75" t="str">
        <f t="shared" si="38"/>
        <v/>
      </c>
      <c r="Q46" s="348">
        <f>IF(AP46="","",AP46)</f>
        <v>0</v>
      </c>
      <c r="R46" s="75" t="str">
        <f t="shared" si="39"/>
        <v/>
      </c>
      <c r="S46" s="348">
        <f>IF(AR46="","",AR46)</f>
        <v>0</v>
      </c>
      <c r="T46" s="75" t="str">
        <f t="shared" si="40"/>
        <v/>
      </c>
      <c r="U46" s="348">
        <f>IF(AT46="","",AT46)</f>
        <v>0</v>
      </c>
      <c r="V46" s="75">
        <f t="shared" si="41"/>
        <v>310</v>
      </c>
      <c r="W46" s="348">
        <f>IF(AV46="","",AV46)</f>
        <v>2</v>
      </c>
      <c r="Z46" s="351" t="s">
        <v>11</v>
      </c>
      <c r="AA46" s="108" t="str">
        <f>IF(AB46=0,"",VLOOKUP(AB46,Starter!$A$1:$D$199,2,FALSE))</f>
        <v>Glasl sen., Hans</v>
      </c>
      <c r="AB46" s="99">
        <v>16762</v>
      </c>
      <c r="AC46" s="188">
        <v>162</v>
      </c>
      <c r="AD46" s="109">
        <f>IF(SUM(AC46:AC48)+AC58=0,0,IF(SUM(AC46:AC48)=AC58,0.5,IF(SUM(AC46:AC48)&gt;AC58,1,0)))</f>
        <v>0</v>
      </c>
      <c r="AE46" s="188">
        <v>148</v>
      </c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1</v>
      </c>
      <c r="AM46" s="188"/>
      <c r="AN46" s="109">
        <f>IF(SUM(AM46:AM48)+AM58=0,0,IF(SUM(AM46:AM48)=AM58,0.5,IF(SUM(AM46:AM48)&gt;AM58,1,0)))</f>
        <v>1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310</v>
      </c>
      <c r="AV46" s="111">
        <f>SUM(AD46+AF46+AH46+AJ46+AL46+AN46+AP46+AR46+AT46)</f>
        <v>2</v>
      </c>
      <c r="AW46" s="101"/>
      <c r="AX46" s="102"/>
      <c r="AZ46" s="63"/>
      <c r="BA46" s="212"/>
      <c r="BB46" s="213"/>
      <c r="BC46" s="214"/>
      <c r="BD46" s="217">
        <f t="shared" si="55"/>
        <v>16762</v>
      </c>
      <c r="BE46" s="213">
        <f t="shared" si="56"/>
        <v>310</v>
      </c>
      <c r="BF46" s="215">
        <f t="shared" si="57"/>
        <v>2</v>
      </c>
      <c r="BG46" s="215">
        <f t="shared" si="58"/>
        <v>2</v>
      </c>
      <c r="BH46" s="215">
        <f t="shared" si="43"/>
        <v>162</v>
      </c>
      <c r="BI46" s="215">
        <f t="shared" si="44"/>
        <v>148</v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162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2</v>
      </c>
      <c r="BW46" s="215">
        <f t="shared" si="63"/>
        <v>310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5">
      <c r="A47" s="377"/>
      <c r="B47" s="76" t="str">
        <f>IF(AA47=0,"",AA47)</f>
        <v>Reichert, Ralph</v>
      </c>
      <c r="C47" s="77">
        <f t="shared" si="53"/>
        <v>7416</v>
      </c>
      <c r="D47" s="78" t="str">
        <f t="shared" si="53"/>
        <v/>
      </c>
      <c r="E47" s="349"/>
      <c r="F47" s="78" t="str">
        <f t="shared" si="34"/>
        <v/>
      </c>
      <c r="G47" s="349"/>
      <c r="H47" s="78">
        <f t="shared" si="35"/>
        <v>170</v>
      </c>
      <c r="I47" s="349"/>
      <c r="J47" s="78">
        <f t="shared" si="36"/>
        <v>188</v>
      </c>
      <c r="K47" s="349"/>
      <c r="L47" s="78">
        <f t="shared" si="37"/>
        <v>225</v>
      </c>
      <c r="M47" s="349"/>
      <c r="N47" s="78">
        <f t="shared" si="54"/>
        <v>194</v>
      </c>
      <c r="O47" s="349"/>
      <c r="P47" s="78" t="str">
        <f t="shared" si="38"/>
        <v/>
      </c>
      <c r="Q47" s="349"/>
      <c r="R47" s="78" t="str">
        <f t="shared" si="39"/>
        <v/>
      </c>
      <c r="S47" s="349"/>
      <c r="T47" s="78" t="str">
        <f t="shared" si="40"/>
        <v/>
      </c>
      <c r="U47" s="349"/>
      <c r="V47" s="78">
        <f t="shared" si="41"/>
        <v>777</v>
      </c>
      <c r="W47" s="349"/>
      <c r="Z47" s="352"/>
      <c r="AA47" s="108" t="str">
        <f>IF(AB47=0,"",VLOOKUP(AB47,Starter!$A$1:$D$199,2,FALSE))</f>
        <v>Reichert, Ralph</v>
      </c>
      <c r="AB47" s="98">
        <v>7416</v>
      </c>
      <c r="AC47" s="186"/>
      <c r="AD47" s="112"/>
      <c r="AE47" s="186"/>
      <c r="AF47" s="112"/>
      <c r="AG47" s="186">
        <v>170</v>
      </c>
      <c r="AH47" s="112"/>
      <c r="AI47" s="186">
        <v>188</v>
      </c>
      <c r="AJ47" s="112"/>
      <c r="AK47" s="186">
        <v>225</v>
      </c>
      <c r="AL47" s="112"/>
      <c r="AM47" s="186">
        <v>194</v>
      </c>
      <c r="AN47" s="112"/>
      <c r="AO47" s="186"/>
      <c r="AP47" s="112"/>
      <c r="AQ47" s="186"/>
      <c r="AR47" s="112"/>
      <c r="AS47" s="186"/>
      <c r="AT47" s="112"/>
      <c r="AU47" s="113">
        <f t="shared" si="42"/>
        <v>777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7416</v>
      </c>
      <c r="BE47" s="213">
        <f t="shared" si="56"/>
        <v>777</v>
      </c>
      <c r="BF47" s="215">
        <f t="shared" si="57"/>
        <v>4</v>
      </c>
      <c r="BG47" s="215">
        <f t="shared" si="58"/>
        <v>4</v>
      </c>
      <c r="BH47" s="215" t="str">
        <f t="shared" si="43"/>
        <v/>
      </c>
      <c r="BI47" s="215" t="str">
        <f t="shared" si="44"/>
        <v/>
      </c>
      <c r="BJ47" s="215">
        <f t="shared" si="45"/>
        <v>170</v>
      </c>
      <c r="BK47" s="215">
        <f t="shared" si="46"/>
        <v>188</v>
      </c>
      <c r="BL47" s="215">
        <f t="shared" si="47"/>
        <v>225</v>
      </c>
      <c r="BM47" s="215">
        <f t="shared" si="48"/>
        <v>194</v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225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2</v>
      </c>
      <c r="BW47" s="215">
        <f t="shared" si="63"/>
        <v>777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3">
      <c r="A48" s="378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0"/>
      <c r="F48" s="69" t="str">
        <f t="shared" si="34"/>
        <v/>
      </c>
      <c r="G48" s="350"/>
      <c r="H48" s="69" t="str">
        <f t="shared" si="35"/>
        <v/>
      </c>
      <c r="I48" s="350"/>
      <c r="J48" s="69" t="str">
        <f t="shared" si="36"/>
        <v/>
      </c>
      <c r="K48" s="350"/>
      <c r="L48" s="69" t="str">
        <f t="shared" si="37"/>
        <v/>
      </c>
      <c r="M48" s="350"/>
      <c r="N48" s="69" t="str">
        <f t="shared" si="54"/>
        <v/>
      </c>
      <c r="O48" s="350"/>
      <c r="P48" s="69" t="str">
        <f t="shared" si="38"/>
        <v/>
      </c>
      <c r="Q48" s="350"/>
      <c r="R48" s="69" t="str">
        <f t="shared" si="39"/>
        <v/>
      </c>
      <c r="S48" s="350"/>
      <c r="T48" s="69" t="str">
        <f t="shared" si="40"/>
        <v/>
      </c>
      <c r="U48" s="350"/>
      <c r="V48" s="69" t="str">
        <f t="shared" si="41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723</v>
      </c>
      <c r="E49" s="84">
        <f>IF(AD49="","",AD49)</f>
        <v>0</v>
      </c>
      <c r="F49" s="83">
        <f t="shared" si="34"/>
        <v>736</v>
      </c>
      <c r="G49" s="84">
        <f>IF(AF49="","",AF49)</f>
        <v>2</v>
      </c>
      <c r="H49" s="83">
        <f t="shared" si="35"/>
        <v>716</v>
      </c>
      <c r="I49" s="84">
        <f>IF(AH49="","",AH49)</f>
        <v>0</v>
      </c>
      <c r="J49" s="83">
        <f t="shared" si="36"/>
        <v>730</v>
      </c>
      <c r="K49" s="84">
        <f>IF(AJ49="","",AJ49)</f>
        <v>0</v>
      </c>
      <c r="L49" s="83">
        <f t="shared" si="37"/>
        <v>796</v>
      </c>
      <c r="M49" s="84">
        <f>IF(AL49="","",AL49)</f>
        <v>0</v>
      </c>
      <c r="N49" s="83">
        <f t="shared" si="54"/>
        <v>709</v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>
        <f t="shared" si="41"/>
        <v>4410</v>
      </c>
      <c r="W49" s="84">
        <f>IF(AV49="","",AV49)</f>
        <v>2</v>
      </c>
      <c r="AA49" s="81" t="s">
        <v>1799</v>
      </c>
      <c r="AB49" s="120"/>
      <c r="AC49" s="211">
        <f>ABS(SUM(AC37:AC39))+ABS(SUM(AC40:AC42))+ABS(SUM(AC43:AC45))+ABS(SUM(AC46:AC48))</f>
        <v>723</v>
      </c>
      <c r="AD49" s="121">
        <f>IF(AC49+AC59=0,0,IF(AC49=AC59,1,IF(AC49&gt;AC59,2,0)))</f>
        <v>0</v>
      </c>
      <c r="AE49" s="211">
        <f>ABS(SUM(AE37:AE39))+ABS(SUM(AE40:AE42))+ABS(SUM(AE43:AE45))+ABS(SUM(AE46:AE48))</f>
        <v>736</v>
      </c>
      <c r="AF49" s="121">
        <f>IF(AE49+AE59=0,0,IF(AE49=AE59,1,IF(AE49&gt;AE59,2,0)))</f>
        <v>2</v>
      </c>
      <c r="AG49" s="211">
        <f>ABS(SUM(AG37:AG39))+ABS(SUM(AG40:AG42))+ABS(SUM(AG43:AG45))+ABS(SUM(AG46:AG48))</f>
        <v>716</v>
      </c>
      <c r="AH49" s="121">
        <f>IF(AG49+AG59=0,0,IF(AG49=AG59,1,IF(AG49&gt;AG59,2,0)))</f>
        <v>0</v>
      </c>
      <c r="AI49" s="211">
        <f>ABS(SUM(AI37:AI39))+ABS(SUM(AI40:AI42))+ABS(SUM(AI43:AI45))+ABS(SUM(AI46:AI48))</f>
        <v>730</v>
      </c>
      <c r="AJ49" s="121">
        <f>IF(AI49+AI59=0,0,IF(AI49=AI59,1,IF(AI49&gt;AI59,2,0)))</f>
        <v>0</v>
      </c>
      <c r="AK49" s="211">
        <f>ABS(SUM(AK37:AK39))+ABS(SUM(AK40:AK42))+ABS(SUM(AK43:AK45))+ABS(SUM(AK46:AK48))</f>
        <v>796</v>
      </c>
      <c r="AL49" s="121">
        <f>IF(AK49+AK59=0,0,IF(AK49=AK59,1,IF(AK49&gt;AK59,2,0)))</f>
        <v>0</v>
      </c>
      <c r="AM49" s="211">
        <f>ABS(SUM(AM37:AM39))+ABS(SUM(AM40:AM42))+ABS(SUM(AM43:AM45))+ABS(SUM(AM46:AM48))</f>
        <v>709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4410</v>
      </c>
      <c r="AV49" s="123">
        <f>SUM(AD49+AF49+AH49+AJ49+AL49+AN49+AP49+AR49+AT49)</f>
        <v>2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4</v>
      </c>
      <c r="H50" s="86" t="str">
        <f t="shared" si="35"/>
        <v/>
      </c>
      <c r="I50" s="87">
        <f>IF(AH50="","",AH50)</f>
        <v>1.5</v>
      </c>
      <c r="J50" s="86" t="str">
        <f t="shared" si="36"/>
        <v/>
      </c>
      <c r="K50" s="87">
        <f>IF(AJ50="","",AJ50)</f>
        <v>1</v>
      </c>
      <c r="L50" s="86" t="str">
        <f t="shared" si="37"/>
        <v/>
      </c>
      <c r="M50" s="87">
        <f>IF(AL50="","",AL50)</f>
        <v>2</v>
      </c>
      <c r="N50" s="86" t="str">
        <f t="shared" si="54"/>
        <v/>
      </c>
      <c r="O50" s="87">
        <f>IF(AN50="","",AN50)</f>
        <v>2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11.5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4</v>
      </c>
      <c r="AG50" s="86"/>
      <c r="AH50" s="124">
        <f>SUM(AH37:AH49)</f>
        <v>1.5</v>
      </c>
      <c r="AI50" s="86"/>
      <c r="AJ50" s="124">
        <f>SUM(AJ37:AJ49)</f>
        <v>1</v>
      </c>
      <c r="AK50" s="86"/>
      <c r="AL50" s="124">
        <f>SUM(AL37:AL49)</f>
        <v>2</v>
      </c>
      <c r="AM50" s="86"/>
      <c r="AN50" s="124">
        <f>SUM(AN37:AN49)</f>
        <v>2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11.5</v>
      </c>
      <c r="AW50" s="101"/>
      <c r="AX50" s="102"/>
      <c r="BA50" s="212">
        <f>+AV50</f>
        <v>11.5</v>
      </c>
      <c r="BB50" s="213">
        <f>+AU49</f>
        <v>4410</v>
      </c>
      <c r="BC50" s="214">
        <f>+AA32</f>
        <v>2</v>
      </c>
      <c r="BF50" s="215">
        <f>SUM(BF31:BF49)</f>
        <v>24</v>
      </c>
      <c r="BQ50" s="212">
        <f>+BB50/1000000+BA50</f>
        <v>11.50441</v>
      </c>
      <c r="BR50" s="214">
        <f>RANK(BQ50,BQ:BQ)</f>
        <v>10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6">
        <f t="shared" si="65"/>
        <v>5</v>
      </c>
      <c r="E52" s="356" t="str">
        <f t="shared" si="65"/>
        <v/>
      </c>
      <c r="F52" s="356">
        <f t="shared" si="65"/>
        <v>4</v>
      </c>
      <c r="G52" s="356" t="str">
        <f t="shared" si="65"/>
        <v/>
      </c>
      <c r="H52" s="356">
        <f t="shared" si="65"/>
        <v>8</v>
      </c>
      <c r="I52" s="356" t="str">
        <f t="shared" si="65"/>
        <v/>
      </c>
      <c r="J52" s="356">
        <f t="shared" si="65"/>
        <v>7</v>
      </c>
      <c r="K52" s="356" t="str">
        <f t="shared" si="65"/>
        <v/>
      </c>
      <c r="L52" s="356">
        <f t="shared" si="65"/>
        <v>6</v>
      </c>
      <c r="M52" s="356" t="str">
        <f t="shared" si="65"/>
        <v/>
      </c>
      <c r="N52" s="356">
        <f t="shared" si="65"/>
        <v>10</v>
      </c>
      <c r="O52" s="356" t="str">
        <f t="shared" si="65"/>
        <v/>
      </c>
      <c r="P52" s="356">
        <f t="shared" si="65"/>
        <v>3</v>
      </c>
      <c r="Q52" s="356" t="str">
        <f t="shared" si="65"/>
        <v/>
      </c>
      <c r="R52" s="356">
        <f t="shared" ref="L52:U54" si="66">IF(AQ52=0,"",AQ52)</f>
        <v>9</v>
      </c>
      <c r="S52" s="356" t="str">
        <f t="shared" si="66"/>
        <v/>
      </c>
      <c r="T52" s="356">
        <f t="shared" si="66"/>
        <v>1</v>
      </c>
      <c r="U52" s="356" t="str">
        <f t="shared" si="66"/>
        <v/>
      </c>
      <c r="V52" s="357"/>
      <c r="W52" s="357"/>
      <c r="AA52" s="88" t="s">
        <v>1797</v>
      </c>
      <c r="AB52" s="89" t="s">
        <v>1798</v>
      </c>
      <c r="AC52" s="370">
        <f>VLOOKUP($AA32,Schlüssel!$A$5:$DG$14,103)</f>
        <v>5</v>
      </c>
      <c r="AD52" s="371"/>
      <c r="AE52" s="370">
        <f>VLOOKUP($AA32,Schlüssel!$A$5:$EK$14,104)</f>
        <v>4</v>
      </c>
      <c r="AF52" s="371"/>
      <c r="AG52" s="370">
        <f>VLOOKUP($AA32,Schlüssel!$A$5:$EK$14,105)</f>
        <v>8</v>
      </c>
      <c r="AH52" s="371"/>
      <c r="AI52" s="370">
        <f>VLOOKUP($AA32,Schlüssel!$A$5:$EK$14,106)</f>
        <v>7</v>
      </c>
      <c r="AJ52" s="371"/>
      <c r="AK52" s="370">
        <f>VLOOKUP($AA32,Schlüssel!$A$5:$EK$14,107)</f>
        <v>6</v>
      </c>
      <c r="AL52" s="371"/>
      <c r="AM52" s="370">
        <f>VLOOKUP($AA32,Schlüssel!$A$5:$EK$14,108)</f>
        <v>10</v>
      </c>
      <c r="AN52" s="371"/>
      <c r="AO52" s="370">
        <f>VLOOKUP($AA32,Schlüssel!$A$5:$EK$14,109)</f>
        <v>3</v>
      </c>
      <c r="AP52" s="371"/>
      <c r="AQ52" s="370">
        <f>VLOOKUP($AA32,Schlüssel!$A$5:$EK$14,110)</f>
        <v>9</v>
      </c>
      <c r="AR52" s="371"/>
      <c r="AS52" s="370">
        <f>VLOOKUP($AA32,Schlüssel!$A$5:$EK$14,111)</f>
        <v>1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58" t="str">
        <f t="shared" si="67"/>
        <v>RW Lichtenhof Stein 1</v>
      </c>
      <c r="E53" s="359" t="str">
        <f t="shared" si="67"/>
        <v/>
      </c>
      <c r="F53" s="358" t="str">
        <f t="shared" si="67"/>
        <v>SG DJK Rimpar</v>
      </c>
      <c r="G53" s="359" t="str">
        <f t="shared" si="67"/>
        <v/>
      </c>
      <c r="H53" s="358" t="str">
        <f t="shared" si="67"/>
        <v>BC EMAX Unterföhring 2</v>
      </c>
      <c r="I53" s="359" t="str">
        <f t="shared" si="67"/>
        <v/>
      </c>
      <c r="J53" s="358" t="str">
        <f t="shared" si="67"/>
        <v>Schanzer Ingolstadt 1</v>
      </c>
      <c r="K53" s="359" t="str">
        <f t="shared" si="67"/>
        <v/>
      </c>
      <c r="L53" s="358" t="str">
        <f t="shared" si="66"/>
        <v>SG Rottendorf 1</v>
      </c>
      <c r="M53" s="359" t="str">
        <f t="shared" si="66"/>
        <v/>
      </c>
      <c r="N53" s="358" t="str">
        <f t="shared" si="66"/>
        <v>High Roller Rosenheim 1</v>
      </c>
      <c r="O53" s="359" t="str">
        <f t="shared" si="66"/>
        <v/>
      </c>
      <c r="P53" s="358" t="str">
        <f t="shared" si="66"/>
        <v>BK München 3</v>
      </c>
      <c r="Q53" s="359" t="str">
        <f t="shared" si="66"/>
        <v/>
      </c>
      <c r="R53" s="358" t="str">
        <f t="shared" si="66"/>
        <v>Bowlinghaus Bamberg 1</v>
      </c>
      <c r="S53" s="359" t="str">
        <f t="shared" si="66"/>
        <v/>
      </c>
      <c r="T53" s="358" t="str">
        <f t="shared" si="66"/>
        <v>BC Comet Nürnberg</v>
      </c>
      <c r="U53" s="359" t="str">
        <f t="shared" si="66"/>
        <v/>
      </c>
      <c r="V53" s="363"/>
      <c r="W53" s="363"/>
      <c r="AA53" s="90"/>
      <c r="AB53" s="86"/>
      <c r="AC53" s="358" t="str">
        <f>VLOOKUP(AC52,Schlüssel!$A$5:$K$14,2)</f>
        <v>RW Lichtenhof Stein 1</v>
      </c>
      <c r="AD53" s="359"/>
      <c r="AE53" s="358" t="str">
        <f>VLOOKUP(AE52,Schlüssel!$A$5:$K$14,2)</f>
        <v>SG DJK Rimpar</v>
      </c>
      <c r="AF53" s="359"/>
      <c r="AG53" s="358" t="str">
        <f>VLOOKUP(AG52,Schlüssel!$A$5:$K$14,2)</f>
        <v>BC EMAX Unterföhring 2</v>
      </c>
      <c r="AH53" s="359"/>
      <c r="AI53" s="358" t="str">
        <f>VLOOKUP(AI52,Schlüssel!$A$5:$K$14,2)</f>
        <v>Schanzer Ingolstadt 1</v>
      </c>
      <c r="AJ53" s="359"/>
      <c r="AK53" s="358" t="str">
        <f>VLOOKUP(AK52,Schlüssel!$A$5:$K$14,2)</f>
        <v>SG Rottendorf 1</v>
      </c>
      <c r="AL53" s="359"/>
      <c r="AM53" s="358" t="str">
        <f>VLOOKUP(AM52,Schlüssel!$A$5:$K$14,2)</f>
        <v>High Roller Rosenheim 1</v>
      </c>
      <c r="AN53" s="359"/>
      <c r="AO53" s="358" t="str">
        <f>VLOOKUP(AO52,Schlüssel!$A$5:$K$14,2)</f>
        <v>BK München 3</v>
      </c>
      <c r="AP53" s="359"/>
      <c r="AQ53" s="358" t="str">
        <f>VLOOKUP(AQ52,Schlüssel!$A$5:$K$14,2)</f>
        <v>Bowlinghaus Bamberg 1</v>
      </c>
      <c r="AR53" s="359"/>
      <c r="AS53" s="358" t="str">
        <f>VLOOKUP(AS52,Schlüssel!$A$5:$K$14,2)</f>
        <v>BC Comet Nürnberg</v>
      </c>
      <c r="AT53" s="359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60" t="str">
        <f t="shared" si="67"/>
        <v/>
      </c>
      <c r="E54" s="360" t="str">
        <f t="shared" si="67"/>
        <v/>
      </c>
      <c r="F54" s="360" t="str">
        <f t="shared" si="67"/>
        <v/>
      </c>
      <c r="G54" s="360" t="str">
        <f t="shared" si="67"/>
        <v/>
      </c>
      <c r="H54" s="360" t="str">
        <f t="shared" si="67"/>
        <v/>
      </c>
      <c r="I54" s="360" t="str">
        <f t="shared" si="67"/>
        <v/>
      </c>
      <c r="J54" s="360" t="str">
        <f t="shared" si="67"/>
        <v/>
      </c>
      <c r="K54" s="360" t="str">
        <f t="shared" si="67"/>
        <v/>
      </c>
      <c r="L54" s="360" t="str">
        <f t="shared" si="66"/>
        <v/>
      </c>
      <c r="M54" s="360" t="str">
        <f t="shared" si="66"/>
        <v/>
      </c>
      <c r="N54" s="360" t="str">
        <f t="shared" si="66"/>
        <v/>
      </c>
      <c r="O54" s="360" t="str">
        <f t="shared" si="66"/>
        <v/>
      </c>
      <c r="P54" s="360" t="str">
        <f t="shared" si="66"/>
        <v/>
      </c>
      <c r="Q54" s="360" t="str">
        <f t="shared" si="66"/>
        <v/>
      </c>
      <c r="R54" s="360" t="str">
        <f t="shared" si="66"/>
        <v/>
      </c>
      <c r="S54" s="360" t="str">
        <f t="shared" si="66"/>
        <v/>
      </c>
      <c r="T54" s="360" t="str">
        <f t="shared" si="66"/>
        <v/>
      </c>
      <c r="U54" s="361" t="str">
        <f t="shared" si="66"/>
        <v/>
      </c>
      <c r="V54" s="298"/>
      <c r="W54" s="298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4" t="str">
        <f t="shared" ref="B55:C59" si="68">IF(AA55=0,"",AA55)</f>
        <v>Spieler 1</v>
      </c>
      <c r="C55" s="375" t="str">
        <f t="shared" si="68"/>
        <v/>
      </c>
      <c r="D55" s="362">
        <f>IF(AC55=301,"",AC55)</f>
        <v>232</v>
      </c>
      <c r="E55" s="362" t="str">
        <f>IF(AD55=0,"",AD55)</f>
        <v/>
      </c>
      <c r="F55" s="362">
        <f>IF(AE55=301,"",AE55)</f>
        <v>177</v>
      </c>
      <c r="G55" s="362" t="str">
        <f>IF(AF55=0,"",AF55)</f>
        <v/>
      </c>
      <c r="H55" s="362">
        <f>IF(AG55=301,"",AG55)</f>
        <v>168</v>
      </c>
      <c r="I55" s="362" t="str">
        <f>IF(AH55=0,"",AH55)</f>
        <v/>
      </c>
      <c r="J55" s="362">
        <f>IF(AI55=301,"",AI55)</f>
        <v>147</v>
      </c>
      <c r="K55" s="362" t="str">
        <f>IF(AJ55=0,"",AJ55)</f>
        <v/>
      </c>
      <c r="L55" s="362">
        <f>IF(AK55=301,"",AK55)</f>
        <v>211</v>
      </c>
      <c r="M55" s="362" t="str">
        <f>IF(AL55=0,"",AL55)</f>
        <v/>
      </c>
      <c r="N55" s="362">
        <f>IF(AM55=301,"",AM55)</f>
        <v>234</v>
      </c>
      <c r="O55" s="362" t="str">
        <f>IF(AN55=0,"",AN55)</f>
        <v/>
      </c>
      <c r="P55" s="362">
        <f>IF(AO55=301,"",AO55)</f>
        <v>0</v>
      </c>
      <c r="Q55" s="362" t="str">
        <f>IF(AP55=0,"",AP55)</f>
        <v/>
      </c>
      <c r="R55" s="362">
        <f>IF(AQ55=301,"",AQ55)</f>
        <v>0</v>
      </c>
      <c r="S55" s="362" t="str">
        <f>IF(AR55=0,"",AR55)</f>
        <v/>
      </c>
      <c r="T55" s="362">
        <f>IF(AS55=301,"",AS55)</f>
        <v>0</v>
      </c>
      <c r="U55" s="362" t="str">
        <f>IF(AT55=0,"",AT55)</f>
        <v/>
      </c>
      <c r="V55" s="364"/>
      <c r="W55" s="364"/>
      <c r="AA55" s="91" t="s">
        <v>0</v>
      </c>
      <c r="AB55" s="92"/>
      <c r="AC55" s="368">
        <f>ABS(INDEX(AC:AC,MATCH(AC52,$AA:$AA,0)+5)+INDEX(AC:AC,MATCH(AC52,$AA:$AA,0)+6)+INDEX(AC:AC,MATCH(AC52,$AA:$AA,0)+7))</f>
        <v>232</v>
      </c>
      <c r="AD55" s="369"/>
      <c r="AE55" s="368">
        <f>ABS(INDEX(AE:AE,MATCH(AE52,$AA:$AA,0)+5)+INDEX(AE:AE,MATCH(AE52,$AA:$AA,0)+6)+INDEX(AE:AE,MATCH(AE52,$AA:$AA,0)+7))</f>
        <v>177</v>
      </c>
      <c r="AF55" s="369"/>
      <c r="AG55" s="368">
        <f>ABS(INDEX(AG:AG,MATCH(AG52,$AA:$AA,0)+5)+INDEX(AG:AG,MATCH(AG52,$AA:$AA,0)+6)+INDEX(AG:AG,MATCH(AG52,$AA:$AA,0)+7))</f>
        <v>168</v>
      </c>
      <c r="AH55" s="369"/>
      <c r="AI55" s="368">
        <f>ABS(INDEX(AI:AI,MATCH(AI52,$AA:$AA,0)+5)+INDEX(AI:AI,MATCH(AI52,$AA:$AA,0)+6)+INDEX(AI:AI,MATCH(AI52,$AA:$AA,0)+7))</f>
        <v>147</v>
      </c>
      <c r="AJ55" s="369"/>
      <c r="AK55" s="368">
        <f>ABS(INDEX(AK:AK,MATCH(AK52,$AA:$AA,0)+5)+INDEX(AK:AK,MATCH(AK52,$AA:$AA,0)+6)+INDEX(AK:AK,MATCH(AK52,$AA:$AA,0)+7))</f>
        <v>211</v>
      </c>
      <c r="AL55" s="369"/>
      <c r="AM55" s="368">
        <f>ABS(INDEX(AM:AM,MATCH(AM52,$AA:$AA,0)+5)+INDEX(AM:AM,MATCH(AM52,$AA:$AA,0)+6)+INDEX(AM:AM,MATCH(AM52,$AA:$AA,0)+7))</f>
        <v>234</v>
      </c>
      <c r="AN55" s="369"/>
      <c r="AO55" s="368">
        <f>ABS(INDEX(AO:AO,MATCH(AO52,$AA:$AA,0)+5)+INDEX(AO:AO,MATCH(AO52,$AA:$AA,0)+6)+INDEX(AO:AO,MATCH(AO52,$AA:$AA,0)+7))</f>
        <v>0</v>
      </c>
      <c r="AP55" s="369"/>
      <c r="AQ55" s="368">
        <f>ABS(INDEX(AQ:AQ,MATCH(AQ52,$AA:$AA,0)+5)+INDEX(AQ:AQ,MATCH(AQ52,$AA:$AA,0)+6)+INDEX(AQ:AQ,MATCH(AQ52,$AA:$AA,0)+7))</f>
        <v>0</v>
      </c>
      <c r="AR55" s="369"/>
      <c r="AS55" s="368">
        <f>ABS(INDEX(AS:AS,MATCH(AS52,$AA:$AA,0)+5)+INDEX(AS:AS,MATCH(AS52,$AA:$AA,0)+6)+INDEX(AS:AS,MATCH(AS52,$AA:$AA,0)+7))</f>
        <v>0</v>
      </c>
      <c r="AT55" s="369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4" t="str">
        <f t="shared" si="68"/>
        <v>Spieler 2</v>
      </c>
      <c r="C56" s="375" t="str">
        <f t="shared" si="68"/>
        <v/>
      </c>
      <c r="D56" s="362">
        <f>IF(AC56=301,"",AC56)</f>
        <v>193</v>
      </c>
      <c r="E56" s="362" t="str">
        <f>IF(AD56=0,"",AD56)</f>
        <v/>
      </c>
      <c r="F56" s="362">
        <f>IF(AE56=301,"",AE56)</f>
        <v>182</v>
      </c>
      <c r="G56" s="362" t="str">
        <f>IF(AF56=0,"",AF56)</f>
        <v/>
      </c>
      <c r="H56" s="362">
        <f>IF(AG56=301,"",AG56)</f>
        <v>174</v>
      </c>
      <c r="I56" s="362" t="str">
        <f>IF(AH56=0,"",AH56)</f>
        <v/>
      </c>
      <c r="J56" s="362">
        <f>IF(AI56=301,"",AI56)</f>
        <v>196</v>
      </c>
      <c r="K56" s="362" t="str">
        <f>IF(AJ56=0,"",AJ56)</f>
        <v/>
      </c>
      <c r="L56" s="362">
        <f>IF(AK56=301,"",AK56)</f>
        <v>183</v>
      </c>
      <c r="M56" s="362" t="str">
        <f>IF(AL56=0,"",AL56)</f>
        <v/>
      </c>
      <c r="N56" s="362">
        <f>IF(AM56=301,"",AM56)</f>
        <v>157</v>
      </c>
      <c r="O56" s="362" t="str">
        <f>IF(AN56=0,"",AN56)</f>
        <v/>
      </c>
      <c r="P56" s="362">
        <f>IF(AO56=301,"",AO56)</f>
        <v>0</v>
      </c>
      <c r="Q56" s="362" t="str">
        <f>IF(AP56=0,"",AP56)</f>
        <v/>
      </c>
      <c r="R56" s="362">
        <f>IF(AQ56=301,"",AQ56)</f>
        <v>0</v>
      </c>
      <c r="S56" s="362" t="str">
        <f>IF(AR56=0,"",AR56)</f>
        <v/>
      </c>
      <c r="T56" s="362">
        <f>IF(AS56=301,"",AS56)</f>
        <v>0</v>
      </c>
      <c r="U56" s="362" t="str">
        <f>IF(AT56=0,"",AT56)</f>
        <v/>
      </c>
      <c r="V56" s="364"/>
      <c r="W56" s="364"/>
      <c r="AA56" s="91" t="s">
        <v>2</v>
      </c>
      <c r="AB56" s="92"/>
      <c r="AC56" s="366">
        <f>ABS(INDEX(AC:AC,MATCH(AC52,$AA:$AA,0)+8)+INDEX(AC:AC,MATCH(AC52,$AA:$AA,0)+9)+INDEX(AC:AC,MATCH(AC52,$AA:$AA,0)+10))</f>
        <v>193</v>
      </c>
      <c r="AD56" s="367"/>
      <c r="AE56" s="366">
        <f>ABS(INDEX(AE:AE,MATCH(AE52,$AA:$AA,0)+8)+INDEX(AE:AE,MATCH(AE52,$AA:$AA,0)+9)+INDEX(AE:AE,MATCH(AE52,$AA:$AA,0)+10))</f>
        <v>182</v>
      </c>
      <c r="AF56" s="367"/>
      <c r="AG56" s="366">
        <f>ABS(INDEX(AG:AG,MATCH(AG52,$AA:$AA,0)+8)+INDEX(AG:AG,MATCH(AG52,$AA:$AA,0)+9)+INDEX(AG:AG,MATCH(AG52,$AA:$AA,0)+10))</f>
        <v>174</v>
      </c>
      <c r="AH56" s="367"/>
      <c r="AI56" s="366">
        <f>ABS(INDEX(AI:AI,MATCH(AI52,$AA:$AA,0)+8)+INDEX(AI:AI,MATCH(AI52,$AA:$AA,0)+9)+INDEX(AI:AI,MATCH(AI52,$AA:$AA,0)+10))</f>
        <v>196</v>
      </c>
      <c r="AJ56" s="367"/>
      <c r="AK56" s="366">
        <f>ABS(INDEX(AK:AK,MATCH(AK52,$AA:$AA,0)+8)+INDEX(AK:AK,MATCH(AK52,$AA:$AA,0)+9)+INDEX(AK:AK,MATCH(AK52,$AA:$AA,0)+10))</f>
        <v>183</v>
      </c>
      <c r="AL56" s="367"/>
      <c r="AM56" s="366">
        <f>ABS(INDEX(AM:AM,MATCH(AM52,$AA:$AA,0)+8)+INDEX(AM:AM,MATCH(AM52,$AA:$AA,0)+9)+INDEX(AM:AM,MATCH(AM52,$AA:$AA,0)+10))</f>
        <v>157</v>
      </c>
      <c r="AN56" s="367"/>
      <c r="AO56" s="366">
        <f>ABS(INDEX(AO:AO,MATCH(AO52,$AA:$AA,0)+8)+INDEX(AO:AO,MATCH(AO52,$AA:$AA,0)+9)+INDEX(AO:AO,MATCH(AO52,$AA:$AA,0)+10))</f>
        <v>0</v>
      </c>
      <c r="AP56" s="367"/>
      <c r="AQ56" s="366">
        <f>ABS(INDEX(AQ:AQ,MATCH(AQ52,$AA:$AA,0)+8)+INDEX(AQ:AQ,MATCH(AQ52,$AA:$AA,0)+9)+INDEX(AQ:AQ,MATCH(AQ52,$AA:$AA,0)+10))</f>
        <v>0</v>
      </c>
      <c r="AR56" s="367"/>
      <c r="AS56" s="366">
        <f>ABS(INDEX(AS:AS,MATCH(AS52,$AA:$AA,0)+8)+INDEX(AS:AS,MATCH(AS52,$AA:$AA,0)+9)+INDEX(AS:AS,MATCH(AS52,$AA:$AA,0)+10))</f>
        <v>0</v>
      </c>
      <c r="AT56" s="367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4" t="str">
        <f t="shared" si="68"/>
        <v>Spieler 3</v>
      </c>
      <c r="C57" s="375" t="str">
        <f t="shared" si="68"/>
        <v/>
      </c>
      <c r="D57" s="362">
        <f>IF(AC57=301,"",AC57)</f>
        <v>169</v>
      </c>
      <c r="E57" s="362" t="str">
        <f>IF(AD57=0,"",AD57)</f>
        <v/>
      </c>
      <c r="F57" s="362">
        <f>IF(AE57=301,"",AE57)</f>
        <v>181</v>
      </c>
      <c r="G57" s="362" t="str">
        <f>IF(AF57=0,"",AF57)</f>
        <v/>
      </c>
      <c r="H57" s="362">
        <f>IF(AG57=301,"",AG57)</f>
        <v>179</v>
      </c>
      <c r="I57" s="362" t="str">
        <f>IF(AH57=0,"",AH57)</f>
        <v/>
      </c>
      <c r="J57" s="362">
        <f>IF(AI57=301,"",AI57)</f>
        <v>198</v>
      </c>
      <c r="K57" s="362" t="str">
        <f>IF(AJ57=0,"",AJ57)</f>
        <v/>
      </c>
      <c r="L57" s="362">
        <f>IF(AK57=301,"",AK57)</f>
        <v>194</v>
      </c>
      <c r="M57" s="362" t="str">
        <f>IF(AL57=0,"",AL57)</f>
        <v/>
      </c>
      <c r="N57" s="362">
        <f>IF(AM57=301,"",AM57)</f>
        <v>165</v>
      </c>
      <c r="O57" s="362" t="str">
        <f>IF(AN57=0,"",AN57)</f>
        <v/>
      </c>
      <c r="P57" s="362">
        <f>IF(AO57=301,"",AO57)</f>
        <v>0</v>
      </c>
      <c r="Q57" s="362" t="str">
        <f>IF(AP57=0,"",AP57)</f>
        <v/>
      </c>
      <c r="R57" s="362">
        <f>IF(AQ57=301,"",AQ57)</f>
        <v>0</v>
      </c>
      <c r="S57" s="362" t="str">
        <f>IF(AR57=0,"",AR57)</f>
        <v/>
      </c>
      <c r="T57" s="362">
        <f>IF(AS57=301,"",AS57)</f>
        <v>0</v>
      </c>
      <c r="U57" s="362" t="str">
        <f>IF(AT57=0,"",AT57)</f>
        <v/>
      </c>
      <c r="V57" s="364"/>
      <c r="W57" s="364"/>
      <c r="AA57" s="91" t="s">
        <v>3</v>
      </c>
      <c r="AB57" s="92"/>
      <c r="AC57" s="366">
        <f>ABS(INDEX(AC:AC,MATCH(AC52,$AA:$AA,0)+11)+INDEX(AC:AC,MATCH(AC52,$AA:$AA,0)+12)+INDEX(AC:AC,MATCH(AC52,$AA:$AA,0)+13))</f>
        <v>169</v>
      </c>
      <c r="AD57" s="367"/>
      <c r="AE57" s="366">
        <f>ABS(INDEX(AE:AE,MATCH(AE52,$AA:$AA,0)+11)+INDEX(AE:AE,MATCH(AE52,$AA:$AA,0)+12)+INDEX(AE:AE,MATCH(AE52,$AA:$AA,0)+13))</f>
        <v>181</v>
      </c>
      <c r="AF57" s="367"/>
      <c r="AG57" s="366">
        <f>ABS(INDEX(AG:AG,MATCH(AG52,$AA:$AA,0)+11)+INDEX(AG:AG,MATCH(AG52,$AA:$AA,0)+12)+INDEX(AG:AG,MATCH(AG52,$AA:$AA,0)+13))</f>
        <v>179</v>
      </c>
      <c r="AH57" s="367"/>
      <c r="AI57" s="366">
        <f>ABS(INDEX(AI:AI,MATCH(AI52,$AA:$AA,0)+11)+INDEX(AI:AI,MATCH(AI52,$AA:$AA,0)+12)+INDEX(AI:AI,MATCH(AI52,$AA:$AA,0)+13))</f>
        <v>198</v>
      </c>
      <c r="AJ57" s="367"/>
      <c r="AK57" s="366">
        <f>ABS(INDEX(AK:AK,MATCH(AK52,$AA:$AA,0)+11)+INDEX(AK:AK,MATCH(AK52,$AA:$AA,0)+12)+INDEX(AK:AK,MATCH(AK52,$AA:$AA,0)+13))</f>
        <v>194</v>
      </c>
      <c r="AL57" s="367"/>
      <c r="AM57" s="366">
        <f>ABS(INDEX(AM:AM,MATCH(AM52,$AA:$AA,0)+11)+INDEX(AM:AM,MATCH(AM52,$AA:$AA,0)+12)+INDEX(AM:AM,MATCH(AM52,$AA:$AA,0)+13))</f>
        <v>165</v>
      </c>
      <c r="AN57" s="367"/>
      <c r="AO57" s="366">
        <f>ABS(INDEX(AO:AO,MATCH(AO52,$AA:$AA,0)+11)+INDEX(AO:AO,MATCH(AO52,$AA:$AA,0)+12)+INDEX(AO:AO,MATCH(AO52,$AA:$AA,0)+13))</f>
        <v>0</v>
      </c>
      <c r="AP57" s="367"/>
      <c r="AQ57" s="366">
        <f>ABS(INDEX(AQ:AQ,MATCH(AQ52,$AA:$AA,0)+11)+INDEX(AQ:AQ,MATCH(AQ52,$AA:$AA,0)+12)+INDEX(AQ:AQ,MATCH(AQ52,$AA:$AA,0)+13))</f>
        <v>0</v>
      </c>
      <c r="AR57" s="367"/>
      <c r="AS57" s="366">
        <f>ABS(INDEX(AS:AS,MATCH(AS52,$AA:$AA,0)+11)+INDEX(AS:AS,MATCH(AS52,$AA:$AA,0)+12)+INDEX(AS:AS,MATCH(AS52,$AA:$AA,0)+13))</f>
        <v>0</v>
      </c>
      <c r="AT57" s="367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4" t="str">
        <f t="shared" si="68"/>
        <v>Spieler 4</v>
      </c>
      <c r="C58" s="375" t="str">
        <f t="shared" si="68"/>
        <v/>
      </c>
      <c r="D58" s="362">
        <f>IF(AC58=301,"",AC58)</f>
        <v>233</v>
      </c>
      <c r="E58" s="362" t="str">
        <f>IF(AD58=0,"",AD58)</f>
        <v/>
      </c>
      <c r="F58" s="362">
        <f>IF(AE58=301,"",AE58)</f>
        <v>183</v>
      </c>
      <c r="G58" s="362" t="str">
        <f>IF(AF58=0,"",AF58)</f>
        <v/>
      </c>
      <c r="H58" s="362">
        <f>IF(AG58=301,"",AG58)</f>
        <v>205</v>
      </c>
      <c r="I58" s="362" t="str">
        <f>IF(AH58=0,"",AH58)</f>
        <v/>
      </c>
      <c r="J58" s="362">
        <f>IF(AI58=301,"",AI58)</f>
        <v>237</v>
      </c>
      <c r="K58" s="362" t="str">
        <f>IF(AJ58=0,"",AJ58)</f>
        <v/>
      </c>
      <c r="L58" s="362">
        <f>IF(AK58=301,"",AK58)</f>
        <v>217</v>
      </c>
      <c r="M58" s="362" t="str">
        <f>IF(AL58=0,"",AL58)</f>
        <v/>
      </c>
      <c r="N58" s="362">
        <f>IF(AM58=301,"",AM58)</f>
        <v>168</v>
      </c>
      <c r="O58" s="362" t="str">
        <f>IF(AN58=0,"",AN58)</f>
        <v/>
      </c>
      <c r="P58" s="362">
        <f>IF(AO58=301,"",AO58)</f>
        <v>0</v>
      </c>
      <c r="Q58" s="362" t="str">
        <f>IF(AP58=0,"",AP58)</f>
        <v/>
      </c>
      <c r="R58" s="362">
        <f>IF(AQ58=301,"",AQ58)</f>
        <v>0</v>
      </c>
      <c r="S58" s="362" t="str">
        <f>IF(AR58=0,"",AR58)</f>
        <v/>
      </c>
      <c r="T58" s="362">
        <f>IF(AS58=301,"",AS58)</f>
        <v>0</v>
      </c>
      <c r="U58" s="362" t="str">
        <f>IF(AT58=0,"",AT58)</f>
        <v/>
      </c>
      <c r="V58" s="364"/>
      <c r="W58" s="364"/>
      <c r="AA58" s="91" t="s">
        <v>11</v>
      </c>
      <c r="AB58" s="92"/>
      <c r="AC58" s="366">
        <f>ABS(INDEX(AC:AC,MATCH(AC52,$AA:$AA,0)+14)+INDEX(AC:AC,MATCH(AC52,$AA:$AA,0)+15)+INDEX(AC:AC,MATCH(AC52,$AA:$AA,0)+16))</f>
        <v>233</v>
      </c>
      <c r="AD58" s="367"/>
      <c r="AE58" s="366">
        <f>ABS(INDEX(AE:AE,MATCH(AE52,$AA:$AA,0)+14)+INDEX(AE:AE,MATCH(AE52,$AA:$AA,0)+15)+INDEX(AE:AE,MATCH(AE52,$AA:$AA,0)+16))</f>
        <v>183</v>
      </c>
      <c r="AF58" s="367"/>
      <c r="AG58" s="366">
        <f>ABS(INDEX(AG:AG,MATCH(AG52,$AA:$AA,0)+14)+INDEX(AG:AG,MATCH(AG52,$AA:$AA,0)+15)+INDEX(AG:AG,MATCH(AG52,$AA:$AA,0)+16))</f>
        <v>205</v>
      </c>
      <c r="AH58" s="367"/>
      <c r="AI58" s="366">
        <f>ABS(INDEX(AI:AI,MATCH(AI52,$AA:$AA,0)+14)+INDEX(AI:AI,MATCH(AI52,$AA:$AA,0)+15)+INDEX(AI:AI,MATCH(AI52,$AA:$AA,0)+16))</f>
        <v>237</v>
      </c>
      <c r="AJ58" s="367"/>
      <c r="AK58" s="366">
        <f>ABS(INDEX(AK:AK,MATCH(AK52,$AA:$AA,0)+14)+INDEX(AK:AK,MATCH(AK52,$AA:$AA,0)+15)+INDEX(AK:AK,MATCH(AK52,$AA:$AA,0)+16))</f>
        <v>217</v>
      </c>
      <c r="AL58" s="367"/>
      <c r="AM58" s="366">
        <f>ABS(INDEX(AM:AM,MATCH(AM52,$AA:$AA,0)+14)+INDEX(AM:AM,MATCH(AM52,$AA:$AA,0)+15)+INDEX(AM:AM,MATCH(AM52,$AA:$AA,0)+16))</f>
        <v>168</v>
      </c>
      <c r="AN58" s="367"/>
      <c r="AO58" s="366">
        <f>ABS(INDEX(AO:AO,MATCH(AO52,$AA:$AA,0)+14)+INDEX(AO:AO,MATCH(AO52,$AA:$AA,0)+15)+INDEX(AO:AO,MATCH(AO52,$AA:$AA,0)+16))</f>
        <v>0</v>
      </c>
      <c r="AP58" s="367"/>
      <c r="AQ58" s="366">
        <f>ABS(INDEX(AQ:AQ,MATCH(AQ52,$AA:$AA,0)+14)+INDEX(AQ:AQ,MATCH(AQ52,$AA:$AA,0)+15)+INDEX(AQ:AQ,MATCH(AQ52,$AA:$AA,0)+16))</f>
        <v>0</v>
      </c>
      <c r="AR58" s="367"/>
      <c r="AS58" s="366">
        <f>ABS(INDEX(AS:AS,MATCH(AS52,$AA:$AA,0)+14)+INDEX(AS:AS,MATCH(AS52,$AA:$AA,0)+15)+INDEX(AS:AS,MATCH(AS52,$AA:$AA,0)+16))</f>
        <v>0</v>
      </c>
      <c r="AT58" s="367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6" t="str">
        <f t="shared" si="68"/>
        <v>Gesamt</v>
      </c>
      <c r="C59" s="347" t="str">
        <f t="shared" si="68"/>
        <v/>
      </c>
      <c r="D59" s="365">
        <f>IF(AC59=1505,"",AC59)</f>
        <v>827</v>
      </c>
      <c r="E59" s="365" t="str">
        <f>IF(AD59=0,"",AD59)</f>
        <v/>
      </c>
      <c r="F59" s="365">
        <f>IF(AE59=1505,"",AE59)</f>
        <v>723</v>
      </c>
      <c r="G59" s="365" t="str">
        <f>IF(AF59=0,"",AF59)</f>
        <v/>
      </c>
      <c r="H59" s="365">
        <f>IF(AG59=1505,"",AG59)</f>
        <v>726</v>
      </c>
      <c r="I59" s="365" t="str">
        <f>IF(AH59=0,"",AH59)</f>
        <v/>
      </c>
      <c r="J59" s="365">
        <f>IF(AI59=1505,"",AI59)</f>
        <v>778</v>
      </c>
      <c r="K59" s="365" t="str">
        <f>IF(AJ59=0,"",AJ59)</f>
        <v/>
      </c>
      <c r="L59" s="365">
        <f>IF(AK59=1505,"",AK59)</f>
        <v>805</v>
      </c>
      <c r="M59" s="365" t="str">
        <f>IF(AL59=0,"",AL59)</f>
        <v/>
      </c>
      <c r="N59" s="365">
        <f>IF(AM59=1505,"",AM59)</f>
        <v>724</v>
      </c>
      <c r="O59" s="365" t="str">
        <f>IF(AN59=0,"",AN59)</f>
        <v/>
      </c>
      <c r="P59" s="365">
        <f>IF(AO59=1505,"",AO59)</f>
        <v>0</v>
      </c>
      <c r="Q59" s="365" t="str">
        <f>IF(AP59=0,"",AP59)</f>
        <v/>
      </c>
      <c r="R59" s="365">
        <f>IF(AQ59=1505,"",AQ59)</f>
        <v>0</v>
      </c>
      <c r="S59" s="365" t="str">
        <f>IF(AR59=0,"",AR59)</f>
        <v/>
      </c>
      <c r="T59" s="365">
        <f>IF(AS59=1505,"",AS59)</f>
        <v>0</v>
      </c>
      <c r="U59" s="365" t="str">
        <f>IF(AT59=0,"",AT59)</f>
        <v/>
      </c>
      <c r="V59" s="301"/>
      <c r="W59" s="301"/>
      <c r="AA59" s="93" t="s">
        <v>1799</v>
      </c>
      <c r="AB59" s="94"/>
      <c r="AC59" s="346">
        <f>SUM(AC55:AC58)</f>
        <v>827</v>
      </c>
      <c r="AD59" s="347"/>
      <c r="AE59" s="346">
        <f>SUM(AE55:AE58)</f>
        <v>723</v>
      </c>
      <c r="AF59" s="347"/>
      <c r="AG59" s="346">
        <f>SUM(AG55:AG58)</f>
        <v>726</v>
      </c>
      <c r="AH59" s="347"/>
      <c r="AI59" s="346">
        <f>SUM(AI55:AI58)</f>
        <v>778</v>
      </c>
      <c r="AJ59" s="347"/>
      <c r="AK59" s="346">
        <f>SUM(AK55:AK58)</f>
        <v>805</v>
      </c>
      <c r="AL59" s="347"/>
      <c r="AM59" s="346">
        <f>SUM(AM55:AM58)</f>
        <v>724</v>
      </c>
      <c r="AN59" s="347"/>
      <c r="AO59" s="346">
        <f>SUM(AO55:AO58)</f>
        <v>0</v>
      </c>
      <c r="AP59" s="347"/>
      <c r="AQ59" s="346">
        <f>SUM(AQ55:AQ58)</f>
        <v>0</v>
      </c>
      <c r="AR59" s="347"/>
      <c r="AS59" s="346">
        <f>SUM(AS55:AS58)</f>
        <v>0</v>
      </c>
      <c r="AT59" s="347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5" t="str">
        <f>AE61</f>
        <v>Bayernliga Herren</v>
      </c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48"/>
      <c r="S61" s="49" t="s">
        <v>1794</v>
      </c>
      <c r="T61" s="50"/>
      <c r="U61" s="341" t="str">
        <f>AT61</f>
        <v>05.04./06.04.</v>
      </c>
      <c r="V61" s="342"/>
      <c r="W61" s="343"/>
      <c r="X61" s="372"/>
      <c r="Y61" s="373"/>
      <c r="Z61" s="373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41" t="str">
        <f>VLOOKUP(AS62,Spielorte!$A$1:$C$6,2)</f>
        <v>05.04./06.04.</v>
      </c>
      <c r="AU61" s="342"/>
      <c r="AV61" s="34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4" t="str">
        <f>AE62</f>
        <v>Dettelbach Extreme Bowlingarena</v>
      </c>
      <c r="G62" s="344"/>
      <c r="H62" s="344"/>
      <c r="I62" s="344"/>
      <c r="J62" s="344"/>
      <c r="K62" s="344"/>
      <c r="L62" s="344"/>
      <c r="M62" s="344"/>
      <c r="N62" s="344"/>
      <c r="O62" s="344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Dettelbach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6" t="s">
        <v>1800</v>
      </c>
      <c r="E65" s="347"/>
      <c r="F65" s="346" t="s">
        <v>1801</v>
      </c>
      <c r="G65" s="347"/>
      <c r="H65" s="346" t="s">
        <v>1802</v>
      </c>
      <c r="I65" s="347"/>
      <c r="J65" s="346" t="s">
        <v>1803</v>
      </c>
      <c r="K65" s="347"/>
      <c r="L65" s="346" t="s">
        <v>1804</v>
      </c>
      <c r="M65" s="347"/>
      <c r="N65" s="346" t="s">
        <v>1805</v>
      </c>
      <c r="O65" s="347"/>
      <c r="P65" s="346" t="s">
        <v>1806</v>
      </c>
      <c r="Q65" s="347"/>
      <c r="R65" s="346" t="s">
        <v>1807</v>
      </c>
      <c r="S65" s="347"/>
      <c r="T65" s="346" t="s">
        <v>1808</v>
      </c>
      <c r="U65" s="347"/>
      <c r="V65" s="354" t="s">
        <v>1799</v>
      </c>
      <c r="W65" s="355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6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151</v>
      </c>
      <c r="E67" s="348">
        <f>IF(AD67="","",AD67)</f>
        <v>0</v>
      </c>
      <c r="F67" s="75">
        <f t="shared" ref="F67:F80" si="69">IF(AE67=0,"",AE67)</f>
        <v>213</v>
      </c>
      <c r="G67" s="348">
        <f>IF(AF67="","",AF67)</f>
        <v>0.5</v>
      </c>
      <c r="H67" s="75">
        <f t="shared" ref="H67:H80" si="70">IF(AG67=0,"",AG67)</f>
        <v>199</v>
      </c>
      <c r="I67" s="348">
        <f>IF(AH67="","",AH67)</f>
        <v>0</v>
      </c>
      <c r="J67" s="75">
        <f t="shared" ref="J67:J80" si="71">IF(AI67=0,"",AI67)</f>
        <v>171</v>
      </c>
      <c r="K67" s="348">
        <f>IF(AJ67="","",AJ67)</f>
        <v>0.5</v>
      </c>
      <c r="L67" s="75">
        <f t="shared" ref="L67:L80" si="72">IF(AK67=0,"",AK67)</f>
        <v>203</v>
      </c>
      <c r="M67" s="348">
        <f>IF(AL67="","",AL67)</f>
        <v>1</v>
      </c>
      <c r="N67" s="75">
        <f>IF(AM67=0,"",AM67)</f>
        <v>195</v>
      </c>
      <c r="O67" s="348">
        <f>IF(AN67="","",AN67)</f>
        <v>1</v>
      </c>
      <c r="P67" s="75" t="str">
        <f t="shared" ref="P67:P80" si="73">IF(AO67=0,"",AO67)</f>
        <v/>
      </c>
      <c r="Q67" s="348">
        <f>IF(AP67="","",AP67)</f>
        <v>0</v>
      </c>
      <c r="R67" s="75" t="str">
        <f t="shared" ref="R67:R80" si="74">IF(AQ67=0,"",AQ67)</f>
        <v/>
      </c>
      <c r="S67" s="348">
        <f>IF(AR67="","",AR67)</f>
        <v>0</v>
      </c>
      <c r="T67" s="75" t="str">
        <f t="shared" ref="T67:T80" si="75">IF(AS67=0,"",AS67)</f>
        <v/>
      </c>
      <c r="U67" s="348">
        <f>IF(AT67="","",AT67)</f>
        <v>0</v>
      </c>
      <c r="V67" s="75">
        <f t="shared" ref="V67:V80" si="76">IF(AU67=0,"",AU67)</f>
        <v>1132</v>
      </c>
      <c r="W67" s="348">
        <f>IF(AV67="","",AV67)</f>
        <v>3</v>
      </c>
      <c r="Z67" s="351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151</v>
      </c>
      <c r="AD67" s="109">
        <f>IF(SUM(AC67:AC69)+AC85=0,0,IF(SUM(AC67:AC69)=AC85,0.5,IF(SUM(AC67:AC69)&gt;AC85,1,0)))</f>
        <v>0</v>
      </c>
      <c r="AE67" s="185">
        <v>213</v>
      </c>
      <c r="AF67" s="109">
        <f>IF(SUM(AE67:AE69)+AE85=0,0,IF(SUM(AE67:AE69)=AE85,0.5,IF(SUM(AE67:AE69)&gt;AE85,1,0)))</f>
        <v>0.5</v>
      </c>
      <c r="AG67" s="185">
        <v>199</v>
      </c>
      <c r="AH67" s="109">
        <f>IF(SUM(AG67:AG69)+AG85=0,0,IF(SUM(AG67:AG69)=AG85,0.5,IF(SUM(AG67:AG69)&gt;AG85,1,0)))</f>
        <v>0</v>
      </c>
      <c r="AI67" s="185">
        <v>171</v>
      </c>
      <c r="AJ67" s="109">
        <f>IF(SUM(AI67:AI69)+AI85=0,0,IF(SUM(AI67:AI69)=AI85,0.5,IF(SUM(AI67:AI69)&gt;AI85,1,0)))</f>
        <v>0.5</v>
      </c>
      <c r="AK67" s="185">
        <v>203</v>
      </c>
      <c r="AL67" s="109">
        <f>IF(SUM(AK67:AK69)+AK85=0,0,IF(SUM(AK67:AK69)=AK85,0.5,IF(SUM(AK67:AK69)&gt;AK85,1,0)))</f>
        <v>1</v>
      </c>
      <c r="AM67" s="185">
        <v>195</v>
      </c>
      <c r="AN67" s="109">
        <f>IF(SUM(AM67:AM69)+AM85=0,0,IF(SUM(AM67:AM69)=AM85,0.5,IF(SUM(AM67:AM69)&gt;AM85,1,0)))</f>
        <v>1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1132</v>
      </c>
      <c r="AV67" s="111">
        <f>SUM(AD67+AF67+AH67+AJ67+AL67+AN67+AP67+AR67+AT67)</f>
        <v>3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1132</v>
      </c>
      <c r="BF67" s="215">
        <f>COUNT(BH67:BP67)</f>
        <v>6</v>
      </c>
      <c r="BG67" s="215">
        <f>COUNTIF(BH67:BP67,"&gt;0")</f>
        <v>6</v>
      </c>
      <c r="BH67" s="215">
        <f t="shared" ref="BH67:BH78" si="78">IF(AC67=0,"",AC67)</f>
        <v>151</v>
      </c>
      <c r="BI67" s="215">
        <f t="shared" ref="BI67:BI78" si="79">IF(AE67=0,"",AE67)</f>
        <v>213</v>
      </c>
      <c r="BJ67" s="215">
        <f t="shared" ref="BJ67:BJ78" si="80">IF(AG67=0,"",AG67)</f>
        <v>199</v>
      </c>
      <c r="BK67" s="215">
        <f t="shared" ref="BK67:BK78" si="81">IF(AI67=0,"",AI67)</f>
        <v>171</v>
      </c>
      <c r="BL67" s="215">
        <f t="shared" ref="BL67:BL78" si="82">IF(AK67=0,"",AK67)</f>
        <v>203</v>
      </c>
      <c r="BM67" s="215">
        <f t="shared" ref="BM67:BM78" si="83">IF(AM67=0,"",AM67)</f>
        <v>195</v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213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1132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77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8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76" t="s">
        <v>2</v>
      </c>
      <c r="B70" s="73" t="str">
        <f t="shared" si="88"/>
        <v>Hinterwimmer, Georg</v>
      </c>
      <c r="C70" s="74">
        <f t="shared" si="88"/>
        <v>7867</v>
      </c>
      <c r="D70" s="75">
        <f t="shared" si="88"/>
        <v>159</v>
      </c>
      <c r="E70" s="348">
        <f>IF(AD70="","",AD70)</f>
        <v>0</v>
      </c>
      <c r="F70" s="75">
        <f t="shared" si="69"/>
        <v>211</v>
      </c>
      <c r="G70" s="348">
        <f>IF(AF70="","",AF70)</f>
        <v>0</v>
      </c>
      <c r="H70" s="75">
        <f t="shared" si="70"/>
        <v>226</v>
      </c>
      <c r="I70" s="348">
        <f>IF(AH70="","",AH70)</f>
        <v>1</v>
      </c>
      <c r="J70" s="75">
        <f t="shared" si="71"/>
        <v>222</v>
      </c>
      <c r="K70" s="348">
        <f>IF(AJ70="","",AJ70)</f>
        <v>1</v>
      </c>
      <c r="L70" s="75">
        <f t="shared" si="72"/>
        <v>226</v>
      </c>
      <c r="M70" s="348">
        <f>IF(AL70="","",AL70)</f>
        <v>1</v>
      </c>
      <c r="N70" s="75">
        <f t="shared" si="89"/>
        <v>200</v>
      </c>
      <c r="O70" s="348">
        <f>IF(AN70="","",AN70)</f>
        <v>1</v>
      </c>
      <c r="P70" s="75" t="str">
        <f t="shared" si="73"/>
        <v/>
      </c>
      <c r="Q70" s="348">
        <f>IF(AP70="","",AP70)</f>
        <v>0</v>
      </c>
      <c r="R70" s="75" t="str">
        <f t="shared" si="74"/>
        <v/>
      </c>
      <c r="S70" s="348">
        <f>IF(AR70="","",AR70)</f>
        <v>0</v>
      </c>
      <c r="T70" s="75" t="str">
        <f t="shared" si="75"/>
        <v/>
      </c>
      <c r="U70" s="348">
        <f>IF(AT70="","",AT70)</f>
        <v>0</v>
      </c>
      <c r="V70" s="75">
        <f t="shared" si="76"/>
        <v>1244</v>
      </c>
      <c r="W70" s="348">
        <f>IF(AV70="","",AV70)</f>
        <v>4</v>
      </c>
      <c r="Z70" s="351" t="s">
        <v>2</v>
      </c>
      <c r="AA70" s="108" t="str">
        <f>IF(AB70=0,"",VLOOKUP(AB70,Starter!$A$1:$D$199,2,FALSE))</f>
        <v>Hinterwimmer, Georg</v>
      </c>
      <c r="AB70" s="99">
        <v>7867</v>
      </c>
      <c r="AC70" s="188">
        <v>159</v>
      </c>
      <c r="AD70" s="109">
        <f>IF(SUM(AC70:AC72)+AC86=0,0,IF(SUM(AC70:AC72)=AC86,0.5,IF(SUM(AC70:AC72)&gt;AC86,1,0)))</f>
        <v>0</v>
      </c>
      <c r="AE70" s="188">
        <v>211</v>
      </c>
      <c r="AF70" s="109">
        <f>IF(SUM(AE70:AE72)+AE86=0,0,IF(SUM(AE70:AE72)=AE86,0.5,IF(SUM(AE70:AE72)&gt;AE86,1,0)))</f>
        <v>0</v>
      </c>
      <c r="AG70" s="188">
        <v>226</v>
      </c>
      <c r="AH70" s="109">
        <f>IF(SUM(AG70:AG72)+AG86=0,0,IF(SUM(AG70:AG72)=AG86,0.5,IF(SUM(AG70:AG72)&gt;AG86,1,0)))</f>
        <v>1</v>
      </c>
      <c r="AI70" s="188">
        <v>222</v>
      </c>
      <c r="AJ70" s="109">
        <f>IF(SUM(AI70:AI72)+AI86=0,0,IF(SUM(AI70:AI72)=AI86,0.5,IF(SUM(AI70:AI72)&gt;AI86,1,0)))</f>
        <v>1</v>
      </c>
      <c r="AK70" s="188">
        <v>226</v>
      </c>
      <c r="AL70" s="109">
        <f>IF(SUM(AK70:AK72)+AK86=0,0,IF(SUM(AK70:AK72)=AK86,0.5,IF(SUM(AK70:AK72)&gt;AK86,1,0)))</f>
        <v>1</v>
      </c>
      <c r="AM70" s="188">
        <v>200</v>
      </c>
      <c r="AN70" s="109">
        <f>IF(SUM(AM70:AM72)+AM86=0,0,IF(SUM(AM70:AM72)=AM86,0.5,IF(SUM(AM70:AM72)&gt;AM86,1,0)))</f>
        <v>1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1244</v>
      </c>
      <c r="AV70" s="111">
        <f>SUM(AD70+AF70+AH70+AJ70+AL70+AN70+AP70+AR70+AT70)</f>
        <v>4</v>
      </c>
      <c r="AW70" s="101"/>
      <c r="AX70" s="102"/>
      <c r="AZ70" s="63"/>
      <c r="BA70" s="212"/>
      <c r="BB70" s="213"/>
      <c r="BC70" s="214"/>
      <c r="BD70" s="217">
        <f t="shared" si="90"/>
        <v>7867</v>
      </c>
      <c r="BE70" s="213">
        <f t="shared" si="91"/>
        <v>1244</v>
      </c>
      <c r="BF70" s="215">
        <f t="shared" si="92"/>
        <v>6</v>
      </c>
      <c r="BG70" s="215">
        <f t="shared" si="93"/>
        <v>6</v>
      </c>
      <c r="BH70" s="215">
        <f t="shared" si="78"/>
        <v>159</v>
      </c>
      <c r="BI70" s="215">
        <f t="shared" si="79"/>
        <v>211</v>
      </c>
      <c r="BJ70" s="215">
        <f t="shared" si="80"/>
        <v>226</v>
      </c>
      <c r="BK70" s="215">
        <f t="shared" si="81"/>
        <v>222</v>
      </c>
      <c r="BL70" s="215">
        <f t="shared" si="82"/>
        <v>226</v>
      </c>
      <c r="BM70" s="215">
        <f t="shared" si="83"/>
        <v>200</v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226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1244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77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8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76" t="s">
        <v>3</v>
      </c>
      <c r="B73" s="73" t="str">
        <f t="shared" si="88"/>
        <v>Hellmessen, Maximilian</v>
      </c>
      <c r="C73" s="74">
        <f t="shared" si="88"/>
        <v>16912</v>
      </c>
      <c r="D73" s="75">
        <f t="shared" si="88"/>
        <v>213</v>
      </c>
      <c r="E73" s="348">
        <f>IF(AD73="","",AD73)</f>
        <v>1</v>
      </c>
      <c r="F73" s="75">
        <f t="shared" si="69"/>
        <v>191</v>
      </c>
      <c r="G73" s="348">
        <f>IF(AF73="","",AF73)</f>
        <v>1</v>
      </c>
      <c r="H73" s="75">
        <f t="shared" si="70"/>
        <v>164</v>
      </c>
      <c r="I73" s="348">
        <f>IF(AH73="","",AH73)</f>
        <v>0</v>
      </c>
      <c r="J73" s="75">
        <f t="shared" si="71"/>
        <v>189</v>
      </c>
      <c r="K73" s="348">
        <f>IF(AJ73="","",AJ73)</f>
        <v>0</v>
      </c>
      <c r="L73" s="75">
        <f t="shared" si="72"/>
        <v>188</v>
      </c>
      <c r="M73" s="348">
        <f>IF(AL73="","",AL73)</f>
        <v>0</v>
      </c>
      <c r="N73" s="75">
        <f t="shared" si="89"/>
        <v>160</v>
      </c>
      <c r="O73" s="348">
        <f>IF(AN73="","",AN73)</f>
        <v>0</v>
      </c>
      <c r="P73" s="75" t="str">
        <f t="shared" si="73"/>
        <v/>
      </c>
      <c r="Q73" s="348">
        <f>IF(AP73="","",AP73)</f>
        <v>0</v>
      </c>
      <c r="R73" s="75" t="str">
        <f t="shared" si="74"/>
        <v/>
      </c>
      <c r="S73" s="348">
        <f>IF(AR73="","",AR73)</f>
        <v>0</v>
      </c>
      <c r="T73" s="75" t="str">
        <f t="shared" si="75"/>
        <v/>
      </c>
      <c r="U73" s="348">
        <f>IF(AT73="","",AT73)</f>
        <v>0</v>
      </c>
      <c r="V73" s="75">
        <f t="shared" si="76"/>
        <v>1105</v>
      </c>
      <c r="W73" s="348">
        <f>IF(AV73="","",AV73)</f>
        <v>2</v>
      </c>
      <c r="Z73" s="351" t="s">
        <v>3</v>
      </c>
      <c r="AA73" s="108" t="str">
        <f>IF(AB73=0,"",VLOOKUP(AB73,Starter!$A$1:$D$199,2,FALSE))</f>
        <v>Hellmessen, Maximilian</v>
      </c>
      <c r="AB73" s="99">
        <v>16912</v>
      </c>
      <c r="AC73" s="188">
        <v>213</v>
      </c>
      <c r="AD73" s="109">
        <f>IF(SUM(AC73:AC75)+AC87=0,0,IF(SUM(AC73:AC75)=AC87,0.5,IF(SUM(AC73:AC75)&gt;AC87,1,0)))</f>
        <v>1</v>
      </c>
      <c r="AE73" s="188">
        <v>191</v>
      </c>
      <c r="AF73" s="109">
        <f>IF(SUM(AE73:AE75)+AE87=0,0,IF(SUM(AE73:AE75)=AE87,0.5,IF(SUM(AE73:AE75)&gt;AE87,1,0)))</f>
        <v>1</v>
      </c>
      <c r="AG73" s="188">
        <v>164</v>
      </c>
      <c r="AH73" s="109">
        <f>IF(SUM(AG73:AG75)+AG87=0,0,IF(SUM(AG73:AG75)=AG87,0.5,IF(SUM(AG73:AG75)&gt;AG87,1,0)))</f>
        <v>0</v>
      </c>
      <c r="AI73" s="188">
        <v>189</v>
      </c>
      <c r="AJ73" s="109">
        <f>IF(SUM(AI73:AI75)+AI87=0,0,IF(SUM(AI73:AI75)=AI87,0.5,IF(SUM(AI73:AI75)&gt;AI87,1,0)))</f>
        <v>0</v>
      </c>
      <c r="AK73" s="188">
        <v>188</v>
      </c>
      <c r="AL73" s="109">
        <f>IF(SUM(AK73:AK75)+AK87=0,0,IF(SUM(AK73:AK75)=AK87,0.5,IF(SUM(AK73:AK75)&gt;AK87,1,0)))</f>
        <v>0</v>
      </c>
      <c r="AM73" s="188">
        <v>160</v>
      </c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1105</v>
      </c>
      <c r="AV73" s="111">
        <f>SUM(AD73+AF73+AH73+AJ73+AL73+AN73+AP73+AR73+AT73)</f>
        <v>2</v>
      </c>
      <c r="AW73" s="101"/>
      <c r="AX73" s="102"/>
      <c r="AZ73" s="63"/>
      <c r="BA73" s="212"/>
      <c r="BB73" s="213"/>
      <c r="BC73" s="214"/>
      <c r="BD73" s="217">
        <f t="shared" si="90"/>
        <v>16912</v>
      </c>
      <c r="BE73" s="213">
        <f t="shared" si="91"/>
        <v>1105</v>
      </c>
      <c r="BF73" s="215">
        <f t="shared" si="92"/>
        <v>6</v>
      </c>
      <c r="BG73" s="215">
        <f t="shared" si="93"/>
        <v>6</v>
      </c>
      <c r="BH73" s="215">
        <f t="shared" si="78"/>
        <v>213</v>
      </c>
      <c r="BI73" s="215">
        <f t="shared" si="79"/>
        <v>191</v>
      </c>
      <c r="BJ73" s="215">
        <f t="shared" si="80"/>
        <v>164</v>
      </c>
      <c r="BK73" s="215">
        <f t="shared" si="81"/>
        <v>189</v>
      </c>
      <c r="BL73" s="215">
        <f t="shared" si="82"/>
        <v>188</v>
      </c>
      <c r="BM73" s="215">
        <f t="shared" si="83"/>
        <v>160</v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213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1105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77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 t="str">
        <f t="shared" si="72"/>
        <v/>
      </c>
      <c r="M74" s="349"/>
      <c r="N74" s="78" t="str">
        <f t="shared" si="89"/>
        <v/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 t="str">
        <f t="shared" si="76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8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76" t="s">
        <v>11</v>
      </c>
      <c r="B76" s="73" t="str">
        <f>IF(AA76=0,"",AA76)</f>
        <v>Laub, Harald</v>
      </c>
      <c r="C76" s="74">
        <f t="shared" si="88"/>
        <v>7597</v>
      </c>
      <c r="D76" s="75">
        <f t="shared" si="88"/>
        <v>160</v>
      </c>
      <c r="E76" s="348">
        <f>IF(AD76="","",AD76)</f>
        <v>0</v>
      </c>
      <c r="F76" s="75">
        <f t="shared" si="69"/>
        <v>169</v>
      </c>
      <c r="G76" s="348">
        <f>IF(AF76="","",AF76)</f>
        <v>0</v>
      </c>
      <c r="H76" s="75">
        <f t="shared" si="70"/>
        <v>169</v>
      </c>
      <c r="I76" s="348">
        <f>IF(AH76="","",AH76)</f>
        <v>0</v>
      </c>
      <c r="J76" s="75">
        <f t="shared" si="71"/>
        <v>160</v>
      </c>
      <c r="K76" s="348">
        <f>IF(AJ76="","",AJ76)</f>
        <v>0</v>
      </c>
      <c r="L76" s="75">
        <f t="shared" si="72"/>
        <v>194</v>
      </c>
      <c r="M76" s="348">
        <f>IF(AL76="","",AL76)</f>
        <v>1</v>
      </c>
      <c r="N76" s="75">
        <f t="shared" si="89"/>
        <v>171</v>
      </c>
      <c r="O76" s="348">
        <f>IF(AN76="","",AN76)</f>
        <v>0</v>
      </c>
      <c r="P76" s="75" t="str">
        <f t="shared" si="73"/>
        <v/>
      </c>
      <c r="Q76" s="348">
        <f>IF(AP76="","",AP76)</f>
        <v>0</v>
      </c>
      <c r="R76" s="75" t="str">
        <f t="shared" si="74"/>
        <v/>
      </c>
      <c r="S76" s="348">
        <f>IF(AR76="","",AR76)</f>
        <v>0</v>
      </c>
      <c r="T76" s="75" t="str">
        <f t="shared" si="75"/>
        <v/>
      </c>
      <c r="U76" s="348">
        <f>IF(AT76="","",AT76)</f>
        <v>0</v>
      </c>
      <c r="V76" s="75">
        <f t="shared" si="76"/>
        <v>1023</v>
      </c>
      <c r="W76" s="348">
        <f>IF(AV76="","",AV76)</f>
        <v>1</v>
      </c>
      <c r="Z76" s="351" t="s">
        <v>11</v>
      </c>
      <c r="AA76" s="108" t="str">
        <f>IF(AB76=0,"",VLOOKUP(AB76,Starter!$A$1:$D$199,2,FALSE))</f>
        <v>Laub, Harald</v>
      </c>
      <c r="AB76" s="99">
        <v>7597</v>
      </c>
      <c r="AC76" s="188">
        <v>160</v>
      </c>
      <c r="AD76" s="109">
        <f>IF(SUM(AC76:AC78)+AC88=0,0,IF(SUM(AC76:AC78)=AC88,0.5,IF(SUM(AC76:AC78)&gt;AC88,1,0)))</f>
        <v>0</v>
      </c>
      <c r="AE76" s="188">
        <v>169</v>
      </c>
      <c r="AF76" s="109">
        <f>IF(SUM(AE76:AE78)+AE88=0,0,IF(SUM(AE76:AE78)=AE88,0.5,IF(SUM(AE76:AE78)&gt;AE88,1,0)))</f>
        <v>0</v>
      </c>
      <c r="AG76" s="188">
        <v>169</v>
      </c>
      <c r="AH76" s="109">
        <f>IF(SUM(AG76:AG78)+AG88=0,0,IF(SUM(AG76:AG78)=AG88,0.5,IF(SUM(AG76:AG78)&gt;AG88,1,0)))</f>
        <v>0</v>
      </c>
      <c r="AI76" s="188">
        <v>160</v>
      </c>
      <c r="AJ76" s="109">
        <f>IF(SUM(AI76:AI78)+AI88=0,0,IF(SUM(AI76:AI78)=AI88,0.5,IF(SUM(AI76:AI78)&gt;AI88,1,0)))</f>
        <v>0</v>
      </c>
      <c r="AK76" s="188">
        <v>194</v>
      </c>
      <c r="AL76" s="109">
        <f>IF(SUM(AK76:AK78)+AK88=0,0,IF(SUM(AK76:AK78)=AK88,0.5,IF(SUM(AK76:AK78)&gt;AK88,1,0)))</f>
        <v>1</v>
      </c>
      <c r="AM76" s="188">
        <v>171</v>
      </c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1023</v>
      </c>
      <c r="AV76" s="111">
        <f>SUM(AD76+AF76+AH76+AJ76+AL76+AN76+AP76+AR76+AT76)</f>
        <v>1</v>
      </c>
      <c r="AW76" s="101"/>
      <c r="AX76" s="102"/>
      <c r="AZ76" s="63"/>
      <c r="BA76" s="212"/>
      <c r="BB76" s="213"/>
      <c r="BC76" s="214"/>
      <c r="BD76" s="217">
        <f t="shared" si="90"/>
        <v>7597</v>
      </c>
      <c r="BE76" s="213">
        <f t="shared" si="91"/>
        <v>1023</v>
      </c>
      <c r="BF76" s="215">
        <f t="shared" si="92"/>
        <v>6</v>
      </c>
      <c r="BG76" s="215">
        <f t="shared" si="93"/>
        <v>6</v>
      </c>
      <c r="BH76" s="215">
        <f t="shared" si="78"/>
        <v>160</v>
      </c>
      <c r="BI76" s="215">
        <f t="shared" si="79"/>
        <v>169</v>
      </c>
      <c r="BJ76" s="215">
        <f t="shared" si="80"/>
        <v>169</v>
      </c>
      <c r="BK76" s="215">
        <f t="shared" si="81"/>
        <v>160</v>
      </c>
      <c r="BL76" s="215">
        <f t="shared" si="82"/>
        <v>194</v>
      </c>
      <c r="BM76" s="215">
        <f t="shared" si="83"/>
        <v>171</v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194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1023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77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8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683</v>
      </c>
      <c r="E79" s="84">
        <f>IF(AD79="","",AD79)</f>
        <v>0</v>
      </c>
      <c r="F79" s="83">
        <f t="shared" si="69"/>
        <v>784</v>
      </c>
      <c r="G79" s="84">
        <f>IF(AF79="","",AF79)</f>
        <v>0</v>
      </c>
      <c r="H79" s="83">
        <f t="shared" si="70"/>
        <v>758</v>
      </c>
      <c r="I79" s="84">
        <f>IF(AH79="","",AH79)</f>
        <v>0</v>
      </c>
      <c r="J79" s="83">
        <f t="shared" si="71"/>
        <v>742</v>
      </c>
      <c r="K79" s="84">
        <f>IF(AJ79="","",AJ79)</f>
        <v>0</v>
      </c>
      <c r="L79" s="83">
        <f t="shared" si="72"/>
        <v>811</v>
      </c>
      <c r="M79" s="84">
        <f>IF(AL79="","",AL79)</f>
        <v>2</v>
      </c>
      <c r="N79" s="83">
        <f t="shared" si="89"/>
        <v>726</v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>
        <f t="shared" si="76"/>
        <v>4504</v>
      </c>
      <c r="W79" s="84">
        <f>IF(AV79="","",AV79)</f>
        <v>2</v>
      </c>
      <c r="AA79" s="81" t="s">
        <v>1799</v>
      </c>
      <c r="AB79" s="120"/>
      <c r="AC79" s="211">
        <f>ABS(SUM(AC67:AC69))+ABS(SUM(AC70:AC72))+ABS(SUM(AC73:AC75))+ABS(SUM(AC76:AC78))</f>
        <v>683</v>
      </c>
      <c r="AD79" s="121">
        <f>IF(AC79+AC89=0,0,IF(AC79=AC89,1,IF(AC79&gt;AC89,2,0)))</f>
        <v>0</v>
      </c>
      <c r="AE79" s="211">
        <f>ABS(SUM(AE67:AE69))+ABS(SUM(AE70:AE72))+ABS(SUM(AE73:AE75))+ABS(SUM(AE76:AE78))</f>
        <v>784</v>
      </c>
      <c r="AF79" s="121">
        <f>IF(AE79+AE89=0,0,IF(AE79=AE89,1,IF(AE79&gt;AE89,2,0)))</f>
        <v>0</v>
      </c>
      <c r="AG79" s="211">
        <f>ABS(SUM(AG67:AG69))+ABS(SUM(AG70:AG72))+ABS(SUM(AG73:AG75))+ABS(SUM(AG76:AG78))</f>
        <v>758</v>
      </c>
      <c r="AH79" s="121">
        <f>IF(AG79+AG89=0,0,IF(AG79=AG89,1,IF(AG79&gt;AG89,2,0)))</f>
        <v>0</v>
      </c>
      <c r="AI79" s="211">
        <f>ABS(SUM(AI67:AI69))+ABS(SUM(AI70:AI72))+ABS(SUM(AI73:AI75))+ABS(SUM(AI76:AI78))</f>
        <v>742</v>
      </c>
      <c r="AJ79" s="121">
        <f>IF(AI79+AI89=0,0,IF(AI79=AI89,1,IF(AI79&gt;AI89,2,0)))</f>
        <v>0</v>
      </c>
      <c r="AK79" s="211">
        <f>ABS(SUM(AK67:AK69))+ABS(SUM(AK70:AK72))+ABS(SUM(AK73:AK75))+ABS(SUM(AK76:AK78))</f>
        <v>811</v>
      </c>
      <c r="AL79" s="121">
        <f>IF(AK79+AK89=0,0,IF(AK79=AK89,1,IF(AK79&gt;AK89,2,0)))</f>
        <v>2</v>
      </c>
      <c r="AM79" s="211">
        <f>ABS(SUM(AM67:AM69))+ABS(SUM(AM70:AM72))+ABS(SUM(AM73:AM75))+ABS(SUM(AM76:AM78))</f>
        <v>726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4504</v>
      </c>
      <c r="AV79" s="123">
        <f>SUM(AD79+AF79+AH79+AJ79+AL79+AN79+AP79+AR79+AT79)</f>
        <v>2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1</v>
      </c>
      <c r="F80" s="86" t="str">
        <f t="shared" si="69"/>
        <v/>
      </c>
      <c r="G80" s="87">
        <f>IF(AF80="","",AF80)</f>
        <v>1.5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1.5</v>
      </c>
      <c r="L80" s="86" t="str">
        <f t="shared" si="72"/>
        <v/>
      </c>
      <c r="M80" s="87">
        <f>IF(AL80="","",AL80)</f>
        <v>5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12</v>
      </c>
      <c r="AA80" s="85" t="s">
        <v>1814</v>
      </c>
      <c r="AB80" s="86"/>
      <c r="AC80" s="86"/>
      <c r="AD80" s="124">
        <f>SUM(AD67:AD79)</f>
        <v>1</v>
      </c>
      <c r="AE80" s="86"/>
      <c r="AF80" s="124">
        <f>SUM(AF67:AF79)</f>
        <v>1.5</v>
      </c>
      <c r="AG80" s="86"/>
      <c r="AH80" s="124">
        <f>SUM(AH67:AH79)</f>
        <v>1</v>
      </c>
      <c r="AI80" s="86"/>
      <c r="AJ80" s="124">
        <f>SUM(AJ67:AJ79)</f>
        <v>1.5</v>
      </c>
      <c r="AK80" s="86"/>
      <c r="AL80" s="124">
        <f>SUM(AL67:AL79)</f>
        <v>5</v>
      </c>
      <c r="AM80" s="86"/>
      <c r="AN80" s="124">
        <f>SUM(AN67:AN79)</f>
        <v>2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12</v>
      </c>
      <c r="AW80" s="101"/>
      <c r="AX80" s="102"/>
      <c r="BA80" s="212">
        <f>+AV80</f>
        <v>12</v>
      </c>
      <c r="BB80" s="213">
        <f>+AU79</f>
        <v>4504</v>
      </c>
      <c r="BC80" s="214">
        <f>+AA62</f>
        <v>3</v>
      </c>
      <c r="BF80" s="215">
        <f>SUM(BF61:BF79)</f>
        <v>24</v>
      </c>
      <c r="BQ80" s="212">
        <f>+BB80/1000000+BA80</f>
        <v>12.004504000000001</v>
      </c>
      <c r="BR80" s="214">
        <f>RANK(BQ80,BQ:BQ)</f>
        <v>9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6">
        <f t="shared" si="100"/>
        <v>6</v>
      </c>
      <c r="E82" s="356" t="str">
        <f t="shared" si="100"/>
        <v/>
      </c>
      <c r="F82" s="356">
        <f t="shared" si="100"/>
        <v>9</v>
      </c>
      <c r="G82" s="356" t="str">
        <f t="shared" si="100"/>
        <v/>
      </c>
      <c r="H82" s="356">
        <f t="shared" si="100"/>
        <v>10</v>
      </c>
      <c r="I82" s="356" t="str">
        <f t="shared" si="100"/>
        <v/>
      </c>
      <c r="J82" s="356">
        <f t="shared" si="100"/>
        <v>1</v>
      </c>
      <c r="K82" s="356" t="str">
        <f t="shared" si="100"/>
        <v/>
      </c>
      <c r="L82" s="356">
        <f t="shared" si="100"/>
        <v>8</v>
      </c>
      <c r="M82" s="356" t="str">
        <f t="shared" si="100"/>
        <v/>
      </c>
      <c r="N82" s="356">
        <f t="shared" si="100"/>
        <v>5</v>
      </c>
      <c r="O82" s="356" t="str">
        <f t="shared" si="100"/>
        <v/>
      </c>
      <c r="P82" s="356">
        <f t="shared" si="100"/>
        <v>2</v>
      </c>
      <c r="Q82" s="356" t="str">
        <f t="shared" si="100"/>
        <v/>
      </c>
      <c r="R82" s="356">
        <f t="shared" ref="L82:U84" si="101">IF(AQ82=0,"",AQ82)</f>
        <v>7</v>
      </c>
      <c r="S82" s="356" t="str">
        <f t="shared" si="101"/>
        <v/>
      </c>
      <c r="T82" s="356">
        <f t="shared" si="101"/>
        <v>4</v>
      </c>
      <c r="U82" s="356" t="str">
        <f t="shared" si="101"/>
        <v/>
      </c>
      <c r="V82" s="357"/>
      <c r="W82" s="357"/>
      <c r="AA82" s="88" t="s">
        <v>1797</v>
      </c>
      <c r="AB82" s="89" t="s">
        <v>1798</v>
      </c>
      <c r="AC82" s="370">
        <f>VLOOKUP($AA62,Schlüssel!$A$5:$DG$14,103)</f>
        <v>6</v>
      </c>
      <c r="AD82" s="371"/>
      <c r="AE82" s="370">
        <f>VLOOKUP($AA62,Schlüssel!$A$5:$EK$14,104)</f>
        <v>9</v>
      </c>
      <c r="AF82" s="371"/>
      <c r="AG82" s="370">
        <f>VLOOKUP($AA62,Schlüssel!$A$5:$EK$14,105)</f>
        <v>10</v>
      </c>
      <c r="AH82" s="371"/>
      <c r="AI82" s="370">
        <f>VLOOKUP($AA62,Schlüssel!$A$5:$EK$14,106)</f>
        <v>1</v>
      </c>
      <c r="AJ82" s="371"/>
      <c r="AK82" s="370">
        <f>VLOOKUP($AA62,Schlüssel!$A$5:$EK$14,107)</f>
        <v>8</v>
      </c>
      <c r="AL82" s="371"/>
      <c r="AM82" s="370">
        <f>VLOOKUP($AA62,Schlüssel!$A$5:$EK$14,108)</f>
        <v>5</v>
      </c>
      <c r="AN82" s="371"/>
      <c r="AO82" s="370">
        <f>VLOOKUP($AA62,Schlüssel!$A$5:$EK$14,109)</f>
        <v>2</v>
      </c>
      <c r="AP82" s="371"/>
      <c r="AQ82" s="370">
        <f>VLOOKUP($AA62,Schlüssel!$A$5:$EK$14,110)</f>
        <v>7</v>
      </c>
      <c r="AR82" s="371"/>
      <c r="AS82" s="370">
        <f>VLOOKUP($AA62,Schlüssel!$A$5:$EK$14,111)</f>
        <v>4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58" t="str">
        <f t="shared" si="102"/>
        <v>SG Rottendorf 1</v>
      </c>
      <c r="E83" s="359" t="str">
        <f t="shared" si="102"/>
        <v/>
      </c>
      <c r="F83" s="358" t="str">
        <f t="shared" si="102"/>
        <v>Bowlinghaus Bamberg 1</v>
      </c>
      <c r="G83" s="359" t="str">
        <f t="shared" si="102"/>
        <v/>
      </c>
      <c r="H83" s="358" t="str">
        <f t="shared" si="102"/>
        <v>High Roller Rosenheim 1</v>
      </c>
      <c r="I83" s="359" t="str">
        <f t="shared" si="102"/>
        <v/>
      </c>
      <c r="J83" s="358" t="str">
        <f t="shared" si="102"/>
        <v>BC Comet Nürnberg</v>
      </c>
      <c r="K83" s="359" t="str">
        <f t="shared" si="102"/>
        <v/>
      </c>
      <c r="L83" s="358" t="str">
        <f t="shared" si="101"/>
        <v>BC EMAX Unterföhring 2</v>
      </c>
      <c r="M83" s="359" t="str">
        <f t="shared" si="101"/>
        <v/>
      </c>
      <c r="N83" s="358" t="str">
        <f t="shared" si="101"/>
        <v>RW Lichtenhof Stein 1</v>
      </c>
      <c r="O83" s="359" t="str">
        <f t="shared" si="101"/>
        <v/>
      </c>
      <c r="P83" s="358" t="str">
        <f t="shared" si="101"/>
        <v>Bajuwaren München 1</v>
      </c>
      <c r="Q83" s="359" t="str">
        <f t="shared" si="101"/>
        <v/>
      </c>
      <c r="R83" s="358" t="str">
        <f t="shared" si="101"/>
        <v>Schanzer Ingolstadt 1</v>
      </c>
      <c r="S83" s="359" t="str">
        <f t="shared" si="101"/>
        <v/>
      </c>
      <c r="T83" s="358" t="str">
        <f t="shared" si="101"/>
        <v>SG DJK Rimpar</v>
      </c>
      <c r="U83" s="359" t="str">
        <f t="shared" si="101"/>
        <v/>
      </c>
      <c r="V83" s="363"/>
      <c r="W83" s="363"/>
      <c r="AA83" s="90"/>
      <c r="AB83" s="86"/>
      <c r="AC83" s="358" t="str">
        <f>VLOOKUP(AC82,Schlüssel!$A$5:$K$14,2)</f>
        <v>SG Rottendorf 1</v>
      </c>
      <c r="AD83" s="359"/>
      <c r="AE83" s="358" t="str">
        <f>VLOOKUP(AE82,Schlüssel!$A$5:$K$14,2)</f>
        <v>Bowlinghaus Bamberg 1</v>
      </c>
      <c r="AF83" s="359"/>
      <c r="AG83" s="358" t="str">
        <f>VLOOKUP(AG82,Schlüssel!$A$5:$K$14,2)</f>
        <v>High Roller Rosenheim 1</v>
      </c>
      <c r="AH83" s="359"/>
      <c r="AI83" s="358" t="str">
        <f>VLOOKUP(AI82,Schlüssel!$A$5:$K$14,2)</f>
        <v>BC Comet Nürnberg</v>
      </c>
      <c r="AJ83" s="359"/>
      <c r="AK83" s="358" t="str">
        <f>VLOOKUP(AK82,Schlüssel!$A$5:$K$14,2)</f>
        <v>BC EMAX Unterföhring 2</v>
      </c>
      <c r="AL83" s="359"/>
      <c r="AM83" s="358" t="str">
        <f>VLOOKUP(AM82,Schlüssel!$A$5:$K$14,2)</f>
        <v>RW Lichtenhof Stein 1</v>
      </c>
      <c r="AN83" s="359"/>
      <c r="AO83" s="358" t="str">
        <f>VLOOKUP(AO82,Schlüssel!$A$5:$K$14,2)</f>
        <v>Bajuwaren München 1</v>
      </c>
      <c r="AP83" s="359"/>
      <c r="AQ83" s="358" t="str">
        <f>VLOOKUP(AQ82,Schlüssel!$A$5:$K$14,2)</f>
        <v>Schanzer Ingolstadt 1</v>
      </c>
      <c r="AR83" s="359"/>
      <c r="AS83" s="358" t="str">
        <f>VLOOKUP(AS82,Schlüssel!$A$5:$K$14,2)</f>
        <v>SG DJK Rimpar</v>
      </c>
      <c r="AT83" s="359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60" t="str">
        <f t="shared" si="102"/>
        <v/>
      </c>
      <c r="E84" s="360" t="str">
        <f t="shared" si="102"/>
        <v/>
      </c>
      <c r="F84" s="360" t="str">
        <f t="shared" si="102"/>
        <v/>
      </c>
      <c r="G84" s="360" t="str">
        <f t="shared" si="102"/>
        <v/>
      </c>
      <c r="H84" s="360" t="str">
        <f t="shared" si="102"/>
        <v/>
      </c>
      <c r="I84" s="360" t="str">
        <f t="shared" si="102"/>
        <v/>
      </c>
      <c r="J84" s="360" t="str">
        <f t="shared" si="102"/>
        <v/>
      </c>
      <c r="K84" s="360" t="str">
        <f t="shared" si="102"/>
        <v/>
      </c>
      <c r="L84" s="360" t="str">
        <f t="shared" si="101"/>
        <v/>
      </c>
      <c r="M84" s="360" t="str">
        <f t="shared" si="101"/>
        <v/>
      </c>
      <c r="N84" s="360" t="str">
        <f t="shared" si="101"/>
        <v/>
      </c>
      <c r="O84" s="360" t="str">
        <f t="shared" si="101"/>
        <v/>
      </c>
      <c r="P84" s="360" t="str">
        <f t="shared" si="101"/>
        <v/>
      </c>
      <c r="Q84" s="360" t="str">
        <f t="shared" si="101"/>
        <v/>
      </c>
      <c r="R84" s="360" t="str">
        <f t="shared" si="101"/>
        <v/>
      </c>
      <c r="S84" s="360" t="str">
        <f t="shared" si="101"/>
        <v/>
      </c>
      <c r="T84" s="360" t="str">
        <f t="shared" si="101"/>
        <v/>
      </c>
      <c r="U84" s="361" t="str">
        <f t="shared" si="101"/>
        <v/>
      </c>
      <c r="V84" s="298"/>
      <c r="W84" s="298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4" t="str">
        <f t="shared" ref="B85:C89" si="103">IF(AA85=0,"",AA85)</f>
        <v>Spieler 1</v>
      </c>
      <c r="C85" s="375" t="str">
        <f t="shared" si="103"/>
        <v/>
      </c>
      <c r="D85" s="362">
        <f>IF(AC85=301,"",AC85)</f>
        <v>249</v>
      </c>
      <c r="E85" s="362" t="str">
        <f>IF(AD85=0,"",AD85)</f>
        <v/>
      </c>
      <c r="F85" s="362">
        <f>IF(AE85=301,"",AE85)</f>
        <v>213</v>
      </c>
      <c r="G85" s="362" t="str">
        <f>IF(AF85=0,"",AF85)</f>
        <v/>
      </c>
      <c r="H85" s="362">
        <f>IF(AG85=301,"",AG85)</f>
        <v>210</v>
      </c>
      <c r="I85" s="362" t="str">
        <f>IF(AH85=0,"",AH85)</f>
        <v/>
      </c>
      <c r="J85" s="362">
        <f>IF(AI85=301,"",AI85)</f>
        <v>171</v>
      </c>
      <c r="K85" s="362" t="str">
        <f>IF(AJ85=0,"",AJ85)</f>
        <v/>
      </c>
      <c r="L85" s="362">
        <f>IF(AK85=301,"",AK85)</f>
        <v>178</v>
      </c>
      <c r="M85" s="362" t="str">
        <f>IF(AL85=0,"",AL85)</f>
        <v/>
      </c>
      <c r="N85" s="362">
        <f>IF(AM85=301,"",AM85)</f>
        <v>192</v>
      </c>
      <c r="O85" s="362" t="str">
        <f>IF(AN85=0,"",AN85)</f>
        <v/>
      </c>
      <c r="P85" s="362">
        <f>IF(AO85=301,"",AO85)</f>
        <v>0</v>
      </c>
      <c r="Q85" s="362" t="str">
        <f>IF(AP85=0,"",AP85)</f>
        <v/>
      </c>
      <c r="R85" s="362">
        <f>IF(AQ85=301,"",AQ85)</f>
        <v>0</v>
      </c>
      <c r="S85" s="362" t="str">
        <f>IF(AR85=0,"",AR85)</f>
        <v/>
      </c>
      <c r="T85" s="362">
        <f>IF(AS85=301,"",AS85)</f>
        <v>0</v>
      </c>
      <c r="U85" s="362" t="str">
        <f>IF(AT85=0,"",AT85)</f>
        <v/>
      </c>
      <c r="V85" s="364"/>
      <c r="W85" s="364"/>
      <c r="AA85" s="91" t="s">
        <v>0</v>
      </c>
      <c r="AB85" s="92"/>
      <c r="AC85" s="368">
        <f>ABS(INDEX(AC:AC,MATCH(AC82,$AA:$AA,0)+5)+INDEX(AC:AC,MATCH(AC82,$AA:$AA,0)+6)+INDEX(AC:AC,MATCH(AC82,$AA:$AA,0)+7))</f>
        <v>249</v>
      </c>
      <c r="AD85" s="369"/>
      <c r="AE85" s="368">
        <f>ABS(INDEX(AE:AE,MATCH(AE82,$AA:$AA,0)+5)+INDEX(AE:AE,MATCH(AE82,$AA:$AA,0)+6)+INDEX(AE:AE,MATCH(AE82,$AA:$AA,0)+7))</f>
        <v>213</v>
      </c>
      <c r="AF85" s="369"/>
      <c r="AG85" s="368">
        <f>ABS(INDEX(AG:AG,MATCH(AG82,$AA:$AA,0)+5)+INDEX(AG:AG,MATCH(AG82,$AA:$AA,0)+6)+INDEX(AG:AG,MATCH(AG82,$AA:$AA,0)+7))</f>
        <v>210</v>
      </c>
      <c r="AH85" s="369"/>
      <c r="AI85" s="368">
        <f>ABS(INDEX(AI:AI,MATCH(AI82,$AA:$AA,0)+5)+INDEX(AI:AI,MATCH(AI82,$AA:$AA,0)+6)+INDEX(AI:AI,MATCH(AI82,$AA:$AA,0)+7))</f>
        <v>171</v>
      </c>
      <c r="AJ85" s="369"/>
      <c r="AK85" s="368">
        <f>ABS(INDEX(AK:AK,MATCH(AK82,$AA:$AA,0)+5)+INDEX(AK:AK,MATCH(AK82,$AA:$AA,0)+6)+INDEX(AK:AK,MATCH(AK82,$AA:$AA,0)+7))</f>
        <v>178</v>
      </c>
      <c r="AL85" s="369"/>
      <c r="AM85" s="368">
        <f>ABS(INDEX(AM:AM,MATCH(AM82,$AA:$AA,0)+5)+INDEX(AM:AM,MATCH(AM82,$AA:$AA,0)+6)+INDEX(AM:AM,MATCH(AM82,$AA:$AA,0)+7))</f>
        <v>192</v>
      </c>
      <c r="AN85" s="369"/>
      <c r="AO85" s="368">
        <f>ABS(INDEX(AO:AO,MATCH(AO82,$AA:$AA,0)+5)+INDEX(AO:AO,MATCH(AO82,$AA:$AA,0)+6)+INDEX(AO:AO,MATCH(AO82,$AA:$AA,0)+7))</f>
        <v>0</v>
      </c>
      <c r="AP85" s="369"/>
      <c r="AQ85" s="368">
        <f>ABS(INDEX(AQ:AQ,MATCH(AQ82,$AA:$AA,0)+5)+INDEX(AQ:AQ,MATCH(AQ82,$AA:$AA,0)+6)+INDEX(AQ:AQ,MATCH(AQ82,$AA:$AA,0)+7))</f>
        <v>0</v>
      </c>
      <c r="AR85" s="369"/>
      <c r="AS85" s="368">
        <f>ABS(INDEX(AS:AS,MATCH(AS82,$AA:$AA,0)+5)+INDEX(AS:AS,MATCH(AS82,$AA:$AA,0)+6)+INDEX(AS:AS,MATCH(AS82,$AA:$AA,0)+7))</f>
        <v>0</v>
      </c>
      <c r="AT85" s="369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4" t="str">
        <f t="shared" si="103"/>
        <v>Spieler 2</v>
      </c>
      <c r="C86" s="375" t="str">
        <f t="shared" si="103"/>
        <v/>
      </c>
      <c r="D86" s="362">
        <f>IF(AC86=301,"",AC86)</f>
        <v>202</v>
      </c>
      <c r="E86" s="362" t="str">
        <f>IF(AD86=0,"",AD86)</f>
        <v/>
      </c>
      <c r="F86" s="362">
        <f>IF(AE86=301,"",AE86)</f>
        <v>235</v>
      </c>
      <c r="G86" s="362" t="str">
        <f>IF(AF86=0,"",AF86)</f>
        <v/>
      </c>
      <c r="H86" s="362">
        <f>IF(AG86=301,"",AG86)</f>
        <v>189</v>
      </c>
      <c r="I86" s="362" t="str">
        <f>IF(AH86=0,"",AH86)</f>
        <v/>
      </c>
      <c r="J86" s="362">
        <f>IF(AI86=301,"",AI86)</f>
        <v>212</v>
      </c>
      <c r="K86" s="362" t="str">
        <f>IF(AJ86=0,"",AJ86)</f>
        <v/>
      </c>
      <c r="L86" s="362">
        <f>IF(AK86=301,"",AK86)</f>
        <v>217</v>
      </c>
      <c r="M86" s="362" t="str">
        <f>IF(AL86=0,"",AL86)</f>
        <v/>
      </c>
      <c r="N86" s="362">
        <f>IF(AM86=301,"",AM86)</f>
        <v>170</v>
      </c>
      <c r="O86" s="362" t="str">
        <f>IF(AN86=0,"",AN86)</f>
        <v/>
      </c>
      <c r="P86" s="362">
        <f>IF(AO86=301,"",AO86)</f>
        <v>0</v>
      </c>
      <c r="Q86" s="362" t="str">
        <f>IF(AP86=0,"",AP86)</f>
        <v/>
      </c>
      <c r="R86" s="362">
        <f>IF(AQ86=301,"",AQ86)</f>
        <v>0</v>
      </c>
      <c r="S86" s="362" t="str">
        <f>IF(AR86=0,"",AR86)</f>
        <v/>
      </c>
      <c r="T86" s="362">
        <f>IF(AS86=301,"",AS86)</f>
        <v>0</v>
      </c>
      <c r="U86" s="362" t="str">
        <f>IF(AT86=0,"",AT86)</f>
        <v/>
      </c>
      <c r="V86" s="364"/>
      <c r="W86" s="364"/>
      <c r="AA86" s="91" t="s">
        <v>2</v>
      </c>
      <c r="AB86" s="92"/>
      <c r="AC86" s="366">
        <f>ABS(INDEX(AC:AC,MATCH(AC82,$AA:$AA,0)+8)+INDEX(AC:AC,MATCH(AC82,$AA:$AA,0)+9)+INDEX(AC:AC,MATCH(AC82,$AA:$AA,0)+10))</f>
        <v>202</v>
      </c>
      <c r="AD86" s="367"/>
      <c r="AE86" s="366">
        <f>ABS(INDEX(AE:AE,MATCH(AE82,$AA:$AA,0)+8)+INDEX(AE:AE,MATCH(AE82,$AA:$AA,0)+9)+INDEX(AE:AE,MATCH(AE82,$AA:$AA,0)+10))</f>
        <v>235</v>
      </c>
      <c r="AF86" s="367"/>
      <c r="AG86" s="366">
        <f>ABS(INDEX(AG:AG,MATCH(AG82,$AA:$AA,0)+8)+INDEX(AG:AG,MATCH(AG82,$AA:$AA,0)+9)+INDEX(AG:AG,MATCH(AG82,$AA:$AA,0)+10))</f>
        <v>189</v>
      </c>
      <c r="AH86" s="367"/>
      <c r="AI86" s="366">
        <f>ABS(INDEX(AI:AI,MATCH(AI82,$AA:$AA,0)+8)+INDEX(AI:AI,MATCH(AI82,$AA:$AA,0)+9)+INDEX(AI:AI,MATCH(AI82,$AA:$AA,0)+10))</f>
        <v>212</v>
      </c>
      <c r="AJ86" s="367"/>
      <c r="AK86" s="366">
        <f>ABS(INDEX(AK:AK,MATCH(AK82,$AA:$AA,0)+8)+INDEX(AK:AK,MATCH(AK82,$AA:$AA,0)+9)+INDEX(AK:AK,MATCH(AK82,$AA:$AA,0)+10))</f>
        <v>217</v>
      </c>
      <c r="AL86" s="367"/>
      <c r="AM86" s="366">
        <f>ABS(INDEX(AM:AM,MATCH(AM82,$AA:$AA,0)+8)+INDEX(AM:AM,MATCH(AM82,$AA:$AA,0)+9)+INDEX(AM:AM,MATCH(AM82,$AA:$AA,0)+10))</f>
        <v>170</v>
      </c>
      <c r="AN86" s="367"/>
      <c r="AO86" s="366">
        <f>ABS(INDEX(AO:AO,MATCH(AO82,$AA:$AA,0)+8)+INDEX(AO:AO,MATCH(AO82,$AA:$AA,0)+9)+INDEX(AO:AO,MATCH(AO82,$AA:$AA,0)+10))</f>
        <v>0</v>
      </c>
      <c r="AP86" s="367"/>
      <c r="AQ86" s="366">
        <f>ABS(INDEX(AQ:AQ,MATCH(AQ82,$AA:$AA,0)+8)+INDEX(AQ:AQ,MATCH(AQ82,$AA:$AA,0)+9)+INDEX(AQ:AQ,MATCH(AQ82,$AA:$AA,0)+10))</f>
        <v>0</v>
      </c>
      <c r="AR86" s="367"/>
      <c r="AS86" s="366">
        <f>ABS(INDEX(AS:AS,MATCH(AS82,$AA:$AA,0)+8)+INDEX(AS:AS,MATCH(AS82,$AA:$AA,0)+9)+INDEX(AS:AS,MATCH(AS82,$AA:$AA,0)+10))</f>
        <v>0</v>
      </c>
      <c r="AT86" s="367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4" t="str">
        <f t="shared" si="103"/>
        <v>Spieler 3</v>
      </c>
      <c r="C87" s="375" t="str">
        <f t="shared" si="103"/>
        <v/>
      </c>
      <c r="D87" s="362">
        <f>IF(AC87=301,"",AC87)</f>
        <v>175</v>
      </c>
      <c r="E87" s="362" t="str">
        <f>IF(AD87=0,"",AD87)</f>
        <v/>
      </c>
      <c r="F87" s="362">
        <f>IF(AE87=301,"",AE87)</f>
        <v>178</v>
      </c>
      <c r="G87" s="362" t="str">
        <f>IF(AF87=0,"",AF87)</f>
        <v/>
      </c>
      <c r="H87" s="362">
        <f>IF(AG87=301,"",AG87)</f>
        <v>180</v>
      </c>
      <c r="I87" s="362" t="str">
        <f>IF(AH87=0,"",AH87)</f>
        <v/>
      </c>
      <c r="J87" s="362">
        <f>IF(AI87=301,"",AI87)</f>
        <v>259</v>
      </c>
      <c r="K87" s="362" t="str">
        <f>IF(AJ87=0,"",AJ87)</f>
        <v/>
      </c>
      <c r="L87" s="362">
        <f>IF(AK87=301,"",AK87)</f>
        <v>189</v>
      </c>
      <c r="M87" s="362" t="str">
        <f>IF(AL87=0,"",AL87)</f>
        <v/>
      </c>
      <c r="N87" s="362">
        <f>IF(AM87=301,"",AM87)</f>
        <v>201</v>
      </c>
      <c r="O87" s="362" t="str">
        <f>IF(AN87=0,"",AN87)</f>
        <v/>
      </c>
      <c r="P87" s="362">
        <f>IF(AO87=301,"",AO87)</f>
        <v>0</v>
      </c>
      <c r="Q87" s="362" t="str">
        <f>IF(AP87=0,"",AP87)</f>
        <v/>
      </c>
      <c r="R87" s="362">
        <f>IF(AQ87=301,"",AQ87)</f>
        <v>0</v>
      </c>
      <c r="S87" s="362" t="str">
        <f>IF(AR87=0,"",AR87)</f>
        <v/>
      </c>
      <c r="T87" s="362">
        <f>IF(AS87=301,"",AS87)</f>
        <v>0</v>
      </c>
      <c r="U87" s="362" t="str">
        <f>IF(AT87=0,"",AT87)</f>
        <v/>
      </c>
      <c r="V87" s="364"/>
      <c r="W87" s="364"/>
      <c r="AA87" s="91" t="s">
        <v>3</v>
      </c>
      <c r="AB87" s="92"/>
      <c r="AC87" s="366">
        <f>ABS(INDEX(AC:AC,MATCH(AC82,$AA:$AA,0)+11)+INDEX(AC:AC,MATCH(AC82,$AA:$AA,0)+12)+INDEX(AC:AC,MATCH(AC82,$AA:$AA,0)+13))</f>
        <v>175</v>
      </c>
      <c r="AD87" s="367"/>
      <c r="AE87" s="366">
        <f>ABS(INDEX(AE:AE,MATCH(AE82,$AA:$AA,0)+11)+INDEX(AE:AE,MATCH(AE82,$AA:$AA,0)+12)+INDEX(AE:AE,MATCH(AE82,$AA:$AA,0)+13))</f>
        <v>178</v>
      </c>
      <c r="AF87" s="367"/>
      <c r="AG87" s="366">
        <f>ABS(INDEX(AG:AG,MATCH(AG82,$AA:$AA,0)+11)+INDEX(AG:AG,MATCH(AG82,$AA:$AA,0)+12)+INDEX(AG:AG,MATCH(AG82,$AA:$AA,0)+13))</f>
        <v>180</v>
      </c>
      <c r="AH87" s="367"/>
      <c r="AI87" s="366">
        <f>ABS(INDEX(AI:AI,MATCH(AI82,$AA:$AA,0)+11)+INDEX(AI:AI,MATCH(AI82,$AA:$AA,0)+12)+INDEX(AI:AI,MATCH(AI82,$AA:$AA,0)+13))</f>
        <v>259</v>
      </c>
      <c r="AJ87" s="367"/>
      <c r="AK87" s="366">
        <f>ABS(INDEX(AK:AK,MATCH(AK82,$AA:$AA,0)+11)+INDEX(AK:AK,MATCH(AK82,$AA:$AA,0)+12)+INDEX(AK:AK,MATCH(AK82,$AA:$AA,0)+13))</f>
        <v>189</v>
      </c>
      <c r="AL87" s="367"/>
      <c r="AM87" s="366">
        <f>ABS(INDEX(AM:AM,MATCH(AM82,$AA:$AA,0)+11)+INDEX(AM:AM,MATCH(AM82,$AA:$AA,0)+12)+INDEX(AM:AM,MATCH(AM82,$AA:$AA,0)+13))</f>
        <v>201</v>
      </c>
      <c r="AN87" s="367"/>
      <c r="AO87" s="366">
        <f>ABS(INDEX(AO:AO,MATCH(AO82,$AA:$AA,0)+11)+INDEX(AO:AO,MATCH(AO82,$AA:$AA,0)+12)+INDEX(AO:AO,MATCH(AO82,$AA:$AA,0)+13))</f>
        <v>0</v>
      </c>
      <c r="AP87" s="367"/>
      <c r="AQ87" s="366">
        <f>ABS(INDEX(AQ:AQ,MATCH(AQ82,$AA:$AA,0)+11)+INDEX(AQ:AQ,MATCH(AQ82,$AA:$AA,0)+12)+INDEX(AQ:AQ,MATCH(AQ82,$AA:$AA,0)+13))</f>
        <v>0</v>
      </c>
      <c r="AR87" s="367"/>
      <c r="AS87" s="366">
        <f>ABS(INDEX(AS:AS,MATCH(AS82,$AA:$AA,0)+11)+INDEX(AS:AS,MATCH(AS82,$AA:$AA,0)+12)+INDEX(AS:AS,MATCH(AS82,$AA:$AA,0)+13))</f>
        <v>0</v>
      </c>
      <c r="AT87" s="367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4" t="str">
        <f t="shared" si="103"/>
        <v>Spieler 4</v>
      </c>
      <c r="C88" s="375" t="str">
        <f t="shared" si="103"/>
        <v/>
      </c>
      <c r="D88" s="362">
        <f>IF(AC88=301,"",AC88)</f>
        <v>170</v>
      </c>
      <c r="E88" s="362" t="str">
        <f>IF(AD88=0,"",AD88)</f>
        <v/>
      </c>
      <c r="F88" s="362">
        <f>IF(AE88=301,"",AE88)</f>
        <v>172</v>
      </c>
      <c r="G88" s="362" t="str">
        <f>IF(AF88=0,"",AF88)</f>
        <v/>
      </c>
      <c r="H88" s="362">
        <f>IF(AG88=301,"",AG88)</f>
        <v>190</v>
      </c>
      <c r="I88" s="362" t="str">
        <f>IF(AH88=0,"",AH88)</f>
        <v/>
      </c>
      <c r="J88" s="362">
        <f>IF(AI88=301,"",AI88)</f>
        <v>244</v>
      </c>
      <c r="K88" s="362" t="str">
        <f>IF(AJ88=0,"",AJ88)</f>
        <v/>
      </c>
      <c r="L88" s="362">
        <f>IF(AK88=301,"",AK88)</f>
        <v>181</v>
      </c>
      <c r="M88" s="362" t="str">
        <f>IF(AL88=0,"",AL88)</f>
        <v/>
      </c>
      <c r="N88" s="362">
        <f>IF(AM88=301,"",AM88)</f>
        <v>212</v>
      </c>
      <c r="O88" s="362" t="str">
        <f>IF(AN88=0,"",AN88)</f>
        <v/>
      </c>
      <c r="P88" s="362">
        <f>IF(AO88=301,"",AO88)</f>
        <v>0</v>
      </c>
      <c r="Q88" s="362" t="str">
        <f>IF(AP88=0,"",AP88)</f>
        <v/>
      </c>
      <c r="R88" s="362">
        <f>IF(AQ88=301,"",AQ88)</f>
        <v>0</v>
      </c>
      <c r="S88" s="362" t="str">
        <f>IF(AR88=0,"",AR88)</f>
        <v/>
      </c>
      <c r="T88" s="362">
        <f>IF(AS88=301,"",AS88)</f>
        <v>0</v>
      </c>
      <c r="U88" s="362" t="str">
        <f>IF(AT88=0,"",AT88)</f>
        <v/>
      </c>
      <c r="V88" s="364"/>
      <c r="W88" s="364"/>
      <c r="AA88" s="91" t="s">
        <v>11</v>
      </c>
      <c r="AB88" s="92"/>
      <c r="AC88" s="366">
        <f>ABS(INDEX(AC:AC,MATCH(AC82,$AA:$AA,0)+14)+INDEX(AC:AC,MATCH(AC82,$AA:$AA,0)+15)+INDEX(AC:AC,MATCH(AC82,$AA:$AA,0)+16))</f>
        <v>170</v>
      </c>
      <c r="AD88" s="367"/>
      <c r="AE88" s="366">
        <f>ABS(INDEX(AE:AE,MATCH(AE82,$AA:$AA,0)+14)+INDEX(AE:AE,MATCH(AE82,$AA:$AA,0)+15)+INDEX(AE:AE,MATCH(AE82,$AA:$AA,0)+16))</f>
        <v>172</v>
      </c>
      <c r="AF88" s="367"/>
      <c r="AG88" s="366">
        <f>ABS(INDEX(AG:AG,MATCH(AG82,$AA:$AA,0)+14)+INDEX(AG:AG,MATCH(AG82,$AA:$AA,0)+15)+INDEX(AG:AG,MATCH(AG82,$AA:$AA,0)+16))</f>
        <v>190</v>
      </c>
      <c r="AH88" s="367"/>
      <c r="AI88" s="366">
        <f>ABS(INDEX(AI:AI,MATCH(AI82,$AA:$AA,0)+14)+INDEX(AI:AI,MATCH(AI82,$AA:$AA,0)+15)+INDEX(AI:AI,MATCH(AI82,$AA:$AA,0)+16))</f>
        <v>244</v>
      </c>
      <c r="AJ88" s="367"/>
      <c r="AK88" s="366">
        <f>ABS(INDEX(AK:AK,MATCH(AK82,$AA:$AA,0)+14)+INDEX(AK:AK,MATCH(AK82,$AA:$AA,0)+15)+INDEX(AK:AK,MATCH(AK82,$AA:$AA,0)+16))</f>
        <v>181</v>
      </c>
      <c r="AL88" s="367"/>
      <c r="AM88" s="366">
        <f>ABS(INDEX(AM:AM,MATCH(AM82,$AA:$AA,0)+14)+INDEX(AM:AM,MATCH(AM82,$AA:$AA,0)+15)+INDEX(AM:AM,MATCH(AM82,$AA:$AA,0)+16))</f>
        <v>212</v>
      </c>
      <c r="AN88" s="367"/>
      <c r="AO88" s="366">
        <f>ABS(INDEX(AO:AO,MATCH(AO82,$AA:$AA,0)+14)+INDEX(AO:AO,MATCH(AO82,$AA:$AA,0)+15)+INDEX(AO:AO,MATCH(AO82,$AA:$AA,0)+16))</f>
        <v>0</v>
      </c>
      <c r="AP88" s="367"/>
      <c r="AQ88" s="366">
        <f>ABS(INDEX(AQ:AQ,MATCH(AQ82,$AA:$AA,0)+14)+INDEX(AQ:AQ,MATCH(AQ82,$AA:$AA,0)+15)+INDEX(AQ:AQ,MATCH(AQ82,$AA:$AA,0)+16))</f>
        <v>0</v>
      </c>
      <c r="AR88" s="367"/>
      <c r="AS88" s="366">
        <f>ABS(INDEX(AS:AS,MATCH(AS82,$AA:$AA,0)+14)+INDEX(AS:AS,MATCH(AS82,$AA:$AA,0)+15)+INDEX(AS:AS,MATCH(AS82,$AA:$AA,0)+16))</f>
        <v>0</v>
      </c>
      <c r="AT88" s="367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6" t="str">
        <f t="shared" si="103"/>
        <v>Gesamt</v>
      </c>
      <c r="C89" s="347" t="str">
        <f t="shared" si="103"/>
        <v/>
      </c>
      <c r="D89" s="365">
        <f>IF(AC89=1505,"",AC89)</f>
        <v>796</v>
      </c>
      <c r="E89" s="365" t="str">
        <f>IF(AD89=0,"",AD89)</f>
        <v/>
      </c>
      <c r="F89" s="365">
        <f>IF(AE89=1505,"",AE89)</f>
        <v>798</v>
      </c>
      <c r="G89" s="365" t="str">
        <f>IF(AF89=0,"",AF89)</f>
        <v/>
      </c>
      <c r="H89" s="365">
        <f>IF(AG89=1505,"",AG89)</f>
        <v>769</v>
      </c>
      <c r="I89" s="365" t="str">
        <f>IF(AH89=0,"",AH89)</f>
        <v/>
      </c>
      <c r="J89" s="365">
        <f>IF(AI89=1505,"",AI89)</f>
        <v>886</v>
      </c>
      <c r="K89" s="365" t="str">
        <f>IF(AJ89=0,"",AJ89)</f>
        <v/>
      </c>
      <c r="L89" s="365">
        <f>IF(AK89=1505,"",AK89)</f>
        <v>765</v>
      </c>
      <c r="M89" s="365" t="str">
        <f>IF(AL89=0,"",AL89)</f>
        <v/>
      </c>
      <c r="N89" s="365">
        <f>IF(AM89=1505,"",AM89)</f>
        <v>775</v>
      </c>
      <c r="O89" s="365" t="str">
        <f>IF(AN89=0,"",AN89)</f>
        <v/>
      </c>
      <c r="P89" s="365">
        <f>IF(AO89=1505,"",AO89)</f>
        <v>0</v>
      </c>
      <c r="Q89" s="365" t="str">
        <f>IF(AP89=0,"",AP89)</f>
        <v/>
      </c>
      <c r="R89" s="365">
        <f>IF(AQ89=1505,"",AQ89)</f>
        <v>0</v>
      </c>
      <c r="S89" s="365" t="str">
        <f>IF(AR89=0,"",AR89)</f>
        <v/>
      </c>
      <c r="T89" s="365">
        <f>IF(AS89=1505,"",AS89)</f>
        <v>0</v>
      </c>
      <c r="U89" s="365" t="str">
        <f>IF(AT89=0,"",AT89)</f>
        <v/>
      </c>
      <c r="V89" s="301"/>
      <c r="W89" s="301"/>
      <c r="AA89" s="93" t="s">
        <v>1799</v>
      </c>
      <c r="AB89" s="94"/>
      <c r="AC89" s="346">
        <f>SUM(AC85:AC88)</f>
        <v>796</v>
      </c>
      <c r="AD89" s="347"/>
      <c r="AE89" s="346">
        <f>SUM(AE85:AE88)</f>
        <v>798</v>
      </c>
      <c r="AF89" s="347"/>
      <c r="AG89" s="346">
        <f>SUM(AG85:AG88)</f>
        <v>769</v>
      </c>
      <c r="AH89" s="347"/>
      <c r="AI89" s="346">
        <f>SUM(AI85:AI88)</f>
        <v>886</v>
      </c>
      <c r="AJ89" s="347"/>
      <c r="AK89" s="346">
        <f>SUM(AK85:AK88)</f>
        <v>765</v>
      </c>
      <c r="AL89" s="347"/>
      <c r="AM89" s="346">
        <f>SUM(AM85:AM88)</f>
        <v>775</v>
      </c>
      <c r="AN89" s="347"/>
      <c r="AO89" s="346">
        <f>SUM(AO85:AO88)</f>
        <v>0</v>
      </c>
      <c r="AP89" s="347"/>
      <c r="AQ89" s="346">
        <f>SUM(AQ85:AQ88)</f>
        <v>0</v>
      </c>
      <c r="AR89" s="347"/>
      <c r="AS89" s="346">
        <f>SUM(AS85:AS88)</f>
        <v>0</v>
      </c>
      <c r="AT89" s="347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5" t="str">
        <f>AE91</f>
        <v>Bayernliga Herren</v>
      </c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48"/>
      <c r="S91" s="49" t="s">
        <v>1794</v>
      </c>
      <c r="T91" s="50"/>
      <c r="U91" s="341" t="str">
        <f>AT91</f>
        <v>05.04./06.04.</v>
      </c>
      <c r="V91" s="342"/>
      <c r="W91" s="343"/>
      <c r="X91" s="372"/>
      <c r="Y91" s="373"/>
      <c r="Z91" s="373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41" t="str">
        <f>VLOOKUP(AS92,Spielorte!$A$1:$C$6,2)</f>
        <v>05.04./06.04.</v>
      </c>
      <c r="AU91" s="342"/>
      <c r="AV91" s="34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4" t="str">
        <f>AE92</f>
        <v>Dettelbach Extreme Bowlingarena</v>
      </c>
      <c r="G92" s="344"/>
      <c r="H92" s="344"/>
      <c r="I92" s="344"/>
      <c r="J92" s="344"/>
      <c r="K92" s="344"/>
      <c r="L92" s="344"/>
      <c r="M92" s="344"/>
      <c r="N92" s="344"/>
      <c r="O92" s="344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Dettelbach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6" t="s">
        <v>1800</v>
      </c>
      <c r="E95" s="347"/>
      <c r="F95" s="346" t="s">
        <v>1801</v>
      </c>
      <c r="G95" s="347"/>
      <c r="H95" s="346" t="s">
        <v>1802</v>
      </c>
      <c r="I95" s="347"/>
      <c r="J95" s="346" t="s">
        <v>1803</v>
      </c>
      <c r="K95" s="347"/>
      <c r="L95" s="346" t="s">
        <v>1804</v>
      </c>
      <c r="M95" s="347"/>
      <c r="N95" s="346" t="s">
        <v>1805</v>
      </c>
      <c r="O95" s="347"/>
      <c r="P95" s="346" t="s">
        <v>1806</v>
      </c>
      <c r="Q95" s="347"/>
      <c r="R95" s="346" t="s">
        <v>1807</v>
      </c>
      <c r="S95" s="347"/>
      <c r="T95" s="346" t="s">
        <v>1808</v>
      </c>
      <c r="U95" s="347"/>
      <c r="V95" s="354" t="s">
        <v>1799</v>
      </c>
      <c r="W95" s="355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6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196</v>
      </c>
      <c r="E97" s="348">
        <f>IF(AD97="","",AD97)</f>
        <v>0</v>
      </c>
      <c r="F97" s="75">
        <f t="shared" ref="F97:F110" si="104">IF(AE97=0,"",AE97)</f>
        <v>177</v>
      </c>
      <c r="G97" s="348">
        <f>IF(AF97="","",AF97)</f>
        <v>0</v>
      </c>
      <c r="H97" s="75" t="str">
        <f t="shared" ref="H97:H110" si="105">IF(AG97=0,"",AG97)</f>
        <v/>
      </c>
      <c r="I97" s="348">
        <f>IF(AH97="","",AH97)</f>
        <v>1</v>
      </c>
      <c r="J97" s="75" t="str">
        <f t="shared" ref="J97:J110" si="106">IF(AI97=0,"",AI97)</f>
        <v/>
      </c>
      <c r="K97" s="348">
        <f>IF(AJ97="","",AJ97)</f>
        <v>1</v>
      </c>
      <c r="L97" s="75">
        <f t="shared" ref="L97:L110" si="107">IF(AK97=0,"",AK97)</f>
        <v>235</v>
      </c>
      <c r="M97" s="348">
        <f>IF(AL97="","",AL97)</f>
        <v>1</v>
      </c>
      <c r="N97" s="75">
        <f>IF(AM97=0,"",AM97)</f>
        <v>237</v>
      </c>
      <c r="O97" s="348">
        <f>IF(AN97="","",AN97)</f>
        <v>1</v>
      </c>
      <c r="P97" s="75" t="str">
        <f t="shared" ref="P97:P110" si="108">IF(AO97=0,"",AO97)</f>
        <v/>
      </c>
      <c r="Q97" s="348">
        <f>IF(AP97="","",AP97)</f>
        <v>0</v>
      </c>
      <c r="R97" s="75" t="str">
        <f t="shared" ref="R97:R110" si="109">IF(AQ97=0,"",AQ97)</f>
        <v/>
      </c>
      <c r="S97" s="348">
        <f>IF(AR97="","",AR97)</f>
        <v>0</v>
      </c>
      <c r="T97" s="75" t="str">
        <f t="shared" ref="T97:T110" si="110">IF(AS97=0,"",AS97)</f>
        <v/>
      </c>
      <c r="U97" s="348">
        <f>IF(AT97="","",AT97)</f>
        <v>0</v>
      </c>
      <c r="V97" s="75">
        <f t="shared" ref="V97:V110" si="111">IF(AU97=0,"",AU97)</f>
        <v>845</v>
      </c>
      <c r="W97" s="348">
        <f>IF(AV97="","",AV97)</f>
        <v>4</v>
      </c>
      <c r="Z97" s="351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196</v>
      </c>
      <c r="AD97" s="109">
        <f>IF(SUM(AC97:AC99)+AC115=0,0,IF(SUM(AC97:AC99)=AC115,0.5,IF(SUM(AC97:AC99)&gt;AC115,1,0)))</f>
        <v>0</v>
      </c>
      <c r="AE97" s="185">
        <v>177</v>
      </c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1</v>
      </c>
      <c r="AI97" s="185"/>
      <c r="AJ97" s="109">
        <f>IF(SUM(AI97:AI99)+AI115=0,0,IF(SUM(AI97:AI99)=AI115,0.5,IF(SUM(AI97:AI99)&gt;AI115,1,0)))</f>
        <v>1</v>
      </c>
      <c r="AK97" s="185">
        <v>235</v>
      </c>
      <c r="AL97" s="109">
        <f>IF(SUM(AK97:AK99)+AK115=0,0,IF(SUM(AK97:AK99)=AK115,0.5,IF(SUM(AK97:AK99)&gt;AK115,1,0)))</f>
        <v>1</v>
      </c>
      <c r="AM97" s="185">
        <v>237</v>
      </c>
      <c r="AN97" s="109">
        <f>IF(SUM(AM97:AM99)+AM115=0,0,IF(SUM(AM97:AM99)=AM115,0.5,IF(SUM(AM97:AM99)&gt;AM115,1,0)))</f>
        <v>1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845</v>
      </c>
      <c r="AV97" s="111">
        <f>SUM(AD97+AF97+AH97+AJ97+AL97+AN97+AP97+AR97+AT97)</f>
        <v>4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845</v>
      </c>
      <c r="BF97" s="215">
        <f>COUNT(BH97:BP97)</f>
        <v>4</v>
      </c>
      <c r="BG97" s="215">
        <f>COUNTIF(BH97:BP97,"&gt;0")</f>
        <v>4</v>
      </c>
      <c r="BH97" s="215">
        <f t="shared" ref="BH97:BH108" si="113">IF(AC97=0,"",AC97)</f>
        <v>196</v>
      </c>
      <c r="BI97" s="215">
        <f t="shared" ref="BI97:BI108" si="114">IF(AE97=0,"",AE97)</f>
        <v>177</v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>
        <f t="shared" ref="BL97:BL108" si="117">IF(AK97=0,"",AK97)</f>
        <v>235</v>
      </c>
      <c r="BM97" s="215">
        <f t="shared" ref="BM97:BM108" si="118">IF(AM97=0,"",AM97)</f>
        <v>237</v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237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845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5">
      <c r="A98" s="377"/>
      <c r="B98" s="76" t="str">
        <f t="shared" ref="B98:D110" si="123">IF(AA98=0,"",AA98)</f>
        <v>Wunderlich, Henning</v>
      </c>
      <c r="C98" s="77">
        <f t="shared" si="123"/>
        <v>38018</v>
      </c>
      <c r="D98" s="78" t="str">
        <f t="shared" si="123"/>
        <v/>
      </c>
      <c r="E98" s="349"/>
      <c r="F98" s="78" t="str">
        <f t="shared" si="104"/>
        <v/>
      </c>
      <c r="G98" s="349"/>
      <c r="H98" s="78">
        <f t="shared" si="105"/>
        <v>224</v>
      </c>
      <c r="I98" s="349"/>
      <c r="J98" s="78">
        <f t="shared" si="106"/>
        <v>212</v>
      </c>
      <c r="K98" s="349"/>
      <c r="L98" s="78" t="str">
        <f t="shared" si="107"/>
        <v/>
      </c>
      <c r="M98" s="349"/>
      <c r="N98" s="78" t="str">
        <f t="shared" ref="N98:N110" si="124">IF(AM98=0,"",AM98)</f>
        <v/>
      </c>
      <c r="O98" s="349"/>
      <c r="P98" s="78" t="str">
        <f t="shared" si="108"/>
        <v/>
      </c>
      <c r="Q98" s="349"/>
      <c r="R98" s="78" t="str">
        <f t="shared" si="109"/>
        <v/>
      </c>
      <c r="S98" s="349"/>
      <c r="T98" s="78" t="str">
        <f t="shared" si="110"/>
        <v/>
      </c>
      <c r="U98" s="349"/>
      <c r="V98" s="78">
        <f t="shared" si="111"/>
        <v>436</v>
      </c>
      <c r="W98" s="349"/>
      <c r="Z98" s="352"/>
      <c r="AA98" s="108" t="str">
        <f>IF(AB98=0,"",VLOOKUP(AB98,Starter!$A$1:$D$199,2,FALSE))</f>
        <v>Wunderlich, Henning</v>
      </c>
      <c r="AB98" s="98">
        <v>38018</v>
      </c>
      <c r="AC98" s="186"/>
      <c r="AD98" s="112"/>
      <c r="AE98" s="186"/>
      <c r="AF98" s="112"/>
      <c r="AG98" s="186">
        <v>224</v>
      </c>
      <c r="AH98" s="112"/>
      <c r="AI98" s="186">
        <v>212</v>
      </c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436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38018</v>
      </c>
      <c r="BE98" s="213">
        <f t="shared" ref="BE98:BE108" si="126">+AU98</f>
        <v>436</v>
      </c>
      <c r="BF98" s="215">
        <f t="shared" ref="BF98:BF108" si="127">COUNT(BH98:BP98)</f>
        <v>2</v>
      </c>
      <c r="BG98" s="215">
        <f t="shared" ref="BG98:BG108" si="128">COUNTIF(BH98:BP98,"&gt;0")</f>
        <v>2</v>
      </c>
      <c r="BH98" s="215" t="str">
        <f t="shared" si="113"/>
        <v/>
      </c>
      <c r="BI98" s="215" t="str">
        <f t="shared" si="114"/>
        <v/>
      </c>
      <c r="BJ98" s="215">
        <f t="shared" si="115"/>
        <v>224</v>
      </c>
      <c r="BK98" s="215">
        <f t="shared" si="116"/>
        <v>212</v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224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2</v>
      </c>
      <c r="BW98" s="215">
        <f t="shared" ref="BW98:BW108" si="133">SUMIF(BH98:BP98,"&gt;0")</f>
        <v>436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3">
      <c r="A99" s="378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0"/>
      <c r="F99" s="69" t="str">
        <f t="shared" si="104"/>
        <v/>
      </c>
      <c r="G99" s="350"/>
      <c r="H99" s="69" t="str">
        <f t="shared" si="105"/>
        <v/>
      </c>
      <c r="I99" s="350"/>
      <c r="J99" s="69" t="str">
        <f t="shared" si="106"/>
        <v/>
      </c>
      <c r="K99" s="350"/>
      <c r="L99" s="69" t="str">
        <f t="shared" si="107"/>
        <v/>
      </c>
      <c r="M99" s="350"/>
      <c r="N99" s="69" t="str">
        <f t="shared" si="124"/>
        <v/>
      </c>
      <c r="O99" s="350"/>
      <c r="P99" s="69" t="str">
        <f t="shared" si="108"/>
        <v/>
      </c>
      <c r="Q99" s="350"/>
      <c r="R99" s="69" t="str">
        <f t="shared" si="109"/>
        <v/>
      </c>
      <c r="S99" s="350"/>
      <c r="T99" s="69" t="str">
        <f t="shared" si="110"/>
        <v/>
      </c>
      <c r="U99" s="350"/>
      <c r="V99" s="69" t="str">
        <f t="shared" si="111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5">
      <c r="A100" s="376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266</v>
      </c>
      <c r="E100" s="348">
        <f>IF(AD100="","",AD100)</f>
        <v>1</v>
      </c>
      <c r="F100" s="75">
        <f t="shared" si="104"/>
        <v>182</v>
      </c>
      <c r="G100" s="348">
        <f>IF(AF100="","",AF100)</f>
        <v>0</v>
      </c>
      <c r="H100" s="75">
        <f t="shared" si="105"/>
        <v>157</v>
      </c>
      <c r="I100" s="348">
        <f>IF(AH100="","",AH100)</f>
        <v>0</v>
      </c>
      <c r="J100" s="75">
        <f t="shared" si="106"/>
        <v>180</v>
      </c>
      <c r="K100" s="348">
        <f>IF(AJ100="","",AJ100)</f>
        <v>1</v>
      </c>
      <c r="L100" s="75">
        <f t="shared" si="107"/>
        <v>191</v>
      </c>
      <c r="M100" s="348">
        <f>IF(AL100="","",AL100)</f>
        <v>0</v>
      </c>
      <c r="N100" s="75">
        <f t="shared" si="124"/>
        <v>189</v>
      </c>
      <c r="O100" s="348">
        <f>IF(AN100="","",AN100)</f>
        <v>0</v>
      </c>
      <c r="P100" s="75" t="str">
        <f t="shared" si="108"/>
        <v/>
      </c>
      <c r="Q100" s="348">
        <f>IF(AP100="","",AP100)</f>
        <v>0</v>
      </c>
      <c r="R100" s="75" t="str">
        <f t="shared" si="109"/>
        <v/>
      </c>
      <c r="S100" s="348">
        <f>IF(AR100="","",AR100)</f>
        <v>0</v>
      </c>
      <c r="T100" s="75" t="str">
        <f t="shared" si="110"/>
        <v/>
      </c>
      <c r="U100" s="348">
        <f>IF(AT100="","",AT100)</f>
        <v>0</v>
      </c>
      <c r="V100" s="75">
        <f t="shared" si="111"/>
        <v>1165</v>
      </c>
      <c r="W100" s="348">
        <f>IF(AV100="","",AV100)</f>
        <v>2</v>
      </c>
      <c r="Z100" s="351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266</v>
      </c>
      <c r="AD100" s="109">
        <f>IF(SUM(AC100:AC102)+AC116=0,0,IF(SUM(AC100:AC102)=AC116,0.5,IF(SUM(AC100:AC102)&gt;AC116,1,0)))</f>
        <v>1</v>
      </c>
      <c r="AE100" s="188">
        <v>182</v>
      </c>
      <c r="AF100" s="109">
        <f>IF(SUM(AE100:AE102)+AE116=0,0,IF(SUM(AE100:AE102)=AE116,0.5,IF(SUM(AE100:AE102)&gt;AE116,1,0)))</f>
        <v>0</v>
      </c>
      <c r="AG100" s="188">
        <v>157</v>
      </c>
      <c r="AH100" s="109">
        <f>IF(SUM(AG100:AG102)+AG116=0,0,IF(SUM(AG100:AG102)=AG116,0.5,IF(SUM(AG100:AG102)&gt;AG116,1,0)))</f>
        <v>0</v>
      </c>
      <c r="AI100" s="188">
        <v>180</v>
      </c>
      <c r="AJ100" s="109">
        <f>IF(SUM(AI100:AI102)+AI116=0,0,IF(SUM(AI100:AI102)=AI116,0.5,IF(SUM(AI100:AI102)&gt;AI116,1,0)))</f>
        <v>1</v>
      </c>
      <c r="AK100" s="188">
        <v>191</v>
      </c>
      <c r="AL100" s="109">
        <f>IF(SUM(AK100:AK102)+AK116=0,0,IF(SUM(AK100:AK102)=AK116,0.5,IF(SUM(AK100:AK102)&gt;AK116,1,0)))</f>
        <v>0</v>
      </c>
      <c r="AM100" s="188">
        <v>189</v>
      </c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1165</v>
      </c>
      <c r="AV100" s="111">
        <f>SUM(AD100+AF100+AH100+AJ100+AL100+AN100+AP100+AR100+AT100)</f>
        <v>2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1165</v>
      </c>
      <c r="BF100" s="215">
        <f t="shared" si="127"/>
        <v>6</v>
      </c>
      <c r="BG100" s="215">
        <f t="shared" si="128"/>
        <v>6</v>
      </c>
      <c r="BH100" s="215">
        <f t="shared" si="113"/>
        <v>266</v>
      </c>
      <c r="BI100" s="215">
        <f t="shared" si="114"/>
        <v>182</v>
      </c>
      <c r="BJ100" s="215">
        <f t="shared" si="115"/>
        <v>157</v>
      </c>
      <c r="BK100" s="215">
        <f t="shared" si="116"/>
        <v>180</v>
      </c>
      <c r="BL100" s="215">
        <f t="shared" si="117"/>
        <v>191</v>
      </c>
      <c r="BM100" s="215">
        <f t="shared" si="118"/>
        <v>189</v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266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2</v>
      </c>
      <c r="BW100" s="215">
        <f t="shared" si="133"/>
        <v>1165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5">
      <c r="A101" s="377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9"/>
      <c r="F101" s="78" t="str">
        <f t="shared" si="104"/>
        <v/>
      </c>
      <c r="G101" s="349"/>
      <c r="H101" s="78" t="str">
        <f t="shared" si="105"/>
        <v/>
      </c>
      <c r="I101" s="349"/>
      <c r="J101" s="78" t="str">
        <f t="shared" si="106"/>
        <v/>
      </c>
      <c r="K101" s="349"/>
      <c r="L101" s="78" t="str">
        <f t="shared" si="107"/>
        <v/>
      </c>
      <c r="M101" s="349"/>
      <c r="N101" s="78" t="str">
        <f t="shared" si="124"/>
        <v/>
      </c>
      <c r="O101" s="349"/>
      <c r="P101" s="78" t="str">
        <f t="shared" si="108"/>
        <v/>
      </c>
      <c r="Q101" s="349"/>
      <c r="R101" s="78" t="str">
        <f t="shared" si="109"/>
        <v/>
      </c>
      <c r="S101" s="349"/>
      <c r="T101" s="78" t="str">
        <f t="shared" si="110"/>
        <v/>
      </c>
      <c r="U101" s="349"/>
      <c r="V101" s="78" t="str">
        <f t="shared" si="111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3">
      <c r="A102" s="378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0"/>
      <c r="F102" s="69" t="str">
        <f t="shared" si="104"/>
        <v/>
      </c>
      <c r="G102" s="350"/>
      <c r="H102" s="69" t="str">
        <f t="shared" si="105"/>
        <v/>
      </c>
      <c r="I102" s="350"/>
      <c r="J102" s="69" t="str">
        <f t="shared" si="106"/>
        <v/>
      </c>
      <c r="K102" s="350"/>
      <c r="L102" s="69" t="str">
        <f t="shared" si="107"/>
        <v/>
      </c>
      <c r="M102" s="350"/>
      <c r="N102" s="69" t="str">
        <f t="shared" si="124"/>
        <v/>
      </c>
      <c r="O102" s="350"/>
      <c r="P102" s="69" t="str">
        <f t="shared" si="108"/>
        <v/>
      </c>
      <c r="Q102" s="350"/>
      <c r="R102" s="69" t="str">
        <f t="shared" si="109"/>
        <v/>
      </c>
      <c r="S102" s="350"/>
      <c r="T102" s="69" t="str">
        <f t="shared" si="110"/>
        <v/>
      </c>
      <c r="U102" s="350"/>
      <c r="V102" s="69" t="str">
        <f t="shared" si="111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5">
      <c r="A103" s="376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268</v>
      </c>
      <c r="E103" s="348">
        <f>IF(AD103="","",AD103)</f>
        <v>1</v>
      </c>
      <c r="F103" s="75">
        <f t="shared" si="104"/>
        <v>181</v>
      </c>
      <c r="G103" s="348">
        <f>IF(AF103="","",AF103)</f>
        <v>1</v>
      </c>
      <c r="H103" s="75">
        <f t="shared" si="105"/>
        <v>220</v>
      </c>
      <c r="I103" s="348">
        <f>IF(AH103="","",AH103)</f>
        <v>1</v>
      </c>
      <c r="J103" s="75">
        <f t="shared" si="106"/>
        <v>160</v>
      </c>
      <c r="K103" s="348">
        <f>IF(AJ103="","",AJ103)</f>
        <v>0.5</v>
      </c>
      <c r="L103" s="75">
        <f t="shared" si="107"/>
        <v>171</v>
      </c>
      <c r="M103" s="348">
        <f>IF(AL103="","",AL103)</f>
        <v>1</v>
      </c>
      <c r="N103" s="75">
        <f t="shared" si="124"/>
        <v>150</v>
      </c>
      <c r="O103" s="348">
        <f>IF(AN103="","",AN103)</f>
        <v>0</v>
      </c>
      <c r="P103" s="75" t="str">
        <f t="shared" si="108"/>
        <v/>
      </c>
      <c r="Q103" s="348">
        <f>IF(AP103="","",AP103)</f>
        <v>0</v>
      </c>
      <c r="R103" s="75" t="str">
        <f t="shared" si="109"/>
        <v/>
      </c>
      <c r="S103" s="348">
        <f>IF(AR103="","",AR103)</f>
        <v>0</v>
      </c>
      <c r="T103" s="75" t="str">
        <f t="shared" si="110"/>
        <v/>
      </c>
      <c r="U103" s="348">
        <f>IF(AT103="","",AT103)</f>
        <v>0</v>
      </c>
      <c r="V103" s="75">
        <f t="shared" si="111"/>
        <v>1150</v>
      </c>
      <c r="W103" s="348">
        <f>IF(AV103="","",AV103)</f>
        <v>4.5</v>
      </c>
      <c r="Z103" s="351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268</v>
      </c>
      <c r="AD103" s="109">
        <f>IF(SUM(AC103:AC105)+AC117=0,0,IF(SUM(AC103:AC105)=AC117,0.5,IF(SUM(AC103:AC105)&gt;AC117,1,0)))</f>
        <v>1</v>
      </c>
      <c r="AE103" s="188">
        <v>181</v>
      </c>
      <c r="AF103" s="109">
        <f>IF(SUM(AE103:AE105)+AE117=0,0,IF(SUM(AE103:AE105)=AE117,0.5,IF(SUM(AE103:AE105)&gt;AE117,1,0)))</f>
        <v>1</v>
      </c>
      <c r="AG103" s="188">
        <v>220</v>
      </c>
      <c r="AH103" s="109">
        <f>IF(SUM(AG103:AG105)+AG117=0,0,IF(SUM(AG103:AG105)=AG117,0.5,IF(SUM(AG103:AG105)&gt;AG117,1,0)))</f>
        <v>1</v>
      </c>
      <c r="AI103" s="188">
        <v>160</v>
      </c>
      <c r="AJ103" s="109">
        <f>IF(SUM(AI103:AI105)+AI117=0,0,IF(SUM(AI103:AI105)=AI117,0.5,IF(SUM(AI103:AI105)&gt;AI117,1,0)))</f>
        <v>0.5</v>
      </c>
      <c r="AK103" s="188">
        <v>171</v>
      </c>
      <c r="AL103" s="109">
        <f>IF(SUM(AK103:AK105)+AK117=0,0,IF(SUM(AK103:AK105)=AK117,0.5,IF(SUM(AK103:AK105)&gt;AK117,1,0)))</f>
        <v>1</v>
      </c>
      <c r="AM103" s="188">
        <v>150</v>
      </c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1150</v>
      </c>
      <c r="AV103" s="111">
        <f>SUM(AD103+AF103+AH103+AJ103+AL103+AN103+AP103+AR103+AT103)</f>
        <v>4.5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1150</v>
      </c>
      <c r="BF103" s="215">
        <f t="shared" si="127"/>
        <v>6</v>
      </c>
      <c r="BG103" s="215">
        <f t="shared" si="128"/>
        <v>6</v>
      </c>
      <c r="BH103" s="215">
        <f t="shared" si="113"/>
        <v>268</v>
      </c>
      <c r="BI103" s="215">
        <f t="shared" si="114"/>
        <v>181</v>
      </c>
      <c r="BJ103" s="215">
        <f t="shared" si="115"/>
        <v>220</v>
      </c>
      <c r="BK103" s="215">
        <f t="shared" si="116"/>
        <v>160</v>
      </c>
      <c r="BL103" s="215">
        <f t="shared" si="117"/>
        <v>171</v>
      </c>
      <c r="BM103" s="215">
        <f t="shared" si="118"/>
        <v>150</v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268</v>
      </c>
      <c r="BT103" s="215">
        <f t="shared" si="130"/>
        <v>268.00000010299999</v>
      </c>
      <c r="BU103" s="215" t="str">
        <f t="shared" si="131"/>
        <v>SG DJK Rimpar</v>
      </c>
      <c r="BV103" s="214">
        <f t="shared" si="132"/>
        <v>1</v>
      </c>
      <c r="BW103" s="215">
        <f t="shared" si="133"/>
        <v>1150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5">
      <c r="A104" s="377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9"/>
      <c r="F104" s="78" t="str">
        <f t="shared" si="104"/>
        <v/>
      </c>
      <c r="G104" s="349"/>
      <c r="H104" s="78" t="str">
        <f t="shared" si="105"/>
        <v/>
      </c>
      <c r="I104" s="349"/>
      <c r="J104" s="78" t="str">
        <f t="shared" si="106"/>
        <v/>
      </c>
      <c r="K104" s="349"/>
      <c r="L104" s="78" t="str">
        <f t="shared" si="107"/>
        <v/>
      </c>
      <c r="M104" s="349"/>
      <c r="N104" s="78" t="str">
        <f t="shared" si="124"/>
        <v/>
      </c>
      <c r="O104" s="349"/>
      <c r="P104" s="78" t="str">
        <f t="shared" si="108"/>
        <v/>
      </c>
      <c r="Q104" s="349"/>
      <c r="R104" s="78" t="str">
        <f t="shared" si="109"/>
        <v/>
      </c>
      <c r="S104" s="349"/>
      <c r="T104" s="78" t="str">
        <f t="shared" si="110"/>
        <v/>
      </c>
      <c r="U104" s="349"/>
      <c r="V104" s="78" t="str">
        <f t="shared" si="111"/>
        <v/>
      </c>
      <c r="W104" s="349"/>
      <c r="Z104" s="352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3">
      <c r="A105" s="378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0"/>
      <c r="F105" s="69" t="str">
        <f t="shared" si="104"/>
        <v/>
      </c>
      <c r="G105" s="350"/>
      <c r="H105" s="69" t="str">
        <f t="shared" si="105"/>
        <v/>
      </c>
      <c r="I105" s="350"/>
      <c r="J105" s="69" t="str">
        <f t="shared" si="106"/>
        <v/>
      </c>
      <c r="K105" s="350"/>
      <c r="L105" s="69" t="str">
        <f t="shared" si="107"/>
        <v/>
      </c>
      <c r="M105" s="350"/>
      <c r="N105" s="69" t="str">
        <f t="shared" si="124"/>
        <v/>
      </c>
      <c r="O105" s="350"/>
      <c r="P105" s="69" t="str">
        <f t="shared" si="108"/>
        <v/>
      </c>
      <c r="Q105" s="350"/>
      <c r="R105" s="69" t="str">
        <f t="shared" si="109"/>
        <v/>
      </c>
      <c r="S105" s="350"/>
      <c r="T105" s="69" t="str">
        <f t="shared" si="110"/>
        <v/>
      </c>
      <c r="U105" s="350"/>
      <c r="V105" s="69" t="str">
        <f t="shared" si="111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5">
      <c r="A106" s="376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230</v>
      </c>
      <c r="E106" s="348">
        <f>IF(AD106="","",AD106)</f>
        <v>0</v>
      </c>
      <c r="F106" s="75">
        <f t="shared" si="104"/>
        <v>183</v>
      </c>
      <c r="G106" s="348">
        <f>IF(AF106="","",AF106)</f>
        <v>1</v>
      </c>
      <c r="H106" s="75">
        <f t="shared" si="105"/>
        <v>184</v>
      </c>
      <c r="I106" s="348">
        <f>IF(AH106="","",AH106)</f>
        <v>1</v>
      </c>
      <c r="J106" s="75">
        <f t="shared" si="106"/>
        <v>188</v>
      </c>
      <c r="K106" s="348">
        <f>IF(AJ106="","",AJ106)</f>
        <v>1</v>
      </c>
      <c r="L106" s="75">
        <f t="shared" si="107"/>
        <v>169</v>
      </c>
      <c r="M106" s="348">
        <f>IF(AL106="","",AL106)</f>
        <v>0</v>
      </c>
      <c r="N106" s="75">
        <f t="shared" si="124"/>
        <v>186</v>
      </c>
      <c r="O106" s="348">
        <f>IF(AN106="","",AN106)</f>
        <v>0</v>
      </c>
      <c r="P106" s="75" t="str">
        <f t="shared" si="108"/>
        <v/>
      </c>
      <c r="Q106" s="348">
        <f>IF(AP106="","",AP106)</f>
        <v>0</v>
      </c>
      <c r="R106" s="75" t="str">
        <f t="shared" si="109"/>
        <v/>
      </c>
      <c r="S106" s="348">
        <f>IF(AR106="","",AR106)</f>
        <v>0</v>
      </c>
      <c r="T106" s="75" t="str">
        <f t="shared" si="110"/>
        <v/>
      </c>
      <c r="U106" s="348">
        <f>IF(AT106="","",AT106)</f>
        <v>0</v>
      </c>
      <c r="V106" s="75">
        <f t="shared" si="111"/>
        <v>1140</v>
      </c>
      <c r="W106" s="348">
        <f>IF(AV106="","",AV106)</f>
        <v>3</v>
      </c>
      <c r="Z106" s="351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230</v>
      </c>
      <c r="AD106" s="109">
        <f>IF(SUM(AC106:AC108)+AC118=0,0,IF(SUM(AC106:AC108)=AC118,0.5,IF(SUM(AC106:AC108)&gt;AC118,1,0)))</f>
        <v>0</v>
      </c>
      <c r="AE106" s="188">
        <v>183</v>
      </c>
      <c r="AF106" s="109">
        <f>IF(SUM(AE106:AE108)+AE118=0,0,IF(SUM(AE106:AE108)=AE118,0.5,IF(SUM(AE106:AE108)&gt;AE118,1,0)))</f>
        <v>1</v>
      </c>
      <c r="AG106" s="188">
        <v>184</v>
      </c>
      <c r="AH106" s="109">
        <f>IF(SUM(AG106:AG108)+AG118=0,0,IF(SUM(AG106:AG108)=AG118,0.5,IF(SUM(AG106:AG108)&gt;AG118,1,0)))</f>
        <v>1</v>
      </c>
      <c r="AI106" s="188">
        <v>188</v>
      </c>
      <c r="AJ106" s="109">
        <f>IF(SUM(AI106:AI108)+AI118=0,0,IF(SUM(AI106:AI108)=AI118,0.5,IF(SUM(AI106:AI108)&gt;AI118,1,0)))</f>
        <v>1</v>
      </c>
      <c r="AK106" s="188">
        <v>169</v>
      </c>
      <c r="AL106" s="109">
        <f>IF(SUM(AK106:AK108)+AK118=0,0,IF(SUM(AK106:AK108)=AK118,0.5,IF(SUM(AK106:AK108)&gt;AK118,1,0)))</f>
        <v>0</v>
      </c>
      <c r="AM106" s="188">
        <v>186</v>
      </c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1140</v>
      </c>
      <c r="AV106" s="111">
        <f>SUM(AD106+AF106+AH106+AJ106+AL106+AN106+AP106+AR106+AT106)</f>
        <v>3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1140</v>
      </c>
      <c r="BF106" s="215">
        <f t="shared" si="127"/>
        <v>6</v>
      </c>
      <c r="BG106" s="215">
        <f t="shared" si="128"/>
        <v>6</v>
      </c>
      <c r="BH106" s="215">
        <f t="shared" si="113"/>
        <v>230</v>
      </c>
      <c r="BI106" s="215">
        <f t="shared" si="114"/>
        <v>183</v>
      </c>
      <c r="BJ106" s="215">
        <f t="shared" si="115"/>
        <v>184</v>
      </c>
      <c r="BK106" s="215">
        <f t="shared" si="116"/>
        <v>188</v>
      </c>
      <c r="BL106" s="215">
        <f t="shared" si="117"/>
        <v>169</v>
      </c>
      <c r="BM106" s="215">
        <f t="shared" si="118"/>
        <v>186</v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230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2</v>
      </c>
      <c r="BW106" s="215">
        <f t="shared" si="133"/>
        <v>1140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5">
      <c r="A107" s="377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9"/>
      <c r="F107" s="78" t="str">
        <f t="shared" si="104"/>
        <v/>
      </c>
      <c r="G107" s="349"/>
      <c r="H107" s="78" t="str">
        <f t="shared" si="105"/>
        <v/>
      </c>
      <c r="I107" s="349"/>
      <c r="J107" s="78" t="str">
        <f t="shared" si="106"/>
        <v/>
      </c>
      <c r="K107" s="349"/>
      <c r="L107" s="78" t="str">
        <f t="shared" si="107"/>
        <v/>
      </c>
      <c r="M107" s="349"/>
      <c r="N107" s="78" t="str">
        <f t="shared" si="124"/>
        <v/>
      </c>
      <c r="O107" s="349"/>
      <c r="P107" s="78" t="str">
        <f t="shared" si="108"/>
        <v/>
      </c>
      <c r="Q107" s="349"/>
      <c r="R107" s="78" t="str">
        <f t="shared" si="109"/>
        <v/>
      </c>
      <c r="S107" s="349"/>
      <c r="T107" s="78" t="str">
        <f t="shared" si="110"/>
        <v/>
      </c>
      <c r="U107" s="349"/>
      <c r="V107" s="78" t="str">
        <f t="shared" si="111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3">
      <c r="A108" s="378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0"/>
      <c r="F108" s="69" t="str">
        <f t="shared" si="104"/>
        <v/>
      </c>
      <c r="G108" s="350"/>
      <c r="H108" s="69" t="str">
        <f t="shared" si="105"/>
        <v/>
      </c>
      <c r="I108" s="350"/>
      <c r="J108" s="69" t="str">
        <f t="shared" si="106"/>
        <v/>
      </c>
      <c r="K108" s="350"/>
      <c r="L108" s="69" t="str">
        <f t="shared" si="107"/>
        <v/>
      </c>
      <c r="M108" s="350"/>
      <c r="N108" s="69" t="str">
        <f t="shared" si="124"/>
        <v/>
      </c>
      <c r="O108" s="350"/>
      <c r="P108" s="69" t="str">
        <f t="shared" si="108"/>
        <v/>
      </c>
      <c r="Q108" s="350"/>
      <c r="R108" s="69" t="str">
        <f t="shared" si="109"/>
        <v/>
      </c>
      <c r="S108" s="350"/>
      <c r="T108" s="69" t="str">
        <f t="shared" si="110"/>
        <v/>
      </c>
      <c r="U108" s="350"/>
      <c r="V108" s="69" t="str">
        <f t="shared" si="111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>
        <f t="shared" si="123"/>
        <v>960</v>
      </c>
      <c r="E109" s="84">
        <f>IF(AD109="","",AD109)</f>
        <v>2</v>
      </c>
      <c r="F109" s="83">
        <f t="shared" si="104"/>
        <v>723</v>
      </c>
      <c r="G109" s="84">
        <f>IF(AF109="","",AF109)</f>
        <v>0</v>
      </c>
      <c r="H109" s="83">
        <f t="shared" si="105"/>
        <v>785</v>
      </c>
      <c r="I109" s="84">
        <f>IF(AH109="","",AH109)</f>
        <v>0</v>
      </c>
      <c r="J109" s="83">
        <f t="shared" si="106"/>
        <v>740</v>
      </c>
      <c r="K109" s="84">
        <f>IF(AJ109="","",AJ109)</f>
        <v>2</v>
      </c>
      <c r="L109" s="83">
        <f t="shared" si="107"/>
        <v>766</v>
      </c>
      <c r="M109" s="84">
        <f>IF(AL109="","",AL109)</f>
        <v>0</v>
      </c>
      <c r="N109" s="83">
        <f t="shared" si="124"/>
        <v>762</v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>
        <f t="shared" si="111"/>
        <v>4736</v>
      </c>
      <c r="W109" s="84">
        <f>IF(AV109="","",AV109)</f>
        <v>4</v>
      </c>
      <c r="AA109" s="81" t="s">
        <v>1799</v>
      </c>
      <c r="AB109" s="120"/>
      <c r="AC109" s="211">
        <f>ABS(SUM(AC97:AC99))+ABS(SUM(AC100:AC102))+ABS(SUM(AC103:AC105))+ABS(SUM(AC106:AC108))</f>
        <v>960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723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785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740</v>
      </c>
      <c r="AJ109" s="121">
        <f>IF(AI109+AI119=0,0,IF(AI109=AI119,1,IF(AI109&gt;AI119,2,0)))</f>
        <v>2</v>
      </c>
      <c r="AK109" s="211">
        <f>ABS(SUM(AK97:AK99))+ABS(SUM(AK100:AK102))+ABS(SUM(AK103:AK105))+ABS(SUM(AK106:AK108))</f>
        <v>766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762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4736</v>
      </c>
      <c r="AV109" s="123">
        <f>SUM(AD109+AF109+AH109+AJ109+AL109+AN109+AP109+AR109+AT109)</f>
        <v>4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4</v>
      </c>
      <c r="F110" s="86" t="str">
        <f t="shared" si="104"/>
        <v/>
      </c>
      <c r="G110" s="87">
        <f>IF(AF110="","",AF110)</f>
        <v>2</v>
      </c>
      <c r="H110" s="86" t="str">
        <f t="shared" si="105"/>
        <v/>
      </c>
      <c r="I110" s="87">
        <f>IF(AH110="","",AH110)</f>
        <v>3</v>
      </c>
      <c r="J110" s="86" t="str">
        <f t="shared" si="106"/>
        <v/>
      </c>
      <c r="K110" s="87">
        <f>IF(AJ110="","",AJ110)</f>
        <v>5.5</v>
      </c>
      <c r="L110" s="86" t="str">
        <f t="shared" si="107"/>
        <v/>
      </c>
      <c r="M110" s="87">
        <f>IF(AL110="","",AL110)</f>
        <v>2</v>
      </c>
      <c r="N110" s="86" t="str">
        <f t="shared" si="124"/>
        <v/>
      </c>
      <c r="O110" s="87">
        <f>IF(AN110="","",AN110)</f>
        <v>1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17.5</v>
      </c>
      <c r="AA110" s="85" t="s">
        <v>1814</v>
      </c>
      <c r="AB110" s="86"/>
      <c r="AC110" s="86"/>
      <c r="AD110" s="124">
        <f>SUM(AD97:AD109)</f>
        <v>4</v>
      </c>
      <c r="AE110" s="86"/>
      <c r="AF110" s="124">
        <f>SUM(AF97:AF109)</f>
        <v>2</v>
      </c>
      <c r="AG110" s="86"/>
      <c r="AH110" s="124">
        <f>SUM(AH97:AH109)</f>
        <v>3</v>
      </c>
      <c r="AI110" s="86"/>
      <c r="AJ110" s="124">
        <f>SUM(AJ97:AJ109)</f>
        <v>5.5</v>
      </c>
      <c r="AK110" s="86"/>
      <c r="AL110" s="124">
        <f>SUM(AL97:AL109)</f>
        <v>2</v>
      </c>
      <c r="AM110" s="86"/>
      <c r="AN110" s="124">
        <f>SUM(AN97:AN109)</f>
        <v>1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17.5</v>
      </c>
      <c r="AW110" s="101"/>
      <c r="AX110" s="102"/>
      <c r="BA110" s="212">
        <f>+AV110</f>
        <v>17.5</v>
      </c>
      <c r="BB110" s="213">
        <f>+AU109</f>
        <v>4736</v>
      </c>
      <c r="BC110" s="214">
        <f>+AA92</f>
        <v>4</v>
      </c>
      <c r="BF110" s="215">
        <f>SUM(BF91:BF109)</f>
        <v>24</v>
      </c>
      <c r="BQ110" s="212">
        <f>+BB110/1000000+BA110</f>
        <v>17.504736000000001</v>
      </c>
      <c r="BR110" s="214">
        <f>RANK(BQ110,BQ:BQ)</f>
        <v>5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6">
        <f t="shared" si="135"/>
        <v>9</v>
      </c>
      <c r="E112" s="356" t="str">
        <f t="shared" si="135"/>
        <v/>
      </c>
      <c r="F112" s="356">
        <f t="shared" si="135"/>
        <v>2</v>
      </c>
      <c r="G112" s="356" t="str">
        <f t="shared" si="135"/>
        <v/>
      </c>
      <c r="H112" s="356">
        <f t="shared" si="135"/>
        <v>6</v>
      </c>
      <c r="I112" s="356" t="str">
        <f t="shared" si="135"/>
        <v/>
      </c>
      <c r="J112" s="356">
        <f t="shared" si="135"/>
        <v>10</v>
      </c>
      <c r="K112" s="356" t="str">
        <f t="shared" si="135"/>
        <v/>
      </c>
      <c r="L112" s="356">
        <f t="shared" si="135"/>
        <v>1</v>
      </c>
      <c r="M112" s="356" t="str">
        <f t="shared" si="135"/>
        <v/>
      </c>
      <c r="N112" s="356">
        <f t="shared" si="135"/>
        <v>7</v>
      </c>
      <c r="O112" s="356" t="str">
        <f t="shared" si="135"/>
        <v/>
      </c>
      <c r="P112" s="356">
        <f t="shared" si="135"/>
        <v>5</v>
      </c>
      <c r="Q112" s="356" t="str">
        <f t="shared" si="135"/>
        <v/>
      </c>
      <c r="R112" s="356">
        <f t="shared" ref="L112:U114" si="136">IF(AQ112=0,"",AQ112)</f>
        <v>8</v>
      </c>
      <c r="S112" s="356" t="str">
        <f t="shared" si="136"/>
        <v/>
      </c>
      <c r="T112" s="356">
        <f t="shared" si="136"/>
        <v>3</v>
      </c>
      <c r="U112" s="356" t="str">
        <f t="shared" si="136"/>
        <v/>
      </c>
      <c r="V112" s="357"/>
      <c r="W112" s="357"/>
      <c r="AA112" s="88" t="s">
        <v>1797</v>
      </c>
      <c r="AB112" s="89" t="s">
        <v>1798</v>
      </c>
      <c r="AC112" s="370">
        <f>VLOOKUP($AA92,Schlüssel!$A$5:$DG$14,103)</f>
        <v>9</v>
      </c>
      <c r="AD112" s="371"/>
      <c r="AE112" s="370">
        <f>VLOOKUP($AA92,Schlüssel!$A$5:$EK$14,104)</f>
        <v>2</v>
      </c>
      <c r="AF112" s="371"/>
      <c r="AG112" s="370">
        <f>VLOOKUP($AA92,Schlüssel!$A$5:$EK$14,105)</f>
        <v>6</v>
      </c>
      <c r="AH112" s="371"/>
      <c r="AI112" s="370">
        <f>VLOOKUP($AA92,Schlüssel!$A$5:$EK$14,106)</f>
        <v>10</v>
      </c>
      <c r="AJ112" s="371"/>
      <c r="AK112" s="370">
        <f>VLOOKUP($AA92,Schlüssel!$A$5:$EK$14,107)</f>
        <v>1</v>
      </c>
      <c r="AL112" s="371"/>
      <c r="AM112" s="370">
        <f>VLOOKUP($AA92,Schlüssel!$A$5:$EK$14,108)</f>
        <v>7</v>
      </c>
      <c r="AN112" s="371"/>
      <c r="AO112" s="370">
        <f>VLOOKUP($AA92,Schlüssel!$A$5:$EK$14,109)</f>
        <v>5</v>
      </c>
      <c r="AP112" s="371"/>
      <c r="AQ112" s="370">
        <f>VLOOKUP($AA92,Schlüssel!$A$5:$EK$14,110)</f>
        <v>8</v>
      </c>
      <c r="AR112" s="371"/>
      <c r="AS112" s="370">
        <f>VLOOKUP($AA92,Schlüssel!$A$5:$EK$14,111)</f>
        <v>3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58" t="str">
        <f t="shared" si="137"/>
        <v>Bowlinghaus Bamberg 1</v>
      </c>
      <c r="E113" s="359" t="str">
        <f t="shared" si="137"/>
        <v/>
      </c>
      <c r="F113" s="358" t="str">
        <f t="shared" si="137"/>
        <v>Bajuwaren München 1</v>
      </c>
      <c r="G113" s="359" t="str">
        <f t="shared" si="137"/>
        <v/>
      </c>
      <c r="H113" s="358" t="str">
        <f t="shared" si="137"/>
        <v>SG Rottendorf 1</v>
      </c>
      <c r="I113" s="359" t="str">
        <f t="shared" si="137"/>
        <v/>
      </c>
      <c r="J113" s="358" t="str">
        <f t="shared" si="137"/>
        <v>High Roller Rosenheim 1</v>
      </c>
      <c r="K113" s="359" t="str">
        <f t="shared" si="137"/>
        <v/>
      </c>
      <c r="L113" s="358" t="str">
        <f t="shared" si="136"/>
        <v>BC Comet Nürnberg</v>
      </c>
      <c r="M113" s="359" t="str">
        <f t="shared" si="136"/>
        <v/>
      </c>
      <c r="N113" s="358" t="str">
        <f t="shared" si="136"/>
        <v>Schanzer Ingolstadt 1</v>
      </c>
      <c r="O113" s="359" t="str">
        <f t="shared" si="136"/>
        <v/>
      </c>
      <c r="P113" s="358" t="str">
        <f t="shared" si="136"/>
        <v>RW Lichtenhof Stein 1</v>
      </c>
      <c r="Q113" s="359" t="str">
        <f t="shared" si="136"/>
        <v/>
      </c>
      <c r="R113" s="358" t="str">
        <f t="shared" si="136"/>
        <v>BC EMAX Unterföhring 2</v>
      </c>
      <c r="S113" s="359" t="str">
        <f t="shared" si="136"/>
        <v/>
      </c>
      <c r="T113" s="358" t="str">
        <f t="shared" si="136"/>
        <v>BK München 3</v>
      </c>
      <c r="U113" s="359" t="str">
        <f t="shared" si="136"/>
        <v/>
      </c>
      <c r="V113" s="363"/>
      <c r="W113" s="363"/>
      <c r="AA113" s="90"/>
      <c r="AB113" s="86"/>
      <c r="AC113" s="358" t="str">
        <f>VLOOKUP(AC112,Schlüssel!$A$5:$K$14,2)</f>
        <v>Bowlinghaus Bamberg 1</v>
      </c>
      <c r="AD113" s="359"/>
      <c r="AE113" s="358" t="str">
        <f>VLOOKUP(AE112,Schlüssel!$A$5:$K$14,2)</f>
        <v>Bajuwaren München 1</v>
      </c>
      <c r="AF113" s="359"/>
      <c r="AG113" s="358" t="str">
        <f>VLOOKUP(AG112,Schlüssel!$A$5:$K$14,2)</f>
        <v>SG Rottendorf 1</v>
      </c>
      <c r="AH113" s="359"/>
      <c r="AI113" s="358" t="str">
        <f>VLOOKUP(AI112,Schlüssel!$A$5:$K$14,2)</f>
        <v>High Roller Rosenheim 1</v>
      </c>
      <c r="AJ113" s="359"/>
      <c r="AK113" s="358" t="str">
        <f>VLOOKUP(AK112,Schlüssel!$A$5:$K$14,2)</f>
        <v>BC Comet Nürnberg</v>
      </c>
      <c r="AL113" s="359"/>
      <c r="AM113" s="358" t="str">
        <f>VLOOKUP(AM112,Schlüssel!$A$5:$K$14,2)</f>
        <v>Schanzer Ingolstadt 1</v>
      </c>
      <c r="AN113" s="359"/>
      <c r="AO113" s="358" t="str">
        <f>VLOOKUP(AO112,Schlüssel!$A$5:$K$14,2)</f>
        <v>RW Lichtenhof Stein 1</v>
      </c>
      <c r="AP113" s="359"/>
      <c r="AQ113" s="358" t="str">
        <f>VLOOKUP(AQ112,Schlüssel!$A$5:$K$14,2)</f>
        <v>BC EMAX Unterföhring 2</v>
      </c>
      <c r="AR113" s="359"/>
      <c r="AS113" s="358" t="str">
        <f>VLOOKUP(AS112,Schlüssel!$A$5:$K$14,2)</f>
        <v>BK München 3</v>
      </c>
      <c r="AT113" s="359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60" t="str">
        <f t="shared" si="137"/>
        <v/>
      </c>
      <c r="E114" s="360" t="str">
        <f t="shared" si="137"/>
        <v/>
      </c>
      <c r="F114" s="360" t="str">
        <f t="shared" si="137"/>
        <v/>
      </c>
      <c r="G114" s="360" t="str">
        <f t="shared" si="137"/>
        <v/>
      </c>
      <c r="H114" s="360" t="str">
        <f t="shared" si="137"/>
        <v/>
      </c>
      <c r="I114" s="360" t="str">
        <f t="shared" si="137"/>
        <v/>
      </c>
      <c r="J114" s="360" t="str">
        <f t="shared" si="137"/>
        <v/>
      </c>
      <c r="K114" s="360" t="str">
        <f t="shared" si="137"/>
        <v/>
      </c>
      <c r="L114" s="360" t="str">
        <f t="shared" si="136"/>
        <v/>
      </c>
      <c r="M114" s="360" t="str">
        <f t="shared" si="136"/>
        <v/>
      </c>
      <c r="N114" s="360" t="str">
        <f t="shared" si="136"/>
        <v/>
      </c>
      <c r="O114" s="360" t="str">
        <f t="shared" si="136"/>
        <v/>
      </c>
      <c r="P114" s="360" t="str">
        <f t="shared" si="136"/>
        <v/>
      </c>
      <c r="Q114" s="360" t="str">
        <f t="shared" si="136"/>
        <v/>
      </c>
      <c r="R114" s="360" t="str">
        <f t="shared" si="136"/>
        <v/>
      </c>
      <c r="S114" s="360" t="str">
        <f t="shared" si="136"/>
        <v/>
      </c>
      <c r="T114" s="360" t="str">
        <f t="shared" si="136"/>
        <v/>
      </c>
      <c r="U114" s="361" t="str">
        <f t="shared" si="136"/>
        <v/>
      </c>
      <c r="V114" s="298"/>
      <c r="W114" s="298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4" t="str">
        <f t="shared" ref="B115:C119" si="138">IF(AA115=0,"",AA115)</f>
        <v>Spieler 1</v>
      </c>
      <c r="C115" s="375" t="str">
        <f t="shared" si="138"/>
        <v/>
      </c>
      <c r="D115" s="362">
        <f>IF(AC115=301,"",AC115)</f>
        <v>255</v>
      </c>
      <c r="E115" s="362" t="str">
        <f>IF(AD115=0,"",AD115)</f>
        <v/>
      </c>
      <c r="F115" s="362">
        <f>IF(AE115=301,"",AE115)</f>
        <v>234</v>
      </c>
      <c r="G115" s="362" t="str">
        <f>IF(AF115=0,"",AF115)</f>
        <v/>
      </c>
      <c r="H115" s="362">
        <f>IF(AG115=301,"",AG115)</f>
        <v>215</v>
      </c>
      <c r="I115" s="362" t="str">
        <f>IF(AH115=0,"",AH115)</f>
        <v/>
      </c>
      <c r="J115" s="362">
        <f>IF(AI115=301,"",AI115)</f>
        <v>203</v>
      </c>
      <c r="K115" s="362" t="str">
        <f>IF(AJ115=0,"",AJ115)</f>
        <v/>
      </c>
      <c r="L115" s="362">
        <f>IF(AK115=301,"",AK115)</f>
        <v>188</v>
      </c>
      <c r="M115" s="362" t="str">
        <f>IF(AL115=0,"",AL115)</f>
        <v/>
      </c>
      <c r="N115" s="362">
        <f>IF(AM115=301,"",AM115)</f>
        <v>220</v>
      </c>
      <c r="O115" s="362" t="str">
        <f>IF(AN115=0,"",AN115)</f>
        <v/>
      </c>
      <c r="P115" s="362">
        <f>IF(AO115=301,"",AO115)</f>
        <v>0</v>
      </c>
      <c r="Q115" s="362" t="str">
        <f>IF(AP115=0,"",AP115)</f>
        <v/>
      </c>
      <c r="R115" s="362">
        <f>IF(AQ115=301,"",AQ115)</f>
        <v>0</v>
      </c>
      <c r="S115" s="362" t="str">
        <f>IF(AR115=0,"",AR115)</f>
        <v/>
      </c>
      <c r="T115" s="362">
        <f>IF(AS115=301,"",AS115)</f>
        <v>0</v>
      </c>
      <c r="U115" s="362" t="str">
        <f>IF(AT115=0,"",AT115)</f>
        <v/>
      </c>
      <c r="V115" s="364"/>
      <c r="W115" s="364"/>
      <c r="AA115" s="91" t="s">
        <v>0</v>
      </c>
      <c r="AB115" s="92"/>
      <c r="AC115" s="368">
        <f>ABS(INDEX(AC:AC,MATCH(AC112,$AA:$AA,0)+5)+INDEX(AC:AC,MATCH(AC112,$AA:$AA,0)+6)+INDEX(AC:AC,MATCH(AC112,$AA:$AA,0)+7))</f>
        <v>255</v>
      </c>
      <c r="AD115" s="369"/>
      <c r="AE115" s="368">
        <f>ABS(INDEX(AE:AE,MATCH(AE112,$AA:$AA,0)+5)+INDEX(AE:AE,MATCH(AE112,$AA:$AA,0)+6)+INDEX(AE:AE,MATCH(AE112,$AA:$AA,0)+7))</f>
        <v>234</v>
      </c>
      <c r="AF115" s="369"/>
      <c r="AG115" s="368">
        <f>ABS(INDEX(AG:AG,MATCH(AG112,$AA:$AA,0)+5)+INDEX(AG:AG,MATCH(AG112,$AA:$AA,0)+6)+INDEX(AG:AG,MATCH(AG112,$AA:$AA,0)+7))</f>
        <v>215</v>
      </c>
      <c r="AH115" s="369"/>
      <c r="AI115" s="368">
        <f>ABS(INDEX(AI:AI,MATCH(AI112,$AA:$AA,0)+5)+INDEX(AI:AI,MATCH(AI112,$AA:$AA,0)+6)+INDEX(AI:AI,MATCH(AI112,$AA:$AA,0)+7))</f>
        <v>203</v>
      </c>
      <c r="AJ115" s="369"/>
      <c r="AK115" s="368">
        <f>ABS(INDEX(AK:AK,MATCH(AK112,$AA:$AA,0)+5)+INDEX(AK:AK,MATCH(AK112,$AA:$AA,0)+6)+INDEX(AK:AK,MATCH(AK112,$AA:$AA,0)+7))</f>
        <v>188</v>
      </c>
      <c r="AL115" s="369"/>
      <c r="AM115" s="368">
        <f>ABS(INDEX(AM:AM,MATCH(AM112,$AA:$AA,0)+5)+INDEX(AM:AM,MATCH(AM112,$AA:$AA,0)+6)+INDEX(AM:AM,MATCH(AM112,$AA:$AA,0)+7))</f>
        <v>220</v>
      </c>
      <c r="AN115" s="369"/>
      <c r="AO115" s="368">
        <f>ABS(INDEX(AO:AO,MATCH(AO112,$AA:$AA,0)+5)+INDEX(AO:AO,MATCH(AO112,$AA:$AA,0)+6)+INDEX(AO:AO,MATCH(AO112,$AA:$AA,0)+7))</f>
        <v>0</v>
      </c>
      <c r="AP115" s="369"/>
      <c r="AQ115" s="368">
        <f>ABS(INDEX(AQ:AQ,MATCH(AQ112,$AA:$AA,0)+5)+INDEX(AQ:AQ,MATCH(AQ112,$AA:$AA,0)+6)+INDEX(AQ:AQ,MATCH(AQ112,$AA:$AA,0)+7))</f>
        <v>0</v>
      </c>
      <c r="AR115" s="369"/>
      <c r="AS115" s="368">
        <f>ABS(INDEX(AS:AS,MATCH(AS112,$AA:$AA,0)+5)+INDEX(AS:AS,MATCH(AS112,$AA:$AA,0)+6)+INDEX(AS:AS,MATCH(AS112,$AA:$AA,0)+7))</f>
        <v>0</v>
      </c>
      <c r="AT115" s="369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4" t="str">
        <f t="shared" si="138"/>
        <v>Spieler 2</v>
      </c>
      <c r="C116" s="375" t="str">
        <f t="shared" si="138"/>
        <v/>
      </c>
      <c r="D116" s="362">
        <f>IF(AC116=301,"",AC116)</f>
        <v>133</v>
      </c>
      <c r="E116" s="362" t="str">
        <f>IF(AD116=0,"",AD116)</f>
        <v/>
      </c>
      <c r="F116" s="362">
        <f>IF(AE116=301,"",AE116)</f>
        <v>183</v>
      </c>
      <c r="G116" s="362" t="str">
        <f>IF(AF116=0,"",AF116)</f>
        <v/>
      </c>
      <c r="H116" s="362">
        <f>IF(AG116=301,"",AG116)</f>
        <v>213</v>
      </c>
      <c r="I116" s="362" t="str">
        <f>IF(AH116=0,"",AH116)</f>
        <v/>
      </c>
      <c r="J116" s="362">
        <f>IF(AI116=301,"",AI116)</f>
        <v>150</v>
      </c>
      <c r="K116" s="362" t="str">
        <f>IF(AJ116=0,"",AJ116)</f>
        <v/>
      </c>
      <c r="L116" s="362">
        <f>IF(AK116=301,"",AK116)</f>
        <v>244</v>
      </c>
      <c r="M116" s="362" t="str">
        <f>IF(AL116=0,"",AL116)</f>
        <v/>
      </c>
      <c r="N116" s="362">
        <f>IF(AM116=301,"",AM116)</f>
        <v>212</v>
      </c>
      <c r="O116" s="362" t="str">
        <f>IF(AN116=0,"",AN116)</f>
        <v/>
      </c>
      <c r="P116" s="362">
        <f>IF(AO116=301,"",AO116)</f>
        <v>0</v>
      </c>
      <c r="Q116" s="362" t="str">
        <f>IF(AP116=0,"",AP116)</f>
        <v/>
      </c>
      <c r="R116" s="362">
        <f>IF(AQ116=301,"",AQ116)</f>
        <v>0</v>
      </c>
      <c r="S116" s="362" t="str">
        <f>IF(AR116=0,"",AR116)</f>
        <v/>
      </c>
      <c r="T116" s="362">
        <f>IF(AS116=301,"",AS116)</f>
        <v>0</v>
      </c>
      <c r="U116" s="362" t="str">
        <f>IF(AT116=0,"",AT116)</f>
        <v/>
      </c>
      <c r="V116" s="364"/>
      <c r="W116" s="364"/>
      <c r="AA116" s="91" t="s">
        <v>2</v>
      </c>
      <c r="AB116" s="92"/>
      <c r="AC116" s="366">
        <f>ABS(INDEX(AC:AC,MATCH(AC112,$AA:$AA,0)+8)+INDEX(AC:AC,MATCH(AC112,$AA:$AA,0)+9)+INDEX(AC:AC,MATCH(AC112,$AA:$AA,0)+10))</f>
        <v>133</v>
      </c>
      <c r="AD116" s="367"/>
      <c r="AE116" s="366">
        <f>ABS(INDEX(AE:AE,MATCH(AE112,$AA:$AA,0)+8)+INDEX(AE:AE,MATCH(AE112,$AA:$AA,0)+9)+INDEX(AE:AE,MATCH(AE112,$AA:$AA,0)+10))</f>
        <v>183</v>
      </c>
      <c r="AF116" s="367"/>
      <c r="AG116" s="366">
        <f>ABS(INDEX(AG:AG,MATCH(AG112,$AA:$AA,0)+8)+INDEX(AG:AG,MATCH(AG112,$AA:$AA,0)+9)+INDEX(AG:AG,MATCH(AG112,$AA:$AA,0)+10))</f>
        <v>213</v>
      </c>
      <c r="AH116" s="367"/>
      <c r="AI116" s="366">
        <f>ABS(INDEX(AI:AI,MATCH(AI112,$AA:$AA,0)+8)+INDEX(AI:AI,MATCH(AI112,$AA:$AA,0)+9)+INDEX(AI:AI,MATCH(AI112,$AA:$AA,0)+10))</f>
        <v>150</v>
      </c>
      <c r="AJ116" s="367"/>
      <c r="AK116" s="366">
        <f>ABS(INDEX(AK:AK,MATCH(AK112,$AA:$AA,0)+8)+INDEX(AK:AK,MATCH(AK112,$AA:$AA,0)+9)+INDEX(AK:AK,MATCH(AK112,$AA:$AA,0)+10))</f>
        <v>244</v>
      </c>
      <c r="AL116" s="367"/>
      <c r="AM116" s="366">
        <f>ABS(INDEX(AM:AM,MATCH(AM112,$AA:$AA,0)+8)+INDEX(AM:AM,MATCH(AM112,$AA:$AA,0)+9)+INDEX(AM:AM,MATCH(AM112,$AA:$AA,0)+10))</f>
        <v>212</v>
      </c>
      <c r="AN116" s="367"/>
      <c r="AO116" s="366">
        <f>ABS(INDEX(AO:AO,MATCH(AO112,$AA:$AA,0)+8)+INDEX(AO:AO,MATCH(AO112,$AA:$AA,0)+9)+INDEX(AO:AO,MATCH(AO112,$AA:$AA,0)+10))</f>
        <v>0</v>
      </c>
      <c r="AP116" s="367"/>
      <c r="AQ116" s="366">
        <f>ABS(INDEX(AQ:AQ,MATCH(AQ112,$AA:$AA,0)+8)+INDEX(AQ:AQ,MATCH(AQ112,$AA:$AA,0)+9)+INDEX(AQ:AQ,MATCH(AQ112,$AA:$AA,0)+10))</f>
        <v>0</v>
      </c>
      <c r="AR116" s="367"/>
      <c r="AS116" s="366">
        <f>ABS(INDEX(AS:AS,MATCH(AS112,$AA:$AA,0)+8)+INDEX(AS:AS,MATCH(AS112,$AA:$AA,0)+9)+INDEX(AS:AS,MATCH(AS112,$AA:$AA,0)+10))</f>
        <v>0</v>
      </c>
      <c r="AT116" s="367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4" t="str">
        <f t="shared" si="138"/>
        <v>Spieler 3</v>
      </c>
      <c r="C117" s="375" t="str">
        <f t="shared" si="138"/>
        <v/>
      </c>
      <c r="D117" s="362">
        <f>IF(AC117=301,"",AC117)</f>
        <v>196</v>
      </c>
      <c r="E117" s="362" t="str">
        <f>IF(AD117=0,"",AD117)</f>
        <v/>
      </c>
      <c r="F117" s="362">
        <f>IF(AE117=301,"",AE117)</f>
        <v>171</v>
      </c>
      <c r="G117" s="362" t="str">
        <f>IF(AF117=0,"",AF117)</f>
        <v/>
      </c>
      <c r="H117" s="362">
        <f>IF(AG117=301,"",AG117)</f>
        <v>212</v>
      </c>
      <c r="I117" s="362" t="str">
        <f>IF(AH117=0,"",AH117)</f>
        <v/>
      </c>
      <c r="J117" s="362">
        <f>IF(AI117=301,"",AI117)</f>
        <v>160</v>
      </c>
      <c r="K117" s="362" t="str">
        <f>IF(AJ117=0,"",AJ117)</f>
        <v/>
      </c>
      <c r="L117" s="362">
        <f>IF(AK117=301,"",AK117)</f>
        <v>148</v>
      </c>
      <c r="M117" s="362" t="str">
        <f>IF(AL117=0,"",AL117)</f>
        <v/>
      </c>
      <c r="N117" s="362">
        <f>IF(AM117=301,"",AM117)</f>
        <v>210</v>
      </c>
      <c r="O117" s="362" t="str">
        <f>IF(AN117=0,"",AN117)</f>
        <v/>
      </c>
      <c r="P117" s="362">
        <f>IF(AO117=301,"",AO117)</f>
        <v>0</v>
      </c>
      <c r="Q117" s="362" t="str">
        <f>IF(AP117=0,"",AP117)</f>
        <v/>
      </c>
      <c r="R117" s="362">
        <f>IF(AQ117=301,"",AQ117)</f>
        <v>0</v>
      </c>
      <c r="S117" s="362" t="str">
        <f>IF(AR117=0,"",AR117)</f>
        <v/>
      </c>
      <c r="T117" s="362">
        <f>IF(AS117=301,"",AS117)</f>
        <v>0</v>
      </c>
      <c r="U117" s="362" t="str">
        <f>IF(AT117=0,"",AT117)</f>
        <v/>
      </c>
      <c r="V117" s="364"/>
      <c r="W117" s="364"/>
      <c r="AA117" s="91" t="s">
        <v>3</v>
      </c>
      <c r="AB117" s="92"/>
      <c r="AC117" s="366">
        <f>ABS(INDEX(AC:AC,MATCH(AC112,$AA:$AA,0)+11)+INDEX(AC:AC,MATCH(AC112,$AA:$AA,0)+12)+INDEX(AC:AC,MATCH(AC112,$AA:$AA,0)+13))</f>
        <v>196</v>
      </c>
      <c r="AD117" s="367"/>
      <c r="AE117" s="366">
        <f>ABS(INDEX(AE:AE,MATCH(AE112,$AA:$AA,0)+11)+INDEX(AE:AE,MATCH(AE112,$AA:$AA,0)+12)+INDEX(AE:AE,MATCH(AE112,$AA:$AA,0)+13))</f>
        <v>171</v>
      </c>
      <c r="AF117" s="367"/>
      <c r="AG117" s="366">
        <f>ABS(INDEX(AG:AG,MATCH(AG112,$AA:$AA,0)+11)+INDEX(AG:AG,MATCH(AG112,$AA:$AA,0)+12)+INDEX(AG:AG,MATCH(AG112,$AA:$AA,0)+13))</f>
        <v>212</v>
      </c>
      <c r="AH117" s="367"/>
      <c r="AI117" s="366">
        <f>ABS(INDEX(AI:AI,MATCH(AI112,$AA:$AA,0)+11)+INDEX(AI:AI,MATCH(AI112,$AA:$AA,0)+12)+INDEX(AI:AI,MATCH(AI112,$AA:$AA,0)+13))</f>
        <v>160</v>
      </c>
      <c r="AJ117" s="367"/>
      <c r="AK117" s="366">
        <f>ABS(INDEX(AK:AK,MATCH(AK112,$AA:$AA,0)+11)+INDEX(AK:AK,MATCH(AK112,$AA:$AA,0)+12)+INDEX(AK:AK,MATCH(AK112,$AA:$AA,0)+13))</f>
        <v>148</v>
      </c>
      <c r="AL117" s="367"/>
      <c r="AM117" s="366">
        <f>ABS(INDEX(AM:AM,MATCH(AM112,$AA:$AA,0)+11)+INDEX(AM:AM,MATCH(AM112,$AA:$AA,0)+12)+INDEX(AM:AM,MATCH(AM112,$AA:$AA,0)+13))</f>
        <v>210</v>
      </c>
      <c r="AN117" s="367"/>
      <c r="AO117" s="366">
        <f>ABS(INDEX(AO:AO,MATCH(AO112,$AA:$AA,0)+11)+INDEX(AO:AO,MATCH(AO112,$AA:$AA,0)+12)+INDEX(AO:AO,MATCH(AO112,$AA:$AA,0)+13))</f>
        <v>0</v>
      </c>
      <c r="AP117" s="367"/>
      <c r="AQ117" s="366">
        <f>ABS(INDEX(AQ:AQ,MATCH(AQ112,$AA:$AA,0)+11)+INDEX(AQ:AQ,MATCH(AQ112,$AA:$AA,0)+12)+INDEX(AQ:AQ,MATCH(AQ112,$AA:$AA,0)+13))</f>
        <v>0</v>
      </c>
      <c r="AR117" s="367"/>
      <c r="AS117" s="366">
        <f>ABS(INDEX(AS:AS,MATCH(AS112,$AA:$AA,0)+11)+INDEX(AS:AS,MATCH(AS112,$AA:$AA,0)+12)+INDEX(AS:AS,MATCH(AS112,$AA:$AA,0)+13))</f>
        <v>0</v>
      </c>
      <c r="AT117" s="367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4" t="str">
        <f t="shared" si="138"/>
        <v>Spieler 4</v>
      </c>
      <c r="C118" s="375" t="str">
        <f t="shared" si="138"/>
        <v/>
      </c>
      <c r="D118" s="362">
        <f>IF(AC118=301,"",AC118)</f>
        <v>247</v>
      </c>
      <c r="E118" s="362" t="str">
        <f>IF(AD118=0,"",AD118)</f>
        <v/>
      </c>
      <c r="F118" s="362">
        <f>IF(AE118=301,"",AE118)</f>
        <v>148</v>
      </c>
      <c r="G118" s="362" t="str">
        <f>IF(AF118=0,"",AF118)</f>
        <v/>
      </c>
      <c r="H118" s="362">
        <f>IF(AG118=301,"",AG118)</f>
        <v>183</v>
      </c>
      <c r="I118" s="362" t="str">
        <f>IF(AH118=0,"",AH118)</f>
        <v/>
      </c>
      <c r="J118" s="362">
        <f>IF(AI118=301,"",AI118)</f>
        <v>159</v>
      </c>
      <c r="K118" s="362" t="str">
        <f>IF(AJ118=0,"",AJ118)</f>
        <v/>
      </c>
      <c r="L118" s="362">
        <f>IF(AK118=301,"",AK118)</f>
        <v>222</v>
      </c>
      <c r="M118" s="362" t="str">
        <f>IF(AL118=0,"",AL118)</f>
        <v/>
      </c>
      <c r="N118" s="362">
        <f>IF(AM118=301,"",AM118)</f>
        <v>221</v>
      </c>
      <c r="O118" s="362" t="str">
        <f>IF(AN118=0,"",AN118)</f>
        <v/>
      </c>
      <c r="P118" s="362">
        <f>IF(AO118=301,"",AO118)</f>
        <v>0</v>
      </c>
      <c r="Q118" s="362" t="str">
        <f>IF(AP118=0,"",AP118)</f>
        <v/>
      </c>
      <c r="R118" s="362">
        <f>IF(AQ118=301,"",AQ118)</f>
        <v>0</v>
      </c>
      <c r="S118" s="362" t="str">
        <f>IF(AR118=0,"",AR118)</f>
        <v/>
      </c>
      <c r="T118" s="362">
        <f>IF(AS118=301,"",AS118)</f>
        <v>0</v>
      </c>
      <c r="U118" s="362" t="str">
        <f>IF(AT118=0,"",AT118)</f>
        <v/>
      </c>
      <c r="V118" s="364"/>
      <c r="W118" s="364"/>
      <c r="AA118" s="91" t="s">
        <v>11</v>
      </c>
      <c r="AB118" s="92"/>
      <c r="AC118" s="366">
        <f>ABS(INDEX(AC:AC,MATCH(AC112,$AA:$AA,0)+14)+INDEX(AC:AC,MATCH(AC112,$AA:$AA,0)+15)+INDEX(AC:AC,MATCH(AC112,$AA:$AA,0)+16))</f>
        <v>247</v>
      </c>
      <c r="AD118" s="367"/>
      <c r="AE118" s="366">
        <f>ABS(INDEX(AE:AE,MATCH(AE112,$AA:$AA,0)+14)+INDEX(AE:AE,MATCH(AE112,$AA:$AA,0)+15)+INDEX(AE:AE,MATCH(AE112,$AA:$AA,0)+16))</f>
        <v>148</v>
      </c>
      <c r="AF118" s="367"/>
      <c r="AG118" s="366">
        <f>ABS(INDEX(AG:AG,MATCH(AG112,$AA:$AA,0)+14)+INDEX(AG:AG,MATCH(AG112,$AA:$AA,0)+15)+INDEX(AG:AG,MATCH(AG112,$AA:$AA,0)+16))</f>
        <v>183</v>
      </c>
      <c r="AH118" s="367"/>
      <c r="AI118" s="366">
        <f>ABS(INDEX(AI:AI,MATCH(AI112,$AA:$AA,0)+14)+INDEX(AI:AI,MATCH(AI112,$AA:$AA,0)+15)+INDEX(AI:AI,MATCH(AI112,$AA:$AA,0)+16))</f>
        <v>159</v>
      </c>
      <c r="AJ118" s="367"/>
      <c r="AK118" s="366">
        <f>ABS(INDEX(AK:AK,MATCH(AK112,$AA:$AA,0)+14)+INDEX(AK:AK,MATCH(AK112,$AA:$AA,0)+15)+INDEX(AK:AK,MATCH(AK112,$AA:$AA,0)+16))</f>
        <v>222</v>
      </c>
      <c r="AL118" s="367"/>
      <c r="AM118" s="366">
        <f>ABS(INDEX(AM:AM,MATCH(AM112,$AA:$AA,0)+14)+INDEX(AM:AM,MATCH(AM112,$AA:$AA,0)+15)+INDEX(AM:AM,MATCH(AM112,$AA:$AA,0)+16))</f>
        <v>221</v>
      </c>
      <c r="AN118" s="367"/>
      <c r="AO118" s="366">
        <f>ABS(INDEX(AO:AO,MATCH(AO112,$AA:$AA,0)+14)+INDEX(AO:AO,MATCH(AO112,$AA:$AA,0)+15)+INDEX(AO:AO,MATCH(AO112,$AA:$AA,0)+16))</f>
        <v>0</v>
      </c>
      <c r="AP118" s="367"/>
      <c r="AQ118" s="366">
        <f>ABS(INDEX(AQ:AQ,MATCH(AQ112,$AA:$AA,0)+14)+INDEX(AQ:AQ,MATCH(AQ112,$AA:$AA,0)+15)+INDEX(AQ:AQ,MATCH(AQ112,$AA:$AA,0)+16))</f>
        <v>0</v>
      </c>
      <c r="AR118" s="367"/>
      <c r="AS118" s="366">
        <f>ABS(INDEX(AS:AS,MATCH(AS112,$AA:$AA,0)+14)+INDEX(AS:AS,MATCH(AS112,$AA:$AA,0)+15)+INDEX(AS:AS,MATCH(AS112,$AA:$AA,0)+16))</f>
        <v>0</v>
      </c>
      <c r="AT118" s="367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6" t="str">
        <f t="shared" si="138"/>
        <v>Gesamt</v>
      </c>
      <c r="C119" s="347" t="str">
        <f t="shared" si="138"/>
        <v/>
      </c>
      <c r="D119" s="365">
        <f>IF(AC119=1505,"",AC119)</f>
        <v>831</v>
      </c>
      <c r="E119" s="365" t="str">
        <f>IF(AD119=0,"",AD119)</f>
        <v/>
      </c>
      <c r="F119" s="365">
        <f>IF(AE119=1505,"",AE119)</f>
        <v>736</v>
      </c>
      <c r="G119" s="365" t="str">
        <f>IF(AF119=0,"",AF119)</f>
        <v/>
      </c>
      <c r="H119" s="365">
        <f>IF(AG119=1505,"",AG119)</f>
        <v>823</v>
      </c>
      <c r="I119" s="365" t="str">
        <f>IF(AH119=0,"",AH119)</f>
        <v/>
      </c>
      <c r="J119" s="365">
        <f>IF(AI119=1505,"",AI119)</f>
        <v>672</v>
      </c>
      <c r="K119" s="365" t="str">
        <f>IF(AJ119=0,"",AJ119)</f>
        <v/>
      </c>
      <c r="L119" s="365">
        <f>IF(AK119=1505,"",AK119)</f>
        <v>802</v>
      </c>
      <c r="M119" s="365" t="str">
        <f>IF(AL119=0,"",AL119)</f>
        <v/>
      </c>
      <c r="N119" s="365">
        <f>IF(AM119=1505,"",AM119)</f>
        <v>863</v>
      </c>
      <c r="O119" s="365" t="str">
        <f>IF(AN119=0,"",AN119)</f>
        <v/>
      </c>
      <c r="P119" s="365">
        <f>IF(AO119=1505,"",AO119)</f>
        <v>0</v>
      </c>
      <c r="Q119" s="365" t="str">
        <f>IF(AP119=0,"",AP119)</f>
        <v/>
      </c>
      <c r="R119" s="365">
        <f>IF(AQ119=1505,"",AQ119)</f>
        <v>0</v>
      </c>
      <c r="S119" s="365" t="str">
        <f>IF(AR119=0,"",AR119)</f>
        <v/>
      </c>
      <c r="T119" s="365">
        <f>IF(AS119=1505,"",AS119)</f>
        <v>0</v>
      </c>
      <c r="U119" s="365" t="str">
        <f>IF(AT119=0,"",AT119)</f>
        <v/>
      </c>
      <c r="V119" s="301"/>
      <c r="W119" s="301"/>
      <c r="AA119" s="93" t="s">
        <v>1799</v>
      </c>
      <c r="AB119" s="94"/>
      <c r="AC119" s="346">
        <f>SUM(AC115:AC118)</f>
        <v>831</v>
      </c>
      <c r="AD119" s="347"/>
      <c r="AE119" s="346">
        <f>SUM(AE115:AE118)</f>
        <v>736</v>
      </c>
      <c r="AF119" s="347"/>
      <c r="AG119" s="346">
        <f>SUM(AG115:AG118)</f>
        <v>823</v>
      </c>
      <c r="AH119" s="347"/>
      <c r="AI119" s="346">
        <f>SUM(AI115:AI118)</f>
        <v>672</v>
      </c>
      <c r="AJ119" s="347"/>
      <c r="AK119" s="346">
        <f>SUM(AK115:AK118)</f>
        <v>802</v>
      </c>
      <c r="AL119" s="347"/>
      <c r="AM119" s="346">
        <f>SUM(AM115:AM118)</f>
        <v>863</v>
      </c>
      <c r="AN119" s="347"/>
      <c r="AO119" s="346">
        <f>SUM(AO115:AO118)</f>
        <v>0</v>
      </c>
      <c r="AP119" s="347"/>
      <c r="AQ119" s="346">
        <f>SUM(AQ115:AQ118)</f>
        <v>0</v>
      </c>
      <c r="AR119" s="347"/>
      <c r="AS119" s="346">
        <f>SUM(AS115:AS118)</f>
        <v>0</v>
      </c>
      <c r="AT119" s="347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5" t="str">
        <f>AE121</f>
        <v>Bayernliga Herren</v>
      </c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48"/>
      <c r="S121" s="49" t="s">
        <v>1794</v>
      </c>
      <c r="T121" s="50"/>
      <c r="U121" s="341" t="str">
        <f>AT121</f>
        <v>05.04./06.04.</v>
      </c>
      <c r="V121" s="342"/>
      <c r="W121" s="343"/>
      <c r="X121" s="372"/>
      <c r="Y121" s="373"/>
      <c r="Z121" s="373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41" t="str">
        <f>VLOOKUP(AS122,Spielorte!$A$1:$C$6,2)</f>
        <v>05.04./06.04.</v>
      </c>
      <c r="AU121" s="342"/>
      <c r="AV121" s="34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4" t="str">
        <f>AE122</f>
        <v>Dettelbach Extreme Bowlingarena</v>
      </c>
      <c r="G122" s="344"/>
      <c r="H122" s="344"/>
      <c r="I122" s="344"/>
      <c r="J122" s="344"/>
      <c r="K122" s="344"/>
      <c r="L122" s="344"/>
      <c r="M122" s="344"/>
      <c r="N122" s="344"/>
      <c r="O122" s="344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Dettelbach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6" t="s">
        <v>1800</v>
      </c>
      <c r="E125" s="347"/>
      <c r="F125" s="346" t="s">
        <v>1801</v>
      </c>
      <c r="G125" s="347"/>
      <c r="H125" s="346" t="s">
        <v>1802</v>
      </c>
      <c r="I125" s="347"/>
      <c r="J125" s="346" t="s">
        <v>1803</v>
      </c>
      <c r="K125" s="347"/>
      <c r="L125" s="346" t="s">
        <v>1804</v>
      </c>
      <c r="M125" s="347"/>
      <c r="N125" s="346" t="s">
        <v>1805</v>
      </c>
      <c r="O125" s="347"/>
      <c r="P125" s="346" t="s">
        <v>1806</v>
      </c>
      <c r="Q125" s="347"/>
      <c r="R125" s="346" t="s">
        <v>1807</v>
      </c>
      <c r="S125" s="347"/>
      <c r="T125" s="346" t="s">
        <v>1808</v>
      </c>
      <c r="U125" s="347"/>
      <c r="V125" s="354" t="s">
        <v>1799</v>
      </c>
      <c r="W125" s="355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6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232</v>
      </c>
      <c r="E127" s="348">
        <f>IF(AD127="","",AD127)</f>
        <v>1</v>
      </c>
      <c r="F127" s="75">
        <f t="shared" ref="F127:F140" si="139">IF(AE127=0,"",AE127)</f>
        <v>247</v>
      </c>
      <c r="G127" s="348">
        <f>IF(AF127="","",AF127)</f>
        <v>1</v>
      </c>
      <c r="H127" s="75">
        <f t="shared" ref="H127:H140" si="140">IF(AG127=0,"",AG127)</f>
        <v>213</v>
      </c>
      <c r="I127" s="348">
        <f>IF(AH127="","",AH127)</f>
        <v>1</v>
      </c>
      <c r="J127" s="75">
        <f t="shared" ref="J127:J140" si="141">IF(AI127=0,"",AI127)</f>
        <v>181</v>
      </c>
      <c r="K127" s="348">
        <f>IF(AJ127="","",AJ127)</f>
        <v>1</v>
      </c>
      <c r="L127" s="75">
        <f t="shared" ref="L127:L140" si="142">IF(AK127=0,"",AK127)</f>
        <v>190</v>
      </c>
      <c r="M127" s="348">
        <f>IF(AL127="","",AL127)</f>
        <v>0</v>
      </c>
      <c r="N127" s="75">
        <f>IF(AM127=0,"",AM127)</f>
        <v>192</v>
      </c>
      <c r="O127" s="348">
        <f>IF(AN127="","",AN127)</f>
        <v>0</v>
      </c>
      <c r="P127" s="75" t="str">
        <f t="shared" ref="P127:P140" si="143">IF(AO127=0,"",AO127)</f>
        <v/>
      </c>
      <c r="Q127" s="348">
        <f>IF(AP127="","",AP127)</f>
        <v>0</v>
      </c>
      <c r="R127" s="75" t="str">
        <f t="shared" ref="R127:R140" si="144">IF(AQ127=0,"",AQ127)</f>
        <v/>
      </c>
      <c r="S127" s="348">
        <f>IF(AR127="","",AR127)</f>
        <v>0</v>
      </c>
      <c r="T127" s="75" t="str">
        <f t="shared" ref="T127:T140" si="145">IF(AS127=0,"",AS127)</f>
        <v/>
      </c>
      <c r="U127" s="348">
        <f>IF(AT127="","",AT127)</f>
        <v>0</v>
      </c>
      <c r="V127" s="75">
        <f t="shared" ref="V127:V140" si="146">IF(AU127=0,"",AU127)</f>
        <v>1255</v>
      </c>
      <c r="W127" s="348">
        <f>IF(AV127="","",AV127)</f>
        <v>4</v>
      </c>
      <c r="Z127" s="351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232</v>
      </c>
      <c r="AD127" s="109">
        <f>IF(SUM(AC127:AC129)+AC145=0,0,IF(SUM(AC127:AC129)=AC145,0.5,IF(SUM(AC127:AC129)&gt;AC145,1,0)))</f>
        <v>1</v>
      </c>
      <c r="AE127" s="185">
        <v>247</v>
      </c>
      <c r="AF127" s="109">
        <f>IF(SUM(AE127:AE129)+AE145=0,0,IF(SUM(AE127:AE129)=AE145,0.5,IF(SUM(AE127:AE129)&gt;AE145,1,0)))</f>
        <v>1</v>
      </c>
      <c r="AG127" s="185">
        <v>213</v>
      </c>
      <c r="AH127" s="109">
        <f>IF(SUM(AG127:AG129)+AG145=0,0,IF(SUM(AG127:AG129)=AG145,0.5,IF(SUM(AG127:AG129)&gt;AG145,1,0)))</f>
        <v>1</v>
      </c>
      <c r="AI127" s="185">
        <v>181</v>
      </c>
      <c r="AJ127" s="109">
        <f>IF(SUM(AI127:AI129)+AI145=0,0,IF(SUM(AI127:AI129)=AI145,0.5,IF(SUM(AI127:AI129)&gt;AI145,1,0)))</f>
        <v>1</v>
      </c>
      <c r="AK127" s="185">
        <v>190</v>
      </c>
      <c r="AL127" s="109">
        <f>IF(SUM(AK127:AK129)+AK145=0,0,IF(SUM(AK127:AK129)=AK145,0.5,IF(SUM(AK127:AK129)&gt;AK145,1,0)))</f>
        <v>0</v>
      </c>
      <c r="AM127" s="185">
        <v>192</v>
      </c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1255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1255</v>
      </c>
      <c r="BF127" s="215">
        <f>COUNT(BH127:BP127)</f>
        <v>6</v>
      </c>
      <c r="BG127" s="215">
        <f>COUNTIF(BH127:BP127,"&gt;0")</f>
        <v>6</v>
      </c>
      <c r="BH127" s="215">
        <f t="shared" ref="BH127:BH138" si="148">IF(AC127=0,"",AC127)</f>
        <v>232</v>
      </c>
      <c r="BI127" s="215">
        <f t="shared" ref="BI127:BI138" si="149">IF(AE127=0,"",AE127)</f>
        <v>247</v>
      </c>
      <c r="BJ127" s="215">
        <f t="shared" ref="BJ127:BJ138" si="150">IF(AG127=0,"",AG127)</f>
        <v>213</v>
      </c>
      <c r="BK127" s="215">
        <f t="shared" ref="BK127:BK138" si="151">IF(AI127=0,"",AI127)</f>
        <v>181</v>
      </c>
      <c r="BL127" s="215">
        <f t="shared" ref="BL127:BL138" si="152">IF(AK127=0,"",AK127)</f>
        <v>190</v>
      </c>
      <c r="BM127" s="215">
        <f t="shared" ref="BM127:BM138" si="153">IF(AM127=0,"",AM127)</f>
        <v>192</v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247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1255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5">
      <c r="A128" s="377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9"/>
      <c r="F128" s="78" t="str">
        <f t="shared" si="139"/>
        <v/>
      </c>
      <c r="G128" s="349"/>
      <c r="H128" s="78" t="str">
        <f t="shared" si="140"/>
        <v/>
      </c>
      <c r="I128" s="349"/>
      <c r="J128" s="78" t="str">
        <f t="shared" si="141"/>
        <v/>
      </c>
      <c r="K128" s="349"/>
      <c r="L128" s="78" t="str">
        <f t="shared" si="142"/>
        <v/>
      </c>
      <c r="M128" s="349"/>
      <c r="N128" s="78" t="str">
        <f t="shared" ref="N128:N140" si="159">IF(AM128=0,"",AM128)</f>
        <v/>
      </c>
      <c r="O128" s="349"/>
      <c r="P128" s="78" t="str">
        <f t="shared" si="143"/>
        <v/>
      </c>
      <c r="Q128" s="349"/>
      <c r="R128" s="78" t="str">
        <f t="shared" si="144"/>
        <v/>
      </c>
      <c r="S128" s="349"/>
      <c r="T128" s="78" t="str">
        <f t="shared" si="145"/>
        <v/>
      </c>
      <c r="U128" s="349"/>
      <c r="V128" s="78" t="str">
        <f t="shared" si="146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3">
      <c r="A129" s="378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0"/>
      <c r="F129" s="69" t="str">
        <f t="shared" si="139"/>
        <v/>
      </c>
      <c r="G129" s="350"/>
      <c r="H129" s="69" t="str">
        <f t="shared" si="140"/>
        <v/>
      </c>
      <c r="I129" s="350"/>
      <c r="J129" s="69" t="str">
        <f t="shared" si="141"/>
        <v/>
      </c>
      <c r="K129" s="350"/>
      <c r="L129" s="69" t="str">
        <f t="shared" si="142"/>
        <v/>
      </c>
      <c r="M129" s="350"/>
      <c r="N129" s="69" t="str">
        <f t="shared" si="159"/>
        <v/>
      </c>
      <c r="O129" s="350"/>
      <c r="P129" s="69" t="str">
        <f t="shared" si="143"/>
        <v/>
      </c>
      <c r="Q129" s="350"/>
      <c r="R129" s="69" t="str">
        <f t="shared" si="144"/>
        <v/>
      </c>
      <c r="S129" s="350"/>
      <c r="T129" s="69" t="str">
        <f t="shared" si="145"/>
        <v/>
      </c>
      <c r="U129" s="350"/>
      <c r="V129" s="69" t="str">
        <f t="shared" si="146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5">
      <c r="A130" s="376" t="s">
        <v>2</v>
      </c>
      <c r="B130" s="73" t="str">
        <f t="shared" si="158"/>
        <v>Breitenstein, Alexander Kurt</v>
      </c>
      <c r="C130" s="74">
        <f t="shared" si="158"/>
        <v>16469</v>
      </c>
      <c r="D130" s="75">
        <f t="shared" si="158"/>
        <v>193</v>
      </c>
      <c r="E130" s="348">
        <f>IF(AD130="","",AD130)</f>
        <v>1</v>
      </c>
      <c r="F130" s="75">
        <f t="shared" si="139"/>
        <v>195</v>
      </c>
      <c r="G130" s="348">
        <f>IF(AF130="","",AF130)</f>
        <v>1</v>
      </c>
      <c r="H130" s="75">
        <f t="shared" si="140"/>
        <v>212</v>
      </c>
      <c r="I130" s="348">
        <f>IF(AH130="","",AH130)</f>
        <v>0</v>
      </c>
      <c r="J130" s="75">
        <f t="shared" si="141"/>
        <v>170</v>
      </c>
      <c r="K130" s="348">
        <f>IF(AJ130="","",AJ130)</f>
        <v>0</v>
      </c>
      <c r="L130" s="75" t="str">
        <f t="shared" si="142"/>
        <v/>
      </c>
      <c r="M130" s="348">
        <f>IF(AL130="","",AL130)</f>
        <v>0</v>
      </c>
      <c r="N130" s="75" t="str">
        <f t="shared" si="159"/>
        <v/>
      </c>
      <c r="O130" s="348">
        <f>IF(AN130="","",AN130)</f>
        <v>0</v>
      </c>
      <c r="P130" s="75" t="str">
        <f t="shared" si="143"/>
        <v/>
      </c>
      <c r="Q130" s="348">
        <f>IF(AP130="","",AP130)</f>
        <v>0</v>
      </c>
      <c r="R130" s="75" t="str">
        <f t="shared" si="144"/>
        <v/>
      </c>
      <c r="S130" s="348">
        <f>IF(AR130="","",AR130)</f>
        <v>0</v>
      </c>
      <c r="T130" s="75" t="str">
        <f t="shared" si="145"/>
        <v/>
      </c>
      <c r="U130" s="348">
        <f>IF(AT130="","",AT130)</f>
        <v>0</v>
      </c>
      <c r="V130" s="75">
        <f t="shared" si="146"/>
        <v>770</v>
      </c>
      <c r="W130" s="348">
        <f>IF(AV130="","",AV130)</f>
        <v>2</v>
      </c>
      <c r="Z130" s="351" t="s">
        <v>2</v>
      </c>
      <c r="AA130" s="108" t="str">
        <f>IF(AB130=0,"",VLOOKUP(AB130,Starter!$A$1:$D$199,2,FALSE))</f>
        <v>Breitenstein, Alexander Kurt</v>
      </c>
      <c r="AB130" s="99">
        <v>16469</v>
      </c>
      <c r="AC130" s="188">
        <v>193</v>
      </c>
      <c r="AD130" s="109">
        <f>IF(SUM(AC130:AC132)+AC146=0,0,IF(SUM(AC130:AC132)=AC146,0.5,IF(SUM(AC130:AC132)&gt;AC146,1,0)))</f>
        <v>1</v>
      </c>
      <c r="AE130" s="188">
        <v>195</v>
      </c>
      <c r="AF130" s="109">
        <f>IF(SUM(AE130:AE132)+AE146=0,0,IF(SUM(AE130:AE132)=AE146,0.5,IF(SUM(AE130:AE132)&gt;AE146,1,0)))</f>
        <v>1</v>
      </c>
      <c r="AG130" s="188">
        <v>212</v>
      </c>
      <c r="AH130" s="109">
        <f>IF(SUM(AG130:AG132)+AG146=0,0,IF(SUM(AG130:AG132)=AG146,0.5,IF(SUM(AG130:AG132)&gt;AG146,1,0)))</f>
        <v>0</v>
      </c>
      <c r="AI130" s="188">
        <v>170</v>
      </c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770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60"/>
        <v>16469</v>
      </c>
      <c r="BE130" s="213">
        <f t="shared" si="161"/>
        <v>770</v>
      </c>
      <c r="BF130" s="215">
        <f t="shared" si="162"/>
        <v>4</v>
      </c>
      <c r="BG130" s="215">
        <f t="shared" si="163"/>
        <v>4</v>
      </c>
      <c r="BH130" s="215">
        <f t="shared" si="148"/>
        <v>193</v>
      </c>
      <c r="BI130" s="215">
        <f t="shared" si="149"/>
        <v>195</v>
      </c>
      <c r="BJ130" s="215">
        <f t="shared" si="150"/>
        <v>212</v>
      </c>
      <c r="BK130" s="215">
        <f t="shared" si="151"/>
        <v>170</v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212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2</v>
      </c>
      <c r="BW130" s="215">
        <f t="shared" si="168"/>
        <v>770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5">
      <c r="A131" s="377"/>
      <c r="B131" s="76" t="str">
        <f t="shared" si="158"/>
        <v>Wahl, Norbert</v>
      </c>
      <c r="C131" s="77">
        <f t="shared" si="158"/>
        <v>25465</v>
      </c>
      <c r="D131" s="78" t="str">
        <f t="shared" si="158"/>
        <v/>
      </c>
      <c r="E131" s="349"/>
      <c r="F131" s="78" t="str">
        <f t="shared" si="139"/>
        <v/>
      </c>
      <c r="G131" s="349"/>
      <c r="H131" s="78" t="str">
        <f t="shared" si="140"/>
        <v/>
      </c>
      <c r="I131" s="349"/>
      <c r="J131" s="78" t="str">
        <f t="shared" si="141"/>
        <v/>
      </c>
      <c r="K131" s="349"/>
      <c r="L131" s="78">
        <f t="shared" si="142"/>
        <v>183</v>
      </c>
      <c r="M131" s="349"/>
      <c r="N131" s="78">
        <f t="shared" si="159"/>
        <v>170</v>
      </c>
      <c r="O131" s="349"/>
      <c r="P131" s="78" t="str">
        <f t="shared" si="143"/>
        <v/>
      </c>
      <c r="Q131" s="349"/>
      <c r="R131" s="78" t="str">
        <f t="shared" si="144"/>
        <v/>
      </c>
      <c r="S131" s="349"/>
      <c r="T131" s="78" t="str">
        <f t="shared" si="145"/>
        <v/>
      </c>
      <c r="U131" s="349"/>
      <c r="V131" s="78">
        <f t="shared" si="146"/>
        <v>353</v>
      </c>
      <c r="W131" s="349"/>
      <c r="Z131" s="352"/>
      <c r="AA131" s="108" t="str">
        <f>IF(AB131=0,"",VLOOKUP(AB131,Starter!$A$1:$D$199,2,FALSE))</f>
        <v>Wahl, Norbert</v>
      </c>
      <c r="AB131" s="98">
        <v>25465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183</v>
      </c>
      <c r="AL131" s="112"/>
      <c r="AM131" s="186">
        <v>170</v>
      </c>
      <c r="AN131" s="112"/>
      <c r="AO131" s="190"/>
      <c r="AP131" s="112"/>
      <c r="AQ131" s="190"/>
      <c r="AR131" s="112"/>
      <c r="AS131" s="190"/>
      <c r="AT131" s="112"/>
      <c r="AU131" s="113">
        <f t="shared" si="147"/>
        <v>353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25465</v>
      </c>
      <c r="BE131" s="213">
        <f t="shared" si="161"/>
        <v>353</v>
      </c>
      <c r="BF131" s="215">
        <f t="shared" si="162"/>
        <v>2</v>
      </c>
      <c r="BG131" s="215">
        <f t="shared" si="163"/>
        <v>2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>
        <f t="shared" si="152"/>
        <v>183</v>
      </c>
      <c r="BM131" s="215">
        <f t="shared" si="153"/>
        <v>170</v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183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2</v>
      </c>
      <c r="BW131" s="215">
        <f t="shared" si="168"/>
        <v>353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3">
      <c r="A132" s="378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0"/>
      <c r="F132" s="69" t="str">
        <f t="shared" si="139"/>
        <v/>
      </c>
      <c r="G132" s="350"/>
      <c r="H132" s="69" t="str">
        <f t="shared" si="140"/>
        <v/>
      </c>
      <c r="I132" s="350"/>
      <c r="J132" s="69" t="str">
        <f t="shared" si="141"/>
        <v/>
      </c>
      <c r="K132" s="350"/>
      <c r="L132" s="69" t="str">
        <f t="shared" si="142"/>
        <v/>
      </c>
      <c r="M132" s="350"/>
      <c r="N132" s="69" t="str">
        <f t="shared" si="159"/>
        <v/>
      </c>
      <c r="O132" s="350"/>
      <c r="P132" s="69" t="str">
        <f t="shared" si="143"/>
        <v/>
      </c>
      <c r="Q132" s="350"/>
      <c r="R132" s="69" t="str">
        <f t="shared" si="144"/>
        <v/>
      </c>
      <c r="S132" s="350"/>
      <c r="T132" s="69" t="str">
        <f t="shared" si="145"/>
        <v/>
      </c>
      <c r="U132" s="350"/>
      <c r="V132" s="69" t="str">
        <f t="shared" si="146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5">
      <c r="A133" s="376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169</v>
      </c>
      <c r="E133" s="348">
        <f>IF(AD133="","",AD133)</f>
        <v>0</v>
      </c>
      <c r="F133" s="75">
        <f t="shared" si="139"/>
        <v>190</v>
      </c>
      <c r="G133" s="348">
        <f>IF(AF133="","",AF133)</f>
        <v>0</v>
      </c>
      <c r="H133" s="75">
        <f t="shared" si="140"/>
        <v>149</v>
      </c>
      <c r="I133" s="348">
        <f>IF(AH133="","",AH133)</f>
        <v>0</v>
      </c>
      <c r="J133" s="75">
        <f t="shared" si="141"/>
        <v>177</v>
      </c>
      <c r="K133" s="348">
        <f>IF(AJ133="","",AJ133)</f>
        <v>0</v>
      </c>
      <c r="L133" s="75">
        <f t="shared" si="142"/>
        <v>159</v>
      </c>
      <c r="M133" s="348">
        <f>IF(AL133="","",AL133)</f>
        <v>0</v>
      </c>
      <c r="N133" s="75" t="str">
        <f t="shared" si="159"/>
        <v/>
      </c>
      <c r="O133" s="348">
        <f>IF(AN133="","",AN133)</f>
        <v>1</v>
      </c>
      <c r="P133" s="75" t="str">
        <f t="shared" si="143"/>
        <v/>
      </c>
      <c r="Q133" s="348">
        <f>IF(AP133="","",AP133)</f>
        <v>0</v>
      </c>
      <c r="R133" s="75" t="str">
        <f t="shared" si="144"/>
        <v/>
      </c>
      <c r="S133" s="348">
        <f>IF(AR133="","",AR133)</f>
        <v>0</v>
      </c>
      <c r="T133" s="75" t="str">
        <f t="shared" si="145"/>
        <v/>
      </c>
      <c r="U133" s="348">
        <f>IF(AT133="","",AT133)</f>
        <v>0</v>
      </c>
      <c r="V133" s="75">
        <f t="shared" si="146"/>
        <v>844</v>
      </c>
      <c r="W133" s="348">
        <f>IF(AV133="","",AV133)</f>
        <v>1</v>
      </c>
      <c r="Z133" s="351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169</v>
      </c>
      <c r="AD133" s="109">
        <f>IF(SUM(AC133:AC135)+AC147=0,0,IF(SUM(AC133:AC135)=AC147,0.5,IF(SUM(AC133:AC135)&gt;AC147,1,0)))</f>
        <v>0</v>
      </c>
      <c r="AE133" s="188">
        <v>190</v>
      </c>
      <c r="AF133" s="109">
        <f>IF(SUM(AE133:AE135)+AE147=0,0,IF(SUM(AE133:AE135)=AE147,0.5,IF(SUM(AE133:AE135)&gt;AE147,1,0)))</f>
        <v>0</v>
      </c>
      <c r="AG133" s="188">
        <v>149</v>
      </c>
      <c r="AH133" s="109">
        <f>IF(SUM(AG133:AG135)+AG147=0,0,IF(SUM(AG133:AG135)=AG147,0.5,IF(SUM(AG133:AG135)&gt;AG147,1,0)))</f>
        <v>0</v>
      </c>
      <c r="AI133" s="188">
        <v>177</v>
      </c>
      <c r="AJ133" s="109">
        <f>IF(SUM(AI133:AI135)+AI147=0,0,IF(SUM(AI133:AI135)=AI147,0.5,IF(SUM(AI133:AI135)&gt;AI147,1,0)))</f>
        <v>0</v>
      </c>
      <c r="AK133" s="188">
        <v>159</v>
      </c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1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844</v>
      </c>
      <c r="AV133" s="111">
        <f>SUM(AD133+AF133+AH133+AJ133+AL133+AN133+AP133+AR133+AT133)</f>
        <v>1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844</v>
      </c>
      <c r="BF133" s="215">
        <f t="shared" si="162"/>
        <v>5</v>
      </c>
      <c r="BG133" s="215">
        <f t="shared" si="163"/>
        <v>5</v>
      </c>
      <c r="BH133" s="215">
        <f t="shared" si="148"/>
        <v>169</v>
      </c>
      <c r="BI133" s="215">
        <f t="shared" si="149"/>
        <v>190</v>
      </c>
      <c r="BJ133" s="215">
        <f t="shared" si="150"/>
        <v>149</v>
      </c>
      <c r="BK133" s="215">
        <f t="shared" si="151"/>
        <v>177</v>
      </c>
      <c r="BL133" s="215">
        <f t="shared" si="152"/>
        <v>159</v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190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2</v>
      </c>
      <c r="BW133" s="215">
        <f t="shared" si="168"/>
        <v>844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5">
      <c r="A134" s="377"/>
      <c r="B134" s="76" t="str">
        <f t="shared" si="158"/>
        <v>Mesch, John</v>
      </c>
      <c r="C134" s="77">
        <f t="shared" si="158"/>
        <v>7740</v>
      </c>
      <c r="D134" s="78" t="str">
        <f t="shared" si="158"/>
        <v/>
      </c>
      <c r="E134" s="349"/>
      <c r="F134" s="78" t="str">
        <f t="shared" si="139"/>
        <v/>
      </c>
      <c r="G134" s="349"/>
      <c r="H134" s="78" t="str">
        <f t="shared" si="140"/>
        <v/>
      </c>
      <c r="I134" s="349"/>
      <c r="J134" s="78" t="str">
        <f t="shared" si="141"/>
        <v/>
      </c>
      <c r="K134" s="349"/>
      <c r="L134" s="78" t="str">
        <f t="shared" si="142"/>
        <v/>
      </c>
      <c r="M134" s="349"/>
      <c r="N134" s="78">
        <f t="shared" si="159"/>
        <v>201</v>
      </c>
      <c r="O134" s="349"/>
      <c r="P134" s="78" t="str">
        <f t="shared" si="143"/>
        <v/>
      </c>
      <c r="Q134" s="349"/>
      <c r="R134" s="78" t="str">
        <f t="shared" si="144"/>
        <v/>
      </c>
      <c r="S134" s="349"/>
      <c r="T134" s="78" t="str">
        <f t="shared" si="145"/>
        <v/>
      </c>
      <c r="U134" s="349"/>
      <c r="V134" s="78">
        <f t="shared" si="146"/>
        <v>201</v>
      </c>
      <c r="W134" s="349"/>
      <c r="Z134" s="352"/>
      <c r="AA134" s="108" t="str">
        <f>IF(AB134=0,"",VLOOKUP(AB134,Starter!$A$1:$D$199,2,FALSE))</f>
        <v>Mesch, John</v>
      </c>
      <c r="AB134" s="98">
        <v>7740</v>
      </c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>
        <v>201</v>
      </c>
      <c r="AN134" s="112"/>
      <c r="AO134" s="186"/>
      <c r="AP134" s="112"/>
      <c r="AQ134" s="186"/>
      <c r="AR134" s="112"/>
      <c r="AS134" s="186"/>
      <c r="AT134" s="112"/>
      <c r="AU134" s="113">
        <f t="shared" si="147"/>
        <v>201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7740</v>
      </c>
      <c r="BE134" s="213">
        <f t="shared" si="161"/>
        <v>201</v>
      </c>
      <c r="BF134" s="215">
        <f t="shared" si="162"/>
        <v>1</v>
      </c>
      <c r="BG134" s="215">
        <f t="shared" si="163"/>
        <v>1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>
        <f t="shared" si="153"/>
        <v>201</v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201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2</v>
      </c>
      <c r="BW134" s="215">
        <f t="shared" si="168"/>
        <v>201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3">
      <c r="A135" s="378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0"/>
      <c r="F135" s="69" t="str">
        <f t="shared" si="139"/>
        <v/>
      </c>
      <c r="G135" s="350"/>
      <c r="H135" s="69" t="str">
        <f t="shared" si="140"/>
        <v/>
      </c>
      <c r="I135" s="350"/>
      <c r="J135" s="69" t="str">
        <f t="shared" si="141"/>
        <v/>
      </c>
      <c r="K135" s="350"/>
      <c r="L135" s="69" t="str">
        <f t="shared" si="142"/>
        <v/>
      </c>
      <c r="M135" s="350"/>
      <c r="N135" s="69" t="str">
        <f t="shared" si="159"/>
        <v/>
      </c>
      <c r="O135" s="350"/>
      <c r="P135" s="69" t="str">
        <f t="shared" si="143"/>
        <v/>
      </c>
      <c r="Q135" s="350"/>
      <c r="R135" s="69" t="str">
        <f t="shared" si="144"/>
        <v/>
      </c>
      <c r="S135" s="350"/>
      <c r="T135" s="69" t="str">
        <f t="shared" si="145"/>
        <v/>
      </c>
      <c r="U135" s="350"/>
      <c r="V135" s="69" t="str">
        <f t="shared" si="146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5">
      <c r="A136" s="376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233</v>
      </c>
      <c r="E136" s="348">
        <f>IF(AD136="","",AD136)</f>
        <v>1</v>
      </c>
      <c r="F136" s="75">
        <f t="shared" si="139"/>
        <v>215</v>
      </c>
      <c r="G136" s="348">
        <f>IF(AF136="","",AF136)</f>
        <v>1</v>
      </c>
      <c r="H136" s="75">
        <f t="shared" si="140"/>
        <v>203</v>
      </c>
      <c r="I136" s="348">
        <f>IF(AH136="","",AH136)</f>
        <v>0</v>
      </c>
      <c r="J136" s="75">
        <f t="shared" si="141"/>
        <v>172</v>
      </c>
      <c r="K136" s="348">
        <f>IF(AJ136="","",AJ136)</f>
        <v>0</v>
      </c>
      <c r="L136" s="75">
        <f t="shared" si="142"/>
        <v>246</v>
      </c>
      <c r="M136" s="348">
        <f>IF(AL136="","",AL136)</f>
        <v>1</v>
      </c>
      <c r="N136" s="75">
        <f t="shared" si="159"/>
        <v>212</v>
      </c>
      <c r="O136" s="348">
        <f>IF(AN136="","",AN136)</f>
        <v>1</v>
      </c>
      <c r="P136" s="75" t="str">
        <f t="shared" si="143"/>
        <v/>
      </c>
      <c r="Q136" s="348">
        <f>IF(AP136="","",AP136)</f>
        <v>0</v>
      </c>
      <c r="R136" s="75" t="str">
        <f t="shared" si="144"/>
        <v/>
      </c>
      <c r="S136" s="348">
        <f>IF(AR136="","",AR136)</f>
        <v>0</v>
      </c>
      <c r="T136" s="75" t="str">
        <f t="shared" si="145"/>
        <v/>
      </c>
      <c r="U136" s="348">
        <f>IF(AT136="","",AT136)</f>
        <v>0</v>
      </c>
      <c r="V136" s="75">
        <f t="shared" si="146"/>
        <v>1281</v>
      </c>
      <c r="W136" s="348">
        <f>IF(AV136="","",AV136)</f>
        <v>4</v>
      </c>
      <c r="Z136" s="351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233</v>
      </c>
      <c r="AD136" s="109">
        <f>IF(SUM(AC136:AC138)+AC148=0,0,IF(SUM(AC136:AC138)=AC148,0.5,IF(SUM(AC136:AC138)&gt;AC148,1,0)))</f>
        <v>1</v>
      </c>
      <c r="AE136" s="188">
        <v>215</v>
      </c>
      <c r="AF136" s="109">
        <f>IF(SUM(AE136:AE138)+AE148=0,0,IF(SUM(AE136:AE138)=AE148,0.5,IF(SUM(AE136:AE138)&gt;AE148,1,0)))</f>
        <v>1</v>
      </c>
      <c r="AG136" s="188">
        <v>203</v>
      </c>
      <c r="AH136" s="109">
        <f>IF(SUM(AG136:AG138)+AG148=0,0,IF(SUM(AG136:AG138)=AG148,0.5,IF(SUM(AG136:AG138)&gt;AG148,1,0)))</f>
        <v>0</v>
      </c>
      <c r="AI136" s="188">
        <v>172</v>
      </c>
      <c r="AJ136" s="109">
        <f>IF(SUM(AI136:AI138)+AI148=0,0,IF(SUM(AI136:AI138)=AI148,0.5,IF(SUM(AI136:AI138)&gt;AI148,1,0)))</f>
        <v>0</v>
      </c>
      <c r="AK136" s="188">
        <v>246</v>
      </c>
      <c r="AL136" s="109">
        <f>IF(SUM(AK136:AK138)+AK148=0,0,IF(SUM(AK136:AK138)=AK148,0.5,IF(SUM(AK136:AK138)&gt;AK148,1,0)))</f>
        <v>1</v>
      </c>
      <c r="AM136" s="188">
        <v>212</v>
      </c>
      <c r="AN136" s="109">
        <f>IF(SUM(AM136:AM138)+AM148=0,0,IF(SUM(AM136:AM138)=AM148,0.5,IF(SUM(AM136:AM138)&gt;AM148,1,0)))</f>
        <v>1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1281</v>
      </c>
      <c r="AV136" s="111">
        <f>SUM(AD136+AF136+AH136+AJ136+AL136+AN136+AP136+AR136+AT136)</f>
        <v>4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1281</v>
      </c>
      <c r="BF136" s="215">
        <f t="shared" si="162"/>
        <v>6</v>
      </c>
      <c r="BG136" s="215">
        <f t="shared" si="163"/>
        <v>6</v>
      </c>
      <c r="BH136" s="215">
        <f t="shared" si="148"/>
        <v>233</v>
      </c>
      <c r="BI136" s="215">
        <f t="shared" si="149"/>
        <v>215</v>
      </c>
      <c r="BJ136" s="215">
        <f t="shared" si="150"/>
        <v>203</v>
      </c>
      <c r="BK136" s="215">
        <f t="shared" si="151"/>
        <v>172</v>
      </c>
      <c r="BL136" s="215">
        <f t="shared" si="152"/>
        <v>246</v>
      </c>
      <c r="BM136" s="215">
        <f t="shared" si="153"/>
        <v>212</v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246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2</v>
      </c>
      <c r="BW136" s="215">
        <f t="shared" si="168"/>
        <v>1281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5">
      <c r="A137" s="377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9"/>
      <c r="F137" s="78" t="str">
        <f t="shared" si="139"/>
        <v/>
      </c>
      <c r="G137" s="349"/>
      <c r="H137" s="78" t="str">
        <f t="shared" si="140"/>
        <v/>
      </c>
      <c r="I137" s="349"/>
      <c r="J137" s="78" t="str">
        <f t="shared" si="141"/>
        <v/>
      </c>
      <c r="K137" s="349"/>
      <c r="L137" s="78" t="str">
        <f t="shared" si="142"/>
        <v/>
      </c>
      <c r="M137" s="349"/>
      <c r="N137" s="78" t="str">
        <f t="shared" si="159"/>
        <v/>
      </c>
      <c r="O137" s="349"/>
      <c r="P137" s="78" t="str">
        <f t="shared" si="143"/>
        <v/>
      </c>
      <c r="Q137" s="349"/>
      <c r="R137" s="78" t="str">
        <f t="shared" si="144"/>
        <v/>
      </c>
      <c r="S137" s="349"/>
      <c r="T137" s="78" t="str">
        <f t="shared" si="145"/>
        <v/>
      </c>
      <c r="U137" s="349"/>
      <c r="V137" s="78" t="str">
        <f t="shared" si="146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3">
      <c r="A138" s="378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0"/>
      <c r="F138" s="69" t="str">
        <f t="shared" si="139"/>
        <v/>
      </c>
      <c r="G138" s="350"/>
      <c r="H138" s="69" t="str">
        <f t="shared" si="140"/>
        <v/>
      </c>
      <c r="I138" s="350"/>
      <c r="J138" s="69" t="str">
        <f t="shared" si="141"/>
        <v/>
      </c>
      <c r="K138" s="350"/>
      <c r="L138" s="69" t="str">
        <f t="shared" si="142"/>
        <v/>
      </c>
      <c r="M138" s="350"/>
      <c r="N138" s="69" t="str">
        <f t="shared" si="159"/>
        <v/>
      </c>
      <c r="O138" s="350"/>
      <c r="P138" s="69" t="str">
        <f t="shared" si="143"/>
        <v/>
      </c>
      <c r="Q138" s="350"/>
      <c r="R138" s="69" t="str">
        <f t="shared" si="144"/>
        <v/>
      </c>
      <c r="S138" s="350"/>
      <c r="T138" s="69" t="str">
        <f t="shared" si="145"/>
        <v/>
      </c>
      <c r="U138" s="350"/>
      <c r="V138" s="69" t="str">
        <f t="shared" si="146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827</v>
      </c>
      <c r="E139" s="84">
        <f>IF(AD139="","",AD139)</f>
        <v>2</v>
      </c>
      <c r="F139" s="83">
        <f t="shared" si="139"/>
        <v>847</v>
      </c>
      <c r="G139" s="84">
        <f>IF(AF139="","",AF139)</f>
        <v>2</v>
      </c>
      <c r="H139" s="83">
        <f t="shared" si="140"/>
        <v>777</v>
      </c>
      <c r="I139" s="84">
        <f>IF(AH139="","",AH139)</f>
        <v>0</v>
      </c>
      <c r="J139" s="83">
        <f t="shared" si="141"/>
        <v>700</v>
      </c>
      <c r="K139" s="84">
        <f>IF(AJ139="","",AJ139)</f>
        <v>0</v>
      </c>
      <c r="L139" s="83">
        <f t="shared" si="142"/>
        <v>778</v>
      </c>
      <c r="M139" s="84">
        <f>IF(AL139="","",AL139)</f>
        <v>0</v>
      </c>
      <c r="N139" s="83">
        <f t="shared" si="159"/>
        <v>775</v>
      </c>
      <c r="O139" s="84">
        <f>IF(AN139="","",AN139)</f>
        <v>2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>
        <f t="shared" si="146"/>
        <v>4704</v>
      </c>
      <c r="W139" s="84">
        <f>IF(AV139="","",AV139)</f>
        <v>6</v>
      </c>
      <c r="AA139" s="81" t="s">
        <v>1799</v>
      </c>
      <c r="AB139" s="120"/>
      <c r="AC139" s="211">
        <f>ABS(SUM(AC127:AC129))+ABS(SUM(AC130:AC132))+ABS(SUM(AC133:AC135))+ABS(SUM(AC136:AC138))</f>
        <v>827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847</v>
      </c>
      <c r="AF139" s="121">
        <f>IF(AE139+AE149=0,0,IF(AE139=AE149,1,IF(AE139&gt;AE149,2,0)))</f>
        <v>2</v>
      </c>
      <c r="AG139" s="211">
        <f>ABS(SUM(AG127:AG129))+ABS(SUM(AG130:AG132))+ABS(SUM(AG133:AG135))+ABS(SUM(AG136:AG138))</f>
        <v>777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700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778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775</v>
      </c>
      <c r="AN139" s="121">
        <f>IF(AM139+AM149=0,0,IF(AM139=AM149,1,IF(AM139&gt;AM149,2,0)))</f>
        <v>2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4704</v>
      </c>
      <c r="AV139" s="123">
        <f>SUM(AD139+AF139+AH139+AJ139+AL139+AN139+AP139+AR139+AT139)</f>
        <v>6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5</v>
      </c>
      <c r="F140" s="86" t="str">
        <f t="shared" si="139"/>
        <v/>
      </c>
      <c r="G140" s="87">
        <f>IF(AF140="","",AF140)</f>
        <v>5</v>
      </c>
      <c r="H140" s="86" t="str">
        <f t="shared" si="140"/>
        <v/>
      </c>
      <c r="I140" s="87">
        <f>IF(AH140="","",AH140)</f>
        <v>1</v>
      </c>
      <c r="J140" s="86" t="str">
        <f t="shared" si="141"/>
        <v/>
      </c>
      <c r="K140" s="87">
        <f>IF(AJ140="","",AJ140)</f>
        <v>1</v>
      </c>
      <c r="L140" s="86" t="str">
        <f t="shared" si="142"/>
        <v/>
      </c>
      <c r="M140" s="87">
        <f>IF(AL140="","",AL140)</f>
        <v>1</v>
      </c>
      <c r="N140" s="86" t="str">
        <f t="shared" si="159"/>
        <v/>
      </c>
      <c r="O140" s="87">
        <f>IF(AN140="","",AN140)</f>
        <v>4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17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5</v>
      </c>
      <c r="AG140" s="86"/>
      <c r="AH140" s="124">
        <f>SUM(AH127:AH139)</f>
        <v>1</v>
      </c>
      <c r="AI140" s="86"/>
      <c r="AJ140" s="124">
        <f>SUM(AJ127:AJ139)</f>
        <v>1</v>
      </c>
      <c r="AK140" s="86"/>
      <c r="AL140" s="124">
        <f>SUM(AL127:AL139)</f>
        <v>1</v>
      </c>
      <c r="AM140" s="86"/>
      <c r="AN140" s="124">
        <f>SUM(AN127:AN139)</f>
        <v>4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17</v>
      </c>
      <c r="AW140" s="101"/>
      <c r="AX140" s="102"/>
      <c r="BA140" s="212">
        <f>+AV140</f>
        <v>17</v>
      </c>
      <c r="BB140" s="213">
        <f>+AU139</f>
        <v>4704</v>
      </c>
      <c r="BC140" s="214">
        <f>+AA122</f>
        <v>5</v>
      </c>
      <c r="BF140" s="215">
        <f>SUM(BF121:BF139)</f>
        <v>24</v>
      </c>
      <c r="BQ140" s="212">
        <f>+BB140/1000000+BA140</f>
        <v>17.004704</v>
      </c>
      <c r="BR140" s="214">
        <f>RANK(BQ140,BQ:BQ)</f>
        <v>7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6">
        <f t="shared" si="170"/>
        <v>2</v>
      </c>
      <c r="E142" s="356" t="str">
        <f t="shared" si="170"/>
        <v/>
      </c>
      <c r="F142" s="356">
        <f t="shared" si="170"/>
        <v>7</v>
      </c>
      <c r="G142" s="356" t="str">
        <f t="shared" si="170"/>
        <v/>
      </c>
      <c r="H142" s="356">
        <f t="shared" si="170"/>
        <v>1</v>
      </c>
      <c r="I142" s="356" t="str">
        <f t="shared" si="170"/>
        <v/>
      </c>
      <c r="J142" s="356">
        <f t="shared" si="170"/>
        <v>8</v>
      </c>
      <c r="K142" s="356" t="str">
        <f t="shared" si="170"/>
        <v/>
      </c>
      <c r="L142" s="356">
        <f t="shared" si="170"/>
        <v>9</v>
      </c>
      <c r="M142" s="356" t="str">
        <f t="shared" si="170"/>
        <v/>
      </c>
      <c r="N142" s="356">
        <f t="shared" si="170"/>
        <v>3</v>
      </c>
      <c r="O142" s="356" t="str">
        <f t="shared" si="170"/>
        <v/>
      </c>
      <c r="P142" s="356">
        <f t="shared" si="170"/>
        <v>4</v>
      </c>
      <c r="Q142" s="356" t="str">
        <f t="shared" si="170"/>
        <v/>
      </c>
      <c r="R142" s="356">
        <f t="shared" ref="L142:U144" si="171">IF(AQ142=0,"",AQ142)</f>
        <v>10</v>
      </c>
      <c r="S142" s="356" t="str">
        <f t="shared" si="171"/>
        <v/>
      </c>
      <c r="T142" s="356">
        <f t="shared" si="171"/>
        <v>6</v>
      </c>
      <c r="U142" s="356" t="str">
        <f t="shared" si="171"/>
        <v/>
      </c>
      <c r="V142" s="357"/>
      <c r="W142" s="357"/>
      <c r="AA142" s="88" t="s">
        <v>1797</v>
      </c>
      <c r="AB142" s="89" t="s">
        <v>1798</v>
      </c>
      <c r="AC142" s="370">
        <f>VLOOKUP($AA122,Schlüssel!$A$5:$DG$14,103)</f>
        <v>2</v>
      </c>
      <c r="AD142" s="371"/>
      <c r="AE142" s="370">
        <f>VLOOKUP($AA122,Schlüssel!$A$5:$EK$14,104)</f>
        <v>7</v>
      </c>
      <c r="AF142" s="371"/>
      <c r="AG142" s="370">
        <f>VLOOKUP($AA122,Schlüssel!$A$5:$EK$14,105)</f>
        <v>1</v>
      </c>
      <c r="AH142" s="371"/>
      <c r="AI142" s="370">
        <f>VLOOKUP($AA122,Schlüssel!$A$5:$EK$14,106)</f>
        <v>8</v>
      </c>
      <c r="AJ142" s="371"/>
      <c r="AK142" s="370">
        <f>VLOOKUP($AA122,Schlüssel!$A$5:$EK$14,107)</f>
        <v>9</v>
      </c>
      <c r="AL142" s="371"/>
      <c r="AM142" s="370">
        <f>VLOOKUP($AA122,Schlüssel!$A$5:$EK$14,108)</f>
        <v>3</v>
      </c>
      <c r="AN142" s="371"/>
      <c r="AO142" s="370">
        <f>VLOOKUP($AA122,Schlüssel!$A$5:$EK$14,109)</f>
        <v>4</v>
      </c>
      <c r="AP142" s="371"/>
      <c r="AQ142" s="370">
        <f>VLOOKUP($AA122,Schlüssel!$A$5:$EK$14,110)</f>
        <v>10</v>
      </c>
      <c r="AR142" s="371"/>
      <c r="AS142" s="370">
        <f>VLOOKUP($AA122,Schlüssel!$A$5:$EK$14,111)</f>
        <v>6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58" t="str">
        <f t="shared" si="172"/>
        <v>Bajuwaren München 1</v>
      </c>
      <c r="E143" s="359" t="str">
        <f t="shared" si="172"/>
        <v/>
      </c>
      <c r="F143" s="358" t="str">
        <f t="shared" si="172"/>
        <v>Schanzer Ingolstadt 1</v>
      </c>
      <c r="G143" s="359" t="str">
        <f t="shared" si="172"/>
        <v/>
      </c>
      <c r="H143" s="358" t="str">
        <f t="shared" si="172"/>
        <v>BC Comet Nürnberg</v>
      </c>
      <c r="I143" s="359" t="str">
        <f t="shared" si="172"/>
        <v/>
      </c>
      <c r="J143" s="358" t="str">
        <f t="shared" si="172"/>
        <v>BC EMAX Unterföhring 2</v>
      </c>
      <c r="K143" s="359" t="str">
        <f t="shared" si="172"/>
        <v/>
      </c>
      <c r="L143" s="358" t="str">
        <f t="shared" si="171"/>
        <v>Bowlinghaus Bamberg 1</v>
      </c>
      <c r="M143" s="359" t="str">
        <f t="shared" si="171"/>
        <v/>
      </c>
      <c r="N143" s="358" t="str">
        <f t="shared" si="171"/>
        <v>BK München 3</v>
      </c>
      <c r="O143" s="359" t="str">
        <f t="shared" si="171"/>
        <v/>
      </c>
      <c r="P143" s="358" t="str">
        <f t="shared" si="171"/>
        <v>SG DJK Rimpar</v>
      </c>
      <c r="Q143" s="359" t="str">
        <f t="shared" si="171"/>
        <v/>
      </c>
      <c r="R143" s="358" t="str">
        <f t="shared" si="171"/>
        <v>High Roller Rosenheim 1</v>
      </c>
      <c r="S143" s="359" t="str">
        <f t="shared" si="171"/>
        <v/>
      </c>
      <c r="T143" s="358" t="str">
        <f t="shared" si="171"/>
        <v>SG Rottendorf 1</v>
      </c>
      <c r="U143" s="359" t="str">
        <f t="shared" si="171"/>
        <v/>
      </c>
      <c r="V143" s="363"/>
      <c r="W143" s="363"/>
      <c r="AA143" s="90"/>
      <c r="AB143" s="86"/>
      <c r="AC143" s="358" t="str">
        <f>VLOOKUP(AC142,Schlüssel!$A$5:$K$14,2)</f>
        <v>Bajuwaren München 1</v>
      </c>
      <c r="AD143" s="359"/>
      <c r="AE143" s="358" t="str">
        <f>VLOOKUP(AE142,Schlüssel!$A$5:$K$14,2)</f>
        <v>Schanzer Ingolstadt 1</v>
      </c>
      <c r="AF143" s="359"/>
      <c r="AG143" s="358" t="str">
        <f>VLOOKUP(AG142,Schlüssel!$A$5:$K$14,2)</f>
        <v>BC Comet Nürnberg</v>
      </c>
      <c r="AH143" s="359"/>
      <c r="AI143" s="358" t="str">
        <f>VLOOKUP(AI142,Schlüssel!$A$5:$K$14,2)</f>
        <v>BC EMAX Unterföhring 2</v>
      </c>
      <c r="AJ143" s="359"/>
      <c r="AK143" s="358" t="str">
        <f>VLOOKUP(AK142,Schlüssel!$A$5:$K$14,2)</f>
        <v>Bowlinghaus Bamberg 1</v>
      </c>
      <c r="AL143" s="359"/>
      <c r="AM143" s="358" t="str">
        <f>VLOOKUP(AM142,Schlüssel!$A$5:$K$14,2)</f>
        <v>BK München 3</v>
      </c>
      <c r="AN143" s="359"/>
      <c r="AO143" s="358" t="str">
        <f>VLOOKUP(AO142,Schlüssel!$A$5:$K$14,2)</f>
        <v>SG DJK Rimpar</v>
      </c>
      <c r="AP143" s="359"/>
      <c r="AQ143" s="358" t="str">
        <f>VLOOKUP(AQ142,Schlüssel!$A$5:$K$14,2)</f>
        <v>High Roller Rosenheim 1</v>
      </c>
      <c r="AR143" s="359"/>
      <c r="AS143" s="358" t="str">
        <f>VLOOKUP(AS142,Schlüssel!$A$5:$K$14,2)</f>
        <v>SG Rottendorf 1</v>
      </c>
      <c r="AT143" s="359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60" t="str">
        <f t="shared" si="172"/>
        <v/>
      </c>
      <c r="E144" s="360" t="str">
        <f t="shared" si="172"/>
        <v/>
      </c>
      <c r="F144" s="360" t="str">
        <f t="shared" si="172"/>
        <v/>
      </c>
      <c r="G144" s="360" t="str">
        <f t="shared" si="172"/>
        <v/>
      </c>
      <c r="H144" s="360" t="str">
        <f t="shared" si="172"/>
        <v/>
      </c>
      <c r="I144" s="360" t="str">
        <f t="shared" si="172"/>
        <v/>
      </c>
      <c r="J144" s="360" t="str">
        <f t="shared" si="172"/>
        <v/>
      </c>
      <c r="K144" s="360" t="str">
        <f t="shared" si="172"/>
        <v/>
      </c>
      <c r="L144" s="360" t="str">
        <f t="shared" si="171"/>
        <v/>
      </c>
      <c r="M144" s="360" t="str">
        <f t="shared" si="171"/>
        <v/>
      </c>
      <c r="N144" s="360" t="str">
        <f t="shared" si="171"/>
        <v/>
      </c>
      <c r="O144" s="360" t="str">
        <f t="shared" si="171"/>
        <v/>
      </c>
      <c r="P144" s="360" t="str">
        <f t="shared" si="171"/>
        <v/>
      </c>
      <c r="Q144" s="360" t="str">
        <f t="shared" si="171"/>
        <v/>
      </c>
      <c r="R144" s="360" t="str">
        <f t="shared" si="171"/>
        <v/>
      </c>
      <c r="S144" s="360" t="str">
        <f t="shared" si="171"/>
        <v/>
      </c>
      <c r="T144" s="360" t="str">
        <f t="shared" si="171"/>
        <v/>
      </c>
      <c r="U144" s="361" t="str">
        <f t="shared" si="171"/>
        <v/>
      </c>
      <c r="V144" s="298"/>
      <c r="W144" s="298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4" t="str">
        <f t="shared" ref="B145:C149" si="173">IF(AA145=0,"",AA145)</f>
        <v>Spieler 1</v>
      </c>
      <c r="C145" s="375" t="str">
        <f t="shared" si="173"/>
        <v/>
      </c>
      <c r="D145" s="362">
        <f>IF(AC145=301,"",AC145)</f>
        <v>216</v>
      </c>
      <c r="E145" s="362" t="str">
        <f>IF(AD145=0,"",AD145)</f>
        <v/>
      </c>
      <c r="F145" s="362">
        <f>IF(AE145=301,"",AE145)</f>
        <v>242</v>
      </c>
      <c r="G145" s="362" t="str">
        <f>IF(AF145=0,"",AF145)</f>
        <v/>
      </c>
      <c r="H145" s="362">
        <f>IF(AG145=301,"",AG145)</f>
        <v>147</v>
      </c>
      <c r="I145" s="362" t="str">
        <f>IF(AH145=0,"",AH145)</f>
        <v/>
      </c>
      <c r="J145" s="362">
        <f>IF(AI145=301,"",AI145)</f>
        <v>179</v>
      </c>
      <c r="K145" s="362" t="str">
        <f>IF(AJ145=0,"",AJ145)</f>
        <v/>
      </c>
      <c r="L145" s="362">
        <f>IF(AK145=301,"",AK145)</f>
        <v>195</v>
      </c>
      <c r="M145" s="362" t="str">
        <f>IF(AL145=0,"",AL145)</f>
        <v/>
      </c>
      <c r="N145" s="362">
        <f>IF(AM145=301,"",AM145)</f>
        <v>195</v>
      </c>
      <c r="O145" s="362" t="str">
        <f>IF(AN145=0,"",AN145)</f>
        <v/>
      </c>
      <c r="P145" s="362">
        <f>IF(AO145=301,"",AO145)</f>
        <v>0</v>
      </c>
      <c r="Q145" s="362" t="str">
        <f>IF(AP145=0,"",AP145)</f>
        <v/>
      </c>
      <c r="R145" s="362">
        <f>IF(AQ145=301,"",AQ145)</f>
        <v>0</v>
      </c>
      <c r="S145" s="362" t="str">
        <f>IF(AR145=0,"",AR145)</f>
        <v/>
      </c>
      <c r="T145" s="362">
        <f>IF(AS145=301,"",AS145)</f>
        <v>0</v>
      </c>
      <c r="U145" s="362" t="str">
        <f>IF(AT145=0,"",AT145)</f>
        <v/>
      </c>
      <c r="V145" s="364"/>
      <c r="W145" s="364"/>
      <c r="AA145" s="91" t="s">
        <v>0</v>
      </c>
      <c r="AB145" s="92"/>
      <c r="AC145" s="368">
        <f>ABS(INDEX(AC:AC,MATCH(AC142,$AA:$AA,0)+5)+INDEX(AC:AC,MATCH(AC142,$AA:$AA,0)+6)+INDEX(AC:AC,MATCH(AC142,$AA:$AA,0)+7))</f>
        <v>216</v>
      </c>
      <c r="AD145" s="369"/>
      <c r="AE145" s="368">
        <f>ABS(INDEX(AE:AE,MATCH(AE142,$AA:$AA,0)+5)+INDEX(AE:AE,MATCH(AE142,$AA:$AA,0)+6)+INDEX(AE:AE,MATCH(AE142,$AA:$AA,0)+7))</f>
        <v>242</v>
      </c>
      <c r="AF145" s="369"/>
      <c r="AG145" s="368">
        <f>ABS(INDEX(AG:AG,MATCH(AG142,$AA:$AA,0)+5)+INDEX(AG:AG,MATCH(AG142,$AA:$AA,0)+6)+INDEX(AG:AG,MATCH(AG142,$AA:$AA,0)+7))</f>
        <v>147</v>
      </c>
      <c r="AH145" s="369"/>
      <c r="AI145" s="368">
        <f>ABS(INDEX(AI:AI,MATCH(AI142,$AA:$AA,0)+5)+INDEX(AI:AI,MATCH(AI142,$AA:$AA,0)+6)+INDEX(AI:AI,MATCH(AI142,$AA:$AA,0)+7))</f>
        <v>179</v>
      </c>
      <c r="AJ145" s="369"/>
      <c r="AK145" s="368">
        <f>ABS(INDEX(AK:AK,MATCH(AK142,$AA:$AA,0)+5)+INDEX(AK:AK,MATCH(AK142,$AA:$AA,0)+6)+INDEX(AK:AK,MATCH(AK142,$AA:$AA,0)+7))</f>
        <v>195</v>
      </c>
      <c r="AL145" s="369"/>
      <c r="AM145" s="368">
        <f>ABS(INDEX(AM:AM,MATCH(AM142,$AA:$AA,0)+5)+INDEX(AM:AM,MATCH(AM142,$AA:$AA,0)+6)+INDEX(AM:AM,MATCH(AM142,$AA:$AA,0)+7))</f>
        <v>195</v>
      </c>
      <c r="AN145" s="369"/>
      <c r="AO145" s="368">
        <f>ABS(INDEX(AO:AO,MATCH(AO142,$AA:$AA,0)+5)+INDEX(AO:AO,MATCH(AO142,$AA:$AA,0)+6)+INDEX(AO:AO,MATCH(AO142,$AA:$AA,0)+7))</f>
        <v>0</v>
      </c>
      <c r="AP145" s="369"/>
      <c r="AQ145" s="368">
        <f>ABS(INDEX(AQ:AQ,MATCH(AQ142,$AA:$AA,0)+5)+INDEX(AQ:AQ,MATCH(AQ142,$AA:$AA,0)+6)+INDEX(AQ:AQ,MATCH(AQ142,$AA:$AA,0)+7))</f>
        <v>0</v>
      </c>
      <c r="AR145" s="369"/>
      <c r="AS145" s="368">
        <f>ABS(INDEX(AS:AS,MATCH(AS142,$AA:$AA,0)+5)+INDEX(AS:AS,MATCH(AS142,$AA:$AA,0)+6)+INDEX(AS:AS,MATCH(AS142,$AA:$AA,0)+7))</f>
        <v>0</v>
      </c>
      <c r="AT145" s="369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4" t="str">
        <f t="shared" si="173"/>
        <v>Spieler 2</v>
      </c>
      <c r="C146" s="375" t="str">
        <f t="shared" si="173"/>
        <v/>
      </c>
      <c r="D146" s="362">
        <f>IF(AC146=301,"",AC146)</f>
        <v>174</v>
      </c>
      <c r="E146" s="362" t="str">
        <f>IF(AD146=0,"",AD146)</f>
        <v/>
      </c>
      <c r="F146" s="362">
        <f>IF(AE146=301,"",AE146)</f>
        <v>180</v>
      </c>
      <c r="G146" s="362" t="str">
        <f>IF(AF146=0,"",AF146)</f>
        <v/>
      </c>
      <c r="H146" s="362">
        <f>IF(AG146=301,"",AG146)</f>
        <v>267</v>
      </c>
      <c r="I146" s="362" t="str">
        <f>IF(AH146=0,"",AH146)</f>
        <v/>
      </c>
      <c r="J146" s="362">
        <f>IF(AI146=301,"",AI146)</f>
        <v>190</v>
      </c>
      <c r="K146" s="362" t="str">
        <f>IF(AJ146=0,"",AJ146)</f>
        <v/>
      </c>
      <c r="L146" s="362">
        <f>IF(AK146=301,"",AK146)</f>
        <v>192</v>
      </c>
      <c r="M146" s="362" t="str">
        <f>IF(AL146=0,"",AL146)</f>
        <v/>
      </c>
      <c r="N146" s="362">
        <f>IF(AM146=301,"",AM146)</f>
        <v>200</v>
      </c>
      <c r="O146" s="362" t="str">
        <f>IF(AN146=0,"",AN146)</f>
        <v/>
      </c>
      <c r="P146" s="362">
        <f>IF(AO146=301,"",AO146)</f>
        <v>0</v>
      </c>
      <c r="Q146" s="362" t="str">
        <f>IF(AP146=0,"",AP146)</f>
        <v/>
      </c>
      <c r="R146" s="362">
        <f>IF(AQ146=301,"",AQ146)</f>
        <v>0</v>
      </c>
      <c r="S146" s="362" t="str">
        <f>IF(AR146=0,"",AR146)</f>
        <v/>
      </c>
      <c r="T146" s="362">
        <f>IF(AS146=301,"",AS146)</f>
        <v>0</v>
      </c>
      <c r="U146" s="362" t="str">
        <f>IF(AT146=0,"",AT146)</f>
        <v/>
      </c>
      <c r="V146" s="364"/>
      <c r="W146" s="364"/>
      <c r="AA146" s="91" t="s">
        <v>2</v>
      </c>
      <c r="AB146" s="92"/>
      <c r="AC146" s="366">
        <f>ABS(INDEX(AC:AC,MATCH(AC142,$AA:$AA,0)+8)+INDEX(AC:AC,MATCH(AC142,$AA:$AA,0)+9)+INDEX(AC:AC,MATCH(AC142,$AA:$AA,0)+10))</f>
        <v>174</v>
      </c>
      <c r="AD146" s="367"/>
      <c r="AE146" s="366">
        <f>ABS(INDEX(AE:AE,MATCH(AE142,$AA:$AA,0)+8)+INDEX(AE:AE,MATCH(AE142,$AA:$AA,0)+9)+INDEX(AE:AE,MATCH(AE142,$AA:$AA,0)+10))</f>
        <v>180</v>
      </c>
      <c r="AF146" s="367"/>
      <c r="AG146" s="366">
        <f>ABS(INDEX(AG:AG,MATCH(AG142,$AA:$AA,0)+8)+INDEX(AG:AG,MATCH(AG142,$AA:$AA,0)+9)+INDEX(AG:AG,MATCH(AG142,$AA:$AA,0)+10))</f>
        <v>267</v>
      </c>
      <c r="AH146" s="367"/>
      <c r="AI146" s="366">
        <f>ABS(INDEX(AI:AI,MATCH(AI142,$AA:$AA,0)+8)+INDEX(AI:AI,MATCH(AI142,$AA:$AA,0)+9)+INDEX(AI:AI,MATCH(AI142,$AA:$AA,0)+10))</f>
        <v>190</v>
      </c>
      <c r="AJ146" s="367"/>
      <c r="AK146" s="366">
        <f>ABS(INDEX(AK:AK,MATCH(AK142,$AA:$AA,0)+8)+INDEX(AK:AK,MATCH(AK142,$AA:$AA,0)+9)+INDEX(AK:AK,MATCH(AK142,$AA:$AA,0)+10))</f>
        <v>192</v>
      </c>
      <c r="AL146" s="367"/>
      <c r="AM146" s="366">
        <f>ABS(INDEX(AM:AM,MATCH(AM142,$AA:$AA,0)+8)+INDEX(AM:AM,MATCH(AM142,$AA:$AA,0)+9)+INDEX(AM:AM,MATCH(AM142,$AA:$AA,0)+10))</f>
        <v>200</v>
      </c>
      <c r="AN146" s="367"/>
      <c r="AO146" s="366">
        <f>ABS(INDEX(AO:AO,MATCH(AO142,$AA:$AA,0)+8)+INDEX(AO:AO,MATCH(AO142,$AA:$AA,0)+9)+INDEX(AO:AO,MATCH(AO142,$AA:$AA,0)+10))</f>
        <v>0</v>
      </c>
      <c r="AP146" s="367"/>
      <c r="AQ146" s="366">
        <f>ABS(INDEX(AQ:AQ,MATCH(AQ142,$AA:$AA,0)+8)+INDEX(AQ:AQ,MATCH(AQ142,$AA:$AA,0)+9)+INDEX(AQ:AQ,MATCH(AQ142,$AA:$AA,0)+10))</f>
        <v>0</v>
      </c>
      <c r="AR146" s="367"/>
      <c r="AS146" s="366">
        <f>ABS(INDEX(AS:AS,MATCH(AS142,$AA:$AA,0)+8)+INDEX(AS:AS,MATCH(AS142,$AA:$AA,0)+9)+INDEX(AS:AS,MATCH(AS142,$AA:$AA,0)+10))</f>
        <v>0</v>
      </c>
      <c r="AT146" s="367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4" t="str">
        <f t="shared" si="173"/>
        <v>Spieler 3</v>
      </c>
      <c r="C147" s="375" t="str">
        <f t="shared" si="173"/>
        <v/>
      </c>
      <c r="D147" s="362">
        <f>IF(AC147=301,"",AC147)</f>
        <v>171</v>
      </c>
      <c r="E147" s="362" t="str">
        <f>IF(AD147=0,"",AD147)</f>
        <v/>
      </c>
      <c r="F147" s="362">
        <f>IF(AE147=301,"",AE147)</f>
        <v>191</v>
      </c>
      <c r="G147" s="362" t="str">
        <f>IF(AF147=0,"",AF147)</f>
        <v/>
      </c>
      <c r="H147" s="362">
        <f>IF(AG147=301,"",AG147)</f>
        <v>182</v>
      </c>
      <c r="I147" s="362" t="str">
        <f>IF(AH147=0,"",AH147)</f>
        <v/>
      </c>
      <c r="J147" s="362">
        <f>IF(AI147=301,"",AI147)</f>
        <v>213</v>
      </c>
      <c r="K147" s="362" t="str">
        <f>IF(AJ147=0,"",AJ147)</f>
        <v/>
      </c>
      <c r="L147" s="362">
        <f>IF(AK147=301,"",AK147)</f>
        <v>225</v>
      </c>
      <c r="M147" s="362" t="str">
        <f>IF(AL147=0,"",AL147)</f>
        <v/>
      </c>
      <c r="N147" s="362">
        <f>IF(AM147=301,"",AM147)</f>
        <v>160</v>
      </c>
      <c r="O147" s="362" t="str">
        <f>IF(AN147=0,"",AN147)</f>
        <v/>
      </c>
      <c r="P147" s="362">
        <f>IF(AO147=301,"",AO147)</f>
        <v>0</v>
      </c>
      <c r="Q147" s="362" t="str">
        <f>IF(AP147=0,"",AP147)</f>
        <v/>
      </c>
      <c r="R147" s="362">
        <f>IF(AQ147=301,"",AQ147)</f>
        <v>0</v>
      </c>
      <c r="S147" s="362" t="str">
        <f>IF(AR147=0,"",AR147)</f>
        <v/>
      </c>
      <c r="T147" s="362">
        <f>IF(AS147=301,"",AS147)</f>
        <v>0</v>
      </c>
      <c r="U147" s="362" t="str">
        <f>IF(AT147=0,"",AT147)</f>
        <v/>
      </c>
      <c r="V147" s="364"/>
      <c r="W147" s="364"/>
      <c r="AA147" s="91" t="s">
        <v>3</v>
      </c>
      <c r="AB147" s="92"/>
      <c r="AC147" s="366">
        <f>ABS(INDEX(AC:AC,MATCH(AC142,$AA:$AA,0)+11)+INDEX(AC:AC,MATCH(AC142,$AA:$AA,0)+12)+INDEX(AC:AC,MATCH(AC142,$AA:$AA,0)+13))</f>
        <v>171</v>
      </c>
      <c r="AD147" s="367"/>
      <c r="AE147" s="366">
        <f>ABS(INDEX(AE:AE,MATCH(AE142,$AA:$AA,0)+11)+INDEX(AE:AE,MATCH(AE142,$AA:$AA,0)+12)+INDEX(AE:AE,MATCH(AE142,$AA:$AA,0)+13))</f>
        <v>191</v>
      </c>
      <c r="AF147" s="367"/>
      <c r="AG147" s="366">
        <f>ABS(INDEX(AG:AG,MATCH(AG142,$AA:$AA,0)+11)+INDEX(AG:AG,MATCH(AG142,$AA:$AA,0)+12)+INDEX(AG:AG,MATCH(AG142,$AA:$AA,0)+13))</f>
        <v>182</v>
      </c>
      <c r="AH147" s="367"/>
      <c r="AI147" s="366">
        <f>ABS(INDEX(AI:AI,MATCH(AI142,$AA:$AA,0)+11)+INDEX(AI:AI,MATCH(AI142,$AA:$AA,0)+12)+INDEX(AI:AI,MATCH(AI142,$AA:$AA,0)+13))</f>
        <v>213</v>
      </c>
      <c r="AJ147" s="367"/>
      <c r="AK147" s="366">
        <f>ABS(INDEX(AK:AK,MATCH(AK142,$AA:$AA,0)+11)+INDEX(AK:AK,MATCH(AK142,$AA:$AA,0)+12)+INDEX(AK:AK,MATCH(AK142,$AA:$AA,0)+13))</f>
        <v>225</v>
      </c>
      <c r="AL147" s="367"/>
      <c r="AM147" s="366">
        <f>ABS(INDEX(AM:AM,MATCH(AM142,$AA:$AA,0)+11)+INDEX(AM:AM,MATCH(AM142,$AA:$AA,0)+12)+INDEX(AM:AM,MATCH(AM142,$AA:$AA,0)+13))</f>
        <v>160</v>
      </c>
      <c r="AN147" s="367"/>
      <c r="AO147" s="366">
        <f>ABS(INDEX(AO:AO,MATCH(AO142,$AA:$AA,0)+11)+INDEX(AO:AO,MATCH(AO142,$AA:$AA,0)+12)+INDEX(AO:AO,MATCH(AO142,$AA:$AA,0)+13))</f>
        <v>0</v>
      </c>
      <c r="AP147" s="367"/>
      <c r="AQ147" s="366">
        <f>ABS(INDEX(AQ:AQ,MATCH(AQ142,$AA:$AA,0)+11)+INDEX(AQ:AQ,MATCH(AQ142,$AA:$AA,0)+12)+INDEX(AQ:AQ,MATCH(AQ142,$AA:$AA,0)+13))</f>
        <v>0</v>
      </c>
      <c r="AR147" s="367"/>
      <c r="AS147" s="366">
        <f>ABS(INDEX(AS:AS,MATCH(AS142,$AA:$AA,0)+11)+INDEX(AS:AS,MATCH(AS142,$AA:$AA,0)+12)+INDEX(AS:AS,MATCH(AS142,$AA:$AA,0)+13))</f>
        <v>0</v>
      </c>
      <c r="AT147" s="367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4" t="str">
        <f t="shared" si="173"/>
        <v>Spieler 4</v>
      </c>
      <c r="C148" s="375" t="str">
        <f t="shared" si="173"/>
        <v/>
      </c>
      <c r="D148" s="362">
        <f>IF(AC148=301,"",AC148)</f>
        <v>162</v>
      </c>
      <c r="E148" s="362" t="str">
        <f>IF(AD148=0,"",AD148)</f>
        <v/>
      </c>
      <c r="F148" s="362">
        <f>IF(AE148=301,"",AE148)</f>
        <v>212</v>
      </c>
      <c r="G148" s="362" t="str">
        <f>IF(AF148=0,"",AF148)</f>
        <v/>
      </c>
      <c r="H148" s="362">
        <f>IF(AG148=301,"",AG148)</f>
        <v>217</v>
      </c>
      <c r="I148" s="362" t="str">
        <f>IF(AH148=0,"",AH148)</f>
        <v/>
      </c>
      <c r="J148" s="362">
        <f>IF(AI148=301,"",AI148)</f>
        <v>174</v>
      </c>
      <c r="K148" s="362" t="str">
        <f>IF(AJ148=0,"",AJ148)</f>
        <v/>
      </c>
      <c r="L148" s="362">
        <f>IF(AK148=301,"",AK148)</f>
        <v>214</v>
      </c>
      <c r="M148" s="362" t="str">
        <f>IF(AL148=0,"",AL148)</f>
        <v/>
      </c>
      <c r="N148" s="362">
        <f>IF(AM148=301,"",AM148)</f>
        <v>171</v>
      </c>
      <c r="O148" s="362" t="str">
        <f>IF(AN148=0,"",AN148)</f>
        <v/>
      </c>
      <c r="P148" s="362">
        <f>IF(AO148=301,"",AO148)</f>
        <v>0</v>
      </c>
      <c r="Q148" s="362" t="str">
        <f>IF(AP148=0,"",AP148)</f>
        <v/>
      </c>
      <c r="R148" s="362">
        <f>IF(AQ148=301,"",AQ148)</f>
        <v>0</v>
      </c>
      <c r="S148" s="362" t="str">
        <f>IF(AR148=0,"",AR148)</f>
        <v/>
      </c>
      <c r="T148" s="362">
        <f>IF(AS148=301,"",AS148)</f>
        <v>0</v>
      </c>
      <c r="U148" s="362" t="str">
        <f>IF(AT148=0,"",AT148)</f>
        <v/>
      </c>
      <c r="V148" s="364"/>
      <c r="W148" s="364"/>
      <c r="AA148" s="91" t="s">
        <v>11</v>
      </c>
      <c r="AB148" s="92"/>
      <c r="AC148" s="366">
        <f>ABS(INDEX(AC:AC,MATCH(AC142,$AA:$AA,0)+14)+INDEX(AC:AC,MATCH(AC142,$AA:$AA,0)+15)+INDEX(AC:AC,MATCH(AC142,$AA:$AA,0)+16))</f>
        <v>162</v>
      </c>
      <c r="AD148" s="367"/>
      <c r="AE148" s="366">
        <f>ABS(INDEX(AE:AE,MATCH(AE142,$AA:$AA,0)+14)+INDEX(AE:AE,MATCH(AE142,$AA:$AA,0)+15)+INDEX(AE:AE,MATCH(AE142,$AA:$AA,0)+16))</f>
        <v>212</v>
      </c>
      <c r="AF148" s="367"/>
      <c r="AG148" s="366">
        <f>ABS(INDEX(AG:AG,MATCH(AG142,$AA:$AA,0)+14)+INDEX(AG:AG,MATCH(AG142,$AA:$AA,0)+15)+INDEX(AG:AG,MATCH(AG142,$AA:$AA,0)+16))</f>
        <v>217</v>
      </c>
      <c r="AH148" s="367"/>
      <c r="AI148" s="366">
        <f>ABS(INDEX(AI:AI,MATCH(AI142,$AA:$AA,0)+14)+INDEX(AI:AI,MATCH(AI142,$AA:$AA,0)+15)+INDEX(AI:AI,MATCH(AI142,$AA:$AA,0)+16))</f>
        <v>174</v>
      </c>
      <c r="AJ148" s="367"/>
      <c r="AK148" s="366">
        <f>ABS(INDEX(AK:AK,MATCH(AK142,$AA:$AA,0)+14)+INDEX(AK:AK,MATCH(AK142,$AA:$AA,0)+15)+INDEX(AK:AK,MATCH(AK142,$AA:$AA,0)+16))</f>
        <v>214</v>
      </c>
      <c r="AL148" s="367"/>
      <c r="AM148" s="366">
        <f>ABS(INDEX(AM:AM,MATCH(AM142,$AA:$AA,0)+14)+INDEX(AM:AM,MATCH(AM142,$AA:$AA,0)+15)+INDEX(AM:AM,MATCH(AM142,$AA:$AA,0)+16))</f>
        <v>171</v>
      </c>
      <c r="AN148" s="367"/>
      <c r="AO148" s="366">
        <f>ABS(INDEX(AO:AO,MATCH(AO142,$AA:$AA,0)+14)+INDEX(AO:AO,MATCH(AO142,$AA:$AA,0)+15)+INDEX(AO:AO,MATCH(AO142,$AA:$AA,0)+16))</f>
        <v>0</v>
      </c>
      <c r="AP148" s="367"/>
      <c r="AQ148" s="366">
        <f>ABS(INDEX(AQ:AQ,MATCH(AQ142,$AA:$AA,0)+14)+INDEX(AQ:AQ,MATCH(AQ142,$AA:$AA,0)+15)+INDEX(AQ:AQ,MATCH(AQ142,$AA:$AA,0)+16))</f>
        <v>0</v>
      </c>
      <c r="AR148" s="367"/>
      <c r="AS148" s="366">
        <f>ABS(INDEX(AS:AS,MATCH(AS142,$AA:$AA,0)+14)+INDEX(AS:AS,MATCH(AS142,$AA:$AA,0)+15)+INDEX(AS:AS,MATCH(AS142,$AA:$AA,0)+16))</f>
        <v>0</v>
      </c>
      <c r="AT148" s="367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6" t="str">
        <f t="shared" si="173"/>
        <v>Gesamt</v>
      </c>
      <c r="C149" s="347" t="str">
        <f t="shared" si="173"/>
        <v/>
      </c>
      <c r="D149" s="365">
        <f>IF(AC149=1505,"",AC149)</f>
        <v>723</v>
      </c>
      <c r="E149" s="365" t="str">
        <f>IF(AD149=0,"",AD149)</f>
        <v/>
      </c>
      <c r="F149" s="365">
        <f>IF(AE149=1505,"",AE149)</f>
        <v>825</v>
      </c>
      <c r="G149" s="365" t="str">
        <f>IF(AF149=0,"",AF149)</f>
        <v/>
      </c>
      <c r="H149" s="365">
        <f>IF(AG149=1505,"",AG149)</f>
        <v>813</v>
      </c>
      <c r="I149" s="365" t="str">
        <f>IF(AH149=0,"",AH149)</f>
        <v/>
      </c>
      <c r="J149" s="365">
        <f>IF(AI149=1505,"",AI149)</f>
        <v>756</v>
      </c>
      <c r="K149" s="365" t="str">
        <f>IF(AJ149=0,"",AJ149)</f>
        <v/>
      </c>
      <c r="L149" s="365">
        <f>IF(AK149=1505,"",AK149)</f>
        <v>826</v>
      </c>
      <c r="M149" s="365" t="str">
        <f>IF(AL149=0,"",AL149)</f>
        <v/>
      </c>
      <c r="N149" s="365">
        <f>IF(AM149=1505,"",AM149)</f>
        <v>726</v>
      </c>
      <c r="O149" s="365" t="str">
        <f>IF(AN149=0,"",AN149)</f>
        <v/>
      </c>
      <c r="P149" s="365">
        <f>IF(AO149=1505,"",AO149)</f>
        <v>0</v>
      </c>
      <c r="Q149" s="365" t="str">
        <f>IF(AP149=0,"",AP149)</f>
        <v/>
      </c>
      <c r="R149" s="365">
        <f>IF(AQ149=1505,"",AQ149)</f>
        <v>0</v>
      </c>
      <c r="S149" s="365" t="str">
        <f>IF(AR149=0,"",AR149)</f>
        <v/>
      </c>
      <c r="T149" s="365">
        <f>IF(AS149=1505,"",AS149)</f>
        <v>0</v>
      </c>
      <c r="U149" s="365" t="str">
        <f>IF(AT149=0,"",AT149)</f>
        <v/>
      </c>
      <c r="V149" s="301"/>
      <c r="W149" s="301"/>
      <c r="AA149" s="93" t="s">
        <v>1799</v>
      </c>
      <c r="AB149" s="94"/>
      <c r="AC149" s="346">
        <f>SUM(AC145:AC148)</f>
        <v>723</v>
      </c>
      <c r="AD149" s="347"/>
      <c r="AE149" s="346">
        <f>SUM(AE145:AE148)</f>
        <v>825</v>
      </c>
      <c r="AF149" s="347"/>
      <c r="AG149" s="346">
        <f>SUM(AG145:AG148)</f>
        <v>813</v>
      </c>
      <c r="AH149" s="347"/>
      <c r="AI149" s="346">
        <f>SUM(AI145:AI148)</f>
        <v>756</v>
      </c>
      <c r="AJ149" s="347"/>
      <c r="AK149" s="346">
        <f>SUM(AK145:AK148)</f>
        <v>826</v>
      </c>
      <c r="AL149" s="347"/>
      <c r="AM149" s="346">
        <f>SUM(AM145:AM148)</f>
        <v>726</v>
      </c>
      <c r="AN149" s="347"/>
      <c r="AO149" s="346">
        <f>SUM(AO145:AO148)</f>
        <v>0</v>
      </c>
      <c r="AP149" s="347"/>
      <c r="AQ149" s="346">
        <f>SUM(AQ145:AQ148)</f>
        <v>0</v>
      </c>
      <c r="AR149" s="347"/>
      <c r="AS149" s="346">
        <f>SUM(AS145:AS148)</f>
        <v>0</v>
      </c>
      <c r="AT149" s="347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5" t="str">
        <f>AE151</f>
        <v>Bayernliga Herren</v>
      </c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48"/>
      <c r="S151" s="49" t="s">
        <v>1794</v>
      </c>
      <c r="T151" s="50"/>
      <c r="U151" s="341" t="str">
        <f>AT151</f>
        <v>05.04./06.04.</v>
      </c>
      <c r="V151" s="342"/>
      <c r="W151" s="343"/>
      <c r="X151" s="372"/>
      <c r="Y151" s="373"/>
      <c r="Z151" s="373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41" t="str">
        <f>VLOOKUP(AS152,Spielorte!$A$1:$C$6,2)</f>
        <v>05.04./06.04.</v>
      </c>
      <c r="AU151" s="342"/>
      <c r="AV151" s="34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4" t="str">
        <f>AE152</f>
        <v>Dettelbach Extreme Bowlingarena</v>
      </c>
      <c r="G152" s="344"/>
      <c r="H152" s="344"/>
      <c r="I152" s="344"/>
      <c r="J152" s="344"/>
      <c r="K152" s="344"/>
      <c r="L152" s="344"/>
      <c r="M152" s="344"/>
      <c r="N152" s="344"/>
      <c r="O152" s="344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Dettelbach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6" t="s">
        <v>1800</v>
      </c>
      <c r="E155" s="347"/>
      <c r="F155" s="346" t="s">
        <v>1801</v>
      </c>
      <c r="G155" s="347"/>
      <c r="H155" s="346" t="s">
        <v>1802</v>
      </c>
      <c r="I155" s="347"/>
      <c r="J155" s="346" t="s">
        <v>1803</v>
      </c>
      <c r="K155" s="347"/>
      <c r="L155" s="346" t="s">
        <v>1804</v>
      </c>
      <c r="M155" s="347"/>
      <c r="N155" s="346" t="s">
        <v>1805</v>
      </c>
      <c r="O155" s="347"/>
      <c r="P155" s="346" t="s">
        <v>1806</v>
      </c>
      <c r="Q155" s="347"/>
      <c r="R155" s="346" t="s">
        <v>1807</v>
      </c>
      <c r="S155" s="347"/>
      <c r="T155" s="346" t="s">
        <v>1808</v>
      </c>
      <c r="U155" s="347"/>
      <c r="V155" s="354" t="s">
        <v>1799</v>
      </c>
      <c r="W155" s="355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6" t="s">
        <v>0</v>
      </c>
      <c r="B157" s="73" t="str">
        <f>IF(AA157=0,"",AA157)</f>
        <v>Stemmler, Patrick</v>
      </c>
      <c r="C157" s="74">
        <f>IF(AB157=0,"",AB157)</f>
        <v>16495</v>
      </c>
      <c r="D157" s="75">
        <f>IF(AC157=0,"",AC157)</f>
        <v>249</v>
      </c>
      <c r="E157" s="348">
        <f>IF(AD157="","",AD157)</f>
        <v>1</v>
      </c>
      <c r="F157" s="75">
        <f t="shared" ref="F157:F170" si="174">IF(AE157=0,"",AE157)</f>
        <v>191</v>
      </c>
      <c r="G157" s="348">
        <f>IF(AF157="","",AF157)</f>
        <v>0</v>
      </c>
      <c r="H157" s="75">
        <f t="shared" ref="H157:H170" si="175">IF(AG157=0,"",AG157)</f>
        <v>215</v>
      </c>
      <c r="I157" s="348">
        <f>IF(AH157="","",AH157)</f>
        <v>0</v>
      </c>
      <c r="J157" s="75">
        <f t="shared" ref="J157:J170" si="176">IF(AI157=0,"",AI157)</f>
        <v>234</v>
      </c>
      <c r="K157" s="348">
        <f>IF(AJ157="","",AJ157)</f>
        <v>1</v>
      </c>
      <c r="L157" s="75">
        <f t="shared" ref="L157:L170" si="177">IF(AK157=0,"",AK157)</f>
        <v>211</v>
      </c>
      <c r="M157" s="348">
        <f>IF(AL157="","",AL157)</f>
        <v>0</v>
      </c>
      <c r="N157" s="75">
        <f>IF(AM157=0,"",AM157)</f>
        <v>203</v>
      </c>
      <c r="O157" s="348">
        <f>IF(AN157="","",AN157)</f>
        <v>0</v>
      </c>
      <c r="P157" s="75" t="str">
        <f t="shared" ref="P157:P170" si="178">IF(AO157=0,"",AO157)</f>
        <v/>
      </c>
      <c r="Q157" s="348">
        <f>IF(AP157="","",AP157)</f>
        <v>0</v>
      </c>
      <c r="R157" s="75" t="str">
        <f t="shared" ref="R157:R170" si="179">IF(AQ157=0,"",AQ157)</f>
        <v/>
      </c>
      <c r="S157" s="348">
        <f>IF(AR157="","",AR157)</f>
        <v>0</v>
      </c>
      <c r="T157" s="75" t="str">
        <f t="shared" ref="T157:T170" si="180">IF(AS157=0,"",AS157)</f>
        <v/>
      </c>
      <c r="U157" s="348">
        <f>IF(AT157="","",AT157)</f>
        <v>0</v>
      </c>
      <c r="V157" s="75">
        <f t="shared" ref="V157:V170" si="181">IF(AU157=0,"",AU157)</f>
        <v>1303</v>
      </c>
      <c r="W157" s="348">
        <f>IF(AV157="","",AV157)</f>
        <v>2</v>
      </c>
      <c r="Z157" s="351" t="s">
        <v>0</v>
      </c>
      <c r="AA157" s="108" t="str">
        <f>IF(AB157=0,"",VLOOKUP(AB157,Starter!$A$1:$D$199,2,FALSE))</f>
        <v>Stemmler, Patrick</v>
      </c>
      <c r="AB157" s="99">
        <v>16495</v>
      </c>
      <c r="AC157" s="185">
        <v>249</v>
      </c>
      <c r="AD157" s="109">
        <f>IF(SUM(AC157:AC159)+AC175=0,0,IF(SUM(AC157:AC159)=AC175,0.5,IF(SUM(AC157:AC159)&gt;AC175,1,0)))</f>
        <v>1</v>
      </c>
      <c r="AE157" s="185">
        <v>191</v>
      </c>
      <c r="AF157" s="109">
        <f>IF(SUM(AE157:AE159)+AE175=0,0,IF(SUM(AE157:AE159)=AE175,0.5,IF(SUM(AE157:AE159)&gt;AE175,1,0)))</f>
        <v>0</v>
      </c>
      <c r="AG157" s="185">
        <v>215</v>
      </c>
      <c r="AH157" s="109">
        <f>IF(SUM(AG157:AG159)+AG175=0,0,IF(SUM(AG157:AG159)=AG175,0.5,IF(SUM(AG157:AG159)&gt;AG175,1,0)))</f>
        <v>0</v>
      </c>
      <c r="AI157" s="185">
        <v>234</v>
      </c>
      <c r="AJ157" s="109">
        <f>IF(SUM(AI157:AI159)+AI175=0,0,IF(SUM(AI157:AI159)=AI175,0.5,IF(SUM(AI157:AI159)&gt;AI175,1,0)))</f>
        <v>1</v>
      </c>
      <c r="AK157" s="185">
        <v>211</v>
      </c>
      <c r="AL157" s="109">
        <f>IF(SUM(AK157:AK159)+AK175=0,0,IF(SUM(AK157:AK159)=AK175,0.5,IF(SUM(AK157:AK159)&gt;AK175,1,0)))</f>
        <v>0</v>
      </c>
      <c r="AM157" s="185">
        <v>203</v>
      </c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1303</v>
      </c>
      <c r="AV157" s="111">
        <f>SUM(AD157+AF157+AH157+AJ157+AL157+AN157+AP157+AR157+AT157)</f>
        <v>2</v>
      </c>
      <c r="AW157" s="101"/>
      <c r="AX157" s="102"/>
      <c r="AZ157" s="63"/>
      <c r="BA157" s="212"/>
      <c r="BB157" s="213"/>
      <c r="BC157" s="214"/>
      <c r="BD157" s="217">
        <f>+AB157</f>
        <v>16495</v>
      </c>
      <c r="BE157" s="213">
        <f>+AU157</f>
        <v>1303</v>
      </c>
      <c r="BF157" s="215">
        <f>COUNT(BH157:BP157)</f>
        <v>6</v>
      </c>
      <c r="BG157" s="215">
        <f>COUNTIF(BH157:BP157,"&gt;0")</f>
        <v>6</v>
      </c>
      <c r="BH157" s="215">
        <f t="shared" ref="BH157:BH168" si="183">IF(AC157=0,"",AC157)</f>
        <v>249</v>
      </c>
      <c r="BI157" s="215">
        <f t="shared" ref="BI157:BI168" si="184">IF(AE157=0,"",AE157)</f>
        <v>191</v>
      </c>
      <c r="BJ157" s="215">
        <f t="shared" ref="BJ157:BJ168" si="185">IF(AG157=0,"",AG157)</f>
        <v>215</v>
      </c>
      <c r="BK157" s="215">
        <f t="shared" ref="BK157:BK168" si="186">IF(AI157=0,"",AI157)</f>
        <v>234</v>
      </c>
      <c r="BL157" s="215">
        <f t="shared" ref="BL157:BL168" si="187">IF(AK157=0,"",AK157)</f>
        <v>211</v>
      </c>
      <c r="BM157" s="215">
        <f t="shared" ref="BM157:BM168" si="188">IF(AM157=0,"",AM157)</f>
        <v>203</v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249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1303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5">
      <c r="A158" s="377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9"/>
      <c r="F158" s="78" t="str">
        <f t="shared" si="174"/>
        <v/>
      </c>
      <c r="G158" s="349"/>
      <c r="H158" s="78" t="str">
        <f t="shared" si="175"/>
        <v/>
      </c>
      <c r="I158" s="349"/>
      <c r="J158" s="78" t="str">
        <f t="shared" si="176"/>
        <v/>
      </c>
      <c r="K158" s="349"/>
      <c r="L158" s="78" t="str">
        <f t="shared" si="177"/>
        <v/>
      </c>
      <c r="M158" s="349"/>
      <c r="N158" s="78" t="str">
        <f t="shared" ref="N158:N170" si="194">IF(AM158=0,"",AM158)</f>
        <v/>
      </c>
      <c r="O158" s="349"/>
      <c r="P158" s="78" t="str">
        <f t="shared" si="178"/>
        <v/>
      </c>
      <c r="Q158" s="349"/>
      <c r="R158" s="78" t="str">
        <f t="shared" si="179"/>
        <v/>
      </c>
      <c r="S158" s="349"/>
      <c r="T158" s="78" t="str">
        <f t="shared" si="180"/>
        <v/>
      </c>
      <c r="U158" s="349"/>
      <c r="V158" s="78" t="str">
        <f t="shared" si="181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2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3">
      <c r="A159" s="378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0"/>
      <c r="F159" s="69" t="str">
        <f t="shared" si="174"/>
        <v/>
      </c>
      <c r="G159" s="350"/>
      <c r="H159" s="69" t="str">
        <f t="shared" si="175"/>
        <v/>
      </c>
      <c r="I159" s="350"/>
      <c r="J159" s="69" t="str">
        <f t="shared" si="176"/>
        <v/>
      </c>
      <c r="K159" s="350"/>
      <c r="L159" s="69" t="str">
        <f t="shared" si="177"/>
        <v/>
      </c>
      <c r="M159" s="350"/>
      <c r="N159" s="69" t="str">
        <f t="shared" si="194"/>
        <v/>
      </c>
      <c r="O159" s="350"/>
      <c r="P159" s="69" t="str">
        <f t="shared" si="178"/>
        <v/>
      </c>
      <c r="Q159" s="350"/>
      <c r="R159" s="69" t="str">
        <f t="shared" si="179"/>
        <v/>
      </c>
      <c r="S159" s="350"/>
      <c r="T159" s="69" t="str">
        <f t="shared" si="180"/>
        <v/>
      </c>
      <c r="U159" s="350"/>
      <c r="V159" s="69" t="str">
        <f t="shared" si="181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5">
      <c r="A160" s="376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202</v>
      </c>
      <c r="E160" s="348">
        <f>IF(AD160="","",AD160)</f>
        <v>1</v>
      </c>
      <c r="F160" s="75">
        <f t="shared" si="174"/>
        <v>179</v>
      </c>
      <c r="G160" s="348">
        <f>IF(AF160="","",AF160)</f>
        <v>1</v>
      </c>
      <c r="H160" s="75">
        <f t="shared" si="175"/>
        <v>213</v>
      </c>
      <c r="I160" s="348">
        <f>IF(AH160="","",AH160)</f>
        <v>1</v>
      </c>
      <c r="J160" s="75">
        <f t="shared" si="176"/>
        <v>179</v>
      </c>
      <c r="K160" s="348">
        <f>IF(AJ160="","",AJ160)</f>
        <v>1</v>
      </c>
      <c r="L160" s="75">
        <f t="shared" si="177"/>
        <v>183</v>
      </c>
      <c r="M160" s="348">
        <f>IF(AL160="","",AL160)</f>
        <v>1</v>
      </c>
      <c r="N160" s="75">
        <f t="shared" si="194"/>
        <v>195</v>
      </c>
      <c r="O160" s="348">
        <f>IF(AN160="","",AN160)</f>
        <v>1</v>
      </c>
      <c r="P160" s="75" t="str">
        <f t="shared" si="178"/>
        <v/>
      </c>
      <c r="Q160" s="348">
        <f>IF(AP160="","",AP160)</f>
        <v>0</v>
      </c>
      <c r="R160" s="75" t="str">
        <f t="shared" si="179"/>
        <v/>
      </c>
      <c r="S160" s="348">
        <f>IF(AR160="","",AR160)</f>
        <v>0</v>
      </c>
      <c r="T160" s="75" t="str">
        <f t="shared" si="180"/>
        <v/>
      </c>
      <c r="U160" s="348">
        <f>IF(AT160="","",AT160)</f>
        <v>0</v>
      </c>
      <c r="V160" s="75">
        <f t="shared" si="181"/>
        <v>1151</v>
      </c>
      <c r="W160" s="348">
        <f>IF(AV160="","",AV160)</f>
        <v>6</v>
      </c>
      <c r="Z160" s="351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202</v>
      </c>
      <c r="AD160" s="109">
        <f>IF(SUM(AC160:AC162)+AC176=0,0,IF(SUM(AC160:AC162)=AC176,0.5,IF(SUM(AC160:AC162)&gt;AC176,1,0)))</f>
        <v>1</v>
      </c>
      <c r="AE160" s="188">
        <v>179</v>
      </c>
      <c r="AF160" s="109">
        <f>IF(SUM(AE160:AE162)+AE176=0,0,IF(SUM(AE160:AE162)=AE176,0.5,IF(SUM(AE160:AE162)&gt;AE176,1,0)))</f>
        <v>1</v>
      </c>
      <c r="AG160" s="188">
        <v>213</v>
      </c>
      <c r="AH160" s="109">
        <f>IF(SUM(AG160:AG162)+AG176=0,0,IF(SUM(AG160:AG162)=AG176,0.5,IF(SUM(AG160:AG162)&gt;AG176,1,0)))</f>
        <v>1</v>
      </c>
      <c r="AI160" s="188">
        <v>179</v>
      </c>
      <c r="AJ160" s="109">
        <f>IF(SUM(AI160:AI162)+AI176=0,0,IF(SUM(AI160:AI162)=AI176,0.5,IF(SUM(AI160:AI162)&gt;AI176,1,0)))</f>
        <v>1</v>
      </c>
      <c r="AK160" s="188">
        <v>183</v>
      </c>
      <c r="AL160" s="109">
        <f>IF(SUM(AK160:AK162)+AK176=0,0,IF(SUM(AK160:AK162)=AK176,0.5,IF(SUM(AK160:AK162)&gt;AK176,1,0)))</f>
        <v>1</v>
      </c>
      <c r="AM160" s="188">
        <v>195</v>
      </c>
      <c r="AN160" s="109">
        <f>IF(SUM(AM160:AM162)+AM176=0,0,IF(SUM(AM160:AM162)=AM176,0.5,IF(SUM(AM160:AM162)&gt;AM176,1,0)))</f>
        <v>1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1151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1151</v>
      </c>
      <c r="BF160" s="215">
        <f t="shared" si="197"/>
        <v>6</v>
      </c>
      <c r="BG160" s="215">
        <f t="shared" si="198"/>
        <v>6</v>
      </c>
      <c r="BH160" s="215">
        <f t="shared" si="183"/>
        <v>202</v>
      </c>
      <c r="BI160" s="215">
        <f t="shared" si="184"/>
        <v>179</v>
      </c>
      <c r="BJ160" s="215">
        <f t="shared" si="185"/>
        <v>213</v>
      </c>
      <c r="BK160" s="215">
        <f t="shared" si="186"/>
        <v>179</v>
      </c>
      <c r="BL160" s="215">
        <f t="shared" si="187"/>
        <v>183</v>
      </c>
      <c r="BM160" s="215">
        <f t="shared" si="188"/>
        <v>195</v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213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2</v>
      </c>
      <c r="BW160" s="215">
        <f t="shared" si="203"/>
        <v>1151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5">
      <c r="A161" s="377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9"/>
      <c r="F161" s="78" t="str">
        <f t="shared" si="174"/>
        <v/>
      </c>
      <c r="G161" s="349"/>
      <c r="H161" s="78" t="str">
        <f t="shared" si="175"/>
        <v/>
      </c>
      <c r="I161" s="349"/>
      <c r="J161" s="78" t="str">
        <f t="shared" si="176"/>
        <v/>
      </c>
      <c r="K161" s="349"/>
      <c r="L161" s="78" t="str">
        <f t="shared" si="177"/>
        <v/>
      </c>
      <c r="M161" s="349"/>
      <c r="N161" s="78" t="str">
        <f t="shared" si="194"/>
        <v/>
      </c>
      <c r="O161" s="349"/>
      <c r="P161" s="78" t="str">
        <f t="shared" si="178"/>
        <v/>
      </c>
      <c r="Q161" s="349"/>
      <c r="R161" s="78" t="str">
        <f t="shared" si="179"/>
        <v/>
      </c>
      <c r="S161" s="349"/>
      <c r="T161" s="78" t="str">
        <f t="shared" si="180"/>
        <v/>
      </c>
      <c r="U161" s="349"/>
      <c r="V161" s="78" t="str">
        <f t="shared" si="181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2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3">
      <c r="A162" s="378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0"/>
      <c r="F162" s="69" t="str">
        <f t="shared" si="174"/>
        <v/>
      </c>
      <c r="G162" s="350"/>
      <c r="H162" s="69" t="str">
        <f t="shared" si="175"/>
        <v/>
      </c>
      <c r="I162" s="350"/>
      <c r="J162" s="69" t="str">
        <f t="shared" si="176"/>
        <v/>
      </c>
      <c r="K162" s="350"/>
      <c r="L162" s="69" t="str">
        <f t="shared" si="177"/>
        <v/>
      </c>
      <c r="M162" s="350"/>
      <c r="N162" s="69" t="str">
        <f t="shared" si="194"/>
        <v/>
      </c>
      <c r="O162" s="350"/>
      <c r="P162" s="69" t="str">
        <f t="shared" si="178"/>
        <v/>
      </c>
      <c r="Q162" s="350"/>
      <c r="R162" s="69" t="str">
        <f t="shared" si="179"/>
        <v/>
      </c>
      <c r="S162" s="350"/>
      <c r="T162" s="69" t="str">
        <f t="shared" si="180"/>
        <v/>
      </c>
      <c r="U162" s="350"/>
      <c r="V162" s="69" t="str">
        <f t="shared" si="181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5">
      <c r="A163" s="376" t="s">
        <v>3</v>
      </c>
      <c r="B163" s="73" t="str">
        <f t="shared" si="193"/>
        <v>Scholz, Alexander</v>
      </c>
      <c r="C163" s="74">
        <f t="shared" si="193"/>
        <v>16352</v>
      </c>
      <c r="D163" s="75">
        <f t="shared" si="193"/>
        <v>175</v>
      </c>
      <c r="E163" s="348">
        <f>IF(AD163="","",AD163)</f>
        <v>0</v>
      </c>
      <c r="F163" s="75">
        <f t="shared" si="174"/>
        <v>182</v>
      </c>
      <c r="G163" s="348">
        <f>IF(AF163="","",AF163)</f>
        <v>0</v>
      </c>
      <c r="H163" s="75">
        <f t="shared" si="175"/>
        <v>212</v>
      </c>
      <c r="I163" s="348">
        <f>IF(AH163="","",AH163)</f>
        <v>0</v>
      </c>
      <c r="J163" s="75">
        <f t="shared" si="176"/>
        <v>212</v>
      </c>
      <c r="K163" s="348">
        <f>IF(AJ163="","",AJ163)</f>
        <v>0</v>
      </c>
      <c r="L163" s="75">
        <f t="shared" si="177"/>
        <v>194</v>
      </c>
      <c r="M163" s="348">
        <f>IF(AL163="","",AL163)</f>
        <v>1</v>
      </c>
      <c r="N163" s="75">
        <f t="shared" si="194"/>
        <v>158</v>
      </c>
      <c r="O163" s="348">
        <f>IF(AN163="","",AN163)</f>
        <v>0</v>
      </c>
      <c r="P163" s="75" t="str">
        <f t="shared" si="178"/>
        <v/>
      </c>
      <c r="Q163" s="348">
        <f>IF(AP163="","",AP163)</f>
        <v>0</v>
      </c>
      <c r="R163" s="75" t="str">
        <f t="shared" si="179"/>
        <v/>
      </c>
      <c r="S163" s="348">
        <f>IF(AR163="","",AR163)</f>
        <v>0</v>
      </c>
      <c r="T163" s="75" t="str">
        <f t="shared" si="180"/>
        <v/>
      </c>
      <c r="U163" s="348">
        <f>IF(AT163="","",AT163)</f>
        <v>0</v>
      </c>
      <c r="V163" s="75">
        <f t="shared" si="181"/>
        <v>1133</v>
      </c>
      <c r="W163" s="348">
        <f>IF(AV163="","",AV163)</f>
        <v>1</v>
      </c>
      <c r="Z163" s="351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175</v>
      </c>
      <c r="AD163" s="109">
        <f>IF(SUM(AC163:AC165)+AC177=0,0,IF(SUM(AC163:AC165)=AC177,0.5,IF(SUM(AC163:AC165)&gt;AC177,1,0)))</f>
        <v>0</v>
      </c>
      <c r="AE163" s="188">
        <v>182</v>
      </c>
      <c r="AF163" s="109">
        <f>IF(SUM(AE163:AE165)+AE177=0,0,IF(SUM(AE163:AE165)=AE177,0.5,IF(SUM(AE163:AE165)&gt;AE177,1,0)))</f>
        <v>0</v>
      </c>
      <c r="AG163" s="188">
        <v>212</v>
      </c>
      <c r="AH163" s="109">
        <f>IF(SUM(AG163:AG165)+AG177=0,0,IF(SUM(AG163:AG165)=AG177,0.5,IF(SUM(AG163:AG165)&gt;AG177,1,0)))</f>
        <v>0</v>
      </c>
      <c r="AI163" s="188">
        <v>212</v>
      </c>
      <c r="AJ163" s="109">
        <f>IF(SUM(AI163:AI165)+AI177=0,0,IF(SUM(AI163:AI165)=AI177,0.5,IF(SUM(AI163:AI165)&gt;AI177,1,0)))</f>
        <v>0</v>
      </c>
      <c r="AK163" s="188">
        <v>194</v>
      </c>
      <c r="AL163" s="109">
        <f>IF(SUM(AK163:AK165)+AK177=0,0,IF(SUM(AK163:AK165)=AK177,0.5,IF(SUM(AK163:AK165)&gt;AK177,1,0)))</f>
        <v>1</v>
      </c>
      <c r="AM163" s="188">
        <v>158</v>
      </c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1133</v>
      </c>
      <c r="AV163" s="111">
        <f>SUM(AD163+AF163+AH163+AJ163+AL163+AN163+AP163+AR163+AT163)</f>
        <v>1</v>
      </c>
      <c r="AW163" s="101"/>
      <c r="AX163" s="102"/>
      <c r="AZ163" s="63"/>
      <c r="BA163" s="212"/>
      <c r="BB163" s="213"/>
      <c r="BC163" s="214"/>
      <c r="BD163" s="217">
        <f t="shared" si="195"/>
        <v>16352</v>
      </c>
      <c r="BE163" s="213">
        <f t="shared" si="196"/>
        <v>1133</v>
      </c>
      <c r="BF163" s="215">
        <f t="shared" si="197"/>
        <v>6</v>
      </c>
      <c r="BG163" s="215">
        <f t="shared" si="198"/>
        <v>6</v>
      </c>
      <c r="BH163" s="215">
        <f t="shared" si="183"/>
        <v>175</v>
      </c>
      <c r="BI163" s="215">
        <f t="shared" si="184"/>
        <v>182</v>
      </c>
      <c r="BJ163" s="215">
        <f t="shared" si="185"/>
        <v>212</v>
      </c>
      <c r="BK163" s="215">
        <f t="shared" si="186"/>
        <v>212</v>
      </c>
      <c r="BL163" s="215">
        <f t="shared" si="187"/>
        <v>194</v>
      </c>
      <c r="BM163" s="215">
        <f t="shared" si="188"/>
        <v>158</v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212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2</v>
      </c>
      <c r="BW163" s="215">
        <f t="shared" si="203"/>
        <v>1133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5">
      <c r="A164" s="377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9"/>
      <c r="F164" s="78" t="str">
        <f t="shared" si="174"/>
        <v/>
      </c>
      <c r="G164" s="349"/>
      <c r="H164" s="78" t="str">
        <f t="shared" si="175"/>
        <v/>
      </c>
      <c r="I164" s="349"/>
      <c r="J164" s="78" t="str">
        <f t="shared" si="176"/>
        <v/>
      </c>
      <c r="K164" s="349"/>
      <c r="L164" s="78" t="str">
        <f t="shared" si="177"/>
        <v/>
      </c>
      <c r="M164" s="349"/>
      <c r="N164" s="78" t="str">
        <f t="shared" si="194"/>
        <v/>
      </c>
      <c r="O164" s="349"/>
      <c r="P164" s="78" t="str">
        <f t="shared" si="178"/>
        <v/>
      </c>
      <c r="Q164" s="349"/>
      <c r="R164" s="78" t="str">
        <f t="shared" si="179"/>
        <v/>
      </c>
      <c r="S164" s="349"/>
      <c r="T164" s="78" t="str">
        <f t="shared" si="180"/>
        <v/>
      </c>
      <c r="U164" s="349"/>
      <c r="V164" s="78" t="str">
        <f t="shared" si="181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3">
      <c r="A165" s="378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0"/>
      <c r="F165" s="69" t="str">
        <f t="shared" si="174"/>
        <v/>
      </c>
      <c r="G165" s="350"/>
      <c r="H165" s="69" t="str">
        <f t="shared" si="175"/>
        <v/>
      </c>
      <c r="I165" s="350"/>
      <c r="J165" s="69" t="str">
        <f t="shared" si="176"/>
        <v/>
      </c>
      <c r="K165" s="350"/>
      <c r="L165" s="69" t="str">
        <f t="shared" si="177"/>
        <v/>
      </c>
      <c r="M165" s="350"/>
      <c r="N165" s="69" t="str">
        <f t="shared" si="194"/>
        <v/>
      </c>
      <c r="O165" s="350"/>
      <c r="P165" s="69" t="str">
        <f t="shared" si="178"/>
        <v/>
      </c>
      <c r="Q165" s="350"/>
      <c r="R165" s="69" t="str">
        <f t="shared" si="179"/>
        <v/>
      </c>
      <c r="S165" s="350"/>
      <c r="T165" s="69" t="str">
        <f t="shared" si="180"/>
        <v/>
      </c>
      <c r="U165" s="350"/>
      <c r="V165" s="69" t="str">
        <f t="shared" si="181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5">
      <c r="A166" s="376" t="s">
        <v>11</v>
      </c>
      <c r="B166" s="73" t="str">
        <f>IF(AA166=0,"",AA166)</f>
        <v>Wendel, Dominik</v>
      </c>
      <c r="C166" s="74">
        <f t="shared" si="193"/>
        <v>16852</v>
      </c>
      <c r="D166" s="75">
        <f t="shared" si="193"/>
        <v>170</v>
      </c>
      <c r="E166" s="348">
        <f>IF(AD166="","",AD166)</f>
        <v>1</v>
      </c>
      <c r="F166" s="75">
        <f t="shared" si="174"/>
        <v>150</v>
      </c>
      <c r="G166" s="348">
        <f>IF(AF166="","",AF166)</f>
        <v>0</v>
      </c>
      <c r="H166" s="75" t="str">
        <f t="shared" si="175"/>
        <v/>
      </c>
      <c r="I166" s="348">
        <f>IF(AH166="","",AH166)</f>
        <v>0</v>
      </c>
      <c r="J166" s="75" t="str">
        <f t="shared" si="176"/>
        <v/>
      </c>
      <c r="K166" s="348">
        <f>IF(AJ166="","",AJ166)</f>
        <v>1</v>
      </c>
      <c r="L166" s="75">
        <f t="shared" si="177"/>
        <v>217</v>
      </c>
      <c r="M166" s="348">
        <f>IF(AL166="","",AL166)</f>
        <v>0</v>
      </c>
      <c r="N166" s="75">
        <f t="shared" si="194"/>
        <v>236</v>
      </c>
      <c r="O166" s="348">
        <f>IF(AN166="","",AN166)</f>
        <v>1</v>
      </c>
      <c r="P166" s="75" t="str">
        <f t="shared" si="178"/>
        <v/>
      </c>
      <c r="Q166" s="348">
        <f>IF(AP166="","",AP166)</f>
        <v>0</v>
      </c>
      <c r="R166" s="75" t="str">
        <f t="shared" si="179"/>
        <v/>
      </c>
      <c r="S166" s="348">
        <f>IF(AR166="","",AR166)</f>
        <v>0</v>
      </c>
      <c r="T166" s="75" t="str">
        <f t="shared" si="180"/>
        <v/>
      </c>
      <c r="U166" s="348">
        <f>IF(AT166="","",AT166)</f>
        <v>0</v>
      </c>
      <c r="V166" s="75">
        <f t="shared" si="181"/>
        <v>773</v>
      </c>
      <c r="W166" s="348">
        <f>IF(AV166="","",AV166)</f>
        <v>3</v>
      </c>
      <c r="Z166" s="351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170</v>
      </c>
      <c r="AD166" s="109">
        <f>IF(SUM(AC166:AC168)+AC178=0,0,IF(SUM(AC166:AC168)=AC178,0.5,IF(SUM(AC166:AC168)&gt;AC178,1,0)))</f>
        <v>1</v>
      </c>
      <c r="AE166" s="188">
        <v>150</v>
      </c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1</v>
      </c>
      <c r="AK166" s="188">
        <v>217</v>
      </c>
      <c r="AL166" s="109">
        <f>IF(SUM(AK166:AK168)+AK178=0,0,IF(SUM(AK166:AK168)=AK178,0.5,IF(SUM(AK166:AK168)&gt;AK178,1,0)))</f>
        <v>0</v>
      </c>
      <c r="AM166" s="188">
        <v>236</v>
      </c>
      <c r="AN166" s="109">
        <f>IF(SUM(AM166:AM168)+AM178=0,0,IF(SUM(AM166:AM168)=AM178,0.5,IF(SUM(AM166:AM168)&gt;AM178,1,0)))</f>
        <v>1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773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195"/>
        <v>16852</v>
      </c>
      <c r="BE166" s="213">
        <f t="shared" si="196"/>
        <v>773</v>
      </c>
      <c r="BF166" s="215">
        <f t="shared" si="197"/>
        <v>4</v>
      </c>
      <c r="BG166" s="215">
        <f t="shared" si="198"/>
        <v>4</v>
      </c>
      <c r="BH166" s="215">
        <f t="shared" si="183"/>
        <v>170</v>
      </c>
      <c r="BI166" s="215">
        <f t="shared" si="184"/>
        <v>150</v>
      </c>
      <c r="BJ166" s="215" t="str">
        <f t="shared" si="185"/>
        <v/>
      </c>
      <c r="BK166" s="215" t="str">
        <f t="shared" si="186"/>
        <v/>
      </c>
      <c r="BL166" s="215">
        <f t="shared" si="187"/>
        <v>217</v>
      </c>
      <c r="BM166" s="215">
        <f t="shared" si="188"/>
        <v>236</v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236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2</v>
      </c>
      <c r="BW166" s="215">
        <f t="shared" si="203"/>
        <v>773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5">
      <c r="A167" s="377"/>
      <c r="B167" s="76" t="str">
        <f>IF(AA167=0,"",AA167)</f>
        <v>Büttner, Christian</v>
      </c>
      <c r="C167" s="77">
        <f t="shared" si="193"/>
        <v>16862</v>
      </c>
      <c r="D167" s="78" t="str">
        <f t="shared" si="193"/>
        <v/>
      </c>
      <c r="E167" s="349"/>
      <c r="F167" s="78" t="str">
        <f t="shared" si="174"/>
        <v/>
      </c>
      <c r="G167" s="349"/>
      <c r="H167" s="78">
        <f t="shared" si="175"/>
        <v>183</v>
      </c>
      <c r="I167" s="349"/>
      <c r="J167" s="78">
        <f t="shared" si="176"/>
        <v>153</v>
      </c>
      <c r="K167" s="349"/>
      <c r="L167" s="78" t="str">
        <f t="shared" si="177"/>
        <v/>
      </c>
      <c r="M167" s="349"/>
      <c r="N167" s="78" t="str">
        <f t="shared" si="194"/>
        <v/>
      </c>
      <c r="O167" s="349"/>
      <c r="P167" s="78" t="str">
        <f t="shared" si="178"/>
        <v/>
      </c>
      <c r="Q167" s="349"/>
      <c r="R167" s="78" t="str">
        <f t="shared" si="179"/>
        <v/>
      </c>
      <c r="S167" s="349"/>
      <c r="T167" s="78" t="str">
        <f t="shared" si="180"/>
        <v/>
      </c>
      <c r="U167" s="349"/>
      <c r="V167" s="78">
        <f t="shared" si="181"/>
        <v>336</v>
      </c>
      <c r="W167" s="349"/>
      <c r="Z167" s="352"/>
      <c r="AA167" s="108" t="str">
        <f>IF(AB167=0,"",VLOOKUP(AB167,Starter!$A$1:$D$199,2,FALSE))</f>
        <v>Büttner, Christian</v>
      </c>
      <c r="AB167" s="98">
        <v>16862</v>
      </c>
      <c r="AC167" s="186"/>
      <c r="AD167" s="112"/>
      <c r="AE167" s="186"/>
      <c r="AF167" s="112"/>
      <c r="AG167" s="186">
        <v>183</v>
      </c>
      <c r="AH167" s="112"/>
      <c r="AI167" s="186">
        <v>153</v>
      </c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336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16862</v>
      </c>
      <c r="BE167" s="213">
        <f t="shared" si="196"/>
        <v>336</v>
      </c>
      <c r="BF167" s="215">
        <f t="shared" si="197"/>
        <v>2</v>
      </c>
      <c r="BG167" s="215">
        <f t="shared" si="198"/>
        <v>2</v>
      </c>
      <c r="BH167" s="215" t="str">
        <f t="shared" si="183"/>
        <v/>
      </c>
      <c r="BI167" s="215" t="str">
        <f t="shared" si="184"/>
        <v/>
      </c>
      <c r="BJ167" s="215">
        <f t="shared" si="185"/>
        <v>183</v>
      </c>
      <c r="BK167" s="215">
        <f t="shared" si="186"/>
        <v>153</v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183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2</v>
      </c>
      <c r="BW167" s="215">
        <f t="shared" si="203"/>
        <v>336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3">
      <c r="A168" s="378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0"/>
      <c r="F168" s="69" t="str">
        <f t="shared" si="174"/>
        <v/>
      </c>
      <c r="G168" s="350"/>
      <c r="H168" s="69" t="str">
        <f t="shared" si="175"/>
        <v/>
      </c>
      <c r="I168" s="350"/>
      <c r="J168" s="69" t="str">
        <f t="shared" si="176"/>
        <v/>
      </c>
      <c r="K168" s="350"/>
      <c r="L168" s="69" t="str">
        <f t="shared" si="177"/>
        <v/>
      </c>
      <c r="M168" s="350"/>
      <c r="N168" s="69" t="str">
        <f t="shared" si="194"/>
        <v/>
      </c>
      <c r="O168" s="350"/>
      <c r="P168" s="69" t="str">
        <f t="shared" si="178"/>
        <v/>
      </c>
      <c r="Q168" s="350"/>
      <c r="R168" s="69" t="str">
        <f t="shared" si="179"/>
        <v/>
      </c>
      <c r="S168" s="350"/>
      <c r="T168" s="69" t="str">
        <f t="shared" si="180"/>
        <v/>
      </c>
      <c r="U168" s="350"/>
      <c r="V168" s="69" t="str">
        <f t="shared" si="181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796</v>
      </c>
      <c r="E169" s="84">
        <f>IF(AD169="","",AD169)</f>
        <v>2</v>
      </c>
      <c r="F169" s="83">
        <f t="shared" si="174"/>
        <v>702</v>
      </c>
      <c r="G169" s="84">
        <f>IF(AF169="","",AF169)</f>
        <v>0</v>
      </c>
      <c r="H169" s="83">
        <f t="shared" si="175"/>
        <v>823</v>
      </c>
      <c r="I169" s="84">
        <f>IF(AH169="","",AH169)</f>
        <v>2</v>
      </c>
      <c r="J169" s="83">
        <f t="shared" si="176"/>
        <v>778</v>
      </c>
      <c r="K169" s="84">
        <f>IF(AJ169="","",AJ169)</f>
        <v>2</v>
      </c>
      <c r="L169" s="83">
        <f t="shared" si="177"/>
        <v>805</v>
      </c>
      <c r="M169" s="84">
        <f>IF(AL169="","",AL169)</f>
        <v>2</v>
      </c>
      <c r="N169" s="83">
        <f t="shared" si="194"/>
        <v>792</v>
      </c>
      <c r="O169" s="84">
        <f>IF(AN169="","",AN169)</f>
        <v>2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>
        <f t="shared" si="181"/>
        <v>4696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796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702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823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778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805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792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4696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5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3</v>
      </c>
      <c r="J170" s="86" t="str">
        <f t="shared" si="176"/>
        <v/>
      </c>
      <c r="K170" s="87">
        <f>IF(AJ170="","",AJ170)</f>
        <v>5</v>
      </c>
      <c r="L170" s="86" t="str">
        <f t="shared" si="177"/>
        <v/>
      </c>
      <c r="M170" s="87">
        <f>IF(AL170="","",AL170)</f>
        <v>4</v>
      </c>
      <c r="N170" s="86" t="str">
        <f t="shared" si="194"/>
        <v/>
      </c>
      <c r="O170" s="87">
        <f>IF(AN170="","",AN170)</f>
        <v>4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22</v>
      </c>
      <c r="AA170" s="85" t="s">
        <v>1814</v>
      </c>
      <c r="AB170" s="86"/>
      <c r="AC170" s="86"/>
      <c r="AD170" s="124">
        <f>SUM(AD157:AD169)</f>
        <v>5</v>
      </c>
      <c r="AE170" s="86"/>
      <c r="AF170" s="124">
        <f>SUM(AF157:AF169)</f>
        <v>1</v>
      </c>
      <c r="AG170" s="86"/>
      <c r="AH170" s="124">
        <f>SUM(AH157:AH169)</f>
        <v>3</v>
      </c>
      <c r="AI170" s="86"/>
      <c r="AJ170" s="124">
        <f>SUM(AJ157:AJ169)</f>
        <v>5</v>
      </c>
      <c r="AK170" s="86"/>
      <c r="AL170" s="124">
        <f>SUM(AL157:AL169)</f>
        <v>4</v>
      </c>
      <c r="AM170" s="86"/>
      <c r="AN170" s="124">
        <f>SUM(AN157:AN169)</f>
        <v>4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22</v>
      </c>
      <c r="AW170" s="101"/>
      <c r="AX170" s="102"/>
      <c r="BA170" s="212">
        <f>+AV170</f>
        <v>22</v>
      </c>
      <c r="BB170" s="213">
        <f>+AU169</f>
        <v>4696</v>
      </c>
      <c r="BC170" s="214">
        <f>+AA152</f>
        <v>6</v>
      </c>
      <c r="BF170" s="215">
        <f>SUM(BF151:BF169)</f>
        <v>24</v>
      </c>
      <c r="BQ170" s="212">
        <f>+BB170/1000000+BA170</f>
        <v>22.004695999999999</v>
      </c>
      <c r="BR170" s="214">
        <f>RANK(BQ170,BQ:BQ)</f>
        <v>2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6">
        <f t="shared" si="205"/>
        <v>3</v>
      </c>
      <c r="E172" s="356" t="str">
        <f t="shared" si="205"/>
        <v/>
      </c>
      <c r="F172" s="356">
        <f t="shared" si="205"/>
        <v>10</v>
      </c>
      <c r="G172" s="356" t="str">
        <f t="shared" si="205"/>
        <v/>
      </c>
      <c r="H172" s="356">
        <f t="shared" si="205"/>
        <v>4</v>
      </c>
      <c r="I172" s="356" t="str">
        <f t="shared" si="205"/>
        <v/>
      </c>
      <c r="J172" s="356">
        <f t="shared" si="205"/>
        <v>9</v>
      </c>
      <c r="K172" s="356" t="str">
        <f t="shared" si="205"/>
        <v/>
      </c>
      <c r="L172" s="356">
        <f t="shared" si="205"/>
        <v>2</v>
      </c>
      <c r="M172" s="356" t="str">
        <f t="shared" si="205"/>
        <v/>
      </c>
      <c r="N172" s="356">
        <f t="shared" si="205"/>
        <v>8</v>
      </c>
      <c r="O172" s="356" t="str">
        <f t="shared" si="205"/>
        <v/>
      </c>
      <c r="P172" s="356">
        <f t="shared" si="205"/>
        <v>7</v>
      </c>
      <c r="Q172" s="356" t="str">
        <f t="shared" si="205"/>
        <v/>
      </c>
      <c r="R172" s="356">
        <f t="shared" ref="L172:U174" si="206">IF(AQ172=0,"",AQ172)</f>
        <v>1</v>
      </c>
      <c r="S172" s="356" t="str">
        <f t="shared" si="206"/>
        <v/>
      </c>
      <c r="T172" s="356">
        <f t="shared" si="206"/>
        <v>5</v>
      </c>
      <c r="U172" s="356" t="str">
        <f t="shared" si="206"/>
        <v/>
      </c>
      <c r="V172" s="357"/>
      <c r="W172" s="357"/>
      <c r="AA172" s="88" t="s">
        <v>1797</v>
      </c>
      <c r="AB172" s="89" t="s">
        <v>1798</v>
      </c>
      <c r="AC172" s="370">
        <f>VLOOKUP($AA152,Schlüssel!$A$5:$DG$14,103)</f>
        <v>3</v>
      </c>
      <c r="AD172" s="371"/>
      <c r="AE172" s="370">
        <f>VLOOKUP($AA152,Schlüssel!$A$5:$EK$14,104)</f>
        <v>10</v>
      </c>
      <c r="AF172" s="371"/>
      <c r="AG172" s="370">
        <f>VLOOKUP($AA152,Schlüssel!$A$5:$EK$14,105)</f>
        <v>4</v>
      </c>
      <c r="AH172" s="371"/>
      <c r="AI172" s="370">
        <f>VLOOKUP($AA152,Schlüssel!$A$5:$EK$14,106)</f>
        <v>9</v>
      </c>
      <c r="AJ172" s="371"/>
      <c r="AK172" s="370">
        <f>VLOOKUP($AA152,Schlüssel!$A$5:$EK$14,107)</f>
        <v>2</v>
      </c>
      <c r="AL172" s="371"/>
      <c r="AM172" s="370">
        <f>VLOOKUP($AA152,Schlüssel!$A$5:$EK$14,108)</f>
        <v>8</v>
      </c>
      <c r="AN172" s="371"/>
      <c r="AO172" s="370">
        <f>VLOOKUP($AA152,Schlüssel!$A$5:$EK$14,109)</f>
        <v>7</v>
      </c>
      <c r="AP172" s="371"/>
      <c r="AQ172" s="370">
        <f>VLOOKUP($AA152,Schlüssel!$A$5:$EK$14,110)</f>
        <v>1</v>
      </c>
      <c r="AR172" s="371"/>
      <c r="AS172" s="370">
        <f>VLOOKUP($AA152,Schlüssel!$A$5:$EK$14,111)</f>
        <v>5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58" t="str">
        <f t="shared" si="207"/>
        <v>BK München 3</v>
      </c>
      <c r="E173" s="359" t="str">
        <f t="shared" si="207"/>
        <v/>
      </c>
      <c r="F173" s="358" t="str">
        <f t="shared" si="207"/>
        <v>High Roller Rosenheim 1</v>
      </c>
      <c r="G173" s="359" t="str">
        <f t="shared" si="207"/>
        <v/>
      </c>
      <c r="H173" s="358" t="str">
        <f t="shared" si="207"/>
        <v>SG DJK Rimpar</v>
      </c>
      <c r="I173" s="359" t="str">
        <f t="shared" si="207"/>
        <v/>
      </c>
      <c r="J173" s="358" t="str">
        <f t="shared" si="207"/>
        <v>Bowlinghaus Bamberg 1</v>
      </c>
      <c r="K173" s="359" t="str">
        <f t="shared" si="207"/>
        <v/>
      </c>
      <c r="L173" s="358" t="str">
        <f t="shared" si="206"/>
        <v>Bajuwaren München 1</v>
      </c>
      <c r="M173" s="359" t="str">
        <f t="shared" si="206"/>
        <v/>
      </c>
      <c r="N173" s="358" t="str">
        <f t="shared" si="206"/>
        <v>BC EMAX Unterföhring 2</v>
      </c>
      <c r="O173" s="359" t="str">
        <f t="shared" si="206"/>
        <v/>
      </c>
      <c r="P173" s="358" t="str">
        <f t="shared" si="206"/>
        <v>Schanzer Ingolstadt 1</v>
      </c>
      <c r="Q173" s="359" t="str">
        <f t="shared" si="206"/>
        <v/>
      </c>
      <c r="R173" s="358" t="str">
        <f t="shared" si="206"/>
        <v>BC Comet Nürnberg</v>
      </c>
      <c r="S173" s="359" t="str">
        <f t="shared" si="206"/>
        <v/>
      </c>
      <c r="T173" s="358" t="str">
        <f t="shared" si="206"/>
        <v>RW Lichtenhof Stein 1</v>
      </c>
      <c r="U173" s="359" t="str">
        <f t="shared" si="206"/>
        <v/>
      </c>
      <c r="V173" s="363"/>
      <c r="W173" s="363"/>
      <c r="AA173" s="90"/>
      <c r="AB173" s="86"/>
      <c r="AC173" s="358" t="str">
        <f>VLOOKUP(AC172,Schlüssel!$A$5:$K$14,2)</f>
        <v>BK München 3</v>
      </c>
      <c r="AD173" s="359"/>
      <c r="AE173" s="358" t="str">
        <f>VLOOKUP(AE172,Schlüssel!$A$5:$K$14,2)</f>
        <v>High Roller Rosenheim 1</v>
      </c>
      <c r="AF173" s="359"/>
      <c r="AG173" s="358" t="str">
        <f>VLOOKUP(AG172,Schlüssel!$A$5:$K$14,2)</f>
        <v>SG DJK Rimpar</v>
      </c>
      <c r="AH173" s="359"/>
      <c r="AI173" s="358" t="str">
        <f>VLOOKUP(AI172,Schlüssel!$A$5:$K$14,2)</f>
        <v>Bowlinghaus Bamberg 1</v>
      </c>
      <c r="AJ173" s="359"/>
      <c r="AK173" s="358" t="str">
        <f>VLOOKUP(AK172,Schlüssel!$A$5:$K$14,2)</f>
        <v>Bajuwaren München 1</v>
      </c>
      <c r="AL173" s="359"/>
      <c r="AM173" s="358" t="str">
        <f>VLOOKUP(AM172,Schlüssel!$A$5:$K$14,2)</f>
        <v>BC EMAX Unterföhring 2</v>
      </c>
      <c r="AN173" s="359"/>
      <c r="AO173" s="358" t="str">
        <f>VLOOKUP(AO172,Schlüssel!$A$5:$K$14,2)</f>
        <v>Schanzer Ingolstadt 1</v>
      </c>
      <c r="AP173" s="359"/>
      <c r="AQ173" s="358" t="str">
        <f>VLOOKUP(AQ172,Schlüssel!$A$5:$K$14,2)</f>
        <v>BC Comet Nürnberg</v>
      </c>
      <c r="AR173" s="359"/>
      <c r="AS173" s="358" t="str">
        <f>VLOOKUP(AS172,Schlüssel!$A$5:$K$14,2)</f>
        <v>RW Lichtenhof Stein 1</v>
      </c>
      <c r="AT173" s="359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60" t="str">
        <f t="shared" si="207"/>
        <v/>
      </c>
      <c r="E174" s="360" t="str">
        <f t="shared" si="207"/>
        <v/>
      </c>
      <c r="F174" s="360" t="str">
        <f t="shared" si="207"/>
        <v/>
      </c>
      <c r="G174" s="360" t="str">
        <f t="shared" si="207"/>
        <v/>
      </c>
      <c r="H174" s="360" t="str">
        <f t="shared" si="207"/>
        <v/>
      </c>
      <c r="I174" s="360" t="str">
        <f t="shared" si="207"/>
        <v/>
      </c>
      <c r="J174" s="360" t="str">
        <f t="shared" si="207"/>
        <v/>
      </c>
      <c r="K174" s="360" t="str">
        <f t="shared" si="207"/>
        <v/>
      </c>
      <c r="L174" s="360" t="str">
        <f t="shared" si="206"/>
        <v/>
      </c>
      <c r="M174" s="360" t="str">
        <f t="shared" si="206"/>
        <v/>
      </c>
      <c r="N174" s="360" t="str">
        <f t="shared" si="206"/>
        <v/>
      </c>
      <c r="O174" s="360" t="str">
        <f t="shared" si="206"/>
        <v/>
      </c>
      <c r="P174" s="360" t="str">
        <f t="shared" si="206"/>
        <v/>
      </c>
      <c r="Q174" s="360" t="str">
        <f t="shared" si="206"/>
        <v/>
      </c>
      <c r="R174" s="360" t="str">
        <f t="shared" si="206"/>
        <v/>
      </c>
      <c r="S174" s="360" t="str">
        <f t="shared" si="206"/>
        <v/>
      </c>
      <c r="T174" s="360" t="str">
        <f t="shared" si="206"/>
        <v/>
      </c>
      <c r="U174" s="361" t="str">
        <f t="shared" si="206"/>
        <v/>
      </c>
      <c r="V174" s="298"/>
      <c r="W174" s="298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4" t="str">
        <f t="shared" ref="B175:C179" si="208">IF(AA175=0,"",AA175)</f>
        <v>Spieler 1</v>
      </c>
      <c r="C175" s="375" t="str">
        <f t="shared" si="208"/>
        <v/>
      </c>
      <c r="D175" s="362">
        <f>IF(AC175=301,"",AC175)</f>
        <v>151</v>
      </c>
      <c r="E175" s="362" t="str">
        <f>IF(AD175=0,"",AD175)</f>
        <v/>
      </c>
      <c r="F175" s="362">
        <f>IF(AE175=301,"",AE175)</f>
        <v>239</v>
      </c>
      <c r="G175" s="362" t="str">
        <f>IF(AF175=0,"",AF175)</f>
        <v/>
      </c>
      <c r="H175" s="362">
        <f>IF(AG175=301,"",AG175)</f>
        <v>224</v>
      </c>
      <c r="I175" s="362" t="str">
        <f>IF(AH175=0,"",AH175)</f>
        <v/>
      </c>
      <c r="J175" s="362">
        <f>IF(AI175=301,"",AI175)</f>
        <v>212</v>
      </c>
      <c r="K175" s="362" t="str">
        <f>IF(AJ175=0,"",AJ175)</f>
        <v/>
      </c>
      <c r="L175" s="362">
        <f>IF(AK175=301,"",AK175)</f>
        <v>215</v>
      </c>
      <c r="M175" s="362" t="str">
        <f>IF(AL175=0,"",AL175)</f>
        <v/>
      </c>
      <c r="N175" s="362">
        <f>IF(AM175=301,"",AM175)</f>
        <v>246</v>
      </c>
      <c r="O175" s="362" t="str">
        <f>IF(AN175=0,"",AN175)</f>
        <v/>
      </c>
      <c r="P175" s="362">
        <f>IF(AO175=301,"",AO175)</f>
        <v>0</v>
      </c>
      <c r="Q175" s="362" t="str">
        <f>IF(AP175=0,"",AP175)</f>
        <v/>
      </c>
      <c r="R175" s="362">
        <f>IF(AQ175=301,"",AQ175)</f>
        <v>0</v>
      </c>
      <c r="S175" s="362" t="str">
        <f>IF(AR175=0,"",AR175)</f>
        <v/>
      </c>
      <c r="T175" s="362">
        <f>IF(AS175=301,"",AS175)</f>
        <v>0</v>
      </c>
      <c r="U175" s="362" t="str">
        <f>IF(AT175=0,"",AT175)</f>
        <v/>
      </c>
      <c r="V175" s="364"/>
      <c r="W175" s="364"/>
      <c r="AA175" s="91" t="s">
        <v>0</v>
      </c>
      <c r="AB175" s="92"/>
      <c r="AC175" s="368">
        <f>ABS(INDEX(AC:AC,MATCH(AC172,$AA:$AA,0)+5)+INDEX(AC:AC,MATCH(AC172,$AA:$AA,0)+6)+INDEX(AC:AC,MATCH(AC172,$AA:$AA,0)+7))</f>
        <v>151</v>
      </c>
      <c r="AD175" s="369"/>
      <c r="AE175" s="368">
        <f>ABS(INDEX(AE:AE,MATCH(AE172,$AA:$AA,0)+5)+INDEX(AE:AE,MATCH(AE172,$AA:$AA,0)+6)+INDEX(AE:AE,MATCH(AE172,$AA:$AA,0)+7))</f>
        <v>239</v>
      </c>
      <c r="AF175" s="369"/>
      <c r="AG175" s="368">
        <f>ABS(INDEX(AG:AG,MATCH(AG172,$AA:$AA,0)+5)+INDEX(AG:AG,MATCH(AG172,$AA:$AA,0)+6)+INDEX(AG:AG,MATCH(AG172,$AA:$AA,0)+7))</f>
        <v>224</v>
      </c>
      <c r="AH175" s="369"/>
      <c r="AI175" s="368">
        <f>ABS(INDEX(AI:AI,MATCH(AI172,$AA:$AA,0)+5)+INDEX(AI:AI,MATCH(AI172,$AA:$AA,0)+6)+INDEX(AI:AI,MATCH(AI172,$AA:$AA,0)+7))</f>
        <v>212</v>
      </c>
      <c r="AJ175" s="369"/>
      <c r="AK175" s="368">
        <f>ABS(INDEX(AK:AK,MATCH(AK172,$AA:$AA,0)+5)+INDEX(AK:AK,MATCH(AK172,$AA:$AA,0)+6)+INDEX(AK:AK,MATCH(AK172,$AA:$AA,0)+7))</f>
        <v>215</v>
      </c>
      <c r="AL175" s="369"/>
      <c r="AM175" s="368">
        <f>ABS(INDEX(AM:AM,MATCH(AM172,$AA:$AA,0)+5)+INDEX(AM:AM,MATCH(AM172,$AA:$AA,0)+6)+INDEX(AM:AM,MATCH(AM172,$AA:$AA,0)+7))</f>
        <v>246</v>
      </c>
      <c r="AN175" s="369"/>
      <c r="AO175" s="368">
        <f>ABS(INDEX(AO:AO,MATCH(AO172,$AA:$AA,0)+5)+INDEX(AO:AO,MATCH(AO172,$AA:$AA,0)+6)+INDEX(AO:AO,MATCH(AO172,$AA:$AA,0)+7))</f>
        <v>0</v>
      </c>
      <c r="AP175" s="369"/>
      <c r="AQ175" s="368">
        <f>ABS(INDEX(AQ:AQ,MATCH(AQ172,$AA:$AA,0)+5)+INDEX(AQ:AQ,MATCH(AQ172,$AA:$AA,0)+6)+INDEX(AQ:AQ,MATCH(AQ172,$AA:$AA,0)+7))</f>
        <v>0</v>
      </c>
      <c r="AR175" s="369"/>
      <c r="AS175" s="368">
        <f>ABS(INDEX(AS:AS,MATCH(AS172,$AA:$AA,0)+5)+INDEX(AS:AS,MATCH(AS172,$AA:$AA,0)+6)+INDEX(AS:AS,MATCH(AS172,$AA:$AA,0)+7))</f>
        <v>0</v>
      </c>
      <c r="AT175" s="369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4" t="str">
        <f t="shared" si="208"/>
        <v>Spieler 2</v>
      </c>
      <c r="C176" s="375" t="str">
        <f t="shared" si="208"/>
        <v/>
      </c>
      <c r="D176" s="362">
        <f>IF(AC176=301,"",AC176)</f>
        <v>159</v>
      </c>
      <c r="E176" s="362" t="str">
        <f>IF(AD176=0,"",AD176)</f>
        <v/>
      </c>
      <c r="F176" s="362">
        <f>IF(AE176=301,"",AE176)</f>
        <v>158</v>
      </c>
      <c r="G176" s="362" t="str">
        <f>IF(AF176=0,"",AF176)</f>
        <v/>
      </c>
      <c r="H176" s="362">
        <f>IF(AG176=301,"",AG176)</f>
        <v>157</v>
      </c>
      <c r="I176" s="362" t="str">
        <f>IF(AH176=0,"",AH176)</f>
        <v/>
      </c>
      <c r="J176" s="362">
        <f>IF(AI176=301,"",AI176)</f>
        <v>176</v>
      </c>
      <c r="K176" s="362" t="str">
        <f>IF(AJ176=0,"",AJ176)</f>
        <v/>
      </c>
      <c r="L176" s="362">
        <f>IF(AK176=301,"",AK176)</f>
        <v>174</v>
      </c>
      <c r="M176" s="362" t="str">
        <f>IF(AL176=0,"",AL176)</f>
        <v/>
      </c>
      <c r="N176" s="362">
        <f>IF(AM176=301,"",AM176)</f>
        <v>174</v>
      </c>
      <c r="O176" s="362" t="str">
        <f>IF(AN176=0,"",AN176)</f>
        <v/>
      </c>
      <c r="P176" s="362">
        <f>IF(AO176=301,"",AO176)</f>
        <v>0</v>
      </c>
      <c r="Q176" s="362" t="str">
        <f>IF(AP176=0,"",AP176)</f>
        <v/>
      </c>
      <c r="R176" s="362">
        <f>IF(AQ176=301,"",AQ176)</f>
        <v>0</v>
      </c>
      <c r="S176" s="362" t="str">
        <f>IF(AR176=0,"",AR176)</f>
        <v/>
      </c>
      <c r="T176" s="362">
        <f>IF(AS176=301,"",AS176)</f>
        <v>0</v>
      </c>
      <c r="U176" s="362" t="str">
        <f>IF(AT176=0,"",AT176)</f>
        <v/>
      </c>
      <c r="V176" s="364"/>
      <c r="W176" s="364"/>
      <c r="AA176" s="91" t="s">
        <v>2</v>
      </c>
      <c r="AB176" s="92"/>
      <c r="AC176" s="366">
        <f>ABS(INDEX(AC:AC,MATCH(AC172,$AA:$AA,0)+8)+INDEX(AC:AC,MATCH(AC172,$AA:$AA,0)+9)+INDEX(AC:AC,MATCH(AC172,$AA:$AA,0)+10))</f>
        <v>159</v>
      </c>
      <c r="AD176" s="367"/>
      <c r="AE176" s="366">
        <f>ABS(INDEX(AE:AE,MATCH(AE172,$AA:$AA,0)+8)+INDEX(AE:AE,MATCH(AE172,$AA:$AA,0)+9)+INDEX(AE:AE,MATCH(AE172,$AA:$AA,0)+10))</f>
        <v>158</v>
      </c>
      <c r="AF176" s="367"/>
      <c r="AG176" s="366">
        <f>ABS(INDEX(AG:AG,MATCH(AG172,$AA:$AA,0)+8)+INDEX(AG:AG,MATCH(AG172,$AA:$AA,0)+9)+INDEX(AG:AG,MATCH(AG172,$AA:$AA,0)+10))</f>
        <v>157</v>
      </c>
      <c r="AH176" s="367"/>
      <c r="AI176" s="366">
        <f>ABS(INDEX(AI:AI,MATCH(AI172,$AA:$AA,0)+8)+INDEX(AI:AI,MATCH(AI172,$AA:$AA,0)+9)+INDEX(AI:AI,MATCH(AI172,$AA:$AA,0)+10))</f>
        <v>176</v>
      </c>
      <c r="AJ176" s="367"/>
      <c r="AK176" s="366">
        <f>ABS(INDEX(AK:AK,MATCH(AK172,$AA:$AA,0)+8)+INDEX(AK:AK,MATCH(AK172,$AA:$AA,0)+9)+INDEX(AK:AK,MATCH(AK172,$AA:$AA,0)+10))</f>
        <v>174</v>
      </c>
      <c r="AL176" s="367"/>
      <c r="AM176" s="366">
        <f>ABS(INDEX(AM:AM,MATCH(AM172,$AA:$AA,0)+8)+INDEX(AM:AM,MATCH(AM172,$AA:$AA,0)+9)+INDEX(AM:AM,MATCH(AM172,$AA:$AA,0)+10))</f>
        <v>174</v>
      </c>
      <c r="AN176" s="367"/>
      <c r="AO176" s="366">
        <f>ABS(INDEX(AO:AO,MATCH(AO172,$AA:$AA,0)+8)+INDEX(AO:AO,MATCH(AO172,$AA:$AA,0)+9)+INDEX(AO:AO,MATCH(AO172,$AA:$AA,0)+10))</f>
        <v>0</v>
      </c>
      <c r="AP176" s="367"/>
      <c r="AQ176" s="366">
        <f>ABS(INDEX(AQ:AQ,MATCH(AQ172,$AA:$AA,0)+8)+INDEX(AQ:AQ,MATCH(AQ172,$AA:$AA,0)+9)+INDEX(AQ:AQ,MATCH(AQ172,$AA:$AA,0)+10))</f>
        <v>0</v>
      </c>
      <c r="AR176" s="367"/>
      <c r="AS176" s="366">
        <f>ABS(INDEX(AS:AS,MATCH(AS172,$AA:$AA,0)+8)+INDEX(AS:AS,MATCH(AS172,$AA:$AA,0)+9)+INDEX(AS:AS,MATCH(AS172,$AA:$AA,0)+10))</f>
        <v>0</v>
      </c>
      <c r="AT176" s="367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4" t="str">
        <f t="shared" si="208"/>
        <v>Spieler 3</v>
      </c>
      <c r="C177" s="375" t="str">
        <f t="shared" si="208"/>
        <v/>
      </c>
      <c r="D177" s="362">
        <f>IF(AC177=301,"",AC177)</f>
        <v>213</v>
      </c>
      <c r="E177" s="362" t="str">
        <f>IF(AD177=0,"",AD177)</f>
        <v/>
      </c>
      <c r="F177" s="362">
        <f>IF(AE177=301,"",AE177)</f>
        <v>221</v>
      </c>
      <c r="G177" s="362" t="str">
        <f>IF(AF177=0,"",AF177)</f>
        <v/>
      </c>
      <c r="H177" s="362">
        <f>IF(AG177=301,"",AG177)</f>
        <v>220</v>
      </c>
      <c r="I177" s="362" t="str">
        <f>IF(AH177=0,"",AH177)</f>
        <v/>
      </c>
      <c r="J177" s="362">
        <f>IF(AI177=301,"",AI177)</f>
        <v>214</v>
      </c>
      <c r="K177" s="362" t="str">
        <f>IF(AJ177=0,"",AJ177)</f>
        <v/>
      </c>
      <c r="L177" s="362">
        <f>IF(AK177=301,"",AK177)</f>
        <v>182</v>
      </c>
      <c r="M177" s="362" t="str">
        <f>IF(AL177=0,"",AL177)</f>
        <v/>
      </c>
      <c r="N177" s="362">
        <f>IF(AM177=301,"",AM177)</f>
        <v>161</v>
      </c>
      <c r="O177" s="362" t="str">
        <f>IF(AN177=0,"",AN177)</f>
        <v/>
      </c>
      <c r="P177" s="362">
        <f>IF(AO177=301,"",AO177)</f>
        <v>0</v>
      </c>
      <c r="Q177" s="362" t="str">
        <f>IF(AP177=0,"",AP177)</f>
        <v/>
      </c>
      <c r="R177" s="362">
        <f>IF(AQ177=301,"",AQ177)</f>
        <v>0</v>
      </c>
      <c r="S177" s="362" t="str">
        <f>IF(AR177=0,"",AR177)</f>
        <v/>
      </c>
      <c r="T177" s="362">
        <f>IF(AS177=301,"",AS177)</f>
        <v>0</v>
      </c>
      <c r="U177" s="362" t="str">
        <f>IF(AT177=0,"",AT177)</f>
        <v/>
      </c>
      <c r="V177" s="364"/>
      <c r="W177" s="364"/>
      <c r="AA177" s="91" t="s">
        <v>3</v>
      </c>
      <c r="AB177" s="92"/>
      <c r="AC177" s="366">
        <f>ABS(INDEX(AC:AC,MATCH(AC172,$AA:$AA,0)+11)+INDEX(AC:AC,MATCH(AC172,$AA:$AA,0)+12)+INDEX(AC:AC,MATCH(AC172,$AA:$AA,0)+13))</f>
        <v>213</v>
      </c>
      <c r="AD177" s="367"/>
      <c r="AE177" s="366">
        <f>ABS(INDEX(AE:AE,MATCH(AE172,$AA:$AA,0)+11)+INDEX(AE:AE,MATCH(AE172,$AA:$AA,0)+12)+INDEX(AE:AE,MATCH(AE172,$AA:$AA,0)+13))</f>
        <v>221</v>
      </c>
      <c r="AF177" s="367"/>
      <c r="AG177" s="366">
        <f>ABS(INDEX(AG:AG,MATCH(AG172,$AA:$AA,0)+11)+INDEX(AG:AG,MATCH(AG172,$AA:$AA,0)+12)+INDEX(AG:AG,MATCH(AG172,$AA:$AA,0)+13))</f>
        <v>220</v>
      </c>
      <c r="AH177" s="367"/>
      <c r="AI177" s="366">
        <f>ABS(INDEX(AI:AI,MATCH(AI172,$AA:$AA,0)+11)+INDEX(AI:AI,MATCH(AI172,$AA:$AA,0)+12)+INDEX(AI:AI,MATCH(AI172,$AA:$AA,0)+13))</f>
        <v>214</v>
      </c>
      <c r="AJ177" s="367"/>
      <c r="AK177" s="366">
        <f>ABS(INDEX(AK:AK,MATCH(AK172,$AA:$AA,0)+11)+INDEX(AK:AK,MATCH(AK172,$AA:$AA,0)+12)+INDEX(AK:AK,MATCH(AK172,$AA:$AA,0)+13))</f>
        <v>182</v>
      </c>
      <c r="AL177" s="367"/>
      <c r="AM177" s="366">
        <f>ABS(INDEX(AM:AM,MATCH(AM172,$AA:$AA,0)+11)+INDEX(AM:AM,MATCH(AM172,$AA:$AA,0)+12)+INDEX(AM:AM,MATCH(AM172,$AA:$AA,0)+13))</f>
        <v>161</v>
      </c>
      <c r="AN177" s="367"/>
      <c r="AO177" s="366">
        <f>ABS(INDEX(AO:AO,MATCH(AO172,$AA:$AA,0)+11)+INDEX(AO:AO,MATCH(AO172,$AA:$AA,0)+12)+INDEX(AO:AO,MATCH(AO172,$AA:$AA,0)+13))</f>
        <v>0</v>
      </c>
      <c r="AP177" s="367"/>
      <c r="AQ177" s="366">
        <f>ABS(INDEX(AQ:AQ,MATCH(AQ172,$AA:$AA,0)+11)+INDEX(AQ:AQ,MATCH(AQ172,$AA:$AA,0)+12)+INDEX(AQ:AQ,MATCH(AQ172,$AA:$AA,0)+13))</f>
        <v>0</v>
      </c>
      <c r="AR177" s="367"/>
      <c r="AS177" s="366">
        <f>ABS(INDEX(AS:AS,MATCH(AS172,$AA:$AA,0)+11)+INDEX(AS:AS,MATCH(AS172,$AA:$AA,0)+12)+INDEX(AS:AS,MATCH(AS172,$AA:$AA,0)+13))</f>
        <v>0</v>
      </c>
      <c r="AT177" s="367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4" t="str">
        <f t="shared" si="208"/>
        <v>Spieler 4</v>
      </c>
      <c r="C178" s="375" t="str">
        <f t="shared" si="208"/>
        <v/>
      </c>
      <c r="D178" s="362">
        <f>IF(AC178=301,"",AC178)</f>
        <v>160</v>
      </c>
      <c r="E178" s="362" t="str">
        <f>IF(AD178=0,"",AD178)</f>
        <v/>
      </c>
      <c r="F178" s="362">
        <f>IF(AE178=301,"",AE178)</f>
        <v>167</v>
      </c>
      <c r="G178" s="362" t="str">
        <f>IF(AF178=0,"",AF178)</f>
        <v/>
      </c>
      <c r="H178" s="362">
        <f>IF(AG178=301,"",AG178)</f>
        <v>184</v>
      </c>
      <c r="I178" s="362" t="str">
        <f>IF(AH178=0,"",AH178)</f>
        <v/>
      </c>
      <c r="J178" s="362">
        <f>IF(AI178=301,"",AI178)</f>
        <v>146</v>
      </c>
      <c r="K178" s="362" t="str">
        <f>IF(AJ178=0,"",AJ178)</f>
        <v/>
      </c>
      <c r="L178" s="362">
        <f>IF(AK178=301,"",AK178)</f>
        <v>225</v>
      </c>
      <c r="M178" s="362" t="str">
        <f>IF(AL178=0,"",AL178)</f>
        <v/>
      </c>
      <c r="N178" s="362">
        <f>IF(AM178=301,"",AM178)</f>
        <v>184</v>
      </c>
      <c r="O178" s="362" t="str">
        <f>IF(AN178=0,"",AN178)</f>
        <v/>
      </c>
      <c r="P178" s="362">
        <f>IF(AO178=301,"",AO178)</f>
        <v>0</v>
      </c>
      <c r="Q178" s="362" t="str">
        <f>IF(AP178=0,"",AP178)</f>
        <v/>
      </c>
      <c r="R178" s="362">
        <f>IF(AQ178=301,"",AQ178)</f>
        <v>0</v>
      </c>
      <c r="S178" s="362" t="str">
        <f>IF(AR178=0,"",AR178)</f>
        <v/>
      </c>
      <c r="T178" s="362">
        <f>IF(AS178=301,"",AS178)</f>
        <v>0</v>
      </c>
      <c r="U178" s="362" t="str">
        <f>IF(AT178=0,"",AT178)</f>
        <v/>
      </c>
      <c r="V178" s="364"/>
      <c r="W178" s="364"/>
      <c r="AA178" s="91" t="s">
        <v>11</v>
      </c>
      <c r="AB178" s="92"/>
      <c r="AC178" s="366">
        <f>ABS(INDEX(AC:AC,MATCH(AC172,$AA:$AA,0)+14)+INDEX(AC:AC,MATCH(AC172,$AA:$AA,0)+15)+INDEX(AC:AC,MATCH(AC172,$AA:$AA,0)+16))</f>
        <v>160</v>
      </c>
      <c r="AD178" s="367"/>
      <c r="AE178" s="366">
        <f>ABS(INDEX(AE:AE,MATCH(AE172,$AA:$AA,0)+14)+INDEX(AE:AE,MATCH(AE172,$AA:$AA,0)+15)+INDEX(AE:AE,MATCH(AE172,$AA:$AA,0)+16))</f>
        <v>167</v>
      </c>
      <c r="AF178" s="367"/>
      <c r="AG178" s="366">
        <f>ABS(INDEX(AG:AG,MATCH(AG172,$AA:$AA,0)+14)+INDEX(AG:AG,MATCH(AG172,$AA:$AA,0)+15)+INDEX(AG:AG,MATCH(AG172,$AA:$AA,0)+16))</f>
        <v>184</v>
      </c>
      <c r="AH178" s="367"/>
      <c r="AI178" s="366">
        <f>ABS(INDEX(AI:AI,MATCH(AI172,$AA:$AA,0)+14)+INDEX(AI:AI,MATCH(AI172,$AA:$AA,0)+15)+INDEX(AI:AI,MATCH(AI172,$AA:$AA,0)+16))</f>
        <v>146</v>
      </c>
      <c r="AJ178" s="367"/>
      <c r="AK178" s="366">
        <f>ABS(INDEX(AK:AK,MATCH(AK172,$AA:$AA,0)+14)+INDEX(AK:AK,MATCH(AK172,$AA:$AA,0)+15)+INDEX(AK:AK,MATCH(AK172,$AA:$AA,0)+16))</f>
        <v>225</v>
      </c>
      <c r="AL178" s="367"/>
      <c r="AM178" s="366">
        <f>ABS(INDEX(AM:AM,MATCH(AM172,$AA:$AA,0)+14)+INDEX(AM:AM,MATCH(AM172,$AA:$AA,0)+15)+INDEX(AM:AM,MATCH(AM172,$AA:$AA,0)+16))</f>
        <v>184</v>
      </c>
      <c r="AN178" s="367"/>
      <c r="AO178" s="366">
        <f>ABS(INDEX(AO:AO,MATCH(AO172,$AA:$AA,0)+14)+INDEX(AO:AO,MATCH(AO172,$AA:$AA,0)+15)+INDEX(AO:AO,MATCH(AO172,$AA:$AA,0)+16))</f>
        <v>0</v>
      </c>
      <c r="AP178" s="367"/>
      <c r="AQ178" s="366">
        <f>ABS(INDEX(AQ:AQ,MATCH(AQ172,$AA:$AA,0)+14)+INDEX(AQ:AQ,MATCH(AQ172,$AA:$AA,0)+15)+INDEX(AQ:AQ,MATCH(AQ172,$AA:$AA,0)+16))</f>
        <v>0</v>
      </c>
      <c r="AR178" s="367"/>
      <c r="AS178" s="366">
        <f>ABS(INDEX(AS:AS,MATCH(AS172,$AA:$AA,0)+14)+INDEX(AS:AS,MATCH(AS172,$AA:$AA,0)+15)+INDEX(AS:AS,MATCH(AS172,$AA:$AA,0)+16))</f>
        <v>0</v>
      </c>
      <c r="AT178" s="367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6" t="str">
        <f t="shared" si="208"/>
        <v>Gesamt</v>
      </c>
      <c r="C179" s="347" t="str">
        <f t="shared" si="208"/>
        <v/>
      </c>
      <c r="D179" s="365">
        <f>IF(AC179=1505,"",AC179)</f>
        <v>683</v>
      </c>
      <c r="E179" s="365" t="str">
        <f>IF(AD179=0,"",AD179)</f>
        <v/>
      </c>
      <c r="F179" s="365">
        <f>IF(AE179=1505,"",AE179)</f>
        <v>785</v>
      </c>
      <c r="G179" s="365" t="str">
        <f>IF(AF179=0,"",AF179)</f>
        <v/>
      </c>
      <c r="H179" s="365">
        <f>IF(AG179=1505,"",AG179)</f>
        <v>785</v>
      </c>
      <c r="I179" s="365" t="str">
        <f>IF(AH179=0,"",AH179)</f>
        <v/>
      </c>
      <c r="J179" s="365">
        <f>IF(AI179=1505,"",AI179)</f>
        <v>748</v>
      </c>
      <c r="K179" s="365" t="str">
        <f>IF(AJ179=0,"",AJ179)</f>
        <v/>
      </c>
      <c r="L179" s="365">
        <f>IF(AK179=1505,"",AK179)</f>
        <v>796</v>
      </c>
      <c r="M179" s="365" t="str">
        <f>IF(AL179=0,"",AL179)</f>
        <v/>
      </c>
      <c r="N179" s="365">
        <f>IF(AM179=1505,"",AM179)</f>
        <v>765</v>
      </c>
      <c r="O179" s="365" t="str">
        <f>IF(AN179=0,"",AN179)</f>
        <v/>
      </c>
      <c r="P179" s="365">
        <f>IF(AO179=1505,"",AO179)</f>
        <v>0</v>
      </c>
      <c r="Q179" s="365" t="str">
        <f>IF(AP179=0,"",AP179)</f>
        <v/>
      </c>
      <c r="R179" s="365">
        <f>IF(AQ179=1505,"",AQ179)</f>
        <v>0</v>
      </c>
      <c r="S179" s="365" t="str">
        <f>IF(AR179=0,"",AR179)</f>
        <v/>
      </c>
      <c r="T179" s="365">
        <f>IF(AS179=1505,"",AS179)</f>
        <v>0</v>
      </c>
      <c r="U179" s="365" t="str">
        <f>IF(AT179=0,"",AT179)</f>
        <v/>
      </c>
      <c r="V179" s="301"/>
      <c r="W179" s="301"/>
      <c r="AA179" s="93" t="s">
        <v>1799</v>
      </c>
      <c r="AB179" s="94"/>
      <c r="AC179" s="346">
        <f>SUM(AC175:AC178)</f>
        <v>683</v>
      </c>
      <c r="AD179" s="347"/>
      <c r="AE179" s="346">
        <f>SUM(AE175:AE178)</f>
        <v>785</v>
      </c>
      <c r="AF179" s="347"/>
      <c r="AG179" s="346">
        <f>SUM(AG175:AG178)</f>
        <v>785</v>
      </c>
      <c r="AH179" s="347"/>
      <c r="AI179" s="346">
        <f>SUM(AI175:AI178)</f>
        <v>748</v>
      </c>
      <c r="AJ179" s="347"/>
      <c r="AK179" s="346">
        <f>SUM(AK175:AK178)</f>
        <v>796</v>
      </c>
      <c r="AL179" s="347"/>
      <c r="AM179" s="346">
        <f>SUM(AM175:AM178)</f>
        <v>765</v>
      </c>
      <c r="AN179" s="347"/>
      <c r="AO179" s="346">
        <f>SUM(AO175:AO178)</f>
        <v>0</v>
      </c>
      <c r="AP179" s="347"/>
      <c r="AQ179" s="346">
        <f>SUM(AQ175:AQ178)</f>
        <v>0</v>
      </c>
      <c r="AR179" s="347"/>
      <c r="AS179" s="346">
        <f>SUM(AS175:AS178)</f>
        <v>0</v>
      </c>
      <c r="AT179" s="347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5" t="str">
        <f>AE181</f>
        <v>Bayernliga Herren</v>
      </c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48"/>
      <c r="S181" s="49" t="s">
        <v>1794</v>
      </c>
      <c r="T181" s="50"/>
      <c r="U181" s="341" t="str">
        <f>AT181</f>
        <v>05.04./06.04.</v>
      </c>
      <c r="V181" s="342"/>
      <c r="W181" s="343"/>
      <c r="X181" s="372"/>
      <c r="Y181" s="373"/>
      <c r="Z181" s="373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41" t="str">
        <f>VLOOKUP(AS182,Spielorte!$A$1:$C$6,2)</f>
        <v>05.04./06.04.</v>
      </c>
      <c r="AU181" s="342"/>
      <c r="AV181" s="34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4" t="str">
        <f>AE182</f>
        <v>Dettelbach Extreme Bowlingarena</v>
      </c>
      <c r="G182" s="344"/>
      <c r="H182" s="344"/>
      <c r="I182" s="344"/>
      <c r="J182" s="344"/>
      <c r="K182" s="344"/>
      <c r="L182" s="344"/>
      <c r="M182" s="344"/>
      <c r="N182" s="344"/>
      <c r="O182" s="344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Dettelbach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6" t="s">
        <v>1800</v>
      </c>
      <c r="E185" s="347"/>
      <c r="F185" s="346" t="s">
        <v>1801</v>
      </c>
      <c r="G185" s="347"/>
      <c r="H185" s="346" t="s">
        <v>1802</v>
      </c>
      <c r="I185" s="347"/>
      <c r="J185" s="346" t="s">
        <v>1803</v>
      </c>
      <c r="K185" s="347"/>
      <c r="L185" s="346" t="s">
        <v>1804</v>
      </c>
      <c r="M185" s="347"/>
      <c r="N185" s="346" t="s">
        <v>1805</v>
      </c>
      <c r="O185" s="347"/>
      <c r="P185" s="346" t="s">
        <v>1806</v>
      </c>
      <c r="Q185" s="347"/>
      <c r="R185" s="346" t="s">
        <v>1807</v>
      </c>
      <c r="S185" s="347"/>
      <c r="T185" s="346" t="s">
        <v>1808</v>
      </c>
      <c r="U185" s="347"/>
      <c r="V185" s="354" t="s">
        <v>1799</v>
      </c>
      <c r="W185" s="355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6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190</v>
      </c>
      <c r="E187" s="348">
        <f>IF(AD187="","",AD187)</f>
        <v>0.5</v>
      </c>
      <c r="F187" s="75">
        <f t="shared" ref="F187:F200" si="209">IF(AE187=0,"",AE187)</f>
        <v>242</v>
      </c>
      <c r="G187" s="348">
        <f>IF(AF187="","",AF187)</f>
        <v>0</v>
      </c>
      <c r="H187" s="75">
        <f t="shared" ref="H187:H200" si="210">IF(AG187=0,"",AG187)</f>
        <v>186</v>
      </c>
      <c r="I187" s="348">
        <f>IF(AH187="","",AH187)</f>
        <v>0</v>
      </c>
      <c r="J187" s="75">
        <f t="shared" ref="J187:J200" si="211">IF(AI187=0,"",AI187)</f>
        <v>147</v>
      </c>
      <c r="K187" s="348">
        <f>IF(AJ187="","",AJ187)</f>
        <v>0</v>
      </c>
      <c r="L187" s="75">
        <f t="shared" ref="L187:L200" si="212">IF(AK187=0,"",AK187)</f>
        <v>242</v>
      </c>
      <c r="M187" s="348">
        <f>IF(AL187="","",AL187)</f>
        <v>1</v>
      </c>
      <c r="N187" s="75">
        <f>IF(AM187=0,"",AM187)</f>
        <v>220</v>
      </c>
      <c r="O187" s="348">
        <f>IF(AN187="","",AN187)</f>
        <v>0</v>
      </c>
      <c r="P187" s="75" t="str">
        <f t="shared" ref="P187:P200" si="213">IF(AO187=0,"",AO187)</f>
        <v/>
      </c>
      <c r="Q187" s="348">
        <f>IF(AP187="","",AP187)</f>
        <v>0</v>
      </c>
      <c r="R187" s="75" t="str">
        <f t="shared" ref="R187:R200" si="214">IF(AQ187=0,"",AQ187)</f>
        <v/>
      </c>
      <c r="S187" s="348">
        <f>IF(AR187="","",AR187)</f>
        <v>0</v>
      </c>
      <c r="T187" s="75" t="str">
        <f t="shared" ref="T187:T200" si="215">IF(AS187=0,"",AS187)</f>
        <v/>
      </c>
      <c r="U187" s="348">
        <f>IF(AT187="","",AT187)</f>
        <v>0</v>
      </c>
      <c r="V187" s="75">
        <f t="shared" ref="V187:V200" si="216">IF(AU187=0,"",AU187)</f>
        <v>1227</v>
      </c>
      <c r="W187" s="348">
        <f>IF(AV187="","",AV187)</f>
        <v>1.5</v>
      </c>
      <c r="Z187" s="351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190</v>
      </c>
      <c r="AD187" s="109">
        <f>IF(SUM(AC187:AC189)+AC205=0,0,IF(SUM(AC187:AC189)=AC205,0.5,IF(SUM(AC187:AC189)&gt;AC205,1,0)))</f>
        <v>0.5</v>
      </c>
      <c r="AE187" s="185">
        <v>242</v>
      </c>
      <c r="AF187" s="109">
        <f>IF(SUM(AE187:AE189)+AE205=0,0,IF(SUM(AE187:AE189)=AE205,0.5,IF(SUM(AE187:AE189)&gt;AE205,1,0)))</f>
        <v>0</v>
      </c>
      <c r="AG187" s="185">
        <v>186</v>
      </c>
      <c r="AH187" s="109">
        <f>IF(SUM(AG187:AG189)+AG205=0,0,IF(SUM(AG187:AG189)=AG205,0.5,IF(SUM(AG187:AG189)&gt;AG205,1,0)))</f>
        <v>0</v>
      </c>
      <c r="AI187" s="185">
        <v>147</v>
      </c>
      <c r="AJ187" s="109">
        <f>IF(SUM(AI187:AI189)+AI205=0,0,IF(SUM(AI187:AI189)=AI205,0.5,IF(SUM(AI187:AI189)&gt;AI205,1,0)))</f>
        <v>0</v>
      </c>
      <c r="AK187" s="185">
        <v>242</v>
      </c>
      <c r="AL187" s="109">
        <f>IF(SUM(AK187:AK189)+AK205=0,0,IF(SUM(AK187:AK189)=AK205,0.5,IF(SUM(AK187:AK189)&gt;AK205,1,0)))</f>
        <v>1</v>
      </c>
      <c r="AM187" s="185">
        <v>220</v>
      </c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1227</v>
      </c>
      <c r="AV187" s="111">
        <f>SUM(AD187+AF187+AH187+AJ187+AL187+AN187+AP187+AR187+AT187)</f>
        <v>1.5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1227</v>
      </c>
      <c r="BF187" s="215">
        <f>COUNT(BH187:BP187)</f>
        <v>6</v>
      </c>
      <c r="BG187" s="215">
        <f>COUNTIF(BH187:BP187,"&gt;0")</f>
        <v>6</v>
      </c>
      <c r="BH187" s="215">
        <f t="shared" ref="BH187:BH198" si="218">IF(AC187=0,"",AC187)</f>
        <v>190</v>
      </c>
      <c r="BI187" s="215">
        <f t="shared" ref="BI187:BI198" si="219">IF(AE187=0,"",AE187)</f>
        <v>242</v>
      </c>
      <c r="BJ187" s="215">
        <f t="shared" ref="BJ187:BJ198" si="220">IF(AG187=0,"",AG187)</f>
        <v>186</v>
      </c>
      <c r="BK187" s="215">
        <f t="shared" ref="BK187:BK198" si="221">IF(AI187=0,"",AI187)</f>
        <v>147</v>
      </c>
      <c r="BL187" s="215">
        <f t="shared" ref="BL187:BL198" si="222">IF(AK187=0,"",AK187)</f>
        <v>242</v>
      </c>
      <c r="BM187" s="215">
        <f t="shared" ref="BM187:BM198" si="223">IF(AM187=0,"",AM187)</f>
        <v>220</v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242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1227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5">
      <c r="A188" s="377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9"/>
      <c r="F188" s="78" t="str">
        <f t="shared" si="209"/>
        <v/>
      </c>
      <c r="G188" s="349"/>
      <c r="H188" s="78" t="str">
        <f t="shared" si="210"/>
        <v/>
      </c>
      <c r="I188" s="349"/>
      <c r="J188" s="78" t="str">
        <f t="shared" si="211"/>
        <v/>
      </c>
      <c r="K188" s="349"/>
      <c r="L188" s="78" t="str">
        <f t="shared" si="212"/>
        <v/>
      </c>
      <c r="M188" s="349"/>
      <c r="N188" s="78" t="str">
        <f t="shared" ref="N188:N200" si="229">IF(AM188=0,"",AM188)</f>
        <v/>
      </c>
      <c r="O188" s="349"/>
      <c r="P188" s="78" t="str">
        <f t="shared" si="213"/>
        <v/>
      </c>
      <c r="Q188" s="349"/>
      <c r="R188" s="78" t="str">
        <f t="shared" si="214"/>
        <v/>
      </c>
      <c r="S188" s="349"/>
      <c r="T188" s="78" t="str">
        <f t="shared" si="215"/>
        <v/>
      </c>
      <c r="U188" s="349"/>
      <c r="V188" s="78" t="str">
        <f t="shared" si="216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3">
      <c r="A189" s="378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0"/>
      <c r="F189" s="69" t="str">
        <f t="shared" si="209"/>
        <v/>
      </c>
      <c r="G189" s="350"/>
      <c r="H189" s="69" t="str">
        <f t="shared" si="210"/>
        <v/>
      </c>
      <c r="I189" s="350"/>
      <c r="J189" s="69" t="str">
        <f t="shared" si="211"/>
        <v/>
      </c>
      <c r="K189" s="350"/>
      <c r="L189" s="69" t="str">
        <f t="shared" si="212"/>
        <v/>
      </c>
      <c r="M189" s="350"/>
      <c r="N189" s="69" t="str">
        <f t="shared" si="229"/>
        <v/>
      </c>
      <c r="O189" s="350"/>
      <c r="P189" s="69" t="str">
        <f t="shared" si="213"/>
        <v/>
      </c>
      <c r="Q189" s="350"/>
      <c r="R189" s="69" t="str">
        <f t="shared" si="214"/>
        <v/>
      </c>
      <c r="S189" s="350"/>
      <c r="T189" s="69" t="str">
        <f t="shared" si="215"/>
        <v/>
      </c>
      <c r="U189" s="350"/>
      <c r="V189" s="69" t="str">
        <f t="shared" si="216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5">
      <c r="A190" s="376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231</v>
      </c>
      <c r="E190" s="348">
        <f>IF(AD190="","",AD190)</f>
        <v>1</v>
      </c>
      <c r="F190" s="75">
        <f t="shared" si="209"/>
        <v>180</v>
      </c>
      <c r="G190" s="348">
        <f>IF(AF190="","",AF190)</f>
        <v>0</v>
      </c>
      <c r="H190" s="75">
        <f t="shared" si="210"/>
        <v>213</v>
      </c>
      <c r="I190" s="348">
        <f>IF(AH190="","",AH190)</f>
        <v>1</v>
      </c>
      <c r="J190" s="75">
        <f t="shared" si="211"/>
        <v>196</v>
      </c>
      <c r="K190" s="348">
        <f>IF(AJ190="","",AJ190)</f>
        <v>1</v>
      </c>
      <c r="L190" s="75">
        <f t="shared" si="212"/>
        <v>186</v>
      </c>
      <c r="M190" s="348">
        <f>IF(AL190="","",AL190)</f>
        <v>0</v>
      </c>
      <c r="N190" s="75">
        <f t="shared" si="229"/>
        <v>212</v>
      </c>
      <c r="O190" s="348">
        <f>IF(AN190="","",AN190)</f>
        <v>1</v>
      </c>
      <c r="P190" s="75" t="str">
        <f t="shared" si="213"/>
        <v/>
      </c>
      <c r="Q190" s="348">
        <f>IF(AP190="","",AP190)</f>
        <v>0</v>
      </c>
      <c r="R190" s="75" t="str">
        <f t="shared" si="214"/>
        <v/>
      </c>
      <c r="S190" s="348">
        <f>IF(AR190="","",AR190)</f>
        <v>0</v>
      </c>
      <c r="T190" s="75" t="str">
        <f t="shared" si="215"/>
        <v/>
      </c>
      <c r="U190" s="348">
        <f>IF(AT190="","",AT190)</f>
        <v>0</v>
      </c>
      <c r="V190" s="75">
        <f t="shared" si="216"/>
        <v>1218</v>
      </c>
      <c r="W190" s="348">
        <f>IF(AV190="","",AV190)</f>
        <v>4</v>
      </c>
      <c r="Z190" s="351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231</v>
      </c>
      <c r="AD190" s="109">
        <f>IF(SUM(AC190:AC192)+AC206=0,0,IF(SUM(AC190:AC192)=AC206,0.5,IF(SUM(AC190:AC192)&gt;AC206,1,0)))</f>
        <v>1</v>
      </c>
      <c r="AE190" s="188">
        <v>180</v>
      </c>
      <c r="AF190" s="109">
        <f>IF(SUM(AE190:AE192)+AE206=0,0,IF(SUM(AE190:AE192)=AE206,0.5,IF(SUM(AE190:AE192)&gt;AE206,1,0)))</f>
        <v>0</v>
      </c>
      <c r="AG190" s="188">
        <v>213</v>
      </c>
      <c r="AH190" s="109">
        <f>IF(SUM(AG190:AG192)+AG206=0,0,IF(SUM(AG190:AG192)=AG206,0.5,IF(SUM(AG190:AG192)&gt;AG206,1,0)))</f>
        <v>1</v>
      </c>
      <c r="AI190" s="188">
        <v>196</v>
      </c>
      <c r="AJ190" s="109">
        <f>IF(SUM(AI190:AI192)+AI206=0,0,IF(SUM(AI190:AI192)=AI206,0.5,IF(SUM(AI190:AI192)&gt;AI206,1,0)))</f>
        <v>1</v>
      </c>
      <c r="AK190" s="188">
        <v>186</v>
      </c>
      <c r="AL190" s="109">
        <f>IF(SUM(AK190:AK192)+AK206=0,0,IF(SUM(AK190:AK192)=AK206,0.5,IF(SUM(AK190:AK192)&gt;AK206,1,0)))</f>
        <v>0</v>
      </c>
      <c r="AM190" s="188">
        <v>212</v>
      </c>
      <c r="AN190" s="109">
        <f>IF(ABS(SUM(AM190:AM192))+AM206=0,0,IF(ABS(SUM(AM190:AM192))=AM206,0.5,IF(ABS(SUM(AM190:AM192))&gt;AM206,1,0)))</f>
        <v>1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1218</v>
      </c>
      <c r="AV190" s="111">
        <f>SUM(AD190+AF190+AH190+AJ190+AL190+AN190+AP190+AR190+AT190)</f>
        <v>4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1218</v>
      </c>
      <c r="BF190" s="215">
        <f t="shared" si="232"/>
        <v>6</v>
      </c>
      <c r="BG190" s="215">
        <f t="shared" si="233"/>
        <v>6</v>
      </c>
      <c r="BH190" s="215">
        <f t="shared" si="218"/>
        <v>231</v>
      </c>
      <c r="BI190" s="215">
        <f t="shared" si="219"/>
        <v>180</v>
      </c>
      <c r="BJ190" s="215">
        <f t="shared" si="220"/>
        <v>213</v>
      </c>
      <c r="BK190" s="215">
        <f t="shared" si="221"/>
        <v>196</v>
      </c>
      <c r="BL190" s="215">
        <f t="shared" si="222"/>
        <v>186</v>
      </c>
      <c r="BM190" s="215">
        <f t="shared" si="223"/>
        <v>212</v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231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2</v>
      </c>
      <c r="BW190" s="215">
        <f t="shared" si="238"/>
        <v>1218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5">
      <c r="A191" s="377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9"/>
      <c r="F191" s="78" t="str">
        <f t="shared" si="209"/>
        <v/>
      </c>
      <c r="G191" s="349"/>
      <c r="H191" s="78" t="str">
        <f t="shared" si="210"/>
        <v/>
      </c>
      <c r="I191" s="349"/>
      <c r="J191" s="78" t="str">
        <f t="shared" si="211"/>
        <v/>
      </c>
      <c r="K191" s="349"/>
      <c r="L191" s="78" t="str">
        <f t="shared" si="212"/>
        <v/>
      </c>
      <c r="M191" s="349"/>
      <c r="N191" s="78" t="str">
        <f t="shared" si="229"/>
        <v/>
      </c>
      <c r="O191" s="349"/>
      <c r="P191" s="78" t="str">
        <f t="shared" si="213"/>
        <v/>
      </c>
      <c r="Q191" s="349"/>
      <c r="R191" s="78" t="str">
        <f t="shared" si="214"/>
        <v/>
      </c>
      <c r="S191" s="349"/>
      <c r="T191" s="78" t="str">
        <f t="shared" si="215"/>
        <v/>
      </c>
      <c r="U191" s="349"/>
      <c r="V191" s="78" t="str">
        <f t="shared" si="216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3">
      <c r="A192" s="378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0"/>
      <c r="F192" s="69" t="str">
        <f t="shared" si="209"/>
        <v/>
      </c>
      <c r="G192" s="350"/>
      <c r="H192" s="69" t="str">
        <f t="shared" si="210"/>
        <v/>
      </c>
      <c r="I192" s="350"/>
      <c r="J192" s="69" t="str">
        <f t="shared" si="211"/>
        <v/>
      </c>
      <c r="K192" s="350"/>
      <c r="L192" s="69" t="str">
        <f t="shared" si="212"/>
        <v/>
      </c>
      <c r="M192" s="350"/>
      <c r="N192" s="69" t="str">
        <f t="shared" si="229"/>
        <v/>
      </c>
      <c r="O192" s="350"/>
      <c r="P192" s="69" t="str">
        <f t="shared" si="213"/>
        <v/>
      </c>
      <c r="Q192" s="350"/>
      <c r="R192" s="69" t="str">
        <f t="shared" si="214"/>
        <v/>
      </c>
      <c r="S192" s="350"/>
      <c r="T192" s="69" t="str">
        <f t="shared" si="215"/>
        <v/>
      </c>
      <c r="U192" s="350"/>
      <c r="V192" s="69" t="str">
        <f t="shared" si="216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5">
      <c r="A193" s="376" t="s">
        <v>3</v>
      </c>
      <c r="B193" s="73" t="str">
        <f t="shared" si="228"/>
        <v>Schütze, Oliver</v>
      </c>
      <c r="C193" s="74">
        <f t="shared" si="228"/>
        <v>38550</v>
      </c>
      <c r="D193" s="75">
        <f t="shared" si="228"/>
        <v>244</v>
      </c>
      <c r="E193" s="348">
        <f>IF(AD193="","",AD193)</f>
        <v>1</v>
      </c>
      <c r="F193" s="75">
        <f t="shared" si="209"/>
        <v>191</v>
      </c>
      <c r="G193" s="348">
        <f>IF(AF193="","",AF193)</f>
        <v>1</v>
      </c>
      <c r="H193" s="75">
        <f t="shared" si="210"/>
        <v>171</v>
      </c>
      <c r="I193" s="348">
        <f>IF(AH193="","",AH193)</f>
        <v>1</v>
      </c>
      <c r="J193" s="75">
        <f t="shared" si="211"/>
        <v>198</v>
      </c>
      <c r="K193" s="348">
        <f>IF(AJ193="","",AJ193)</f>
        <v>1</v>
      </c>
      <c r="L193" s="75">
        <f t="shared" si="212"/>
        <v>246</v>
      </c>
      <c r="M193" s="348">
        <f>IF(AL193="","",AL193)</f>
        <v>1</v>
      </c>
      <c r="N193" s="75">
        <f t="shared" si="229"/>
        <v>210</v>
      </c>
      <c r="O193" s="348">
        <f>IF(AN193="","",AN193)</f>
        <v>1</v>
      </c>
      <c r="P193" s="75" t="str">
        <f t="shared" si="213"/>
        <v/>
      </c>
      <c r="Q193" s="348">
        <f>IF(AP193="","",AP193)</f>
        <v>0</v>
      </c>
      <c r="R193" s="75" t="str">
        <f t="shared" si="214"/>
        <v/>
      </c>
      <c r="S193" s="348">
        <f>IF(AR193="","",AR193)</f>
        <v>0</v>
      </c>
      <c r="T193" s="75" t="str">
        <f t="shared" si="215"/>
        <v/>
      </c>
      <c r="U193" s="348">
        <f>IF(AT193="","",AT193)</f>
        <v>0</v>
      </c>
      <c r="V193" s="75">
        <f t="shared" si="216"/>
        <v>1260</v>
      </c>
      <c r="W193" s="348">
        <f>IF(AV193="","",AV193)</f>
        <v>6</v>
      </c>
      <c r="Z193" s="351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244</v>
      </c>
      <c r="AD193" s="109">
        <f>IF(SUM(AC193:AC195)+AC207=0,0,IF(SUM(AC193:AC195)=AC207,0.5,IF(SUM(AC193:AC195)&gt;AC207,1,0)))</f>
        <v>1</v>
      </c>
      <c r="AE193" s="188">
        <v>191</v>
      </c>
      <c r="AF193" s="109">
        <f>IF(SUM(AE193:AE195)+AE207=0,0,IF(SUM(AE193:AE195)=AE207,0.5,IF(SUM(AE193:AE195)&gt;AE207,1,0)))</f>
        <v>1</v>
      </c>
      <c r="AG193" s="188">
        <v>171</v>
      </c>
      <c r="AH193" s="109">
        <f>IF(SUM(AG193:AG195)+AG207=0,0,IF(SUM(AG193:AG195)=AG207,0.5,IF(SUM(AG193:AG195)&gt;AG207,1,0)))</f>
        <v>1</v>
      </c>
      <c r="AI193" s="188">
        <v>198</v>
      </c>
      <c r="AJ193" s="109">
        <f>IF(SUM(AI193:AI195)+AI207=0,0,IF(SUM(AI193:AI195)=AI207,0.5,IF(SUM(AI193:AI195)&gt;AI207,1,0)))</f>
        <v>1</v>
      </c>
      <c r="AK193" s="188">
        <v>246</v>
      </c>
      <c r="AL193" s="109">
        <f>IF(SUM(AK193:AK195)+AK207=0,0,IF(SUM(AK193:AK195)=AK207,0.5,IF(SUM(AK193:AK195)&gt;AK207,1,0)))</f>
        <v>1</v>
      </c>
      <c r="AM193" s="188">
        <v>210</v>
      </c>
      <c r="AN193" s="109">
        <f>IF(SUM(AM193:AM195)+AM207=0,0,IF(SUM(AM193:AM195)=AM207,0.5,IF(SUM(AM193:AM195)&gt;AM207,1,0)))</f>
        <v>1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1260</v>
      </c>
      <c r="AV193" s="111">
        <f>SUM(AD193+AF193+AH193+AJ193+AL193+AN193+AP193+AR193+AT193)</f>
        <v>6</v>
      </c>
      <c r="AW193" s="101"/>
      <c r="AX193" s="102"/>
      <c r="AZ193" s="63"/>
      <c r="BA193" s="212"/>
      <c r="BB193" s="213"/>
      <c r="BC193" s="214"/>
      <c r="BD193" s="217">
        <f t="shared" si="230"/>
        <v>38550</v>
      </c>
      <c r="BE193" s="213">
        <f t="shared" si="231"/>
        <v>1260</v>
      </c>
      <c r="BF193" s="215">
        <f t="shared" si="232"/>
        <v>6</v>
      </c>
      <c r="BG193" s="215">
        <f t="shared" si="233"/>
        <v>6</v>
      </c>
      <c r="BH193" s="215">
        <f t="shared" si="218"/>
        <v>244</v>
      </c>
      <c r="BI193" s="215">
        <f t="shared" si="219"/>
        <v>191</v>
      </c>
      <c r="BJ193" s="215">
        <f t="shared" si="220"/>
        <v>171</v>
      </c>
      <c r="BK193" s="215">
        <f t="shared" si="221"/>
        <v>198</v>
      </c>
      <c r="BL193" s="215">
        <f t="shared" si="222"/>
        <v>246</v>
      </c>
      <c r="BM193" s="215">
        <f t="shared" si="223"/>
        <v>210</v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246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2</v>
      </c>
      <c r="BW193" s="215">
        <f t="shared" si="238"/>
        <v>1260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5">
      <c r="A194" s="377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9"/>
      <c r="F194" s="78" t="str">
        <f t="shared" si="209"/>
        <v/>
      </c>
      <c r="G194" s="349"/>
      <c r="H194" s="78" t="str">
        <f t="shared" si="210"/>
        <v/>
      </c>
      <c r="I194" s="349"/>
      <c r="J194" s="78" t="str">
        <f t="shared" si="211"/>
        <v/>
      </c>
      <c r="K194" s="349"/>
      <c r="L194" s="78" t="str">
        <f t="shared" si="212"/>
        <v/>
      </c>
      <c r="M194" s="349"/>
      <c r="N194" s="78" t="str">
        <f t="shared" si="229"/>
        <v/>
      </c>
      <c r="O194" s="349"/>
      <c r="P194" s="78" t="str">
        <f t="shared" si="213"/>
        <v/>
      </c>
      <c r="Q194" s="349"/>
      <c r="R194" s="78" t="str">
        <f t="shared" si="214"/>
        <v/>
      </c>
      <c r="S194" s="349"/>
      <c r="T194" s="78" t="str">
        <f t="shared" si="215"/>
        <v/>
      </c>
      <c r="U194" s="349"/>
      <c r="V194" s="78" t="str">
        <f t="shared" si="216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2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3">
      <c r="A195" s="378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0"/>
      <c r="F195" s="69" t="str">
        <f t="shared" si="209"/>
        <v/>
      </c>
      <c r="G195" s="350"/>
      <c r="H195" s="69" t="str">
        <f t="shared" si="210"/>
        <v/>
      </c>
      <c r="I195" s="350"/>
      <c r="J195" s="69" t="str">
        <f t="shared" si="211"/>
        <v/>
      </c>
      <c r="K195" s="350"/>
      <c r="L195" s="69" t="str">
        <f t="shared" si="212"/>
        <v/>
      </c>
      <c r="M195" s="350"/>
      <c r="N195" s="69" t="str">
        <f t="shared" si="229"/>
        <v/>
      </c>
      <c r="O195" s="350"/>
      <c r="P195" s="69" t="str">
        <f t="shared" si="213"/>
        <v/>
      </c>
      <c r="Q195" s="350"/>
      <c r="R195" s="69" t="str">
        <f t="shared" si="214"/>
        <v/>
      </c>
      <c r="S195" s="350"/>
      <c r="T195" s="69" t="str">
        <f t="shared" si="215"/>
        <v/>
      </c>
      <c r="U195" s="350"/>
      <c r="V195" s="69" t="str">
        <f t="shared" si="216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5">
      <c r="A196" s="376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245</v>
      </c>
      <c r="E196" s="348">
        <f>IF(AD196="","",AD196)</f>
        <v>1</v>
      </c>
      <c r="F196" s="75">
        <f t="shared" si="209"/>
        <v>212</v>
      </c>
      <c r="G196" s="348">
        <f>IF(AF196="","",AF196)</f>
        <v>0</v>
      </c>
      <c r="H196" s="75">
        <f t="shared" si="210"/>
        <v>244</v>
      </c>
      <c r="I196" s="348">
        <f>IF(AH196="","",AH196)</f>
        <v>1</v>
      </c>
      <c r="J196" s="75">
        <f t="shared" si="211"/>
        <v>237</v>
      </c>
      <c r="K196" s="348">
        <f>IF(AJ196="","",AJ196)</f>
        <v>1</v>
      </c>
      <c r="L196" s="75">
        <f t="shared" si="212"/>
        <v>192</v>
      </c>
      <c r="M196" s="348">
        <f>IF(AL196="","",AL196)</f>
        <v>0</v>
      </c>
      <c r="N196" s="75">
        <f t="shared" si="229"/>
        <v>221</v>
      </c>
      <c r="O196" s="348">
        <f>IF(AN196="","",AN196)</f>
        <v>1</v>
      </c>
      <c r="P196" s="75" t="str">
        <f t="shared" si="213"/>
        <v/>
      </c>
      <c r="Q196" s="348">
        <f>IF(AP196="","",AP196)</f>
        <v>0</v>
      </c>
      <c r="R196" s="75" t="str">
        <f t="shared" si="214"/>
        <v/>
      </c>
      <c r="S196" s="348">
        <f>IF(AR196="","",AR196)</f>
        <v>0</v>
      </c>
      <c r="T196" s="75" t="str">
        <f t="shared" si="215"/>
        <v/>
      </c>
      <c r="U196" s="348">
        <f>IF(AT196="","",AT196)</f>
        <v>0</v>
      </c>
      <c r="V196" s="75">
        <f t="shared" si="216"/>
        <v>1351</v>
      </c>
      <c r="W196" s="348">
        <f>IF(AV196="","",AV196)</f>
        <v>4</v>
      </c>
      <c r="Z196" s="351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245</v>
      </c>
      <c r="AD196" s="109">
        <f>IF(SUM(AC196:AC198)+AC208=0,0,IF(SUM(AC196:AC198)=AC208,0.5,IF(SUM(AC196:AC198)&gt;AC208,1,0)))</f>
        <v>1</v>
      </c>
      <c r="AE196" s="188">
        <v>212</v>
      </c>
      <c r="AF196" s="109">
        <f>IF(SUM(AE196:AE198)+AE208=0,0,IF(SUM(AE196:AE198)=AE208,0.5,IF(SUM(AE196:AE198)&gt;AE208,1,0)))</f>
        <v>0</v>
      </c>
      <c r="AG196" s="188">
        <v>244</v>
      </c>
      <c r="AH196" s="109">
        <f>IF(SUM(AG196:AG198)+AG208=0,0,IF(SUM(AG196:AG198)=AG208,0.5,IF(SUM(AG196:AG198)&gt;AG208,1,0)))</f>
        <v>1</v>
      </c>
      <c r="AI196" s="188">
        <v>237</v>
      </c>
      <c r="AJ196" s="109">
        <f>IF(SUM(AI196:AI198)+AI208=0,0,IF(SUM(AI196:AI198)=AI208,0.5,IF(SUM(AI196:AI198)&gt;AI208,1,0)))</f>
        <v>1</v>
      </c>
      <c r="AK196" s="188">
        <v>192</v>
      </c>
      <c r="AL196" s="109">
        <f>IF(SUM(AK196:AK198)+AK208=0,0,IF(SUM(AK196:AK198)=AK208,0.5,IF(SUM(AK196:AK198)&gt;AK208,1,0)))</f>
        <v>0</v>
      </c>
      <c r="AM196" s="188">
        <v>221</v>
      </c>
      <c r="AN196" s="109">
        <f>IF(SUM(AM196:AM198)+AM208=0,0,IF(SUM(AM196:AM198)=AM208,0.5,IF(SUM(AM196:AM198)&gt;AM208,1,0)))</f>
        <v>1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1351</v>
      </c>
      <c r="AV196" s="111">
        <f>SUM(AD196+AF196+AH196+AJ196+AL196+AN196+AP196+AR196+AT196)</f>
        <v>4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1351</v>
      </c>
      <c r="BF196" s="215">
        <f t="shared" si="232"/>
        <v>6</v>
      </c>
      <c r="BG196" s="215">
        <f t="shared" si="233"/>
        <v>6</v>
      </c>
      <c r="BH196" s="215">
        <f t="shared" si="218"/>
        <v>245</v>
      </c>
      <c r="BI196" s="215">
        <f t="shared" si="219"/>
        <v>212</v>
      </c>
      <c r="BJ196" s="215">
        <f t="shared" si="220"/>
        <v>244</v>
      </c>
      <c r="BK196" s="215">
        <f t="shared" si="221"/>
        <v>237</v>
      </c>
      <c r="BL196" s="215">
        <f t="shared" si="222"/>
        <v>192</v>
      </c>
      <c r="BM196" s="215">
        <f t="shared" si="223"/>
        <v>221</v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245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2</v>
      </c>
      <c r="BW196" s="215">
        <f t="shared" si="238"/>
        <v>1351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5">
      <c r="A197" s="377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9"/>
      <c r="F197" s="78" t="str">
        <f t="shared" si="209"/>
        <v/>
      </c>
      <c r="G197" s="349"/>
      <c r="H197" s="78" t="str">
        <f t="shared" si="210"/>
        <v/>
      </c>
      <c r="I197" s="349"/>
      <c r="J197" s="78" t="str">
        <f t="shared" si="211"/>
        <v/>
      </c>
      <c r="K197" s="349"/>
      <c r="L197" s="78" t="str">
        <f t="shared" si="212"/>
        <v/>
      </c>
      <c r="M197" s="349"/>
      <c r="N197" s="78" t="str">
        <f t="shared" si="229"/>
        <v/>
      </c>
      <c r="O197" s="349"/>
      <c r="P197" s="78" t="str">
        <f t="shared" si="213"/>
        <v/>
      </c>
      <c r="Q197" s="349"/>
      <c r="R197" s="78" t="str">
        <f t="shared" si="214"/>
        <v/>
      </c>
      <c r="S197" s="349"/>
      <c r="T197" s="78" t="str">
        <f t="shared" si="215"/>
        <v/>
      </c>
      <c r="U197" s="349"/>
      <c r="V197" s="78" t="str">
        <f t="shared" si="216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3">
      <c r="A198" s="378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0"/>
      <c r="F198" s="69" t="str">
        <f t="shared" si="209"/>
        <v/>
      </c>
      <c r="G198" s="350"/>
      <c r="H198" s="69" t="str">
        <f t="shared" si="210"/>
        <v/>
      </c>
      <c r="I198" s="350"/>
      <c r="J198" s="69" t="str">
        <f t="shared" si="211"/>
        <v/>
      </c>
      <c r="K198" s="350"/>
      <c r="L198" s="69" t="str">
        <f t="shared" si="212"/>
        <v/>
      </c>
      <c r="M198" s="350"/>
      <c r="N198" s="69" t="str">
        <f t="shared" si="229"/>
        <v/>
      </c>
      <c r="O198" s="350"/>
      <c r="P198" s="69" t="str">
        <f t="shared" si="213"/>
        <v/>
      </c>
      <c r="Q198" s="350"/>
      <c r="R198" s="69" t="str">
        <f t="shared" si="214"/>
        <v/>
      </c>
      <c r="S198" s="350"/>
      <c r="T198" s="69" t="str">
        <f t="shared" si="215"/>
        <v/>
      </c>
      <c r="U198" s="350"/>
      <c r="V198" s="69" t="str">
        <f t="shared" si="216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910</v>
      </c>
      <c r="E199" s="84">
        <f>IF(AD199="","",AD199)</f>
        <v>2</v>
      </c>
      <c r="F199" s="83">
        <f t="shared" si="209"/>
        <v>825</v>
      </c>
      <c r="G199" s="84">
        <f>IF(AF199="","",AF199)</f>
        <v>0</v>
      </c>
      <c r="H199" s="83">
        <f t="shared" si="210"/>
        <v>814</v>
      </c>
      <c r="I199" s="84">
        <f>IF(AH199="","",AH199)</f>
        <v>2</v>
      </c>
      <c r="J199" s="83">
        <f t="shared" si="211"/>
        <v>778</v>
      </c>
      <c r="K199" s="84">
        <f>IF(AJ199="","",AJ199)</f>
        <v>2</v>
      </c>
      <c r="L199" s="83">
        <f t="shared" si="212"/>
        <v>866</v>
      </c>
      <c r="M199" s="84">
        <f>IF(AL199="","",AL199)</f>
        <v>2</v>
      </c>
      <c r="N199" s="83">
        <f t="shared" si="229"/>
        <v>863</v>
      </c>
      <c r="O199" s="84">
        <f>IF(AN199="","",AN199)</f>
        <v>2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>
        <f t="shared" si="216"/>
        <v>5056</v>
      </c>
      <c r="W199" s="84">
        <f>IF(AV199="","",AV199)</f>
        <v>10</v>
      </c>
      <c r="AA199" s="81" t="s">
        <v>1799</v>
      </c>
      <c r="AB199" s="120"/>
      <c r="AC199" s="211">
        <f>ABS(SUM(AC187:AC189))+ABS(SUM(AC190:AC192))+ABS(SUM(AC193:AC195))+ABS(SUM(AC196:AC198))</f>
        <v>910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825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814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778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866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863</v>
      </c>
      <c r="AN199" s="121">
        <f>IF(AM199+AM209=0,0,IF(AM199=AM209,1,IF(AM199&gt;AM209,2,0)))</f>
        <v>2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5056</v>
      </c>
      <c r="AV199" s="123">
        <f>SUM(AD199+AF199+AH199+AJ199+AL199+AN199+AP199+AR199+AT199)</f>
        <v>10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5.5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5</v>
      </c>
      <c r="J200" s="86" t="str">
        <f t="shared" si="211"/>
        <v/>
      </c>
      <c r="K200" s="87">
        <f>IF(AJ200="","",AJ200)</f>
        <v>5</v>
      </c>
      <c r="L200" s="86" t="str">
        <f t="shared" si="212"/>
        <v/>
      </c>
      <c r="M200" s="87">
        <f>IF(AL200="","",AL200)</f>
        <v>4</v>
      </c>
      <c r="N200" s="86" t="str">
        <f t="shared" si="229"/>
        <v/>
      </c>
      <c r="O200" s="87">
        <f>IF(AN200="","",AN200)</f>
        <v>5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25.5</v>
      </c>
      <c r="AA200" s="85" t="s">
        <v>1814</v>
      </c>
      <c r="AB200" s="86"/>
      <c r="AC200" s="86"/>
      <c r="AD200" s="124">
        <f>SUM(AD187:AD199)</f>
        <v>5.5</v>
      </c>
      <c r="AE200" s="86"/>
      <c r="AF200" s="124">
        <f>SUM(AF187:AF199)</f>
        <v>1</v>
      </c>
      <c r="AG200" s="86"/>
      <c r="AH200" s="124">
        <f>SUM(AH187:AH199)</f>
        <v>5</v>
      </c>
      <c r="AI200" s="86"/>
      <c r="AJ200" s="124">
        <f>SUM(AJ187:AJ199)</f>
        <v>5</v>
      </c>
      <c r="AK200" s="86"/>
      <c r="AL200" s="124">
        <f>SUM(AL187:AL199)</f>
        <v>4</v>
      </c>
      <c r="AM200" s="86"/>
      <c r="AN200" s="124">
        <f>SUM(AN187:AN199)</f>
        <v>5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25.5</v>
      </c>
      <c r="AW200" s="101"/>
      <c r="AX200" s="102"/>
      <c r="BA200" s="212">
        <f>+AV200</f>
        <v>25.5</v>
      </c>
      <c r="BB200" s="213">
        <f>+AU199</f>
        <v>5056</v>
      </c>
      <c r="BC200" s="214">
        <f>+AA182</f>
        <v>7</v>
      </c>
      <c r="BF200" s="215">
        <f>SUM(BF181:BF199)</f>
        <v>24</v>
      </c>
      <c r="BQ200" s="212">
        <f>+BB200/1000000+BA200</f>
        <v>25.505056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6">
        <f t="shared" si="240"/>
        <v>1</v>
      </c>
      <c r="E202" s="356" t="str">
        <f t="shared" si="240"/>
        <v/>
      </c>
      <c r="F202" s="356">
        <f t="shared" si="240"/>
        <v>5</v>
      </c>
      <c r="G202" s="356" t="str">
        <f t="shared" si="240"/>
        <v/>
      </c>
      <c r="H202" s="356">
        <f t="shared" si="240"/>
        <v>9</v>
      </c>
      <c r="I202" s="356" t="str">
        <f t="shared" si="240"/>
        <v/>
      </c>
      <c r="J202" s="356">
        <f t="shared" si="240"/>
        <v>2</v>
      </c>
      <c r="K202" s="356" t="str">
        <f t="shared" si="240"/>
        <v/>
      </c>
      <c r="L202" s="356">
        <f t="shared" si="240"/>
        <v>10</v>
      </c>
      <c r="M202" s="356" t="str">
        <f t="shared" si="240"/>
        <v/>
      </c>
      <c r="N202" s="356">
        <f t="shared" si="240"/>
        <v>4</v>
      </c>
      <c r="O202" s="356" t="str">
        <f t="shared" si="240"/>
        <v/>
      </c>
      <c r="P202" s="356">
        <f t="shared" si="240"/>
        <v>6</v>
      </c>
      <c r="Q202" s="356" t="str">
        <f t="shared" si="240"/>
        <v/>
      </c>
      <c r="R202" s="356">
        <f t="shared" ref="L202:U204" si="241">IF(AQ202=0,"",AQ202)</f>
        <v>3</v>
      </c>
      <c r="S202" s="356" t="str">
        <f t="shared" si="241"/>
        <v/>
      </c>
      <c r="T202" s="356">
        <f t="shared" si="241"/>
        <v>8</v>
      </c>
      <c r="U202" s="356" t="str">
        <f t="shared" si="241"/>
        <v/>
      </c>
      <c r="V202" s="357"/>
      <c r="W202" s="357"/>
      <c r="AA202" s="88" t="s">
        <v>1797</v>
      </c>
      <c r="AB202" s="89" t="s">
        <v>1798</v>
      </c>
      <c r="AC202" s="370">
        <f>VLOOKUP($AA182,Schlüssel!$A$5:$DG$14,103)</f>
        <v>1</v>
      </c>
      <c r="AD202" s="371"/>
      <c r="AE202" s="370">
        <f>VLOOKUP($AA182,Schlüssel!$A$5:$EK$14,104)</f>
        <v>5</v>
      </c>
      <c r="AF202" s="371"/>
      <c r="AG202" s="370">
        <f>VLOOKUP($AA182,Schlüssel!$A$5:$EK$14,105)</f>
        <v>9</v>
      </c>
      <c r="AH202" s="371"/>
      <c r="AI202" s="370">
        <f>VLOOKUP($AA182,Schlüssel!$A$5:$EK$14,106)</f>
        <v>2</v>
      </c>
      <c r="AJ202" s="371"/>
      <c r="AK202" s="370">
        <f>VLOOKUP($AA182,Schlüssel!$A$5:$EK$14,107)</f>
        <v>10</v>
      </c>
      <c r="AL202" s="371"/>
      <c r="AM202" s="370">
        <f>VLOOKUP($AA182,Schlüssel!$A$5:$EK$14,108)</f>
        <v>4</v>
      </c>
      <c r="AN202" s="371"/>
      <c r="AO202" s="370">
        <f>VLOOKUP($AA182,Schlüssel!$A$5:$EK$14,109)</f>
        <v>6</v>
      </c>
      <c r="AP202" s="371"/>
      <c r="AQ202" s="370">
        <f>VLOOKUP($AA182,Schlüssel!$A$5:$EK$14,110)</f>
        <v>3</v>
      </c>
      <c r="AR202" s="371"/>
      <c r="AS202" s="370">
        <f>VLOOKUP($AA182,Schlüssel!$A$5:$EK$14,111)</f>
        <v>8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58" t="str">
        <f t="shared" si="242"/>
        <v>BC Comet Nürnberg</v>
      </c>
      <c r="E203" s="359" t="str">
        <f t="shared" si="242"/>
        <v/>
      </c>
      <c r="F203" s="358" t="str">
        <f t="shared" si="242"/>
        <v>RW Lichtenhof Stein 1</v>
      </c>
      <c r="G203" s="359" t="str">
        <f t="shared" si="242"/>
        <v/>
      </c>
      <c r="H203" s="358" t="str">
        <f t="shared" si="242"/>
        <v>Bowlinghaus Bamberg 1</v>
      </c>
      <c r="I203" s="359" t="str">
        <f t="shared" si="242"/>
        <v/>
      </c>
      <c r="J203" s="358" t="str">
        <f t="shared" si="242"/>
        <v>Bajuwaren München 1</v>
      </c>
      <c r="K203" s="359" t="str">
        <f t="shared" si="242"/>
        <v/>
      </c>
      <c r="L203" s="358" t="str">
        <f t="shared" si="241"/>
        <v>High Roller Rosenheim 1</v>
      </c>
      <c r="M203" s="359" t="str">
        <f t="shared" si="241"/>
        <v/>
      </c>
      <c r="N203" s="358" t="str">
        <f t="shared" si="241"/>
        <v>SG DJK Rimpar</v>
      </c>
      <c r="O203" s="359" t="str">
        <f t="shared" si="241"/>
        <v/>
      </c>
      <c r="P203" s="358" t="str">
        <f t="shared" si="241"/>
        <v>SG Rottendorf 1</v>
      </c>
      <c r="Q203" s="359" t="str">
        <f t="shared" si="241"/>
        <v/>
      </c>
      <c r="R203" s="358" t="str">
        <f t="shared" si="241"/>
        <v>BK München 3</v>
      </c>
      <c r="S203" s="359" t="str">
        <f t="shared" si="241"/>
        <v/>
      </c>
      <c r="T203" s="358" t="str">
        <f t="shared" si="241"/>
        <v>BC EMAX Unterföhring 2</v>
      </c>
      <c r="U203" s="359" t="str">
        <f t="shared" si="241"/>
        <v/>
      </c>
      <c r="V203" s="363"/>
      <c r="W203" s="363"/>
      <c r="AA203" s="90"/>
      <c r="AB203" s="86"/>
      <c r="AC203" s="358" t="str">
        <f>VLOOKUP(AC202,Schlüssel!$A$5:$K$14,2)</f>
        <v>BC Comet Nürnberg</v>
      </c>
      <c r="AD203" s="359"/>
      <c r="AE203" s="358" t="str">
        <f>VLOOKUP(AE202,Schlüssel!$A$5:$K$14,2)</f>
        <v>RW Lichtenhof Stein 1</v>
      </c>
      <c r="AF203" s="359"/>
      <c r="AG203" s="358" t="str">
        <f>VLOOKUP(AG202,Schlüssel!$A$5:$K$14,2)</f>
        <v>Bowlinghaus Bamberg 1</v>
      </c>
      <c r="AH203" s="359"/>
      <c r="AI203" s="358" t="str">
        <f>VLOOKUP(AI202,Schlüssel!$A$5:$K$14,2)</f>
        <v>Bajuwaren München 1</v>
      </c>
      <c r="AJ203" s="359"/>
      <c r="AK203" s="358" t="str">
        <f>VLOOKUP(AK202,Schlüssel!$A$5:$K$14,2)</f>
        <v>High Roller Rosenheim 1</v>
      </c>
      <c r="AL203" s="359"/>
      <c r="AM203" s="358" t="str">
        <f>VLOOKUP(AM202,Schlüssel!$A$5:$K$14,2)</f>
        <v>SG DJK Rimpar</v>
      </c>
      <c r="AN203" s="359"/>
      <c r="AO203" s="358" t="str">
        <f>VLOOKUP(AO202,Schlüssel!$A$5:$K$14,2)</f>
        <v>SG Rottendorf 1</v>
      </c>
      <c r="AP203" s="359"/>
      <c r="AQ203" s="358" t="str">
        <f>VLOOKUP(AQ202,Schlüssel!$A$5:$K$14,2)</f>
        <v>BK München 3</v>
      </c>
      <c r="AR203" s="359"/>
      <c r="AS203" s="358" t="str">
        <f>VLOOKUP(AS202,Schlüssel!$A$5:$K$14,2)</f>
        <v>BC EMAX Unterföhring 2</v>
      </c>
      <c r="AT203" s="359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60" t="str">
        <f t="shared" si="242"/>
        <v/>
      </c>
      <c r="E204" s="360" t="str">
        <f t="shared" si="242"/>
        <v/>
      </c>
      <c r="F204" s="360" t="str">
        <f t="shared" si="242"/>
        <v/>
      </c>
      <c r="G204" s="360" t="str">
        <f t="shared" si="242"/>
        <v/>
      </c>
      <c r="H204" s="360" t="str">
        <f t="shared" si="242"/>
        <v/>
      </c>
      <c r="I204" s="360" t="str">
        <f t="shared" si="242"/>
        <v/>
      </c>
      <c r="J204" s="360" t="str">
        <f t="shared" si="242"/>
        <v/>
      </c>
      <c r="K204" s="360" t="str">
        <f t="shared" si="242"/>
        <v/>
      </c>
      <c r="L204" s="360" t="str">
        <f t="shared" si="241"/>
        <v/>
      </c>
      <c r="M204" s="360" t="str">
        <f t="shared" si="241"/>
        <v/>
      </c>
      <c r="N204" s="360" t="str">
        <f t="shared" si="241"/>
        <v/>
      </c>
      <c r="O204" s="360" t="str">
        <f t="shared" si="241"/>
        <v/>
      </c>
      <c r="P204" s="360" t="str">
        <f t="shared" si="241"/>
        <v/>
      </c>
      <c r="Q204" s="360" t="str">
        <f t="shared" si="241"/>
        <v/>
      </c>
      <c r="R204" s="360" t="str">
        <f t="shared" si="241"/>
        <v/>
      </c>
      <c r="S204" s="360" t="str">
        <f t="shared" si="241"/>
        <v/>
      </c>
      <c r="T204" s="360" t="str">
        <f t="shared" si="241"/>
        <v/>
      </c>
      <c r="U204" s="361" t="str">
        <f t="shared" si="241"/>
        <v/>
      </c>
      <c r="V204" s="298"/>
      <c r="W204" s="298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4" t="str">
        <f t="shared" ref="B205:C209" si="243">IF(AA205=0,"",AA205)</f>
        <v>Spieler 1</v>
      </c>
      <c r="C205" s="375" t="str">
        <f t="shared" si="243"/>
        <v/>
      </c>
      <c r="D205" s="362">
        <f>IF(AC205=301,"",AC205)</f>
        <v>190</v>
      </c>
      <c r="E205" s="362" t="str">
        <f>IF(AD205=0,"",AD205)</f>
        <v/>
      </c>
      <c r="F205" s="362">
        <f>IF(AE205=301,"",AE205)</f>
        <v>247</v>
      </c>
      <c r="G205" s="362" t="str">
        <f>IF(AF205=0,"",AF205)</f>
        <v/>
      </c>
      <c r="H205" s="362">
        <f>IF(AG205=301,"",AG205)</f>
        <v>204</v>
      </c>
      <c r="I205" s="362" t="str">
        <f>IF(AH205=0,"",AH205)</f>
        <v/>
      </c>
      <c r="J205" s="362">
        <f>IF(AI205=301,"",AI205)</f>
        <v>223</v>
      </c>
      <c r="K205" s="362" t="str">
        <f>IF(AJ205=0,"",AJ205)</f>
        <v/>
      </c>
      <c r="L205" s="362">
        <f>IF(AK205=301,"",AK205)</f>
        <v>224</v>
      </c>
      <c r="M205" s="362" t="str">
        <f>IF(AL205=0,"",AL205)</f>
        <v/>
      </c>
      <c r="N205" s="362">
        <f>IF(AM205=301,"",AM205)</f>
        <v>237</v>
      </c>
      <c r="O205" s="362" t="str">
        <f>IF(AN205=0,"",AN205)</f>
        <v/>
      </c>
      <c r="P205" s="362">
        <f>IF(AO205=301,"",AO205)</f>
        <v>0</v>
      </c>
      <c r="Q205" s="362" t="str">
        <f>IF(AP205=0,"",AP205)</f>
        <v/>
      </c>
      <c r="R205" s="362">
        <f>IF(AQ205=301,"",AQ205)</f>
        <v>0</v>
      </c>
      <c r="S205" s="362" t="str">
        <f>IF(AR205=0,"",AR205)</f>
        <v/>
      </c>
      <c r="T205" s="362">
        <f>IF(AS205=301,"",AS205)</f>
        <v>0</v>
      </c>
      <c r="U205" s="362" t="str">
        <f>IF(AT205=0,"",AT205)</f>
        <v/>
      </c>
      <c r="V205" s="364"/>
      <c r="W205" s="364"/>
      <c r="AA205" s="91" t="s">
        <v>0</v>
      </c>
      <c r="AB205" s="92"/>
      <c r="AC205" s="368">
        <f>ABS(INDEX(AC:AC,MATCH(AC202,$AA:$AA,0)+5)+INDEX(AC:AC,MATCH(AC202,$AA:$AA,0)+6)+INDEX(AC:AC,MATCH(AC202,$AA:$AA,0)+7))</f>
        <v>190</v>
      </c>
      <c r="AD205" s="369"/>
      <c r="AE205" s="368">
        <f>ABS(INDEX(AE:AE,MATCH(AE202,$AA:$AA,0)+5)+INDEX(AE:AE,MATCH(AE202,$AA:$AA,0)+6)+INDEX(AE:AE,MATCH(AE202,$AA:$AA,0)+7))</f>
        <v>247</v>
      </c>
      <c r="AF205" s="369"/>
      <c r="AG205" s="368">
        <f>ABS(INDEX(AG:AG,MATCH(AG202,$AA:$AA,0)+5)+INDEX(AG:AG,MATCH(AG202,$AA:$AA,0)+6)+INDEX(AG:AG,MATCH(AG202,$AA:$AA,0)+7))</f>
        <v>204</v>
      </c>
      <c r="AH205" s="369"/>
      <c r="AI205" s="368">
        <f>ABS(INDEX(AI:AI,MATCH(AI202,$AA:$AA,0)+5)+INDEX(AI:AI,MATCH(AI202,$AA:$AA,0)+6)+INDEX(AI:AI,MATCH(AI202,$AA:$AA,0)+7))</f>
        <v>223</v>
      </c>
      <c r="AJ205" s="369"/>
      <c r="AK205" s="368">
        <f>ABS(INDEX(AK:AK,MATCH(AK202,$AA:$AA,0)+5)+INDEX(AK:AK,MATCH(AK202,$AA:$AA,0)+6)+INDEX(AK:AK,MATCH(AK202,$AA:$AA,0)+7))</f>
        <v>224</v>
      </c>
      <c r="AL205" s="369"/>
      <c r="AM205" s="368">
        <f>ABS(INDEX(AM:AM,MATCH(AM202,$AA:$AA,0)+5)+INDEX(AM:AM,MATCH(AM202,$AA:$AA,0)+6)+INDEX(AM:AM,MATCH(AM202,$AA:$AA,0)+7))</f>
        <v>237</v>
      </c>
      <c r="AN205" s="369"/>
      <c r="AO205" s="368">
        <f>ABS(INDEX(AO:AO,MATCH(AO202,$AA:$AA,0)+5)+INDEX(AO:AO,MATCH(AO202,$AA:$AA,0)+6)+INDEX(AO:AO,MATCH(AO202,$AA:$AA,0)+7))</f>
        <v>0</v>
      </c>
      <c r="AP205" s="369"/>
      <c r="AQ205" s="368">
        <f>ABS(INDEX(AQ:AQ,MATCH(AQ202,$AA:$AA,0)+5)+INDEX(AQ:AQ,MATCH(AQ202,$AA:$AA,0)+6)+INDEX(AQ:AQ,MATCH(AQ202,$AA:$AA,0)+7))</f>
        <v>0</v>
      </c>
      <c r="AR205" s="369"/>
      <c r="AS205" s="368">
        <f>ABS(INDEX(AS:AS,MATCH(AS202,$AA:$AA,0)+5)+INDEX(AS:AS,MATCH(AS202,$AA:$AA,0)+6)+INDEX(AS:AS,MATCH(AS202,$AA:$AA,0)+7))</f>
        <v>0</v>
      </c>
      <c r="AT205" s="369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4" t="str">
        <f t="shared" si="243"/>
        <v>Spieler 2</v>
      </c>
      <c r="C206" s="375" t="str">
        <f t="shared" si="243"/>
        <v/>
      </c>
      <c r="D206" s="362">
        <f>IF(AC206=301,"",AC206)</f>
        <v>214</v>
      </c>
      <c r="E206" s="362" t="str">
        <f>IF(AD206=0,"",AD206)</f>
        <v/>
      </c>
      <c r="F206" s="362">
        <f>IF(AE206=301,"",AE206)</f>
        <v>195</v>
      </c>
      <c r="G206" s="362" t="str">
        <f>IF(AF206=0,"",AF206)</f>
        <v/>
      </c>
      <c r="H206" s="362">
        <f>IF(AG206=301,"",AG206)</f>
        <v>159</v>
      </c>
      <c r="I206" s="362" t="str">
        <f>IF(AH206=0,"",AH206)</f>
        <v/>
      </c>
      <c r="J206" s="362">
        <f>IF(AI206=301,"",AI206)</f>
        <v>132</v>
      </c>
      <c r="K206" s="362" t="str">
        <f>IF(AJ206=0,"",AJ206)</f>
        <v/>
      </c>
      <c r="L206" s="362">
        <f>IF(AK206=301,"",AK206)</f>
        <v>264</v>
      </c>
      <c r="M206" s="362" t="str">
        <f>IF(AL206=0,"",AL206)</f>
        <v/>
      </c>
      <c r="N206" s="362">
        <f>IF(AM206=301,"",AM206)</f>
        <v>189</v>
      </c>
      <c r="O206" s="362" t="str">
        <f>IF(AN206=0,"",AN206)</f>
        <v/>
      </c>
      <c r="P206" s="362">
        <f>IF(AO206=301,"",AO206)</f>
        <v>0</v>
      </c>
      <c r="Q206" s="362" t="str">
        <f>IF(AP206=0,"",AP206)</f>
        <v/>
      </c>
      <c r="R206" s="362">
        <f>IF(AQ206=301,"",AQ206)</f>
        <v>0</v>
      </c>
      <c r="S206" s="362" t="str">
        <f>IF(AR206=0,"",AR206)</f>
        <v/>
      </c>
      <c r="T206" s="362">
        <f>IF(AS206=301,"",AS206)</f>
        <v>0</v>
      </c>
      <c r="U206" s="362" t="str">
        <f>IF(AT206=0,"",AT206)</f>
        <v/>
      </c>
      <c r="V206" s="364"/>
      <c r="W206" s="364"/>
      <c r="AA206" s="91" t="s">
        <v>2</v>
      </c>
      <c r="AB206" s="92"/>
      <c r="AC206" s="366">
        <f>ABS(INDEX(AC:AC,MATCH(AC202,$AA:$AA,0)+8)+INDEX(AC:AC,MATCH(AC202,$AA:$AA,0)+9)+INDEX(AC:AC,MATCH(AC202,$AA:$AA,0)+10))</f>
        <v>214</v>
      </c>
      <c r="AD206" s="367"/>
      <c r="AE206" s="366">
        <f>ABS(INDEX(AE:AE,MATCH(AE202,$AA:$AA,0)+8)+INDEX(AE:AE,MATCH(AE202,$AA:$AA,0)+9)+INDEX(AE:AE,MATCH(AE202,$AA:$AA,0)+10))</f>
        <v>195</v>
      </c>
      <c r="AF206" s="367"/>
      <c r="AG206" s="366">
        <f>ABS(INDEX(AG:AG,MATCH(AG202,$AA:$AA,0)+8)+INDEX(AG:AG,MATCH(AG202,$AA:$AA,0)+9)+INDEX(AG:AG,MATCH(AG202,$AA:$AA,0)+10))</f>
        <v>159</v>
      </c>
      <c r="AH206" s="367"/>
      <c r="AI206" s="366">
        <f>ABS(INDEX(AI:AI,MATCH(AI202,$AA:$AA,0)+8)+INDEX(AI:AI,MATCH(AI202,$AA:$AA,0)+9)+INDEX(AI:AI,MATCH(AI202,$AA:$AA,0)+10))</f>
        <v>132</v>
      </c>
      <c r="AJ206" s="367"/>
      <c r="AK206" s="366">
        <f>ABS(INDEX(AK:AK,MATCH(AK202,$AA:$AA,0)+8)+INDEX(AK:AK,MATCH(AK202,$AA:$AA,0)+9)+INDEX(AK:AK,MATCH(AK202,$AA:$AA,0)+10))</f>
        <v>264</v>
      </c>
      <c r="AL206" s="367"/>
      <c r="AM206" s="366">
        <f>ABS(INDEX(AM:AM,MATCH(AM202,$AA:$AA,0)+8)+INDEX(AM:AM,MATCH(AM202,$AA:$AA,0)+9)+INDEX(AM:AM,MATCH(AM202,$AA:$AA,0)+10))</f>
        <v>189</v>
      </c>
      <c r="AN206" s="367"/>
      <c r="AO206" s="366">
        <f>ABS(INDEX(AO:AO,MATCH(AO202,$AA:$AA,0)+8)+INDEX(AO:AO,MATCH(AO202,$AA:$AA,0)+9)+INDEX(AO:AO,MATCH(AO202,$AA:$AA,0)+10))</f>
        <v>0</v>
      </c>
      <c r="AP206" s="367"/>
      <c r="AQ206" s="366">
        <f>ABS(INDEX(AQ:AQ,MATCH(AQ202,$AA:$AA,0)+8)+INDEX(AQ:AQ,MATCH(AQ202,$AA:$AA,0)+9)+INDEX(AQ:AQ,MATCH(AQ202,$AA:$AA,0)+10))</f>
        <v>0</v>
      </c>
      <c r="AR206" s="367"/>
      <c r="AS206" s="366">
        <f>ABS(INDEX(AS:AS,MATCH(AS202,$AA:$AA,0)+8)+INDEX(AS:AS,MATCH(AS202,$AA:$AA,0)+9)+INDEX(AS:AS,MATCH(AS202,$AA:$AA,0)+10))</f>
        <v>0</v>
      </c>
      <c r="AT206" s="367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4" t="str">
        <f t="shared" si="243"/>
        <v>Spieler 3</v>
      </c>
      <c r="C207" s="375" t="str">
        <f t="shared" si="243"/>
        <v/>
      </c>
      <c r="D207" s="362">
        <f>IF(AC207=301,"",AC207)</f>
        <v>183</v>
      </c>
      <c r="E207" s="362" t="str">
        <f>IF(AD207=0,"",AD207)</f>
        <v/>
      </c>
      <c r="F207" s="362">
        <f>IF(AE207=301,"",AE207)</f>
        <v>190</v>
      </c>
      <c r="G207" s="362" t="str">
        <f>IF(AF207=0,"",AF207)</f>
        <v/>
      </c>
      <c r="H207" s="362">
        <f>IF(AG207=301,"",AG207)</f>
        <v>149</v>
      </c>
      <c r="I207" s="362" t="str">
        <f>IF(AH207=0,"",AH207)</f>
        <v/>
      </c>
      <c r="J207" s="362">
        <f>IF(AI207=301,"",AI207)</f>
        <v>187</v>
      </c>
      <c r="K207" s="362" t="str">
        <f>IF(AJ207=0,"",AJ207)</f>
        <v/>
      </c>
      <c r="L207" s="362">
        <f>IF(AK207=301,"",AK207)</f>
        <v>147</v>
      </c>
      <c r="M207" s="362" t="str">
        <f>IF(AL207=0,"",AL207)</f>
        <v/>
      </c>
      <c r="N207" s="362">
        <f>IF(AM207=301,"",AM207)</f>
        <v>150</v>
      </c>
      <c r="O207" s="362" t="str">
        <f>IF(AN207=0,"",AN207)</f>
        <v/>
      </c>
      <c r="P207" s="362">
        <f>IF(AO207=301,"",AO207)</f>
        <v>0</v>
      </c>
      <c r="Q207" s="362" t="str">
        <f>IF(AP207=0,"",AP207)</f>
        <v/>
      </c>
      <c r="R207" s="362">
        <f>IF(AQ207=301,"",AQ207)</f>
        <v>0</v>
      </c>
      <c r="S207" s="362" t="str">
        <f>IF(AR207=0,"",AR207)</f>
        <v/>
      </c>
      <c r="T207" s="362">
        <f>IF(AS207=301,"",AS207)</f>
        <v>0</v>
      </c>
      <c r="U207" s="362" t="str">
        <f>IF(AT207=0,"",AT207)</f>
        <v/>
      </c>
      <c r="V207" s="364"/>
      <c r="W207" s="364"/>
      <c r="AA207" s="91" t="s">
        <v>3</v>
      </c>
      <c r="AB207" s="92"/>
      <c r="AC207" s="366">
        <f>ABS(INDEX(AC:AC,MATCH(AC202,$AA:$AA,0)+11)+INDEX(AC:AC,MATCH(AC202,$AA:$AA,0)+12)+INDEX(AC:AC,MATCH(AC202,$AA:$AA,0)+13))</f>
        <v>183</v>
      </c>
      <c r="AD207" s="367"/>
      <c r="AE207" s="366">
        <f>ABS(INDEX(AE:AE,MATCH(AE202,$AA:$AA,0)+11)+INDEX(AE:AE,MATCH(AE202,$AA:$AA,0)+12)+INDEX(AE:AE,MATCH(AE202,$AA:$AA,0)+13))</f>
        <v>190</v>
      </c>
      <c r="AF207" s="367"/>
      <c r="AG207" s="366">
        <f>ABS(INDEX(AG:AG,MATCH(AG202,$AA:$AA,0)+11)+INDEX(AG:AG,MATCH(AG202,$AA:$AA,0)+12)+INDEX(AG:AG,MATCH(AG202,$AA:$AA,0)+13))</f>
        <v>149</v>
      </c>
      <c r="AH207" s="367"/>
      <c r="AI207" s="366">
        <f>ABS(INDEX(AI:AI,MATCH(AI202,$AA:$AA,0)+11)+INDEX(AI:AI,MATCH(AI202,$AA:$AA,0)+12)+INDEX(AI:AI,MATCH(AI202,$AA:$AA,0)+13))</f>
        <v>187</v>
      </c>
      <c r="AJ207" s="367"/>
      <c r="AK207" s="366">
        <f>ABS(INDEX(AK:AK,MATCH(AK202,$AA:$AA,0)+11)+INDEX(AK:AK,MATCH(AK202,$AA:$AA,0)+12)+INDEX(AK:AK,MATCH(AK202,$AA:$AA,0)+13))</f>
        <v>147</v>
      </c>
      <c r="AL207" s="367"/>
      <c r="AM207" s="366">
        <f>ABS(INDEX(AM:AM,MATCH(AM202,$AA:$AA,0)+11)+INDEX(AM:AM,MATCH(AM202,$AA:$AA,0)+12)+INDEX(AM:AM,MATCH(AM202,$AA:$AA,0)+13))</f>
        <v>150</v>
      </c>
      <c r="AN207" s="367"/>
      <c r="AO207" s="366">
        <f>ABS(INDEX(AO:AO,MATCH(AO202,$AA:$AA,0)+11)+INDEX(AO:AO,MATCH(AO202,$AA:$AA,0)+12)+INDEX(AO:AO,MATCH(AO202,$AA:$AA,0)+13))</f>
        <v>0</v>
      </c>
      <c r="AP207" s="367"/>
      <c r="AQ207" s="366">
        <f>ABS(INDEX(AQ:AQ,MATCH(AQ202,$AA:$AA,0)+11)+INDEX(AQ:AQ,MATCH(AQ202,$AA:$AA,0)+12)+INDEX(AQ:AQ,MATCH(AQ202,$AA:$AA,0)+13))</f>
        <v>0</v>
      </c>
      <c r="AR207" s="367"/>
      <c r="AS207" s="366">
        <f>ABS(INDEX(AS:AS,MATCH(AS202,$AA:$AA,0)+11)+INDEX(AS:AS,MATCH(AS202,$AA:$AA,0)+12)+INDEX(AS:AS,MATCH(AS202,$AA:$AA,0)+13))</f>
        <v>0</v>
      </c>
      <c r="AT207" s="367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4" t="str">
        <f t="shared" si="243"/>
        <v>Spieler 4</v>
      </c>
      <c r="C208" s="375" t="str">
        <f t="shared" si="243"/>
        <v/>
      </c>
      <c r="D208" s="362">
        <f>IF(AC208=301,"",AC208)</f>
        <v>226</v>
      </c>
      <c r="E208" s="362" t="str">
        <f>IF(AD208=0,"",AD208)</f>
        <v/>
      </c>
      <c r="F208" s="362">
        <f>IF(AE208=301,"",AE208)</f>
        <v>215</v>
      </c>
      <c r="G208" s="362" t="str">
        <f>IF(AF208=0,"",AF208)</f>
        <v/>
      </c>
      <c r="H208" s="362">
        <f>IF(AG208=301,"",AG208)</f>
        <v>188</v>
      </c>
      <c r="I208" s="362" t="str">
        <f>IF(AH208=0,"",AH208)</f>
        <v/>
      </c>
      <c r="J208" s="362">
        <f>IF(AI208=301,"",AI208)</f>
        <v>188</v>
      </c>
      <c r="K208" s="362" t="str">
        <f>IF(AJ208=0,"",AJ208)</f>
        <v/>
      </c>
      <c r="L208" s="362">
        <f>IF(AK208=301,"",AK208)</f>
        <v>226</v>
      </c>
      <c r="M208" s="362" t="str">
        <f>IF(AL208=0,"",AL208)</f>
        <v/>
      </c>
      <c r="N208" s="362">
        <f>IF(AM208=301,"",AM208)</f>
        <v>186</v>
      </c>
      <c r="O208" s="362" t="str">
        <f>IF(AN208=0,"",AN208)</f>
        <v/>
      </c>
      <c r="P208" s="362">
        <f>IF(AO208=301,"",AO208)</f>
        <v>0</v>
      </c>
      <c r="Q208" s="362" t="str">
        <f>IF(AP208=0,"",AP208)</f>
        <v/>
      </c>
      <c r="R208" s="362">
        <f>IF(AQ208=301,"",AQ208)</f>
        <v>0</v>
      </c>
      <c r="S208" s="362" t="str">
        <f>IF(AR208=0,"",AR208)</f>
        <v/>
      </c>
      <c r="T208" s="362">
        <f>IF(AS208=301,"",AS208)</f>
        <v>0</v>
      </c>
      <c r="U208" s="362" t="str">
        <f>IF(AT208=0,"",AT208)</f>
        <v/>
      </c>
      <c r="V208" s="364"/>
      <c r="W208" s="364"/>
      <c r="AA208" s="91" t="s">
        <v>11</v>
      </c>
      <c r="AB208" s="92"/>
      <c r="AC208" s="366">
        <f>ABS(INDEX(AC:AC,MATCH(AC202,$AA:$AA,0)+14)+INDEX(AC:AC,MATCH(AC202,$AA:$AA,0)+15)+INDEX(AC:AC,MATCH(AC202,$AA:$AA,0)+16))</f>
        <v>226</v>
      </c>
      <c r="AD208" s="367"/>
      <c r="AE208" s="366">
        <f>ABS(INDEX(AE:AE,MATCH(AE202,$AA:$AA,0)+14)+INDEX(AE:AE,MATCH(AE202,$AA:$AA,0)+15)+INDEX(AE:AE,MATCH(AE202,$AA:$AA,0)+16))</f>
        <v>215</v>
      </c>
      <c r="AF208" s="367"/>
      <c r="AG208" s="366">
        <f>ABS(INDEX(AG:AG,MATCH(AG202,$AA:$AA,0)+14)+INDEX(AG:AG,MATCH(AG202,$AA:$AA,0)+15)+INDEX(AG:AG,MATCH(AG202,$AA:$AA,0)+16))</f>
        <v>188</v>
      </c>
      <c r="AH208" s="367"/>
      <c r="AI208" s="366">
        <f>ABS(INDEX(AI:AI,MATCH(AI202,$AA:$AA,0)+14)+INDEX(AI:AI,MATCH(AI202,$AA:$AA,0)+15)+INDEX(AI:AI,MATCH(AI202,$AA:$AA,0)+16))</f>
        <v>188</v>
      </c>
      <c r="AJ208" s="367"/>
      <c r="AK208" s="366">
        <f>ABS(INDEX(AK:AK,MATCH(AK202,$AA:$AA,0)+14)+INDEX(AK:AK,MATCH(AK202,$AA:$AA,0)+15)+INDEX(AK:AK,MATCH(AK202,$AA:$AA,0)+16))</f>
        <v>226</v>
      </c>
      <c r="AL208" s="367"/>
      <c r="AM208" s="366">
        <f>ABS(INDEX(AM:AM,MATCH(AM202,$AA:$AA,0)+14)+INDEX(AM:AM,MATCH(AM202,$AA:$AA,0)+15)+INDEX(AM:AM,MATCH(AM202,$AA:$AA,0)+16))</f>
        <v>186</v>
      </c>
      <c r="AN208" s="367"/>
      <c r="AO208" s="366">
        <f>ABS(INDEX(AO:AO,MATCH(AO202,$AA:$AA,0)+14)+INDEX(AO:AO,MATCH(AO202,$AA:$AA,0)+15)+INDEX(AO:AO,MATCH(AO202,$AA:$AA,0)+16))</f>
        <v>0</v>
      </c>
      <c r="AP208" s="367"/>
      <c r="AQ208" s="366">
        <f>ABS(INDEX(AQ:AQ,MATCH(AQ202,$AA:$AA,0)+14)+INDEX(AQ:AQ,MATCH(AQ202,$AA:$AA,0)+15)+INDEX(AQ:AQ,MATCH(AQ202,$AA:$AA,0)+16))</f>
        <v>0</v>
      </c>
      <c r="AR208" s="367"/>
      <c r="AS208" s="366">
        <f>ABS(INDEX(AS:AS,MATCH(AS202,$AA:$AA,0)+14)+INDEX(AS:AS,MATCH(AS202,$AA:$AA,0)+15)+INDEX(AS:AS,MATCH(AS202,$AA:$AA,0)+16))</f>
        <v>0</v>
      </c>
      <c r="AT208" s="367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6" t="str">
        <f t="shared" si="243"/>
        <v>Gesamt</v>
      </c>
      <c r="C209" s="347" t="str">
        <f t="shared" si="243"/>
        <v/>
      </c>
      <c r="D209" s="365">
        <f>IF(AC209=1505,"",AC209)</f>
        <v>813</v>
      </c>
      <c r="E209" s="365" t="str">
        <f>IF(AD209=0,"",AD209)</f>
        <v/>
      </c>
      <c r="F209" s="365">
        <f>IF(AE209=1505,"",AE209)</f>
        <v>847</v>
      </c>
      <c r="G209" s="365" t="str">
        <f>IF(AF209=0,"",AF209)</f>
        <v/>
      </c>
      <c r="H209" s="365">
        <f>IF(AG209=1505,"",AG209)</f>
        <v>700</v>
      </c>
      <c r="I209" s="365" t="str">
        <f>IF(AH209=0,"",AH209)</f>
        <v/>
      </c>
      <c r="J209" s="365">
        <f>IF(AI209=1505,"",AI209)</f>
        <v>730</v>
      </c>
      <c r="K209" s="365" t="str">
        <f>IF(AJ209=0,"",AJ209)</f>
        <v/>
      </c>
      <c r="L209" s="365">
        <f>IF(AK209=1505,"",AK209)</f>
        <v>861</v>
      </c>
      <c r="M209" s="365" t="str">
        <f>IF(AL209=0,"",AL209)</f>
        <v/>
      </c>
      <c r="N209" s="365">
        <f>IF(AM209=1505,"",AM209)</f>
        <v>762</v>
      </c>
      <c r="O209" s="365" t="str">
        <f>IF(AN209=0,"",AN209)</f>
        <v/>
      </c>
      <c r="P209" s="365">
        <f>IF(AO209=1505,"",AO209)</f>
        <v>0</v>
      </c>
      <c r="Q209" s="365" t="str">
        <f>IF(AP209=0,"",AP209)</f>
        <v/>
      </c>
      <c r="R209" s="365">
        <f>IF(AQ209=1505,"",AQ209)</f>
        <v>0</v>
      </c>
      <c r="S209" s="365" t="str">
        <f>IF(AR209=0,"",AR209)</f>
        <v/>
      </c>
      <c r="T209" s="365">
        <f>IF(AS209=1505,"",AS209)</f>
        <v>0</v>
      </c>
      <c r="U209" s="365" t="str">
        <f>IF(AT209=0,"",AT209)</f>
        <v/>
      </c>
      <c r="V209" s="301"/>
      <c r="W209" s="301"/>
      <c r="AA209" s="93" t="s">
        <v>1799</v>
      </c>
      <c r="AB209" s="94"/>
      <c r="AC209" s="346">
        <f>SUM(AC205:AC208)</f>
        <v>813</v>
      </c>
      <c r="AD209" s="347"/>
      <c r="AE209" s="346">
        <f>SUM(AE205:AE208)</f>
        <v>847</v>
      </c>
      <c r="AF209" s="347"/>
      <c r="AG209" s="346">
        <f>SUM(AG205:AG208)</f>
        <v>700</v>
      </c>
      <c r="AH209" s="347"/>
      <c r="AI209" s="346">
        <f>SUM(AI205:AI208)</f>
        <v>730</v>
      </c>
      <c r="AJ209" s="347"/>
      <c r="AK209" s="346">
        <f>SUM(AK205:AK208)</f>
        <v>861</v>
      </c>
      <c r="AL209" s="347"/>
      <c r="AM209" s="346">
        <f>SUM(AM205:AM208)</f>
        <v>762</v>
      </c>
      <c r="AN209" s="347"/>
      <c r="AO209" s="346">
        <f>SUM(AO205:AO208)</f>
        <v>0</v>
      </c>
      <c r="AP209" s="347"/>
      <c r="AQ209" s="346">
        <f>SUM(AQ205:AQ208)</f>
        <v>0</v>
      </c>
      <c r="AR209" s="347"/>
      <c r="AS209" s="346">
        <f>SUM(AS205:AS208)</f>
        <v>0</v>
      </c>
      <c r="AT209" s="347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5" t="str">
        <f>AE211</f>
        <v>Bayernliga Herren</v>
      </c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48"/>
      <c r="S211" s="49" t="s">
        <v>1794</v>
      </c>
      <c r="T211" s="50"/>
      <c r="U211" s="341" t="str">
        <f>AT211</f>
        <v>05.04./06.04.</v>
      </c>
      <c r="V211" s="342"/>
      <c r="W211" s="343"/>
      <c r="X211" s="372"/>
      <c r="Y211" s="373"/>
      <c r="Z211" s="373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41" t="str">
        <f>VLOOKUP(AS212,Spielorte!$A$1:$C$6,2)</f>
        <v>05.04./06.04.</v>
      </c>
      <c r="AU211" s="342"/>
      <c r="AV211" s="34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4" t="str">
        <f>AE212</f>
        <v>Dettelbach Extreme Bowlingarena</v>
      </c>
      <c r="G212" s="344"/>
      <c r="H212" s="344"/>
      <c r="I212" s="344"/>
      <c r="J212" s="344"/>
      <c r="K212" s="344"/>
      <c r="L212" s="344"/>
      <c r="M212" s="344"/>
      <c r="N212" s="344"/>
      <c r="O212" s="344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Dettelbach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6" t="s">
        <v>1800</v>
      </c>
      <c r="E215" s="347"/>
      <c r="F215" s="346" t="s">
        <v>1801</v>
      </c>
      <c r="G215" s="347"/>
      <c r="H215" s="346" t="s">
        <v>1802</v>
      </c>
      <c r="I215" s="347"/>
      <c r="J215" s="346" t="s">
        <v>1803</v>
      </c>
      <c r="K215" s="347"/>
      <c r="L215" s="346" t="s">
        <v>1804</v>
      </c>
      <c r="M215" s="347"/>
      <c r="N215" s="346" t="s">
        <v>1805</v>
      </c>
      <c r="O215" s="347"/>
      <c r="P215" s="346" t="s">
        <v>1806</v>
      </c>
      <c r="Q215" s="347"/>
      <c r="R215" s="346" t="s">
        <v>1807</v>
      </c>
      <c r="S215" s="347"/>
      <c r="T215" s="346" t="s">
        <v>1808</v>
      </c>
      <c r="U215" s="347"/>
      <c r="V215" s="354" t="s">
        <v>1799</v>
      </c>
      <c r="W215" s="355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6" t="s">
        <v>0</v>
      </c>
      <c r="B217" s="73" t="str">
        <f>IF(AA217=0,"",AA217)</f>
        <v>Wegenast, Robert</v>
      </c>
      <c r="C217" s="74">
        <f>IF(AB217=0,"",AB217)</f>
        <v>25325</v>
      </c>
      <c r="D217" s="75">
        <f>IF(AC217=0,"",AC217)</f>
        <v>212</v>
      </c>
      <c r="E217" s="348">
        <f>IF(AD217="","",AD217)</f>
        <v>0</v>
      </c>
      <c r="F217" s="75">
        <f t="shared" ref="F217:F230" si="244">IF(AE217=0,"",AE217)</f>
        <v>238</v>
      </c>
      <c r="G217" s="348">
        <f>IF(AF217="","",AF217)</f>
        <v>1</v>
      </c>
      <c r="H217" s="75">
        <f t="shared" ref="H217:H230" si="245">IF(AG217=0,"",AG217)</f>
        <v>168</v>
      </c>
      <c r="I217" s="348">
        <f>IF(AH217="","",AH217)</f>
        <v>0</v>
      </c>
      <c r="J217" s="75">
        <f t="shared" ref="J217:J230" si="246">IF(AI217=0,"",AI217)</f>
        <v>179</v>
      </c>
      <c r="K217" s="348">
        <f>IF(AJ217="","",AJ217)</f>
        <v>0</v>
      </c>
      <c r="L217" s="75">
        <f t="shared" ref="L217:L230" si="247">IF(AK217=0,"",AK217)</f>
        <v>178</v>
      </c>
      <c r="M217" s="348">
        <f>IF(AL217="","",AL217)</f>
        <v>0</v>
      </c>
      <c r="N217" s="75">
        <f>IF(AM217=0,"",AM217)</f>
        <v>246</v>
      </c>
      <c r="O217" s="348">
        <f>IF(AN217="","",AN217)</f>
        <v>1</v>
      </c>
      <c r="P217" s="75" t="str">
        <f t="shared" ref="P217:P230" si="248">IF(AO217=0,"",AO217)</f>
        <v/>
      </c>
      <c r="Q217" s="348">
        <f>IF(AP217="","",AP217)</f>
        <v>0</v>
      </c>
      <c r="R217" s="75" t="str">
        <f t="shared" ref="R217:R230" si="249">IF(AQ217=0,"",AQ217)</f>
        <v/>
      </c>
      <c r="S217" s="348">
        <f>IF(AR217="","",AR217)</f>
        <v>0</v>
      </c>
      <c r="T217" s="75" t="str">
        <f t="shared" ref="T217:T230" si="250">IF(AS217=0,"",AS217)</f>
        <v/>
      </c>
      <c r="U217" s="348">
        <f>IF(AT217="","",AT217)</f>
        <v>0</v>
      </c>
      <c r="V217" s="75">
        <f t="shared" ref="V217:V230" si="251">IF(AU217=0,"",AU217)</f>
        <v>1221</v>
      </c>
      <c r="W217" s="348">
        <f>IF(AV217="","",AV217)</f>
        <v>2</v>
      </c>
      <c r="Z217" s="351" t="s">
        <v>0</v>
      </c>
      <c r="AA217" s="108" t="str">
        <f>IF(AB217=0,"",VLOOKUP(AB217,Starter!$A$1:$D$199,2,FALSE))</f>
        <v>Wegenast, Robert</v>
      </c>
      <c r="AB217" s="99">
        <v>25325</v>
      </c>
      <c r="AC217" s="185">
        <v>212</v>
      </c>
      <c r="AD217" s="109">
        <f>IF(SUM(AC217:AC219)+AC235=0,0,IF(SUM(AC217:AC219)=AC235,0.5,IF(SUM(AC217:AC219)&gt;AC235,1,0)))</f>
        <v>0</v>
      </c>
      <c r="AE217" s="185">
        <v>238</v>
      </c>
      <c r="AF217" s="109">
        <f>IF(SUM(AE217:AE219)+AE235=0,0,IF(SUM(AE217:AE219)=AE235,0.5,IF(SUM(AE217:AE219)&gt;AE235,1,0)))</f>
        <v>1</v>
      </c>
      <c r="AG217" s="185">
        <v>168</v>
      </c>
      <c r="AH217" s="109">
        <f>IF(SUM(AG217:AG219)+AG235=0,0,IF(SUM(AG217:AG219)=AG235,0.5,IF(SUM(AG217:AG219)&gt;AG235,1,0)))</f>
        <v>0</v>
      </c>
      <c r="AI217" s="185">
        <v>179</v>
      </c>
      <c r="AJ217" s="109">
        <f>IF(SUM(AI217:AI219)+AI235=0,0,IF(SUM(AI217:AI219)=AI235,0.5,IF(SUM(AI217:AI219)&gt;AI235,1,0)))</f>
        <v>0</v>
      </c>
      <c r="AK217" s="185">
        <v>178</v>
      </c>
      <c r="AL217" s="109">
        <f>IF(SUM(AK217:AK219)+AK235=0,0,IF(SUM(AK217:AK219)=AK235,0.5,IF(SUM(AK217:AK219)&gt;AK235,1,0)))</f>
        <v>0</v>
      </c>
      <c r="AM217" s="185">
        <v>246</v>
      </c>
      <c r="AN217" s="109">
        <f>IF(SUM(AM217:AM219)+AM235=0,0,IF(SUM(AM217:AM219)=AM235,0.5,IF(SUM(AM217:AM219)&gt;AM235,1,0)))</f>
        <v>1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1221</v>
      </c>
      <c r="AV217" s="111">
        <f>SUM(AD217+AF217+AH217+AJ217+AL217+AN217+AP217+AR217+AT217)</f>
        <v>2</v>
      </c>
      <c r="AW217" s="101"/>
      <c r="AX217" s="102"/>
      <c r="AZ217" s="63"/>
      <c r="BA217" s="212"/>
      <c r="BB217" s="213"/>
      <c r="BC217" s="214"/>
      <c r="BD217" s="217">
        <f>+AB217</f>
        <v>25325</v>
      </c>
      <c r="BE217" s="213">
        <f>+AU217</f>
        <v>1221</v>
      </c>
      <c r="BF217" s="215">
        <f>COUNT(BH217:BP217)</f>
        <v>6</v>
      </c>
      <c r="BG217" s="215">
        <f>COUNTIF(BH217:BP217,"&gt;0")</f>
        <v>6</v>
      </c>
      <c r="BH217" s="215">
        <f t="shared" ref="BH217:BH228" si="253">IF(AC217=0,"",AC217)</f>
        <v>212</v>
      </c>
      <c r="BI217" s="215">
        <f t="shared" ref="BI217:BI228" si="254">IF(AE217=0,"",AE217)</f>
        <v>238</v>
      </c>
      <c r="BJ217" s="215">
        <f t="shared" ref="BJ217:BJ228" si="255">IF(AG217=0,"",AG217)</f>
        <v>168</v>
      </c>
      <c r="BK217" s="215">
        <f t="shared" ref="BK217:BK228" si="256">IF(AI217=0,"",AI217)</f>
        <v>179</v>
      </c>
      <c r="BL217" s="215">
        <f t="shared" ref="BL217:BL228" si="257">IF(AK217=0,"",AK217)</f>
        <v>178</v>
      </c>
      <c r="BM217" s="215">
        <f t="shared" ref="BM217:BM228" si="258">IF(AM217=0,"",AM217)</f>
        <v>246</v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246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1221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5">
      <c r="A218" s="377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9"/>
      <c r="F218" s="78" t="str">
        <f t="shared" si="244"/>
        <v/>
      </c>
      <c r="G218" s="349"/>
      <c r="H218" s="78" t="str">
        <f t="shared" si="245"/>
        <v/>
      </c>
      <c r="I218" s="349"/>
      <c r="J218" s="78" t="str">
        <f t="shared" si="246"/>
        <v/>
      </c>
      <c r="K218" s="349"/>
      <c r="L218" s="78" t="str">
        <f t="shared" si="247"/>
        <v/>
      </c>
      <c r="M218" s="349"/>
      <c r="N218" s="78" t="str">
        <f t="shared" ref="N218:N230" si="264">IF(AM218=0,"",AM218)</f>
        <v/>
      </c>
      <c r="O218" s="349"/>
      <c r="P218" s="78" t="str">
        <f t="shared" si="248"/>
        <v/>
      </c>
      <c r="Q218" s="349"/>
      <c r="R218" s="78" t="str">
        <f t="shared" si="249"/>
        <v/>
      </c>
      <c r="S218" s="349"/>
      <c r="T218" s="78" t="str">
        <f t="shared" si="250"/>
        <v/>
      </c>
      <c r="U218" s="349"/>
      <c r="V218" s="78" t="str">
        <f t="shared" si="251"/>
        <v/>
      </c>
      <c r="W218" s="349"/>
      <c r="Z218" s="352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2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3">
      <c r="A219" s="378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0"/>
      <c r="F219" s="69" t="str">
        <f t="shared" si="244"/>
        <v/>
      </c>
      <c r="G219" s="350"/>
      <c r="H219" s="69" t="str">
        <f t="shared" si="245"/>
        <v/>
      </c>
      <c r="I219" s="350"/>
      <c r="J219" s="69" t="str">
        <f t="shared" si="246"/>
        <v/>
      </c>
      <c r="K219" s="350"/>
      <c r="L219" s="69" t="str">
        <f t="shared" si="247"/>
        <v/>
      </c>
      <c r="M219" s="350"/>
      <c r="N219" s="69" t="str">
        <f t="shared" si="264"/>
        <v/>
      </c>
      <c r="O219" s="350"/>
      <c r="P219" s="69" t="str">
        <f t="shared" si="248"/>
        <v/>
      </c>
      <c r="Q219" s="350"/>
      <c r="R219" s="69" t="str">
        <f t="shared" si="249"/>
        <v/>
      </c>
      <c r="S219" s="350"/>
      <c r="T219" s="69" t="str">
        <f t="shared" si="250"/>
        <v/>
      </c>
      <c r="U219" s="350"/>
      <c r="V219" s="69" t="str">
        <f t="shared" si="251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5">
      <c r="A220" s="376" t="s">
        <v>2</v>
      </c>
      <c r="B220" s="73" t="str">
        <f t="shared" si="263"/>
        <v>Probst, Marco</v>
      </c>
      <c r="C220" s="74">
        <f t="shared" si="263"/>
        <v>7602</v>
      </c>
      <c r="D220" s="75">
        <f t="shared" si="263"/>
        <v>203</v>
      </c>
      <c r="E220" s="348">
        <f>IF(AD220="","",AD220)</f>
        <v>1</v>
      </c>
      <c r="F220" s="75">
        <f t="shared" si="244"/>
        <v>222</v>
      </c>
      <c r="G220" s="348">
        <f>IF(AF220="","",AF220)</f>
        <v>1</v>
      </c>
      <c r="H220" s="75">
        <f t="shared" si="245"/>
        <v>174</v>
      </c>
      <c r="I220" s="348">
        <f>IF(AH220="","",AH220)</f>
        <v>1</v>
      </c>
      <c r="J220" s="75">
        <f t="shared" si="246"/>
        <v>190</v>
      </c>
      <c r="K220" s="348">
        <f>IF(AJ220="","",AJ220)</f>
        <v>1</v>
      </c>
      <c r="L220" s="75">
        <f t="shared" si="247"/>
        <v>217</v>
      </c>
      <c r="M220" s="348">
        <f>IF(AL220="","",AL220)</f>
        <v>0</v>
      </c>
      <c r="N220" s="75">
        <f t="shared" si="264"/>
        <v>174</v>
      </c>
      <c r="O220" s="348">
        <f>IF(AN220="","",AN220)</f>
        <v>0</v>
      </c>
      <c r="P220" s="75" t="str">
        <f t="shared" si="248"/>
        <v/>
      </c>
      <c r="Q220" s="348">
        <f>IF(AP220="","",AP220)</f>
        <v>0</v>
      </c>
      <c r="R220" s="75" t="str">
        <f t="shared" si="249"/>
        <v/>
      </c>
      <c r="S220" s="348">
        <f>IF(AR220="","",AR220)</f>
        <v>0</v>
      </c>
      <c r="T220" s="75" t="str">
        <f t="shared" si="250"/>
        <v/>
      </c>
      <c r="U220" s="348">
        <f>IF(AT220="","",AT220)</f>
        <v>0</v>
      </c>
      <c r="V220" s="75">
        <f t="shared" si="251"/>
        <v>1180</v>
      </c>
      <c r="W220" s="348">
        <f>IF(AV220="","",AV220)</f>
        <v>4</v>
      </c>
      <c r="Z220" s="351" t="s">
        <v>2</v>
      </c>
      <c r="AA220" s="108" t="str">
        <f>IF(AB220=0,"",VLOOKUP(AB220,Starter!$A$1:$D$199,2,FALSE))</f>
        <v>Probst, Marco</v>
      </c>
      <c r="AB220" s="99">
        <v>7602</v>
      </c>
      <c r="AC220" s="188">
        <v>203</v>
      </c>
      <c r="AD220" s="109">
        <f>IF(SUM(AC220:AC222)+AC236=0,0,IF(SUM(AC220:AC222)=AC236,0.5,IF(SUM(AC220:AC222)&gt;AC236,1,0)))</f>
        <v>1</v>
      </c>
      <c r="AE220" s="188">
        <v>222</v>
      </c>
      <c r="AF220" s="109">
        <f>IF(SUM(AE220:AE222)+AE236=0,0,IF(SUM(AE220:AE222)=AE236,0.5,IF(SUM(AE220:AE222)&gt;AE236,1,0)))</f>
        <v>1</v>
      </c>
      <c r="AG220" s="188">
        <v>174</v>
      </c>
      <c r="AH220" s="109">
        <f>IF(SUM(AG220:AG222)+AG236=0,0,IF(SUM(AG220:AG222)=AG236,0.5,IF(SUM(AG220:AG222)&gt;AG236,1,0)))</f>
        <v>1</v>
      </c>
      <c r="AI220" s="188">
        <v>190</v>
      </c>
      <c r="AJ220" s="109">
        <f>IF(SUM(AI220:AI222)+AI236=0,0,IF(SUM(AI220:AI222)=AI236,0.5,IF(SUM(AI220:AI222)&gt;AI236,1,0)))</f>
        <v>1</v>
      </c>
      <c r="AK220" s="188">
        <v>217</v>
      </c>
      <c r="AL220" s="109">
        <f>IF(SUM(AK220:AK222)+AK236=0,0,IF(SUM(AK220:AK222)=AK236,0.5,IF(SUM(AK220:AK222)&gt;AK236,1,0)))</f>
        <v>0</v>
      </c>
      <c r="AM220" s="188">
        <v>174</v>
      </c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1180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65"/>
        <v>7602</v>
      </c>
      <c r="BE220" s="213">
        <f t="shared" si="266"/>
        <v>1180</v>
      </c>
      <c r="BF220" s="215">
        <f t="shared" si="267"/>
        <v>6</v>
      </c>
      <c r="BG220" s="215">
        <f t="shared" si="268"/>
        <v>6</v>
      </c>
      <c r="BH220" s="215">
        <f t="shared" si="253"/>
        <v>203</v>
      </c>
      <c r="BI220" s="215">
        <f t="shared" si="254"/>
        <v>222</v>
      </c>
      <c r="BJ220" s="215">
        <f t="shared" si="255"/>
        <v>174</v>
      </c>
      <c r="BK220" s="215">
        <f t="shared" si="256"/>
        <v>190</v>
      </c>
      <c r="BL220" s="215">
        <f t="shared" si="257"/>
        <v>217</v>
      </c>
      <c r="BM220" s="215">
        <f t="shared" si="258"/>
        <v>174</v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222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2</v>
      </c>
      <c r="BW220" s="215">
        <f t="shared" si="273"/>
        <v>1180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5">
      <c r="A221" s="377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9"/>
      <c r="F221" s="78" t="str">
        <f t="shared" si="244"/>
        <v/>
      </c>
      <c r="G221" s="349"/>
      <c r="H221" s="78" t="str">
        <f t="shared" si="245"/>
        <v/>
      </c>
      <c r="I221" s="349"/>
      <c r="J221" s="78" t="str">
        <f t="shared" si="246"/>
        <v/>
      </c>
      <c r="K221" s="349"/>
      <c r="L221" s="78" t="str">
        <f t="shared" si="247"/>
        <v/>
      </c>
      <c r="M221" s="349"/>
      <c r="N221" s="78" t="str">
        <f t="shared" si="264"/>
        <v/>
      </c>
      <c r="O221" s="349"/>
      <c r="P221" s="78" t="str">
        <f t="shared" si="248"/>
        <v/>
      </c>
      <c r="Q221" s="349"/>
      <c r="R221" s="78" t="str">
        <f t="shared" si="249"/>
        <v/>
      </c>
      <c r="S221" s="349"/>
      <c r="T221" s="78" t="str">
        <f t="shared" si="250"/>
        <v/>
      </c>
      <c r="U221" s="349"/>
      <c r="V221" s="78" t="str">
        <f t="shared" si="251"/>
        <v/>
      </c>
      <c r="W221" s="349"/>
      <c r="Z221" s="352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3">
      <c r="A222" s="378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0"/>
      <c r="F222" s="69" t="str">
        <f t="shared" si="244"/>
        <v/>
      </c>
      <c r="G222" s="350"/>
      <c r="H222" s="69" t="str">
        <f t="shared" si="245"/>
        <v/>
      </c>
      <c r="I222" s="350"/>
      <c r="J222" s="69" t="str">
        <f t="shared" si="246"/>
        <v/>
      </c>
      <c r="K222" s="350"/>
      <c r="L222" s="69" t="str">
        <f t="shared" si="247"/>
        <v/>
      </c>
      <c r="M222" s="350"/>
      <c r="N222" s="69" t="str">
        <f t="shared" si="264"/>
        <v/>
      </c>
      <c r="O222" s="350"/>
      <c r="P222" s="69" t="str">
        <f t="shared" si="248"/>
        <v/>
      </c>
      <c r="Q222" s="350"/>
      <c r="R222" s="69" t="str">
        <f t="shared" si="249"/>
        <v/>
      </c>
      <c r="S222" s="350"/>
      <c r="T222" s="69" t="str">
        <f t="shared" si="250"/>
        <v/>
      </c>
      <c r="U222" s="350"/>
      <c r="V222" s="69" t="str">
        <f t="shared" si="251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5">
      <c r="A223" s="376" t="s">
        <v>3</v>
      </c>
      <c r="B223" s="73" t="str">
        <f t="shared" si="263"/>
        <v>Denz, Günter</v>
      </c>
      <c r="C223" s="74">
        <f t="shared" si="263"/>
        <v>16398</v>
      </c>
      <c r="D223" s="75">
        <f t="shared" si="263"/>
        <v>156</v>
      </c>
      <c r="E223" s="348">
        <f>IF(AD223="","",AD223)</f>
        <v>0</v>
      </c>
      <c r="F223" s="75" t="str">
        <f t="shared" si="244"/>
        <v/>
      </c>
      <c r="G223" s="348">
        <f>IF(AF223="","",AF223)</f>
        <v>0</v>
      </c>
      <c r="H223" s="75" t="str">
        <f t="shared" si="245"/>
        <v/>
      </c>
      <c r="I223" s="348">
        <f>IF(AH223="","",AH223)</f>
        <v>0.5</v>
      </c>
      <c r="J223" s="75" t="str">
        <f t="shared" si="246"/>
        <v/>
      </c>
      <c r="K223" s="348">
        <f>IF(AJ223="","",AJ223)</f>
        <v>1</v>
      </c>
      <c r="L223" s="75">
        <f t="shared" si="247"/>
        <v>189</v>
      </c>
      <c r="M223" s="348">
        <f>IF(AL223="","",AL223)</f>
        <v>1</v>
      </c>
      <c r="N223" s="75">
        <f t="shared" si="264"/>
        <v>161</v>
      </c>
      <c r="O223" s="348">
        <f>IF(AN223="","",AN223)</f>
        <v>1</v>
      </c>
      <c r="P223" s="75" t="str">
        <f t="shared" si="248"/>
        <v/>
      </c>
      <c r="Q223" s="348">
        <f>IF(AP223="","",AP223)</f>
        <v>0</v>
      </c>
      <c r="R223" s="75" t="str">
        <f t="shared" si="249"/>
        <v/>
      </c>
      <c r="S223" s="348">
        <f>IF(AR223="","",AR223)</f>
        <v>0</v>
      </c>
      <c r="T223" s="75" t="str">
        <f t="shared" si="250"/>
        <v/>
      </c>
      <c r="U223" s="348">
        <f>IF(AT223="","",AT223)</f>
        <v>0</v>
      </c>
      <c r="V223" s="75">
        <f t="shared" si="251"/>
        <v>506</v>
      </c>
      <c r="W223" s="348">
        <f>IF(AV223="","",AV223)</f>
        <v>3.5</v>
      </c>
      <c r="Z223" s="351" t="s">
        <v>3</v>
      </c>
      <c r="AA223" s="108" t="str">
        <f>IF(AB223=0,"",VLOOKUP(AB223,Starter!$A$1:$D$199,2,FALSE))</f>
        <v>Denz, Günter</v>
      </c>
      <c r="AB223" s="99">
        <v>16398</v>
      </c>
      <c r="AC223" s="188">
        <v>156</v>
      </c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0.5</v>
      </c>
      <c r="AI223" s="188"/>
      <c r="AJ223" s="109">
        <f>IF(SUM(AI223:AI225)+AI237=0,0,IF(SUM(AI223:AI225)=AI237,0.5,IF(SUM(AI223:AI225)&gt;AI237,1,0)))</f>
        <v>1</v>
      </c>
      <c r="AK223" s="188">
        <v>189</v>
      </c>
      <c r="AL223" s="109">
        <f>IF(SUM(AK223:AK225)+AK237=0,0,IF(SUM(AK223:AK225)=AK237,0.5,IF(SUM(AK223:AK225)&gt;AK237,1,0)))</f>
        <v>1</v>
      </c>
      <c r="AM223" s="188">
        <v>161</v>
      </c>
      <c r="AN223" s="109">
        <f>IF(SUM(AM223:AM225)+AM237=0,0,IF(SUM(AM223:AM225)=AM237,0.5,IF(SUM(AM223:AM225)&gt;AM237,1,0)))</f>
        <v>1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506</v>
      </c>
      <c r="AV223" s="111">
        <f>SUM(AD223+AF223+AH223+AJ223+AL223+AN223+AP223+AR223+AT223)</f>
        <v>3.5</v>
      </c>
      <c r="AW223" s="101"/>
      <c r="AX223" s="102"/>
      <c r="AZ223" s="63"/>
      <c r="BA223" s="212"/>
      <c r="BB223" s="213"/>
      <c r="BC223" s="214"/>
      <c r="BD223" s="217">
        <f t="shared" si="265"/>
        <v>16398</v>
      </c>
      <c r="BE223" s="213">
        <f t="shared" si="266"/>
        <v>506</v>
      </c>
      <c r="BF223" s="215">
        <f t="shared" si="267"/>
        <v>3</v>
      </c>
      <c r="BG223" s="215">
        <f t="shared" si="268"/>
        <v>3</v>
      </c>
      <c r="BH223" s="215">
        <f t="shared" si="253"/>
        <v>156</v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>
        <f t="shared" si="257"/>
        <v>189</v>
      </c>
      <c r="BM223" s="215">
        <f t="shared" si="258"/>
        <v>161</v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189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2</v>
      </c>
      <c r="BW223" s="215">
        <f t="shared" si="273"/>
        <v>506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5">
      <c r="A224" s="377"/>
      <c r="B224" s="76" t="str">
        <f t="shared" si="263"/>
        <v>Lohse, Sebastian</v>
      </c>
      <c r="C224" s="77">
        <f t="shared" si="263"/>
        <v>27134</v>
      </c>
      <c r="D224" s="78" t="str">
        <f t="shared" si="263"/>
        <v/>
      </c>
      <c r="E224" s="349"/>
      <c r="F224" s="78">
        <f t="shared" si="244"/>
        <v>158</v>
      </c>
      <c r="G224" s="349"/>
      <c r="H224" s="78">
        <f t="shared" si="245"/>
        <v>179</v>
      </c>
      <c r="I224" s="349"/>
      <c r="J224" s="78">
        <f t="shared" si="246"/>
        <v>213</v>
      </c>
      <c r="K224" s="349"/>
      <c r="L224" s="78" t="str">
        <f t="shared" si="247"/>
        <v/>
      </c>
      <c r="M224" s="349"/>
      <c r="N224" s="78" t="str">
        <f t="shared" si="264"/>
        <v/>
      </c>
      <c r="O224" s="349"/>
      <c r="P224" s="78" t="str">
        <f t="shared" si="248"/>
        <v/>
      </c>
      <c r="Q224" s="349"/>
      <c r="R224" s="78" t="str">
        <f t="shared" si="249"/>
        <v/>
      </c>
      <c r="S224" s="349"/>
      <c r="T224" s="78" t="str">
        <f t="shared" si="250"/>
        <v/>
      </c>
      <c r="U224" s="349"/>
      <c r="V224" s="78">
        <f t="shared" si="251"/>
        <v>550</v>
      </c>
      <c r="W224" s="349"/>
      <c r="Z224" s="352"/>
      <c r="AA224" s="108" t="str">
        <f>IF(AB224=0,"",VLOOKUP(AB224,Starter!$A$1:$D$199,2,FALSE))</f>
        <v>Lohse, Sebastian</v>
      </c>
      <c r="AB224" s="98">
        <v>27134</v>
      </c>
      <c r="AC224" s="186"/>
      <c r="AD224" s="112"/>
      <c r="AE224" s="186">
        <v>158</v>
      </c>
      <c r="AF224" s="112"/>
      <c r="AG224" s="186">
        <v>179</v>
      </c>
      <c r="AH224" s="112"/>
      <c r="AI224" s="186">
        <v>213</v>
      </c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550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27134</v>
      </c>
      <c r="BE224" s="213">
        <f t="shared" si="266"/>
        <v>550</v>
      </c>
      <c r="BF224" s="215">
        <f t="shared" si="267"/>
        <v>3</v>
      </c>
      <c r="BG224" s="215">
        <f t="shared" si="268"/>
        <v>3</v>
      </c>
      <c r="BH224" s="215" t="str">
        <f t="shared" si="253"/>
        <v/>
      </c>
      <c r="BI224" s="215">
        <f t="shared" si="254"/>
        <v>158</v>
      </c>
      <c r="BJ224" s="215">
        <f t="shared" si="255"/>
        <v>179</v>
      </c>
      <c r="BK224" s="215">
        <f t="shared" si="256"/>
        <v>213</v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213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2</v>
      </c>
      <c r="BW224" s="215">
        <f t="shared" si="273"/>
        <v>550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3">
      <c r="A225" s="378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0"/>
      <c r="F225" s="69" t="str">
        <f t="shared" si="244"/>
        <v/>
      </c>
      <c r="G225" s="350"/>
      <c r="H225" s="69" t="str">
        <f t="shared" si="245"/>
        <v/>
      </c>
      <c r="I225" s="350"/>
      <c r="J225" s="69" t="str">
        <f t="shared" si="246"/>
        <v/>
      </c>
      <c r="K225" s="350"/>
      <c r="L225" s="69" t="str">
        <f t="shared" si="247"/>
        <v/>
      </c>
      <c r="M225" s="350"/>
      <c r="N225" s="69" t="str">
        <f t="shared" si="264"/>
        <v/>
      </c>
      <c r="O225" s="350"/>
      <c r="P225" s="69" t="str">
        <f t="shared" si="248"/>
        <v/>
      </c>
      <c r="Q225" s="350"/>
      <c r="R225" s="69" t="str">
        <f t="shared" si="249"/>
        <v/>
      </c>
      <c r="S225" s="350"/>
      <c r="T225" s="69" t="str">
        <f t="shared" si="250"/>
        <v/>
      </c>
      <c r="U225" s="350"/>
      <c r="V225" s="69" t="str">
        <f t="shared" si="251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5">
      <c r="A226" s="376" t="s">
        <v>11</v>
      </c>
      <c r="B226" s="73" t="str">
        <f>IF(AA226=0,"",AA226)</f>
        <v>Blasits, Ernst</v>
      </c>
      <c r="C226" s="74">
        <f t="shared" si="263"/>
        <v>25554</v>
      </c>
      <c r="D226" s="75">
        <f t="shared" si="263"/>
        <v>163</v>
      </c>
      <c r="E226" s="348">
        <f>IF(AD226="","",AD226)</f>
        <v>0</v>
      </c>
      <c r="F226" s="75">
        <f t="shared" si="244"/>
        <v>181</v>
      </c>
      <c r="G226" s="348">
        <f>IF(AF226="","",AF226)</f>
        <v>0</v>
      </c>
      <c r="H226" s="75" t="str">
        <f t="shared" si="245"/>
        <v/>
      </c>
      <c r="I226" s="348">
        <f>IF(AH226="","",AH226)</f>
        <v>1</v>
      </c>
      <c r="J226" s="75" t="str">
        <f t="shared" si="246"/>
        <v/>
      </c>
      <c r="K226" s="348">
        <f>IF(AJ226="","",AJ226)</f>
        <v>1</v>
      </c>
      <c r="L226" s="75">
        <f t="shared" si="247"/>
        <v>181</v>
      </c>
      <c r="M226" s="348">
        <f>IF(AL226="","",AL226)</f>
        <v>0</v>
      </c>
      <c r="N226" s="75">
        <f t="shared" si="264"/>
        <v>184</v>
      </c>
      <c r="O226" s="348">
        <f>IF(AN226="","",AN226)</f>
        <v>0</v>
      </c>
      <c r="P226" s="75" t="str">
        <f t="shared" si="248"/>
        <v/>
      </c>
      <c r="Q226" s="348">
        <f>IF(AP226="","",AP226)</f>
        <v>0</v>
      </c>
      <c r="R226" s="75" t="str">
        <f t="shared" si="249"/>
        <v/>
      </c>
      <c r="S226" s="348">
        <f>IF(AR226="","",AR226)</f>
        <v>0</v>
      </c>
      <c r="T226" s="75" t="str">
        <f t="shared" si="250"/>
        <v/>
      </c>
      <c r="U226" s="348">
        <f>IF(AT226="","",AT226)</f>
        <v>0</v>
      </c>
      <c r="V226" s="75">
        <f t="shared" si="251"/>
        <v>709</v>
      </c>
      <c r="W226" s="348">
        <f>IF(AV226="","",AV226)</f>
        <v>2</v>
      </c>
      <c r="Z226" s="351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163</v>
      </c>
      <c r="AD226" s="109">
        <f>IF(SUM(AC226:AC228)+AC238=0,0,IF(SUM(AC226:AC228)=AC238,0.5,IF(SUM(AC226:AC228)&gt;AC238,1,0)))</f>
        <v>0</v>
      </c>
      <c r="AE226" s="188">
        <v>181</v>
      </c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1</v>
      </c>
      <c r="AI226" s="188"/>
      <c r="AJ226" s="109">
        <f>IF(SUM(AI226:AI228)+AI238=0,0,IF(SUM(AI226:AI228)=AI238,0.5,IF(SUM(AI226:AI228)&gt;AI238,1,0)))</f>
        <v>1</v>
      </c>
      <c r="AK226" s="188">
        <v>181</v>
      </c>
      <c r="AL226" s="109">
        <f>IF(SUM(AK226:AK228)+AK238=0,0,IF(SUM(AK226:AK228)=AK238,0.5,IF(SUM(AK226:AK228)&gt;AK238,1,0)))</f>
        <v>0</v>
      </c>
      <c r="AM226" s="188">
        <v>184</v>
      </c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709</v>
      </c>
      <c r="AV226" s="111">
        <f>SUM(AD226+AF226+AH226+AJ226+AL226+AN226+AP226+AR226+AT226)</f>
        <v>2</v>
      </c>
      <c r="AW226" s="101"/>
      <c r="AX226" s="102"/>
      <c r="AZ226" s="63"/>
      <c r="BA226" s="212"/>
      <c r="BB226" s="213"/>
      <c r="BC226" s="214"/>
      <c r="BD226" s="217">
        <f t="shared" si="265"/>
        <v>25554</v>
      </c>
      <c r="BE226" s="213">
        <f t="shared" si="266"/>
        <v>709</v>
      </c>
      <c r="BF226" s="215">
        <f t="shared" si="267"/>
        <v>4</v>
      </c>
      <c r="BG226" s="215">
        <f t="shared" si="268"/>
        <v>4</v>
      </c>
      <c r="BH226" s="215">
        <f t="shared" si="253"/>
        <v>163</v>
      </c>
      <c r="BI226" s="215">
        <f t="shared" si="254"/>
        <v>181</v>
      </c>
      <c r="BJ226" s="215" t="str">
        <f t="shared" si="255"/>
        <v/>
      </c>
      <c r="BK226" s="215" t="str">
        <f t="shared" si="256"/>
        <v/>
      </c>
      <c r="BL226" s="215">
        <f t="shared" si="257"/>
        <v>181</v>
      </c>
      <c r="BM226" s="215">
        <f t="shared" si="258"/>
        <v>184</v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184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2</v>
      </c>
      <c r="BW226" s="215">
        <f t="shared" si="273"/>
        <v>709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5">
      <c r="A227" s="377"/>
      <c r="B227" s="76" t="str">
        <f>IF(AA227=0,"",AA227)</f>
        <v>Richter, Benjamin</v>
      </c>
      <c r="C227" s="77">
        <f t="shared" si="263"/>
        <v>41008</v>
      </c>
      <c r="D227" s="78" t="str">
        <f t="shared" si="263"/>
        <v/>
      </c>
      <c r="E227" s="349"/>
      <c r="F227" s="78" t="str">
        <f t="shared" si="244"/>
        <v/>
      </c>
      <c r="G227" s="349"/>
      <c r="H227" s="78">
        <f t="shared" si="245"/>
        <v>205</v>
      </c>
      <c r="I227" s="349"/>
      <c r="J227" s="78">
        <f t="shared" si="246"/>
        <v>174</v>
      </c>
      <c r="K227" s="349"/>
      <c r="L227" s="78" t="str">
        <f t="shared" si="247"/>
        <v/>
      </c>
      <c r="M227" s="349"/>
      <c r="N227" s="78" t="str">
        <f t="shared" si="264"/>
        <v/>
      </c>
      <c r="O227" s="349"/>
      <c r="P227" s="78" t="str">
        <f t="shared" si="248"/>
        <v/>
      </c>
      <c r="Q227" s="349"/>
      <c r="R227" s="78" t="str">
        <f t="shared" si="249"/>
        <v/>
      </c>
      <c r="S227" s="349"/>
      <c r="T227" s="78" t="str">
        <f t="shared" si="250"/>
        <v/>
      </c>
      <c r="U227" s="349"/>
      <c r="V227" s="78">
        <f t="shared" si="251"/>
        <v>379</v>
      </c>
      <c r="W227" s="349"/>
      <c r="Z227" s="352"/>
      <c r="AA227" s="108" t="str">
        <f>IF(AB227=0,"",VLOOKUP(AB227,Starter!$A$1:$D$199,2,FALSE))</f>
        <v>Richter, Benjamin</v>
      </c>
      <c r="AB227" s="98">
        <v>41008</v>
      </c>
      <c r="AC227" s="186"/>
      <c r="AD227" s="112"/>
      <c r="AE227" s="186"/>
      <c r="AF227" s="112"/>
      <c r="AG227" s="186">
        <v>205</v>
      </c>
      <c r="AH227" s="112"/>
      <c r="AI227" s="186">
        <v>174</v>
      </c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379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41008</v>
      </c>
      <c r="BE227" s="213">
        <f t="shared" si="266"/>
        <v>379</v>
      </c>
      <c r="BF227" s="215">
        <f t="shared" si="267"/>
        <v>2</v>
      </c>
      <c r="BG227" s="215">
        <f t="shared" si="268"/>
        <v>2</v>
      </c>
      <c r="BH227" s="215" t="str">
        <f t="shared" si="253"/>
        <v/>
      </c>
      <c r="BI227" s="215" t="str">
        <f t="shared" si="254"/>
        <v/>
      </c>
      <c r="BJ227" s="215">
        <f t="shared" si="255"/>
        <v>205</v>
      </c>
      <c r="BK227" s="215">
        <f t="shared" si="256"/>
        <v>174</v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205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2</v>
      </c>
      <c r="BW227" s="215">
        <f t="shared" si="273"/>
        <v>379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3">
      <c r="A228" s="378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0"/>
      <c r="F228" s="69" t="str">
        <f t="shared" si="244"/>
        <v/>
      </c>
      <c r="G228" s="350"/>
      <c r="H228" s="69" t="str">
        <f t="shared" si="245"/>
        <v/>
      </c>
      <c r="I228" s="350"/>
      <c r="J228" s="69" t="str">
        <f t="shared" si="246"/>
        <v/>
      </c>
      <c r="K228" s="350"/>
      <c r="L228" s="69" t="str">
        <f t="shared" si="247"/>
        <v/>
      </c>
      <c r="M228" s="350"/>
      <c r="N228" s="69" t="str">
        <f t="shared" si="264"/>
        <v/>
      </c>
      <c r="O228" s="350"/>
      <c r="P228" s="69" t="str">
        <f t="shared" si="248"/>
        <v/>
      </c>
      <c r="Q228" s="350"/>
      <c r="R228" s="69" t="str">
        <f t="shared" si="249"/>
        <v/>
      </c>
      <c r="S228" s="350"/>
      <c r="T228" s="69" t="str">
        <f t="shared" si="250"/>
        <v/>
      </c>
      <c r="U228" s="350"/>
      <c r="V228" s="69" t="str">
        <f t="shared" si="251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734</v>
      </c>
      <c r="E229" s="84">
        <f>IF(AD229="","",AD229)</f>
        <v>0</v>
      </c>
      <c r="F229" s="83">
        <f t="shared" si="244"/>
        <v>799</v>
      </c>
      <c r="G229" s="84">
        <f>IF(AF229="","",AF229)</f>
        <v>0</v>
      </c>
      <c r="H229" s="83">
        <f t="shared" si="245"/>
        <v>726</v>
      </c>
      <c r="I229" s="84">
        <f>IF(AH229="","",AH229)</f>
        <v>2</v>
      </c>
      <c r="J229" s="83">
        <f t="shared" si="246"/>
        <v>756</v>
      </c>
      <c r="K229" s="84">
        <f>IF(AJ229="","",AJ229)</f>
        <v>2</v>
      </c>
      <c r="L229" s="83">
        <f t="shared" si="247"/>
        <v>765</v>
      </c>
      <c r="M229" s="84">
        <f>IF(AL229="","",AL229)</f>
        <v>0</v>
      </c>
      <c r="N229" s="83">
        <f t="shared" si="264"/>
        <v>765</v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>
        <f t="shared" si="251"/>
        <v>4545</v>
      </c>
      <c r="W229" s="84">
        <f>IF(AV229="","",AV229)</f>
        <v>4</v>
      </c>
      <c r="AA229" s="81" t="s">
        <v>1799</v>
      </c>
      <c r="AB229" s="120"/>
      <c r="AC229" s="211">
        <f>ABS(SUM(AC217:AC219))+ABS(SUM(AC220:AC222))+ABS(SUM(AC223:AC225))+ABS(SUM(AC226:AC228))</f>
        <v>734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799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726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756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765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765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4545</v>
      </c>
      <c r="AV229" s="123">
        <f>SUM(AD229+AF229+AH229+AJ229+AL229+AN229+AP229+AR229+AT229)</f>
        <v>4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1</v>
      </c>
      <c r="F230" s="86" t="str">
        <f t="shared" si="244"/>
        <v/>
      </c>
      <c r="G230" s="87">
        <f>IF(AF230="","",AF230)</f>
        <v>2</v>
      </c>
      <c r="H230" s="86" t="str">
        <f t="shared" si="245"/>
        <v/>
      </c>
      <c r="I230" s="87">
        <f>IF(AH230="","",AH230)</f>
        <v>4.5</v>
      </c>
      <c r="J230" s="86" t="str">
        <f t="shared" si="246"/>
        <v/>
      </c>
      <c r="K230" s="87">
        <f>IF(AJ230="","",AJ230)</f>
        <v>5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2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15.5</v>
      </c>
      <c r="AA230" s="85" t="s">
        <v>1814</v>
      </c>
      <c r="AB230" s="86"/>
      <c r="AC230" s="86"/>
      <c r="AD230" s="124">
        <f>SUM(AD217:AD229)</f>
        <v>1</v>
      </c>
      <c r="AE230" s="86"/>
      <c r="AF230" s="124">
        <f>SUM(AF217:AF229)</f>
        <v>2</v>
      </c>
      <c r="AG230" s="86"/>
      <c r="AH230" s="124">
        <f>SUM(AH217:AH229)</f>
        <v>4.5</v>
      </c>
      <c r="AI230" s="86"/>
      <c r="AJ230" s="124">
        <f>SUM(AJ217:AJ229)</f>
        <v>5</v>
      </c>
      <c r="AK230" s="86"/>
      <c r="AL230" s="124">
        <f>SUM(AL217:AL229)</f>
        <v>1</v>
      </c>
      <c r="AM230" s="86"/>
      <c r="AN230" s="124">
        <f>SUM(AN217:AN229)</f>
        <v>2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15.5</v>
      </c>
      <c r="AW230" s="101"/>
      <c r="AX230" s="102"/>
      <c r="BA230" s="212">
        <f>+AV230</f>
        <v>15.5</v>
      </c>
      <c r="BB230" s="213">
        <f>+AU229</f>
        <v>4545</v>
      </c>
      <c r="BC230" s="214">
        <f>+AA212</f>
        <v>8</v>
      </c>
      <c r="BF230" s="215">
        <f>SUM(BF211:BF229)</f>
        <v>24</v>
      </c>
      <c r="BQ230" s="212">
        <f>+BB230/1000000+BA230</f>
        <v>15.504545</v>
      </c>
      <c r="BR230" s="214">
        <f>RANK(BQ230,BQ:BQ)</f>
        <v>8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6">
        <f t="shared" si="275"/>
        <v>10</v>
      </c>
      <c r="E232" s="356" t="str">
        <f t="shared" si="275"/>
        <v/>
      </c>
      <c r="F232" s="356">
        <f t="shared" si="275"/>
        <v>1</v>
      </c>
      <c r="G232" s="356" t="str">
        <f t="shared" si="275"/>
        <v/>
      </c>
      <c r="H232" s="356">
        <f t="shared" si="275"/>
        <v>2</v>
      </c>
      <c r="I232" s="356" t="str">
        <f t="shared" si="275"/>
        <v/>
      </c>
      <c r="J232" s="356">
        <f t="shared" si="275"/>
        <v>5</v>
      </c>
      <c r="K232" s="356" t="str">
        <f t="shared" si="275"/>
        <v/>
      </c>
      <c r="L232" s="356">
        <f t="shared" si="275"/>
        <v>3</v>
      </c>
      <c r="M232" s="356" t="str">
        <f t="shared" si="275"/>
        <v/>
      </c>
      <c r="N232" s="356">
        <f t="shared" si="275"/>
        <v>6</v>
      </c>
      <c r="O232" s="356" t="str">
        <f t="shared" si="275"/>
        <v/>
      </c>
      <c r="P232" s="356">
        <f t="shared" si="275"/>
        <v>9</v>
      </c>
      <c r="Q232" s="356" t="str">
        <f t="shared" si="275"/>
        <v/>
      </c>
      <c r="R232" s="356">
        <f t="shared" ref="L232:U234" si="276">IF(AQ232=0,"",AQ232)</f>
        <v>4</v>
      </c>
      <c r="S232" s="356" t="str">
        <f t="shared" si="276"/>
        <v/>
      </c>
      <c r="T232" s="356">
        <f t="shared" si="276"/>
        <v>7</v>
      </c>
      <c r="U232" s="356" t="str">
        <f t="shared" si="276"/>
        <v/>
      </c>
      <c r="V232" s="357"/>
      <c r="W232" s="357"/>
      <c r="AA232" s="88" t="s">
        <v>1797</v>
      </c>
      <c r="AB232" s="89" t="s">
        <v>1798</v>
      </c>
      <c r="AC232" s="370">
        <f>VLOOKUP($AA212,Schlüssel!$A$5:$DG$14,103)</f>
        <v>10</v>
      </c>
      <c r="AD232" s="371"/>
      <c r="AE232" s="370">
        <f>VLOOKUP($AA212,Schlüssel!$A$5:$EK$14,104)</f>
        <v>1</v>
      </c>
      <c r="AF232" s="371"/>
      <c r="AG232" s="370">
        <f>VLOOKUP($AA212,Schlüssel!$A$5:$EK$14,105)</f>
        <v>2</v>
      </c>
      <c r="AH232" s="371"/>
      <c r="AI232" s="370">
        <f>VLOOKUP($AA212,Schlüssel!$A$5:$EK$14,106)</f>
        <v>5</v>
      </c>
      <c r="AJ232" s="371"/>
      <c r="AK232" s="370">
        <f>VLOOKUP($AA212,Schlüssel!$A$5:$EK$14,107)</f>
        <v>3</v>
      </c>
      <c r="AL232" s="371"/>
      <c r="AM232" s="370">
        <f>VLOOKUP($AA212,Schlüssel!$A$5:$EK$14,108)</f>
        <v>6</v>
      </c>
      <c r="AN232" s="371"/>
      <c r="AO232" s="370">
        <f>VLOOKUP($AA212,Schlüssel!$A$5:$EK$14,109)</f>
        <v>9</v>
      </c>
      <c r="AP232" s="371"/>
      <c r="AQ232" s="370">
        <f>VLOOKUP($AA212,Schlüssel!$A$5:$EK$14,110)</f>
        <v>4</v>
      </c>
      <c r="AR232" s="371"/>
      <c r="AS232" s="370">
        <f>VLOOKUP($AA212,Schlüssel!$A$5:$EK$14,111)</f>
        <v>7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58" t="str">
        <f t="shared" si="277"/>
        <v>High Roller Rosenheim 1</v>
      </c>
      <c r="E233" s="359" t="str">
        <f t="shared" si="277"/>
        <v/>
      </c>
      <c r="F233" s="358" t="str">
        <f t="shared" si="277"/>
        <v>BC Comet Nürnberg</v>
      </c>
      <c r="G233" s="359" t="str">
        <f t="shared" si="277"/>
        <v/>
      </c>
      <c r="H233" s="358" t="str">
        <f t="shared" si="277"/>
        <v>Bajuwaren München 1</v>
      </c>
      <c r="I233" s="359" t="str">
        <f t="shared" si="277"/>
        <v/>
      </c>
      <c r="J233" s="358" t="str">
        <f t="shared" si="277"/>
        <v>RW Lichtenhof Stein 1</v>
      </c>
      <c r="K233" s="359" t="str">
        <f t="shared" si="277"/>
        <v/>
      </c>
      <c r="L233" s="358" t="str">
        <f t="shared" si="276"/>
        <v>BK München 3</v>
      </c>
      <c r="M233" s="359" t="str">
        <f t="shared" si="276"/>
        <v/>
      </c>
      <c r="N233" s="358" t="str">
        <f t="shared" si="276"/>
        <v>SG Rottendorf 1</v>
      </c>
      <c r="O233" s="359" t="str">
        <f t="shared" si="276"/>
        <v/>
      </c>
      <c r="P233" s="358" t="str">
        <f t="shared" si="276"/>
        <v>Bowlinghaus Bamberg 1</v>
      </c>
      <c r="Q233" s="359" t="str">
        <f t="shared" si="276"/>
        <v/>
      </c>
      <c r="R233" s="358" t="str">
        <f t="shared" si="276"/>
        <v>SG DJK Rimpar</v>
      </c>
      <c r="S233" s="359" t="str">
        <f t="shared" si="276"/>
        <v/>
      </c>
      <c r="T233" s="358" t="str">
        <f t="shared" si="276"/>
        <v>Schanzer Ingolstadt 1</v>
      </c>
      <c r="U233" s="359" t="str">
        <f t="shared" si="276"/>
        <v/>
      </c>
      <c r="V233" s="363"/>
      <c r="W233" s="363"/>
      <c r="AA233" s="90"/>
      <c r="AB233" s="86"/>
      <c r="AC233" s="358" t="str">
        <f>VLOOKUP(AC232,Schlüssel!$A$5:$K$14,2)</f>
        <v>High Roller Rosenheim 1</v>
      </c>
      <c r="AD233" s="359"/>
      <c r="AE233" s="358" t="str">
        <f>VLOOKUP(AE232,Schlüssel!$A$5:$K$14,2)</f>
        <v>BC Comet Nürnberg</v>
      </c>
      <c r="AF233" s="359"/>
      <c r="AG233" s="358" t="str">
        <f>VLOOKUP(AG232,Schlüssel!$A$5:$K$14,2)</f>
        <v>Bajuwaren München 1</v>
      </c>
      <c r="AH233" s="359"/>
      <c r="AI233" s="358" t="str">
        <f>VLOOKUP(AI232,Schlüssel!$A$5:$K$14,2)</f>
        <v>RW Lichtenhof Stein 1</v>
      </c>
      <c r="AJ233" s="359"/>
      <c r="AK233" s="358" t="str">
        <f>VLOOKUP(AK232,Schlüssel!$A$5:$K$14,2)</f>
        <v>BK München 3</v>
      </c>
      <c r="AL233" s="359"/>
      <c r="AM233" s="358" t="str">
        <f>VLOOKUP(AM232,Schlüssel!$A$5:$K$14,2)</f>
        <v>SG Rottendorf 1</v>
      </c>
      <c r="AN233" s="359"/>
      <c r="AO233" s="358" t="str">
        <f>VLOOKUP(AO232,Schlüssel!$A$5:$K$14,2)</f>
        <v>Bowlinghaus Bamberg 1</v>
      </c>
      <c r="AP233" s="359"/>
      <c r="AQ233" s="358" t="str">
        <f>VLOOKUP(AQ232,Schlüssel!$A$5:$K$14,2)</f>
        <v>SG DJK Rimpar</v>
      </c>
      <c r="AR233" s="359"/>
      <c r="AS233" s="358" t="str">
        <f>VLOOKUP(AS232,Schlüssel!$A$5:$K$14,2)</f>
        <v>Schanzer Ingolstadt 1</v>
      </c>
      <c r="AT233" s="359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60" t="str">
        <f t="shared" si="277"/>
        <v/>
      </c>
      <c r="E234" s="360" t="str">
        <f t="shared" si="277"/>
        <v/>
      </c>
      <c r="F234" s="360" t="str">
        <f t="shared" si="277"/>
        <v/>
      </c>
      <c r="G234" s="360" t="str">
        <f t="shared" si="277"/>
        <v/>
      </c>
      <c r="H234" s="360" t="str">
        <f t="shared" si="277"/>
        <v/>
      </c>
      <c r="I234" s="360" t="str">
        <f t="shared" si="277"/>
        <v/>
      </c>
      <c r="J234" s="360" t="str">
        <f t="shared" si="277"/>
        <v/>
      </c>
      <c r="K234" s="360" t="str">
        <f t="shared" si="277"/>
        <v/>
      </c>
      <c r="L234" s="360" t="str">
        <f t="shared" si="276"/>
        <v/>
      </c>
      <c r="M234" s="360" t="str">
        <f t="shared" si="276"/>
        <v/>
      </c>
      <c r="N234" s="360" t="str">
        <f t="shared" si="276"/>
        <v/>
      </c>
      <c r="O234" s="360" t="str">
        <f t="shared" si="276"/>
        <v/>
      </c>
      <c r="P234" s="360" t="str">
        <f t="shared" si="276"/>
        <v/>
      </c>
      <c r="Q234" s="360" t="str">
        <f t="shared" si="276"/>
        <v/>
      </c>
      <c r="R234" s="360" t="str">
        <f t="shared" si="276"/>
        <v/>
      </c>
      <c r="S234" s="360" t="str">
        <f t="shared" si="276"/>
        <v/>
      </c>
      <c r="T234" s="360" t="str">
        <f t="shared" si="276"/>
        <v/>
      </c>
      <c r="U234" s="361" t="str">
        <f t="shared" si="276"/>
        <v/>
      </c>
      <c r="V234" s="298"/>
      <c r="W234" s="298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4" t="str">
        <f t="shared" ref="B235:C239" si="278">IF(AA235=0,"",AA235)</f>
        <v>Spieler 1</v>
      </c>
      <c r="C235" s="375" t="str">
        <f t="shared" si="278"/>
        <v/>
      </c>
      <c r="D235" s="362">
        <f>IF(AC235=301,"",AC235)</f>
        <v>237</v>
      </c>
      <c r="E235" s="362" t="str">
        <f>IF(AD235=0,"",AD235)</f>
        <v/>
      </c>
      <c r="F235" s="362">
        <f>IF(AE235=301,"",AE235)</f>
        <v>201</v>
      </c>
      <c r="G235" s="362" t="str">
        <f>IF(AF235=0,"",AF235)</f>
        <v/>
      </c>
      <c r="H235" s="362">
        <f>IF(AG235=301,"",AG235)</f>
        <v>194</v>
      </c>
      <c r="I235" s="362" t="str">
        <f>IF(AH235=0,"",AH235)</f>
        <v/>
      </c>
      <c r="J235" s="362">
        <f>IF(AI235=301,"",AI235)</f>
        <v>181</v>
      </c>
      <c r="K235" s="362" t="str">
        <f>IF(AJ235=0,"",AJ235)</f>
        <v/>
      </c>
      <c r="L235" s="362">
        <f>IF(AK235=301,"",AK235)</f>
        <v>203</v>
      </c>
      <c r="M235" s="362" t="str">
        <f>IF(AL235=0,"",AL235)</f>
        <v/>
      </c>
      <c r="N235" s="362">
        <f>IF(AM235=301,"",AM235)</f>
        <v>203</v>
      </c>
      <c r="O235" s="362" t="str">
        <f>IF(AN235=0,"",AN235)</f>
        <v/>
      </c>
      <c r="P235" s="362">
        <f>IF(AO235=301,"",AO235)</f>
        <v>0</v>
      </c>
      <c r="Q235" s="362" t="str">
        <f>IF(AP235=0,"",AP235)</f>
        <v/>
      </c>
      <c r="R235" s="362">
        <f>IF(AQ235=301,"",AQ235)</f>
        <v>0</v>
      </c>
      <c r="S235" s="362" t="str">
        <f>IF(AR235=0,"",AR235)</f>
        <v/>
      </c>
      <c r="T235" s="362">
        <f>IF(AS235=301,"",AS235)</f>
        <v>0</v>
      </c>
      <c r="U235" s="362" t="str">
        <f>IF(AT235=0,"",AT235)</f>
        <v/>
      </c>
      <c r="V235" s="364"/>
      <c r="W235" s="364"/>
      <c r="AA235" s="91" t="s">
        <v>0</v>
      </c>
      <c r="AB235" s="92"/>
      <c r="AC235" s="368">
        <f>ABS(INDEX(AC:AC,MATCH(AC232,$AA:$AA,0)+5)+INDEX(AC:AC,MATCH(AC232,$AA:$AA,0)+6)+INDEX(AC:AC,MATCH(AC232,$AA:$AA,0)+7))</f>
        <v>237</v>
      </c>
      <c r="AD235" s="369"/>
      <c r="AE235" s="368">
        <f>ABS(INDEX(AE:AE,MATCH(AE232,$AA:$AA,0)+5)+INDEX(AE:AE,MATCH(AE232,$AA:$AA,0)+6)+INDEX(AE:AE,MATCH(AE232,$AA:$AA,0)+7))</f>
        <v>201</v>
      </c>
      <c r="AF235" s="369"/>
      <c r="AG235" s="368">
        <f>ABS(INDEX(AG:AG,MATCH(AG232,$AA:$AA,0)+5)+INDEX(AG:AG,MATCH(AG232,$AA:$AA,0)+6)+INDEX(AG:AG,MATCH(AG232,$AA:$AA,0)+7))</f>
        <v>194</v>
      </c>
      <c r="AH235" s="369"/>
      <c r="AI235" s="368">
        <f>ABS(INDEX(AI:AI,MATCH(AI232,$AA:$AA,0)+5)+INDEX(AI:AI,MATCH(AI232,$AA:$AA,0)+6)+INDEX(AI:AI,MATCH(AI232,$AA:$AA,0)+7))</f>
        <v>181</v>
      </c>
      <c r="AJ235" s="369"/>
      <c r="AK235" s="368">
        <f>ABS(INDEX(AK:AK,MATCH(AK232,$AA:$AA,0)+5)+INDEX(AK:AK,MATCH(AK232,$AA:$AA,0)+6)+INDEX(AK:AK,MATCH(AK232,$AA:$AA,0)+7))</f>
        <v>203</v>
      </c>
      <c r="AL235" s="369"/>
      <c r="AM235" s="368">
        <f>ABS(INDEX(AM:AM,MATCH(AM232,$AA:$AA,0)+5)+INDEX(AM:AM,MATCH(AM232,$AA:$AA,0)+6)+INDEX(AM:AM,MATCH(AM232,$AA:$AA,0)+7))</f>
        <v>203</v>
      </c>
      <c r="AN235" s="369"/>
      <c r="AO235" s="368">
        <f>ABS(INDEX(AO:AO,MATCH(AO232,$AA:$AA,0)+5)+INDEX(AO:AO,MATCH(AO232,$AA:$AA,0)+6)+INDEX(AO:AO,MATCH(AO232,$AA:$AA,0)+7))</f>
        <v>0</v>
      </c>
      <c r="AP235" s="369"/>
      <c r="AQ235" s="368">
        <f>ABS(INDEX(AQ:AQ,MATCH(AQ232,$AA:$AA,0)+5)+INDEX(AQ:AQ,MATCH(AQ232,$AA:$AA,0)+6)+INDEX(AQ:AQ,MATCH(AQ232,$AA:$AA,0)+7))</f>
        <v>0</v>
      </c>
      <c r="AR235" s="369"/>
      <c r="AS235" s="368">
        <f>ABS(INDEX(AS:AS,MATCH(AS232,$AA:$AA,0)+5)+INDEX(AS:AS,MATCH(AS232,$AA:$AA,0)+6)+INDEX(AS:AS,MATCH(AS232,$AA:$AA,0)+7))</f>
        <v>0</v>
      </c>
      <c r="AT235" s="369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4" t="str">
        <f t="shared" si="278"/>
        <v>Spieler 2</v>
      </c>
      <c r="C236" s="375" t="str">
        <f t="shared" si="278"/>
        <v/>
      </c>
      <c r="D236" s="362">
        <f>IF(AC236=301,"",AC236)</f>
        <v>192</v>
      </c>
      <c r="E236" s="362" t="str">
        <f>IF(AD236=0,"",AD236)</f>
        <v/>
      </c>
      <c r="F236" s="362">
        <f>IF(AE236=301,"",AE236)</f>
        <v>190</v>
      </c>
      <c r="G236" s="362" t="str">
        <f>IF(AF236=0,"",AF236)</f>
        <v/>
      </c>
      <c r="H236" s="362">
        <f>IF(AG236=301,"",AG236)</f>
        <v>173</v>
      </c>
      <c r="I236" s="362" t="str">
        <f>IF(AH236=0,"",AH236)</f>
        <v/>
      </c>
      <c r="J236" s="362">
        <f>IF(AI236=301,"",AI236)</f>
        <v>170</v>
      </c>
      <c r="K236" s="362" t="str">
        <f>IF(AJ236=0,"",AJ236)</f>
        <v/>
      </c>
      <c r="L236" s="362">
        <f>IF(AK236=301,"",AK236)</f>
        <v>226</v>
      </c>
      <c r="M236" s="362" t="str">
        <f>IF(AL236=0,"",AL236)</f>
        <v/>
      </c>
      <c r="N236" s="362">
        <f>IF(AM236=301,"",AM236)</f>
        <v>195</v>
      </c>
      <c r="O236" s="362" t="str">
        <f>IF(AN236=0,"",AN236)</f>
        <v/>
      </c>
      <c r="P236" s="362">
        <f>IF(AO236=301,"",AO236)</f>
        <v>0</v>
      </c>
      <c r="Q236" s="362" t="str">
        <f>IF(AP236=0,"",AP236)</f>
        <v/>
      </c>
      <c r="R236" s="362">
        <f>IF(AQ236=301,"",AQ236)</f>
        <v>0</v>
      </c>
      <c r="S236" s="362" t="str">
        <f>IF(AR236=0,"",AR236)</f>
        <v/>
      </c>
      <c r="T236" s="362">
        <f>IF(AS236=301,"",AS236)</f>
        <v>0</v>
      </c>
      <c r="U236" s="362" t="str">
        <f>IF(AT236=0,"",AT236)</f>
        <v/>
      </c>
      <c r="V236" s="364"/>
      <c r="W236" s="364"/>
      <c r="AA236" s="91" t="s">
        <v>2</v>
      </c>
      <c r="AB236" s="92"/>
      <c r="AC236" s="366">
        <f>ABS(INDEX(AC:AC,MATCH(AC232,$AA:$AA,0)+8)+INDEX(AC:AC,MATCH(AC232,$AA:$AA,0)+9)+INDEX(AC:AC,MATCH(AC232,$AA:$AA,0)+10))</f>
        <v>192</v>
      </c>
      <c r="AD236" s="367"/>
      <c r="AE236" s="366">
        <f>ABS(INDEX(AE:AE,MATCH(AE232,$AA:$AA,0)+8)+INDEX(AE:AE,MATCH(AE232,$AA:$AA,0)+9)+INDEX(AE:AE,MATCH(AE232,$AA:$AA,0)+10))</f>
        <v>190</v>
      </c>
      <c r="AF236" s="367"/>
      <c r="AG236" s="366">
        <f>ABS(INDEX(AG:AG,MATCH(AG232,$AA:$AA,0)+8)+INDEX(AG:AG,MATCH(AG232,$AA:$AA,0)+9)+INDEX(AG:AG,MATCH(AG232,$AA:$AA,0)+10))</f>
        <v>173</v>
      </c>
      <c r="AH236" s="367"/>
      <c r="AI236" s="366">
        <f>ABS(INDEX(AI:AI,MATCH(AI232,$AA:$AA,0)+8)+INDEX(AI:AI,MATCH(AI232,$AA:$AA,0)+9)+INDEX(AI:AI,MATCH(AI232,$AA:$AA,0)+10))</f>
        <v>170</v>
      </c>
      <c r="AJ236" s="367"/>
      <c r="AK236" s="366">
        <f>ABS(INDEX(AK:AK,MATCH(AK232,$AA:$AA,0)+8)+INDEX(AK:AK,MATCH(AK232,$AA:$AA,0)+9)+INDEX(AK:AK,MATCH(AK232,$AA:$AA,0)+10))</f>
        <v>226</v>
      </c>
      <c r="AL236" s="367"/>
      <c r="AM236" s="366">
        <f>ABS(INDEX(AM:AM,MATCH(AM232,$AA:$AA,0)+8)+INDEX(AM:AM,MATCH(AM232,$AA:$AA,0)+9)+INDEX(AM:AM,MATCH(AM232,$AA:$AA,0)+10))</f>
        <v>195</v>
      </c>
      <c r="AN236" s="367"/>
      <c r="AO236" s="366">
        <f>ABS(INDEX(AO:AO,MATCH(AO232,$AA:$AA,0)+8)+INDEX(AO:AO,MATCH(AO232,$AA:$AA,0)+9)+INDEX(AO:AO,MATCH(AO232,$AA:$AA,0)+10))</f>
        <v>0</v>
      </c>
      <c r="AP236" s="367"/>
      <c r="AQ236" s="366">
        <f>ABS(INDEX(AQ:AQ,MATCH(AQ232,$AA:$AA,0)+8)+INDEX(AQ:AQ,MATCH(AQ232,$AA:$AA,0)+9)+INDEX(AQ:AQ,MATCH(AQ232,$AA:$AA,0)+10))</f>
        <v>0</v>
      </c>
      <c r="AR236" s="367"/>
      <c r="AS236" s="366">
        <f>ABS(INDEX(AS:AS,MATCH(AS232,$AA:$AA,0)+8)+INDEX(AS:AS,MATCH(AS232,$AA:$AA,0)+9)+INDEX(AS:AS,MATCH(AS232,$AA:$AA,0)+10))</f>
        <v>0</v>
      </c>
      <c r="AT236" s="367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4" t="str">
        <f t="shared" si="278"/>
        <v>Spieler 3</v>
      </c>
      <c r="C237" s="375" t="str">
        <f t="shared" si="278"/>
        <v/>
      </c>
      <c r="D237" s="362">
        <f>IF(AC237=301,"",AC237)</f>
        <v>157</v>
      </c>
      <c r="E237" s="362" t="str">
        <f>IF(AD237=0,"",AD237)</f>
        <v/>
      </c>
      <c r="F237" s="362">
        <f>IF(AE237=301,"",AE237)</f>
        <v>194</v>
      </c>
      <c r="G237" s="362" t="str">
        <f>IF(AF237=0,"",AF237)</f>
        <v/>
      </c>
      <c r="H237" s="362">
        <f>IF(AG237=301,"",AG237)</f>
        <v>179</v>
      </c>
      <c r="I237" s="362" t="str">
        <f>IF(AH237=0,"",AH237)</f>
        <v/>
      </c>
      <c r="J237" s="362">
        <f>IF(AI237=301,"",AI237)</f>
        <v>177</v>
      </c>
      <c r="K237" s="362" t="str">
        <f>IF(AJ237=0,"",AJ237)</f>
        <v/>
      </c>
      <c r="L237" s="362">
        <f>IF(AK237=301,"",AK237)</f>
        <v>188</v>
      </c>
      <c r="M237" s="362" t="str">
        <f>IF(AL237=0,"",AL237)</f>
        <v/>
      </c>
      <c r="N237" s="362">
        <f>IF(AM237=301,"",AM237)</f>
        <v>158</v>
      </c>
      <c r="O237" s="362" t="str">
        <f>IF(AN237=0,"",AN237)</f>
        <v/>
      </c>
      <c r="P237" s="362">
        <f>IF(AO237=301,"",AO237)</f>
        <v>0</v>
      </c>
      <c r="Q237" s="362" t="str">
        <f>IF(AP237=0,"",AP237)</f>
        <v/>
      </c>
      <c r="R237" s="362">
        <f>IF(AQ237=301,"",AQ237)</f>
        <v>0</v>
      </c>
      <c r="S237" s="362" t="str">
        <f>IF(AR237=0,"",AR237)</f>
        <v/>
      </c>
      <c r="T237" s="362">
        <f>IF(AS237=301,"",AS237)</f>
        <v>0</v>
      </c>
      <c r="U237" s="362" t="str">
        <f>IF(AT237=0,"",AT237)</f>
        <v/>
      </c>
      <c r="V237" s="364"/>
      <c r="W237" s="364"/>
      <c r="AA237" s="91" t="s">
        <v>3</v>
      </c>
      <c r="AB237" s="92"/>
      <c r="AC237" s="366">
        <f>ABS(INDEX(AC:AC,MATCH(AC232,$AA:$AA,0)+11)+INDEX(AC:AC,MATCH(AC232,$AA:$AA,0)+12)+INDEX(AC:AC,MATCH(AC232,$AA:$AA,0)+13))</f>
        <v>157</v>
      </c>
      <c r="AD237" s="367"/>
      <c r="AE237" s="366">
        <f>ABS(INDEX(AE:AE,MATCH(AE232,$AA:$AA,0)+11)+INDEX(AE:AE,MATCH(AE232,$AA:$AA,0)+12)+INDEX(AE:AE,MATCH(AE232,$AA:$AA,0)+13))</f>
        <v>194</v>
      </c>
      <c r="AF237" s="367"/>
      <c r="AG237" s="366">
        <f>ABS(INDEX(AG:AG,MATCH(AG232,$AA:$AA,0)+11)+INDEX(AG:AG,MATCH(AG232,$AA:$AA,0)+12)+INDEX(AG:AG,MATCH(AG232,$AA:$AA,0)+13))</f>
        <v>179</v>
      </c>
      <c r="AH237" s="367"/>
      <c r="AI237" s="366">
        <f>ABS(INDEX(AI:AI,MATCH(AI232,$AA:$AA,0)+11)+INDEX(AI:AI,MATCH(AI232,$AA:$AA,0)+12)+INDEX(AI:AI,MATCH(AI232,$AA:$AA,0)+13))</f>
        <v>177</v>
      </c>
      <c r="AJ237" s="367"/>
      <c r="AK237" s="366">
        <f>ABS(INDEX(AK:AK,MATCH(AK232,$AA:$AA,0)+11)+INDEX(AK:AK,MATCH(AK232,$AA:$AA,0)+12)+INDEX(AK:AK,MATCH(AK232,$AA:$AA,0)+13))</f>
        <v>188</v>
      </c>
      <c r="AL237" s="367"/>
      <c r="AM237" s="366">
        <f>ABS(INDEX(AM:AM,MATCH(AM232,$AA:$AA,0)+11)+INDEX(AM:AM,MATCH(AM232,$AA:$AA,0)+12)+INDEX(AM:AM,MATCH(AM232,$AA:$AA,0)+13))</f>
        <v>158</v>
      </c>
      <c r="AN237" s="367"/>
      <c r="AO237" s="366">
        <f>ABS(INDEX(AO:AO,MATCH(AO232,$AA:$AA,0)+11)+INDEX(AO:AO,MATCH(AO232,$AA:$AA,0)+12)+INDEX(AO:AO,MATCH(AO232,$AA:$AA,0)+13))</f>
        <v>0</v>
      </c>
      <c r="AP237" s="367"/>
      <c r="AQ237" s="366">
        <f>ABS(INDEX(AQ:AQ,MATCH(AQ232,$AA:$AA,0)+11)+INDEX(AQ:AQ,MATCH(AQ232,$AA:$AA,0)+12)+INDEX(AQ:AQ,MATCH(AQ232,$AA:$AA,0)+13))</f>
        <v>0</v>
      </c>
      <c r="AR237" s="367"/>
      <c r="AS237" s="366">
        <f>ABS(INDEX(AS:AS,MATCH(AS232,$AA:$AA,0)+11)+INDEX(AS:AS,MATCH(AS232,$AA:$AA,0)+12)+INDEX(AS:AS,MATCH(AS232,$AA:$AA,0)+13))</f>
        <v>0</v>
      </c>
      <c r="AT237" s="367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4" t="str">
        <f t="shared" si="278"/>
        <v>Spieler 4</v>
      </c>
      <c r="C238" s="375" t="str">
        <f t="shared" si="278"/>
        <v/>
      </c>
      <c r="D238" s="362">
        <f>IF(AC238=301,"",AC238)</f>
        <v>188</v>
      </c>
      <c r="E238" s="362" t="str">
        <f>IF(AD238=0,"",AD238)</f>
        <v/>
      </c>
      <c r="F238" s="362">
        <f>IF(AE238=301,"",AE238)</f>
        <v>215</v>
      </c>
      <c r="G238" s="362" t="str">
        <f>IF(AF238=0,"",AF238)</f>
        <v/>
      </c>
      <c r="H238" s="362">
        <f>IF(AG238=301,"",AG238)</f>
        <v>170</v>
      </c>
      <c r="I238" s="362" t="str">
        <f>IF(AH238=0,"",AH238)</f>
        <v/>
      </c>
      <c r="J238" s="362">
        <f>IF(AI238=301,"",AI238)</f>
        <v>172</v>
      </c>
      <c r="K238" s="362" t="str">
        <f>IF(AJ238=0,"",AJ238)</f>
        <v/>
      </c>
      <c r="L238" s="362">
        <f>IF(AK238=301,"",AK238)</f>
        <v>194</v>
      </c>
      <c r="M238" s="362" t="str">
        <f>IF(AL238=0,"",AL238)</f>
        <v/>
      </c>
      <c r="N238" s="362">
        <f>IF(AM238=301,"",AM238)</f>
        <v>236</v>
      </c>
      <c r="O238" s="362" t="str">
        <f>IF(AN238=0,"",AN238)</f>
        <v/>
      </c>
      <c r="P238" s="362">
        <f>IF(AO238=301,"",AO238)</f>
        <v>0</v>
      </c>
      <c r="Q238" s="362" t="str">
        <f>IF(AP238=0,"",AP238)</f>
        <v/>
      </c>
      <c r="R238" s="362">
        <f>IF(AQ238=301,"",AQ238)</f>
        <v>0</v>
      </c>
      <c r="S238" s="362" t="str">
        <f>IF(AR238=0,"",AR238)</f>
        <v/>
      </c>
      <c r="T238" s="362">
        <f>IF(AS238=301,"",AS238)</f>
        <v>0</v>
      </c>
      <c r="U238" s="362" t="str">
        <f>IF(AT238=0,"",AT238)</f>
        <v/>
      </c>
      <c r="V238" s="364"/>
      <c r="W238" s="364"/>
      <c r="AA238" s="91" t="s">
        <v>11</v>
      </c>
      <c r="AB238" s="92"/>
      <c r="AC238" s="366">
        <f>ABS(INDEX(AC:AC,MATCH(AC232,$AA:$AA,0)+14)+INDEX(AC:AC,MATCH(AC232,$AA:$AA,0)+15)+INDEX(AC:AC,MATCH(AC232,$AA:$AA,0)+16))</f>
        <v>188</v>
      </c>
      <c r="AD238" s="367"/>
      <c r="AE238" s="366">
        <f>ABS(INDEX(AE:AE,MATCH(AE232,$AA:$AA,0)+14)+INDEX(AE:AE,MATCH(AE232,$AA:$AA,0)+15)+INDEX(AE:AE,MATCH(AE232,$AA:$AA,0)+16))</f>
        <v>215</v>
      </c>
      <c r="AF238" s="367"/>
      <c r="AG238" s="366">
        <f>ABS(INDEX(AG:AG,MATCH(AG232,$AA:$AA,0)+14)+INDEX(AG:AG,MATCH(AG232,$AA:$AA,0)+15)+INDEX(AG:AG,MATCH(AG232,$AA:$AA,0)+16))</f>
        <v>170</v>
      </c>
      <c r="AH238" s="367"/>
      <c r="AI238" s="366">
        <f>ABS(INDEX(AI:AI,MATCH(AI232,$AA:$AA,0)+14)+INDEX(AI:AI,MATCH(AI232,$AA:$AA,0)+15)+INDEX(AI:AI,MATCH(AI232,$AA:$AA,0)+16))</f>
        <v>172</v>
      </c>
      <c r="AJ238" s="367"/>
      <c r="AK238" s="366">
        <f>ABS(INDEX(AK:AK,MATCH(AK232,$AA:$AA,0)+14)+INDEX(AK:AK,MATCH(AK232,$AA:$AA,0)+15)+INDEX(AK:AK,MATCH(AK232,$AA:$AA,0)+16))</f>
        <v>194</v>
      </c>
      <c r="AL238" s="367"/>
      <c r="AM238" s="366">
        <f>ABS(INDEX(AM:AM,MATCH(AM232,$AA:$AA,0)+14)+INDEX(AM:AM,MATCH(AM232,$AA:$AA,0)+15)+INDEX(AM:AM,MATCH(AM232,$AA:$AA,0)+16))</f>
        <v>236</v>
      </c>
      <c r="AN238" s="367"/>
      <c r="AO238" s="366">
        <f>ABS(INDEX(AO:AO,MATCH(AO232,$AA:$AA,0)+14)+INDEX(AO:AO,MATCH(AO232,$AA:$AA,0)+15)+INDEX(AO:AO,MATCH(AO232,$AA:$AA,0)+16))</f>
        <v>0</v>
      </c>
      <c r="AP238" s="367"/>
      <c r="AQ238" s="366">
        <f>ABS(INDEX(AQ:AQ,MATCH(AQ232,$AA:$AA,0)+14)+INDEX(AQ:AQ,MATCH(AQ232,$AA:$AA,0)+15)+INDEX(AQ:AQ,MATCH(AQ232,$AA:$AA,0)+16))</f>
        <v>0</v>
      </c>
      <c r="AR238" s="367"/>
      <c r="AS238" s="366">
        <f>ABS(INDEX(AS:AS,MATCH(AS232,$AA:$AA,0)+14)+INDEX(AS:AS,MATCH(AS232,$AA:$AA,0)+15)+INDEX(AS:AS,MATCH(AS232,$AA:$AA,0)+16))</f>
        <v>0</v>
      </c>
      <c r="AT238" s="367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6" t="str">
        <f t="shared" si="278"/>
        <v>Gesamt</v>
      </c>
      <c r="C239" s="347" t="str">
        <f t="shared" si="278"/>
        <v/>
      </c>
      <c r="D239" s="365">
        <f>IF(AC239=1505,"",AC239)</f>
        <v>774</v>
      </c>
      <c r="E239" s="365" t="str">
        <f>IF(AD239=0,"",AD239)</f>
        <v/>
      </c>
      <c r="F239" s="365">
        <f>IF(AE239=1505,"",AE239)</f>
        <v>800</v>
      </c>
      <c r="G239" s="365" t="str">
        <f>IF(AF239=0,"",AF239)</f>
        <v/>
      </c>
      <c r="H239" s="365">
        <f>IF(AG239=1505,"",AG239)</f>
        <v>716</v>
      </c>
      <c r="I239" s="365" t="str">
        <f>IF(AH239=0,"",AH239)</f>
        <v/>
      </c>
      <c r="J239" s="365">
        <f>IF(AI239=1505,"",AI239)</f>
        <v>700</v>
      </c>
      <c r="K239" s="365" t="str">
        <f>IF(AJ239=0,"",AJ239)</f>
        <v/>
      </c>
      <c r="L239" s="365">
        <f>IF(AK239=1505,"",AK239)</f>
        <v>811</v>
      </c>
      <c r="M239" s="365" t="str">
        <f>IF(AL239=0,"",AL239)</f>
        <v/>
      </c>
      <c r="N239" s="365">
        <f>IF(AM239=1505,"",AM239)</f>
        <v>792</v>
      </c>
      <c r="O239" s="365" t="str">
        <f>IF(AN239=0,"",AN239)</f>
        <v/>
      </c>
      <c r="P239" s="365">
        <f>IF(AO239=1505,"",AO239)</f>
        <v>0</v>
      </c>
      <c r="Q239" s="365" t="str">
        <f>IF(AP239=0,"",AP239)</f>
        <v/>
      </c>
      <c r="R239" s="365">
        <f>IF(AQ239=1505,"",AQ239)</f>
        <v>0</v>
      </c>
      <c r="S239" s="365" t="str">
        <f>IF(AR239=0,"",AR239)</f>
        <v/>
      </c>
      <c r="T239" s="365">
        <f>IF(AS239=1505,"",AS239)</f>
        <v>0</v>
      </c>
      <c r="U239" s="365" t="str">
        <f>IF(AT239=0,"",AT239)</f>
        <v/>
      </c>
      <c r="V239" s="301"/>
      <c r="W239" s="301"/>
      <c r="AA239" s="93" t="s">
        <v>1799</v>
      </c>
      <c r="AB239" s="94"/>
      <c r="AC239" s="346">
        <f>SUM(AC235:AC238)</f>
        <v>774</v>
      </c>
      <c r="AD239" s="347"/>
      <c r="AE239" s="346">
        <f>SUM(AE235:AE238)</f>
        <v>800</v>
      </c>
      <c r="AF239" s="347"/>
      <c r="AG239" s="346">
        <f>SUM(AG235:AG238)</f>
        <v>716</v>
      </c>
      <c r="AH239" s="347"/>
      <c r="AI239" s="346">
        <f>SUM(AI235:AI238)</f>
        <v>700</v>
      </c>
      <c r="AJ239" s="347"/>
      <c r="AK239" s="346">
        <f>SUM(AK235:AK238)</f>
        <v>811</v>
      </c>
      <c r="AL239" s="347"/>
      <c r="AM239" s="346">
        <f>SUM(AM235:AM238)</f>
        <v>792</v>
      </c>
      <c r="AN239" s="347"/>
      <c r="AO239" s="346">
        <f>SUM(AO235:AO238)</f>
        <v>0</v>
      </c>
      <c r="AP239" s="347"/>
      <c r="AQ239" s="346">
        <f>SUM(AQ235:AQ238)</f>
        <v>0</v>
      </c>
      <c r="AR239" s="347"/>
      <c r="AS239" s="346">
        <f>SUM(AS235:AS238)</f>
        <v>0</v>
      </c>
      <c r="AT239" s="347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5" t="str">
        <f>AE241</f>
        <v>Bayernliga Herren</v>
      </c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48"/>
      <c r="S241" s="49" t="s">
        <v>1794</v>
      </c>
      <c r="T241" s="50"/>
      <c r="U241" s="341" t="str">
        <f>AT241</f>
        <v>05.04./06.04.</v>
      </c>
      <c r="V241" s="342"/>
      <c r="W241" s="343"/>
      <c r="X241" s="372"/>
      <c r="Y241" s="373"/>
      <c r="Z241" s="373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41" t="str">
        <f>VLOOKUP(AS242,Spielorte!$A$1:$C$6,2)</f>
        <v>05.04./06.04.</v>
      </c>
      <c r="AU241" s="342"/>
      <c r="AV241" s="34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4" t="str">
        <f>AE242</f>
        <v>Dettelbach Extreme Bowlingarena</v>
      </c>
      <c r="G242" s="344"/>
      <c r="H242" s="344"/>
      <c r="I242" s="344"/>
      <c r="J242" s="344"/>
      <c r="K242" s="344"/>
      <c r="L242" s="344"/>
      <c r="M242" s="344"/>
      <c r="N242" s="344"/>
      <c r="O242" s="344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Dettelbach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6" t="s">
        <v>1800</v>
      </c>
      <c r="E245" s="347"/>
      <c r="F245" s="346" t="s">
        <v>1801</v>
      </c>
      <c r="G245" s="347"/>
      <c r="H245" s="346" t="s">
        <v>1802</v>
      </c>
      <c r="I245" s="347"/>
      <c r="J245" s="346" t="s">
        <v>1803</v>
      </c>
      <c r="K245" s="347"/>
      <c r="L245" s="346" t="s">
        <v>1804</v>
      </c>
      <c r="M245" s="347"/>
      <c r="N245" s="346" t="s">
        <v>1805</v>
      </c>
      <c r="O245" s="347"/>
      <c r="P245" s="346" t="s">
        <v>1806</v>
      </c>
      <c r="Q245" s="347"/>
      <c r="R245" s="346" t="s">
        <v>1807</v>
      </c>
      <c r="S245" s="347"/>
      <c r="T245" s="346" t="s">
        <v>1808</v>
      </c>
      <c r="U245" s="347"/>
      <c r="V245" s="354" t="s">
        <v>1799</v>
      </c>
      <c r="W245" s="355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6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255</v>
      </c>
      <c r="E247" s="348">
        <f>IF(AD247="","",AD247)</f>
        <v>1</v>
      </c>
      <c r="F247" s="75">
        <f t="shared" ref="F247:F260" si="279">IF(AE247=0,"",AE247)</f>
        <v>213</v>
      </c>
      <c r="G247" s="348">
        <f>IF(AF247="","",AF247)</f>
        <v>0.5</v>
      </c>
      <c r="H247" s="75">
        <f t="shared" ref="H247:H260" si="280">IF(AG247=0,"",AG247)</f>
        <v>204</v>
      </c>
      <c r="I247" s="348">
        <f>IF(AH247="","",AH247)</f>
        <v>1</v>
      </c>
      <c r="J247" s="75">
        <f t="shared" ref="J247:J260" si="281">IF(AI247=0,"",AI247)</f>
        <v>212</v>
      </c>
      <c r="K247" s="348">
        <f>IF(AJ247="","",AJ247)</f>
        <v>0</v>
      </c>
      <c r="L247" s="75">
        <f t="shared" ref="L247:L260" si="282">IF(AK247=0,"",AK247)</f>
        <v>195</v>
      </c>
      <c r="M247" s="348">
        <f>IF(AL247="","",AL247)</f>
        <v>1</v>
      </c>
      <c r="N247" s="75">
        <f>IF(AM247=0,"",AM247)</f>
        <v>245</v>
      </c>
      <c r="O247" s="348">
        <f>IF(AN247="","",AN247)</f>
        <v>1</v>
      </c>
      <c r="P247" s="75" t="str">
        <f t="shared" ref="P247:P260" si="283">IF(AO247=0,"",AO247)</f>
        <v/>
      </c>
      <c r="Q247" s="348">
        <f>IF(AP247="","",AP247)</f>
        <v>0</v>
      </c>
      <c r="R247" s="75" t="str">
        <f t="shared" ref="R247:R260" si="284">IF(AQ247=0,"",AQ247)</f>
        <v/>
      </c>
      <c r="S247" s="348">
        <f>IF(AR247="","",AR247)</f>
        <v>0</v>
      </c>
      <c r="T247" s="75" t="str">
        <f t="shared" ref="T247:T260" si="285">IF(AS247=0,"",AS247)</f>
        <v/>
      </c>
      <c r="U247" s="348">
        <f>IF(AT247="","",AT247)</f>
        <v>0</v>
      </c>
      <c r="V247" s="75">
        <f t="shared" ref="V247:V260" si="286">IF(AU247=0,"",AU247)</f>
        <v>1324</v>
      </c>
      <c r="W247" s="348">
        <f>IF(AV247="","",AV247)</f>
        <v>4.5</v>
      </c>
      <c r="Z247" s="351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255</v>
      </c>
      <c r="AD247" s="109">
        <f>IF(SUM(AC247:AC249)+AC265=0,0,IF(SUM(AC247:AC249)=AC265,0.5,IF(SUM(AC247:AC249)&gt;AC265,1,0)))</f>
        <v>1</v>
      </c>
      <c r="AE247" s="185">
        <v>213</v>
      </c>
      <c r="AF247" s="109">
        <f>IF(SUM(AE247:AE249)+AE265=0,0,IF(SUM(AE247:AE249)=AE265,0.5,IF(SUM(AE247:AE249)&gt;AE265,1,0)))</f>
        <v>0.5</v>
      </c>
      <c r="AG247" s="185">
        <v>204</v>
      </c>
      <c r="AH247" s="109">
        <f>IF(SUM(AG247:AG249)+AG265=0,0,IF(SUM(AG247:AG249)=AG265,0.5,IF(SUM(AG247:AG249)&gt;AG265,1,0)))</f>
        <v>1</v>
      </c>
      <c r="AI247" s="185">
        <v>212</v>
      </c>
      <c r="AJ247" s="109">
        <f>IF(SUM(AI247:AI249)+AI265=0,0,IF(SUM(AI247:AI249)=AI265,0.5,IF(SUM(AI247:AI249)&gt;AI265,1,0)))</f>
        <v>0</v>
      </c>
      <c r="AK247" s="185">
        <v>195</v>
      </c>
      <c r="AL247" s="109">
        <f>IF(SUM(AK247:AK249)+AK265=0,0,IF(SUM(AK247:AK249)=AK265,0.5,IF(SUM(AK247:AK249)&gt;AK265,1,0)))</f>
        <v>1</v>
      </c>
      <c r="AM247" s="185">
        <v>245</v>
      </c>
      <c r="AN247" s="109">
        <f>IF(SUM(AM247:AM249)+AM265=0,0,IF(SUM(AM247:AM249)=AM265,0.5,IF(SUM(AM247:AM249)&gt;AM265,1,0)))</f>
        <v>1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1324</v>
      </c>
      <c r="AV247" s="111">
        <f>SUM(AD247+AF247+AH247+AJ247+AL247+AN247+AP247+AR247+AT247)</f>
        <v>4.5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1324</v>
      </c>
      <c r="BF247" s="215">
        <f>COUNT(BH247:BP247)</f>
        <v>6</v>
      </c>
      <c r="BG247" s="215">
        <f>COUNTIF(BH247:BP247,"&gt;0")</f>
        <v>6</v>
      </c>
      <c r="BH247" s="215">
        <f t="shared" ref="BH247:BH258" si="288">IF(AC247=0,"",AC247)</f>
        <v>255</v>
      </c>
      <c r="BI247" s="215">
        <f t="shared" ref="BI247:BI258" si="289">IF(AE247=0,"",AE247)</f>
        <v>213</v>
      </c>
      <c r="BJ247" s="215">
        <f t="shared" ref="BJ247:BJ258" si="290">IF(AG247=0,"",AG247)</f>
        <v>204</v>
      </c>
      <c r="BK247" s="215">
        <f t="shared" ref="BK247:BK258" si="291">IF(AI247=0,"",AI247)</f>
        <v>212</v>
      </c>
      <c r="BL247" s="215">
        <f t="shared" ref="BL247:BL258" si="292">IF(AK247=0,"",AK247)</f>
        <v>195</v>
      </c>
      <c r="BM247" s="215">
        <f t="shared" ref="BM247:BM258" si="293">IF(AM247=0,"",AM247)</f>
        <v>245</v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255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1324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5">
      <c r="A248" s="377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9"/>
      <c r="F248" s="78" t="str">
        <f t="shared" si="279"/>
        <v/>
      </c>
      <c r="G248" s="349"/>
      <c r="H248" s="78" t="str">
        <f t="shared" si="280"/>
        <v/>
      </c>
      <c r="I248" s="349"/>
      <c r="J248" s="78" t="str">
        <f t="shared" si="281"/>
        <v/>
      </c>
      <c r="K248" s="349"/>
      <c r="L248" s="78" t="str">
        <f t="shared" si="282"/>
        <v/>
      </c>
      <c r="M248" s="349"/>
      <c r="N248" s="78" t="str">
        <f t="shared" ref="N248:N260" si="299">IF(AM248=0,"",AM248)</f>
        <v/>
      </c>
      <c r="O248" s="349"/>
      <c r="P248" s="78" t="str">
        <f t="shared" si="283"/>
        <v/>
      </c>
      <c r="Q248" s="349"/>
      <c r="R248" s="78" t="str">
        <f t="shared" si="284"/>
        <v/>
      </c>
      <c r="S248" s="349"/>
      <c r="T248" s="78" t="str">
        <f t="shared" si="285"/>
        <v/>
      </c>
      <c r="U248" s="349"/>
      <c r="V248" s="78" t="str">
        <f t="shared" si="286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2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3">
      <c r="A249" s="378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0"/>
      <c r="F249" s="69" t="str">
        <f t="shared" si="279"/>
        <v/>
      </c>
      <c r="G249" s="350"/>
      <c r="H249" s="69" t="str">
        <f t="shared" si="280"/>
        <v/>
      </c>
      <c r="I249" s="350"/>
      <c r="J249" s="69" t="str">
        <f t="shared" si="281"/>
        <v/>
      </c>
      <c r="K249" s="350"/>
      <c r="L249" s="69" t="str">
        <f t="shared" si="282"/>
        <v/>
      </c>
      <c r="M249" s="350"/>
      <c r="N249" s="69" t="str">
        <f t="shared" si="299"/>
        <v/>
      </c>
      <c r="O249" s="350"/>
      <c r="P249" s="69" t="str">
        <f t="shared" si="283"/>
        <v/>
      </c>
      <c r="Q249" s="350"/>
      <c r="R249" s="69" t="str">
        <f t="shared" si="284"/>
        <v/>
      </c>
      <c r="S249" s="350"/>
      <c r="T249" s="69" t="str">
        <f t="shared" si="285"/>
        <v/>
      </c>
      <c r="U249" s="350"/>
      <c r="V249" s="69" t="str">
        <f t="shared" si="286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5">
      <c r="A250" s="376" t="s">
        <v>2</v>
      </c>
      <c r="B250" s="73" t="str">
        <f t="shared" si="298"/>
        <v>Nolan, Jonathan</v>
      </c>
      <c r="C250" s="74">
        <f t="shared" si="298"/>
        <v>16873</v>
      </c>
      <c r="D250" s="75">
        <f t="shared" si="298"/>
        <v>133</v>
      </c>
      <c r="E250" s="348">
        <f>IF(AD250="","",AD250)</f>
        <v>0</v>
      </c>
      <c r="F250" s="75" t="str">
        <f t="shared" si="279"/>
        <v/>
      </c>
      <c r="G250" s="348">
        <f>IF(AF250="","",AF250)</f>
        <v>1</v>
      </c>
      <c r="H250" s="75" t="str">
        <f t="shared" si="280"/>
        <v/>
      </c>
      <c r="I250" s="348">
        <f>IF(AH250="","",AH250)</f>
        <v>0</v>
      </c>
      <c r="J250" s="75" t="str">
        <f t="shared" si="281"/>
        <v/>
      </c>
      <c r="K250" s="348">
        <f>IF(AJ250="","",AJ250)</f>
        <v>0</v>
      </c>
      <c r="L250" s="75" t="str">
        <f t="shared" si="282"/>
        <v/>
      </c>
      <c r="M250" s="348">
        <f>IF(AL250="","",AL250)</f>
        <v>1</v>
      </c>
      <c r="N250" s="75" t="str">
        <f t="shared" si="299"/>
        <v/>
      </c>
      <c r="O250" s="348">
        <f>IF(AN250="","",AN250)</f>
        <v>0</v>
      </c>
      <c r="P250" s="75" t="str">
        <f t="shared" si="283"/>
        <v/>
      </c>
      <c r="Q250" s="348">
        <f>IF(AP250="","",AP250)</f>
        <v>0</v>
      </c>
      <c r="R250" s="75" t="str">
        <f t="shared" si="284"/>
        <v/>
      </c>
      <c r="S250" s="348">
        <f>IF(AR250="","",AR250)</f>
        <v>0</v>
      </c>
      <c r="T250" s="75" t="str">
        <f t="shared" si="285"/>
        <v/>
      </c>
      <c r="U250" s="348">
        <f>IF(AT250="","",AT250)</f>
        <v>0</v>
      </c>
      <c r="V250" s="75">
        <f t="shared" si="286"/>
        <v>133</v>
      </c>
      <c r="W250" s="348">
        <f>IF(AV250="","",AV250)</f>
        <v>2</v>
      </c>
      <c r="Z250" s="351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133</v>
      </c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1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1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133</v>
      </c>
      <c r="AV250" s="111">
        <f>SUM(AD250+AF250+AH250+AJ250+AL250+AN250+AP250+AR250+AT250)</f>
        <v>2</v>
      </c>
      <c r="AW250" s="101"/>
      <c r="AX250" s="102"/>
      <c r="AZ250" s="63"/>
      <c r="BA250" s="212"/>
      <c r="BB250" s="213"/>
      <c r="BC250" s="214"/>
      <c r="BD250" s="217">
        <f t="shared" si="300"/>
        <v>16873</v>
      </c>
      <c r="BE250" s="213">
        <f t="shared" si="301"/>
        <v>133</v>
      </c>
      <c r="BF250" s="215">
        <f t="shared" si="302"/>
        <v>1</v>
      </c>
      <c r="BG250" s="215">
        <f t="shared" si="303"/>
        <v>1</v>
      </c>
      <c r="BH250" s="215">
        <f t="shared" si="288"/>
        <v>133</v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133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2</v>
      </c>
      <c r="BW250" s="215">
        <f t="shared" si="308"/>
        <v>133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5">
      <c r="A251" s="377"/>
      <c r="B251" s="76" t="str">
        <f t="shared" si="298"/>
        <v>Karl, William</v>
      </c>
      <c r="C251" s="77">
        <f t="shared" si="298"/>
        <v>16532</v>
      </c>
      <c r="D251" s="78" t="str">
        <f t="shared" si="298"/>
        <v/>
      </c>
      <c r="E251" s="349"/>
      <c r="F251" s="78">
        <f t="shared" si="279"/>
        <v>235</v>
      </c>
      <c r="G251" s="349"/>
      <c r="H251" s="78">
        <f t="shared" si="280"/>
        <v>159</v>
      </c>
      <c r="I251" s="349"/>
      <c r="J251" s="78">
        <f t="shared" si="281"/>
        <v>176</v>
      </c>
      <c r="K251" s="349"/>
      <c r="L251" s="78" t="str">
        <f t="shared" si="282"/>
        <v/>
      </c>
      <c r="M251" s="349"/>
      <c r="N251" s="78" t="str">
        <f t="shared" si="299"/>
        <v/>
      </c>
      <c r="O251" s="349"/>
      <c r="P251" s="78" t="str">
        <f t="shared" si="283"/>
        <v/>
      </c>
      <c r="Q251" s="349"/>
      <c r="R251" s="78" t="str">
        <f t="shared" si="284"/>
        <v/>
      </c>
      <c r="S251" s="349"/>
      <c r="T251" s="78" t="str">
        <f t="shared" si="285"/>
        <v/>
      </c>
      <c r="U251" s="349"/>
      <c r="V251" s="78">
        <f t="shared" si="286"/>
        <v>570</v>
      </c>
      <c r="W251" s="349"/>
      <c r="Z251" s="352"/>
      <c r="AA251" s="108" t="str">
        <f>IF(AB251=0,"",VLOOKUP(AB251,Starter!$A$1:$D$199,2,FALSE))</f>
        <v>Karl, William</v>
      </c>
      <c r="AB251" s="98">
        <v>16532</v>
      </c>
      <c r="AC251" s="186"/>
      <c r="AD251" s="112"/>
      <c r="AE251" s="186">
        <v>235</v>
      </c>
      <c r="AF251" s="112"/>
      <c r="AG251" s="186">
        <v>159</v>
      </c>
      <c r="AH251" s="112"/>
      <c r="AI251" s="186">
        <v>176</v>
      </c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570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16532</v>
      </c>
      <c r="BE251" s="213">
        <f t="shared" si="301"/>
        <v>570</v>
      </c>
      <c r="BF251" s="215">
        <f t="shared" si="302"/>
        <v>3</v>
      </c>
      <c r="BG251" s="215">
        <f t="shared" si="303"/>
        <v>3</v>
      </c>
      <c r="BH251" s="215" t="str">
        <f t="shared" si="288"/>
        <v/>
      </c>
      <c r="BI251" s="215">
        <f t="shared" si="289"/>
        <v>235</v>
      </c>
      <c r="BJ251" s="215">
        <f t="shared" si="290"/>
        <v>159</v>
      </c>
      <c r="BK251" s="215">
        <f t="shared" si="291"/>
        <v>176</v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235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2</v>
      </c>
      <c r="BW251" s="215">
        <f t="shared" si="308"/>
        <v>570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3">
      <c r="A252" s="378"/>
      <c r="B252" s="79" t="str">
        <f t="shared" si="298"/>
        <v>Badum, Daniel</v>
      </c>
      <c r="C252" s="80">
        <f t="shared" si="298"/>
        <v>38043</v>
      </c>
      <c r="D252" s="69" t="str">
        <f t="shared" si="298"/>
        <v/>
      </c>
      <c r="E252" s="350"/>
      <c r="F252" s="69" t="str">
        <f t="shared" si="279"/>
        <v/>
      </c>
      <c r="G252" s="350"/>
      <c r="H252" s="69" t="str">
        <f t="shared" si="280"/>
        <v/>
      </c>
      <c r="I252" s="350"/>
      <c r="J252" s="69" t="str">
        <f t="shared" si="281"/>
        <v/>
      </c>
      <c r="K252" s="350"/>
      <c r="L252" s="69">
        <f t="shared" si="282"/>
        <v>192</v>
      </c>
      <c r="M252" s="350"/>
      <c r="N252" s="69">
        <f t="shared" si="299"/>
        <v>145</v>
      </c>
      <c r="O252" s="350"/>
      <c r="P252" s="69" t="str">
        <f t="shared" si="283"/>
        <v/>
      </c>
      <c r="Q252" s="350"/>
      <c r="R252" s="69" t="str">
        <f t="shared" si="284"/>
        <v/>
      </c>
      <c r="S252" s="350"/>
      <c r="T252" s="69" t="str">
        <f t="shared" si="285"/>
        <v/>
      </c>
      <c r="U252" s="350"/>
      <c r="V252" s="69">
        <f t="shared" si="286"/>
        <v>337</v>
      </c>
      <c r="W252" s="350"/>
      <c r="Z252" s="353"/>
      <c r="AA252" s="118" t="str">
        <f>IF(AB252=0,"",VLOOKUP(AB252,Starter!$A$1:$D$199,2,FALSE))</f>
        <v>Badum, Daniel</v>
      </c>
      <c r="AB252" s="100">
        <v>38043</v>
      </c>
      <c r="AC252" s="189"/>
      <c r="AD252" s="119"/>
      <c r="AE252" s="189"/>
      <c r="AF252" s="119"/>
      <c r="AG252" s="189"/>
      <c r="AH252" s="119"/>
      <c r="AI252" s="189"/>
      <c r="AJ252" s="119"/>
      <c r="AK252" s="189">
        <v>192</v>
      </c>
      <c r="AL252" s="119"/>
      <c r="AM252" s="189">
        <v>145</v>
      </c>
      <c r="AN252" s="119"/>
      <c r="AO252" s="189"/>
      <c r="AP252" s="119"/>
      <c r="AQ252" s="189"/>
      <c r="AR252" s="119"/>
      <c r="AS252" s="189"/>
      <c r="AT252" s="119"/>
      <c r="AU252" s="116">
        <f t="shared" si="287"/>
        <v>337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38043</v>
      </c>
      <c r="BE252" s="213">
        <f t="shared" si="301"/>
        <v>337</v>
      </c>
      <c r="BF252" s="215">
        <f t="shared" si="302"/>
        <v>2</v>
      </c>
      <c r="BG252" s="215">
        <f t="shared" si="303"/>
        <v>2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>
        <f t="shared" si="292"/>
        <v>192</v>
      </c>
      <c r="BM252" s="215">
        <f t="shared" si="293"/>
        <v>145</v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192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2</v>
      </c>
      <c r="BW252" s="215">
        <f t="shared" si="308"/>
        <v>337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5">
      <c r="A253" s="376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196</v>
      </c>
      <c r="E253" s="348">
        <f>IF(AD253="","",AD253)</f>
        <v>0</v>
      </c>
      <c r="F253" s="75">
        <f t="shared" si="279"/>
        <v>178</v>
      </c>
      <c r="G253" s="348">
        <f>IF(AF253="","",AF253)</f>
        <v>0</v>
      </c>
      <c r="H253" s="75">
        <f t="shared" si="280"/>
        <v>149</v>
      </c>
      <c r="I253" s="348">
        <f>IF(AH253="","",AH253)</f>
        <v>0</v>
      </c>
      <c r="J253" s="75" t="str">
        <f t="shared" si="281"/>
        <v/>
      </c>
      <c r="K253" s="348">
        <f>IF(AJ253="","",AJ253)</f>
        <v>1</v>
      </c>
      <c r="L253" s="75" t="str">
        <f t="shared" si="282"/>
        <v/>
      </c>
      <c r="M253" s="348">
        <f>IF(AL253="","",AL253)</f>
        <v>1</v>
      </c>
      <c r="N253" s="75" t="str">
        <f t="shared" si="299"/>
        <v/>
      </c>
      <c r="O253" s="348">
        <f>IF(AN253="","",AN253)</f>
        <v>0</v>
      </c>
      <c r="P253" s="75" t="str">
        <f t="shared" si="283"/>
        <v/>
      </c>
      <c r="Q253" s="348">
        <f>IF(AP253="","",AP253)</f>
        <v>0</v>
      </c>
      <c r="R253" s="75" t="str">
        <f t="shared" si="284"/>
        <v/>
      </c>
      <c r="S253" s="348">
        <f>IF(AR253="","",AR253)</f>
        <v>0</v>
      </c>
      <c r="T253" s="75" t="str">
        <f t="shared" si="285"/>
        <v/>
      </c>
      <c r="U253" s="348">
        <f>IF(AT253="","",AT253)</f>
        <v>0</v>
      </c>
      <c r="V253" s="75">
        <f t="shared" si="286"/>
        <v>523</v>
      </c>
      <c r="W253" s="348">
        <f>IF(AV253="","",AV253)</f>
        <v>2</v>
      </c>
      <c r="Z253" s="351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196</v>
      </c>
      <c r="AD253" s="109">
        <f>IF(SUM(AC253:AC255)+AC267=0,0,IF(SUM(AC253:AC255)=AC267,0.5,IF(SUM(AC253:AC255)&gt;AC267,1,0)))</f>
        <v>0</v>
      </c>
      <c r="AE253" s="188">
        <v>178</v>
      </c>
      <c r="AF253" s="109">
        <f>IF(SUM(AE253:AE255)+AE267=0,0,IF(SUM(AE253:AE255)=AE267,0.5,IF(SUM(AE253:AE255)&gt;AE267,1,0)))</f>
        <v>0</v>
      </c>
      <c r="AG253" s="188">
        <v>149</v>
      </c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1</v>
      </c>
      <c r="AK253" s="188"/>
      <c r="AL253" s="109">
        <f>IF(SUM(AK253:AK255)+AK267=0,0,IF(SUM(AK253:AK255)=AK267,0.5,IF(SUM(AK253:AK255)&gt;AK267,1,0)))</f>
        <v>1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523</v>
      </c>
      <c r="AV253" s="111">
        <f>SUM(AD253+AF253+AH253+AJ253+AL253+AN253+AP253+AR253+AT253)</f>
        <v>2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523</v>
      </c>
      <c r="BF253" s="215">
        <f t="shared" si="302"/>
        <v>3</v>
      </c>
      <c r="BG253" s="215">
        <f t="shared" si="303"/>
        <v>3</v>
      </c>
      <c r="BH253" s="215">
        <f t="shared" si="288"/>
        <v>196</v>
      </c>
      <c r="BI253" s="215">
        <f t="shared" si="289"/>
        <v>178</v>
      </c>
      <c r="BJ253" s="215">
        <f t="shared" si="290"/>
        <v>149</v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196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2</v>
      </c>
      <c r="BW253" s="215">
        <f t="shared" si="308"/>
        <v>523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5">
      <c r="A254" s="377"/>
      <c r="B254" s="76" t="str">
        <f t="shared" si="298"/>
        <v>Nolan, Jonathan</v>
      </c>
      <c r="C254" s="77">
        <f t="shared" si="298"/>
        <v>16873</v>
      </c>
      <c r="D254" s="78" t="str">
        <f t="shared" si="298"/>
        <v/>
      </c>
      <c r="E254" s="349"/>
      <c r="F254" s="78" t="str">
        <f t="shared" si="279"/>
        <v/>
      </c>
      <c r="G254" s="349"/>
      <c r="H254" s="78" t="str">
        <f t="shared" si="280"/>
        <v/>
      </c>
      <c r="I254" s="349"/>
      <c r="J254" s="78">
        <f t="shared" si="281"/>
        <v>214</v>
      </c>
      <c r="K254" s="349"/>
      <c r="L254" s="78" t="str">
        <f t="shared" si="282"/>
        <v/>
      </c>
      <c r="M254" s="349"/>
      <c r="N254" s="78" t="str">
        <f t="shared" si="299"/>
        <v/>
      </c>
      <c r="O254" s="349"/>
      <c r="P254" s="78" t="str">
        <f t="shared" si="283"/>
        <v/>
      </c>
      <c r="Q254" s="349"/>
      <c r="R254" s="78" t="str">
        <f t="shared" si="284"/>
        <v/>
      </c>
      <c r="S254" s="349"/>
      <c r="T254" s="78" t="str">
        <f t="shared" si="285"/>
        <v/>
      </c>
      <c r="U254" s="349"/>
      <c r="V254" s="78">
        <f t="shared" si="286"/>
        <v>214</v>
      </c>
      <c r="W254" s="349"/>
      <c r="Z254" s="352"/>
      <c r="AA254" s="108" t="str">
        <f>IF(AB254=0,"",VLOOKUP(AB254,Starter!$A$1:$D$199,2,FALSE))</f>
        <v>Nolan, Jonathan</v>
      </c>
      <c r="AB254" s="98">
        <v>16873</v>
      </c>
      <c r="AC254" s="186"/>
      <c r="AD254" s="112"/>
      <c r="AE254" s="186"/>
      <c r="AF254" s="112"/>
      <c r="AG254" s="186"/>
      <c r="AH254" s="112"/>
      <c r="AI254" s="186">
        <v>214</v>
      </c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214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16873</v>
      </c>
      <c r="BE254" s="213">
        <f t="shared" si="301"/>
        <v>214</v>
      </c>
      <c r="BF254" s="215">
        <f t="shared" si="302"/>
        <v>1</v>
      </c>
      <c r="BG254" s="215">
        <f t="shared" si="303"/>
        <v>1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>
        <f t="shared" si="291"/>
        <v>214</v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214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2</v>
      </c>
      <c r="BW254" s="215">
        <f t="shared" si="308"/>
        <v>214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3">
      <c r="A255" s="378"/>
      <c r="B255" s="79" t="str">
        <f t="shared" si="298"/>
        <v>Holzinger, Sebastian</v>
      </c>
      <c r="C255" s="80">
        <f t="shared" si="298"/>
        <v>7099</v>
      </c>
      <c r="D255" s="69" t="str">
        <f t="shared" si="298"/>
        <v/>
      </c>
      <c r="E255" s="350"/>
      <c r="F255" s="69" t="str">
        <f t="shared" si="279"/>
        <v/>
      </c>
      <c r="G255" s="350"/>
      <c r="H255" s="69" t="str">
        <f t="shared" si="280"/>
        <v/>
      </c>
      <c r="I255" s="350"/>
      <c r="J255" s="69" t="str">
        <f t="shared" si="281"/>
        <v/>
      </c>
      <c r="K255" s="350"/>
      <c r="L255" s="69">
        <f t="shared" si="282"/>
        <v>225</v>
      </c>
      <c r="M255" s="350"/>
      <c r="N255" s="69">
        <f t="shared" si="299"/>
        <v>178</v>
      </c>
      <c r="O255" s="350"/>
      <c r="P255" s="69" t="str">
        <f t="shared" si="283"/>
        <v/>
      </c>
      <c r="Q255" s="350"/>
      <c r="R255" s="69" t="str">
        <f t="shared" si="284"/>
        <v/>
      </c>
      <c r="S255" s="350"/>
      <c r="T255" s="69" t="str">
        <f t="shared" si="285"/>
        <v/>
      </c>
      <c r="U255" s="350"/>
      <c r="V255" s="69">
        <f t="shared" si="286"/>
        <v>403</v>
      </c>
      <c r="W255" s="350"/>
      <c r="Z255" s="353"/>
      <c r="AA255" s="118" t="str">
        <f>IF(AB255=0,"",VLOOKUP(AB255,Starter!$A$1:$D$199,2,FALSE))</f>
        <v>Holzinger, Sebastian</v>
      </c>
      <c r="AB255" s="100">
        <v>7099</v>
      </c>
      <c r="AC255" s="189"/>
      <c r="AD255" s="119"/>
      <c r="AE255" s="189"/>
      <c r="AF255" s="119"/>
      <c r="AG255" s="189"/>
      <c r="AH255" s="119"/>
      <c r="AI255" s="189"/>
      <c r="AJ255" s="119"/>
      <c r="AK255" s="189">
        <v>225</v>
      </c>
      <c r="AL255" s="119"/>
      <c r="AM255" s="189">
        <v>178</v>
      </c>
      <c r="AN255" s="119"/>
      <c r="AO255" s="189"/>
      <c r="AP255" s="119"/>
      <c r="AQ255" s="189"/>
      <c r="AR255" s="119"/>
      <c r="AS255" s="189"/>
      <c r="AT255" s="119"/>
      <c r="AU255" s="116">
        <f t="shared" si="287"/>
        <v>403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7099</v>
      </c>
      <c r="BE255" s="213">
        <f t="shared" si="301"/>
        <v>403</v>
      </c>
      <c r="BF255" s="215">
        <f t="shared" si="302"/>
        <v>2</v>
      </c>
      <c r="BG255" s="215">
        <f t="shared" si="303"/>
        <v>2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>
        <f t="shared" si="292"/>
        <v>225</v>
      </c>
      <c r="BM255" s="215">
        <f t="shared" si="293"/>
        <v>178</v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225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2</v>
      </c>
      <c r="BW255" s="215">
        <f t="shared" si="308"/>
        <v>403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5">
      <c r="A256" s="376" t="s">
        <v>11</v>
      </c>
      <c r="B256" s="73" t="str">
        <f>IF(AA256=0,"",AA256)</f>
        <v>Renner, Alexander</v>
      </c>
      <c r="C256" s="74">
        <f t="shared" si="298"/>
        <v>16251</v>
      </c>
      <c r="D256" s="75">
        <f t="shared" si="298"/>
        <v>247</v>
      </c>
      <c r="E256" s="348">
        <f>IF(AD256="","",AD256)</f>
        <v>1</v>
      </c>
      <c r="F256" s="75">
        <f t="shared" si="279"/>
        <v>172</v>
      </c>
      <c r="G256" s="348">
        <f>IF(AF256="","",AF256)</f>
        <v>1</v>
      </c>
      <c r="H256" s="75">
        <f t="shared" si="280"/>
        <v>188</v>
      </c>
      <c r="I256" s="348">
        <f>IF(AH256="","",AH256)</f>
        <v>0</v>
      </c>
      <c r="J256" s="75">
        <f t="shared" si="281"/>
        <v>146</v>
      </c>
      <c r="K256" s="348">
        <f>IF(AJ256="","",AJ256)</f>
        <v>0</v>
      </c>
      <c r="L256" s="75">
        <f t="shared" si="282"/>
        <v>214</v>
      </c>
      <c r="M256" s="348">
        <f>IF(AL256="","",AL256)</f>
        <v>0</v>
      </c>
      <c r="N256" s="75">
        <f t="shared" si="299"/>
        <v>245</v>
      </c>
      <c r="O256" s="348">
        <f>IF(AN256="","",AN256)</f>
        <v>1</v>
      </c>
      <c r="P256" s="75" t="str">
        <f t="shared" si="283"/>
        <v/>
      </c>
      <c r="Q256" s="348">
        <f>IF(AP256="","",AP256)</f>
        <v>0</v>
      </c>
      <c r="R256" s="75" t="str">
        <f t="shared" si="284"/>
        <v/>
      </c>
      <c r="S256" s="348">
        <f>IF(AR256="","",AR256)</f>
        <v>0</v>
      </c>
      <c r="T256" s="75" t="str">
        <f t="shared" si="285"/>
        <v/>
      </c>
      <c r="U256" s="348">
        <f>IF(AT256="","",AT256)</f>
        <v>0</v>
      </c>
      <c r="V256" s="75">
        <f t="shared" si="286"/>
        <v>1212</v>
      </c>
      <c r="W256" s="348">
        <f>IF(AV256="","",AV256)</f>
        <v>3</v>
      </c>
      <c r="Z256" s="351" t="s">
        <v>11</v>
      </c>
      <c r="AA256" s="108" t="str">
        <f>IF(AB256=0,"",VLOOKUP(AB256,Starter!$A$1:$D$199,2,FALSE))</f>
        <v>Renner, Alexander</v>
      </c>
      <c r="AB256" s="99">
        <v>16251</v>
      </c>
      <c r="AC256" s="188">
        <v>247</v>
      </c>
      <c r="AD256" s="109">
        <f>IF(SUM(AC256:AC258)+AC268=0,0,IF(SUM(AC256:AC258)=AC268,0.5,IF(SUM(AC256:AC258)&gt;AC268,1,0)))</f>
        <v>1</v>
      </c>
      <c r="AE256" s="188">
        <v>172</v>
      </c>
      <c r="AF256" s="109">
        <f>IF(SUM(AE256:AE258)+AE268=0,0,IF(SUM(AE256:AE258)=AE268,0.5,IF(SUM(AE256:AE258)&gt;AE268,1,0)))</f>
        <v>1</v>
      </c>
      <c r="AG256" s="188">
        <v>188</v>
      </c>
      <c r="AH256" s="109">
        <f>IF(SUM(AG256:AG258)+AG268=0,0,IF(SUM(AG256:AG258)=AG268,0.5,IF(SUM(AG256:AG258)&gt;AG268,1,0)))</f>
        <v>0</v>
      </c>
      <c r="AI256" s="188">
        <v>146</v>
      </c>
      <c r="AJ256" s="109">
        <f>IF(SUM(AI256:AI258)+AI268=0,0,IF(SUM(AI256:AI258)=AI268,0.5,IF(SUM(AI256:AI258)&gt;AI268,1,0)))</f>
        <v>0</v>
      </c>
      <c r="AK256" s="188">
        <v>214</v>
      </c>
      <c r="AL256" s="109">
        <f>IF(SUM(AK256:AK258)+AK268=0,0,IF(SUM(AK256:AK258)=AK268,0.5,IF(SUM(AK256:AK258)&gt;AK268,1,0)))</f>
        <v>0</v>
      </c>
      <c r="AM256" s="188">
        <v>245</v>
      </c>
      <c r="AN256" s="109">
        <f>IF(SUM(AM256:AM258)+AM268=0,0,IF(SUM(AM256:AM258)=AM268,0.5,IF(SUM(AM256:AM258)&gt;AM268,1,0)))</f>
        <v>1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1212</v>
      </c>
      <c r="AV256" s="111">
        <f>SUM(AD256+AF256+AH256+AJ256+AL256+AN256+AP256+AR256+AT256)</f>
        <v>3</v>
      </c>
      <c r="AW256" s="101"/>
      <c r="AX256" s="102"/>
      <c r="AZ256" s="63"/>
      <c r="BA256" s="212"/>
      <c r="BB256" s="213"/>
      <c r="BC256" s="214"/>
      <c r="BD256" s="217">
        <f t="shared" si="300"/>
        <v>16251</v>
      </c>
      <c r="BE256" s="213">
        <f t="shared" si="301"/>
        <v>1212</v>
      </c>
      <c r="BF256" s="215">
        <f t="shared" si="302"/>
        <v>6</v>
      </c>
      <c r="BG256" s="215">
        <f t="shared" si="303"/>
        <v>6</v>
      </c>
      <c r="BH256" s="215">
        <f t="shared" si="288"/>
        <v>247</v>
      </c>
      <c r="BI256" s="215">
        <f t="shared" si="289"/>
        <v>172</v>
      </c>
      <c r="BJ256" s="215">
        <f t="shared" si="290"/>
        <v>188</v>
      </c>
      <c r="BK256" s="215">
        <f t="shared" si="291"/>
        <v>146</v>
      </c>
      <c r="BL256" s="215">
        <f t="shared" si="292"/>
        <v>214</v>
      </c>
      <c r="BM256" s="215">
        <f t="shared" si="293"/>
        <v>245</v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247</v>
      </c>
      <c r="BT256" s="215">
        <f t="shared" si="305"/>
        <v>0</v>
      </c>
      <c r="BU256" s="215" t="str">
        <f t="shared" si="306"/>
        <v>Bowlinghaus Bamberg 1</v>
      </c>
      <c r="BV256" s="214">
        <f t="shared" si="307"/>
        <v>2</v>
      </c>
      <c r="BW256" s="215">
        <f t="shared" si="308"/>
        <v>1212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5">
      <c r="A257" s="377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9"/>
      <c r="F257" s="78" t="str">
        <f t="shared" si="279"/>
        <v/>
      </c>
      <c r="G257" s="349"/>
      <c r="H257" s="78" t="str">
        <f t="shared" si="280"/>
        <v/>
      </c>
      <c r="I257" s="349"/>
      <c r="J257" s="78" t="str">
        <f t="shared" si="281"/>
        <v/>
      </c>
      <c r="K257" s="349"/>
      <c r="L257" s="78" t="str">
        <f t="shared" si="282"/>
        <v/>
      </c>
      <c r="M257" s="349"/>
      <c r="N257" s="78" t="str">
        <f t="shared" si="299"/>
        <v/>
      </c>
      <c r="O257" s="349"/>
      <c r="P257" s="78" t="str">
        <f t="shared" si="283"/>
        <v/>
      </c>
      <c r="Q257" s="349"/>
      <c r="R257" s="78" t="str">
        <f t="shared" si="284"/>
        <v/>
      </c>
      <c r="S257" s="349"/>
      <c r="T257" s="78" t="str">
        <f t="shared" si="285"/>
        <v/>
      </c>
      <c r="U257" s="349"/>
      <c r="V257" s="78" t="str">
        <f t="shared" si="286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3">
      <c r="A258" s="378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0"/>
      <c r="F258" s="69" t="str">
        <f t="shared" si="279"/>
        <v/>
      </c>
      <c r="G258" s="350"/>
      <c r="H258" s="69" t="str">
        <f t="shared" si="280"/>
        <v/>
      </c>
      <c r="I258" s="350"/>
      <c r="J258" s="69" t="str">
        <f t="shared" si="281"/>
        <v/>
      </c>
      <c r="K258" s="350"/>
      <c r="L258" s="69" t="str">
        <f t="shared" si="282"/>
        <v/>
      </c>
      <c r="M258" s="350"/>
      <c r="N258" s="69" t="str">
        <f t="shared" si="299"/>
        <v/>
      </c>
      <c r="O258" s="350"/>
      <c r="P258" s="69" t="str">
        <f t="shared" si="283"/>
        <v/>
      </c>
      <c r="Q258" s="350"/>
      <c r="R258" s="69" t="str">
        <f t="shared" si="284"/>
        <v/>
      </c>
      <c r="S258" s="350"/>
      <c r="T258" s="69" t="str">
        <f t="shared" si="285"/>
        <v/>
      </c>
      <c r="U258" s="350"/>
      <c r="V258" s="69" t="str">
        <f t="shared" si="286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831</v>
      </c>
      <c r="E259" s="84">
        <f>IF(AD259="","",AD259)</f>
        <v>0</v>
      </c>
      <c r="F259" s="83">
        <f t="shared" si="279"/>
        <v>798</v>
      </c>
      <c r="G259" s="84">
        <f>IF(AF259="","",AF259)</f>
        <v>2</v>
      </c>
      <c r="H259" s="83">
        <f t="shared" si="280"/>
        <v>700</v>
      </c>
      <c r="I259" s="84">
        <f>IF(AH259="","",AH259)</f>
        <v>0</v>
      </c>
      <c r="J259" s="83">
        <f t="shared" si="281"/>
        <v>748</v>
      </c>
      <c r="K259" s="84">
        <f>IF(AJ259="","",AJ259)</f>
        <v>0</v>
      </c>
      <c r="L259" s="83">
        <f t="shared" si="282"/>
        <v>826</v>
      </c>
      <c r="M259" s="84">
        <f>IF(AL259="","",AL259)</f>
        <v>2</v>
      </c>
      <c r="N259" s="83">
        <f t="shared" si="299"/>
        <v>813</v>
      </c>
      <c r="O259" s="84">
        <f>IF(AN259="","",AN259)</f>
        <v>2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>
        <f t="shared" si="286"/>
        <v>4716</v>
      </c>
      <c r="W259" s="84">
        <f>IF(AV259="","",AV259)</f>
        <v>6</v>
      </c>
      <c r="AA259" s="81" t="s">
        <v>1799</v>
      </c>
      <c r="AB259" s="120"/>
      <c r="AC259" s="211">
        <f>ABS(SUM(AC247:AC249))+ABS(SUM(AC250:AC252))+ABS(SUM(AC253:AC255))+ABS(SUM(AC256:AC258))</f>
        <v>831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798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700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748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826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813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4716</v>
      </c>
      <c r="AV259" s="123">
        <f>SUM(AD259+AF259+AH259+AJ259+AL259+AN259+AP259+AR259+AT259)</f>
        <v>6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2</v>
      </c>
      <c r="F260" s="86" t="str">
        <f t="shared" si="279"/>
        <v/>
      </c>
      <c r="G260" s="87">
        <f>IF(AF260="","",AF260)</f>
        <v>4.5</v>
      </c>
      <c r="H260" s="86" t="str">
        <f t="shared" si="280"/>
        <v/>
      </c>
      <c r="I260" s="87">
        <f>IF(AH260="","",AH260)</f>
        <v>1</v>
      </c>
      <c r="J260" s="86" t="str">
        <f t="shared" si="281"/>
        <v/>
      </c>
      <c r="K260" s="87">
        <f>IF(AJ260="","",AJ260)</f>
        <v>1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4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17.5</v>
      </c>
      <c r="AA260" s="85" t="s">
        <v>1814</v>
      </c>
      <c r="AB260" s="86"/>
      <c r="AC260" s="86"/>
      <c r="AD260" s="124">
        <f>SUM(AD247:AD259)</f>
        <v>2</v>
      </c>
      <c r="AE260" s="86"/>
      <c r="AF260" s="124">
        <f>SUM(AF247:AF259)</f>
        <v>4.5</v>
      </c>
      <c r="AG260" s="86"/>
      <c r="AH260" s="124">
        <f>SUM(AH247:AH259)</f>
        <v>1</v>
      </c>
      <c r="AI260" s="86"/>
      <c r="AJ260" s="124">
        <f>SUM(AJ247:AJ259)</f>
        <v>1</v>
      </c>
      <c r="AK260" s="86"/>
      <c r="AL260" s="124">
        <f>SUM(AL247:AL259)</f>
        <v>5</v>
      </c>
      <c r="AM260" s="86"/>
      <c r="AN260" s="124">
        <f>SUM(AN247:AN259)</f>
        <v>4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17.5</v>
      </c>
      <c r="AW260" s="101"/>
      <c r="AX260" s="102"/>
      <c r="BA260" s="212">
        <f>+AV260</f>
        <v>17.5</v>
      </c>
      <c r="BB260" s="213">
        <f>+AU259</f>
        <v>4716</v>
      </c>
      <c r="BC260" s="214">
        <f>+AA242</f>
        <v>9</v>
      </c>
      <c r="BF260" s="215">
        <f>SUM(BF241:BF259)</f>
        <v>24</v>
      </c>
      <c r="BQ260" s="212">
        <f>+BB260/1000000+BA260</f>
        <v>17.504715999999998</v>
      </c>
      <c r="BR260" s="214">
        <f>RANK(BQ260,BQ:BQ)</f>
        <v>6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6">
        <f t="shared" si="310"/>
        <v>4</v>
      </c>
      <c r="E262" s="356" t="str">
        <f t="shared" si="310"/>
        <v/>
      </c>
      <c r="F262" s="356">
        <f t="shared" si="310"/>
        <v>3</v>
      </c>
      <c r="G262" s="356" t="str">
        <f t="shared" si="310"/>
        <v/>
      </c>
      <c r="H262" s="356">
        <f t="shared" si="310"/>
        <v>7</v>
      </c>
      <c r="I262" s="356" t="str">
        <f t="shared" si="310"/>
        <v/>
      </c>
      <c r="J262" s="356">
        <f t="shared" si="310"/>
        <v>6</v>
      </c>
      <c r="K262" s="356" t="str">
        <f t="shared" si="310"/>
        <v/>
      </c>
      <c r="L262" s="356">
        <f t="shared" si="310"/>
        <v>5</v>
      </c>
      <c r="M262" s="356" t="str">
        <f t="shared" si="310"/>
        <v/>
      </c>
      <c r="N262" s="356">
        <f t="shared" si="310"/>
        <v>1</v>
      </c>
      <c r="O262" s="356" t="str">
        <f t="shared" si="310"/>
        <v/>
      </c>
      <c r="P262" s="356">
        <f t="shared" si="310"/>
        <v>8</v>
      </c>
      <c r="Q262" s="356" t="str">
        <f t="shared" si="310"/>
        <v/>
      </c>
      <c r="R262" s="356">
        <f t="shared" ref="L262:U264" si="311">IF(AQ262=0,"",AQ262)</f>
        <v>2</v>
      </c>
      <c r="S262" s="356" t="str">
        <f t="shared" si="311"/>
        <v/>
      </c>
      <c r="T262" s="356">
        <f t="shared" si="311"/>
        <v>10</v>
      </c>
      <c r="U262" s="356" t="str">
        <f t="shared" si="311"/>
        <v/>
      </c>
      <c r="V262" s="357"/>
      <c r="W262" s="357"/>
      <c r="AA262" s="88" t="s">
        <v>1797</v>
      </c>
      <c r="AB262" s="89" t="s">
        <v>1798</v>
      </c>
      <c r="AC262" s="370">
        <f>VLOOKUP($AA242,Schlüssel!$A$5:$DG$14,103)</f>
        <v>4</v>
      </c>
      <c r="AD262" s="371"/>
      <c r="AE262" s="370">
        <f>VLOOKUP($AA242,Schlüssel!$A$5:$EK$14,104)</f>
        <v>3</v>
      </c>
      <c r="AF262" s="371"/>
      <c r="AG262" s="370">
        <f>VLOOKUP($AA242,Schlüssel!$A$5:$EK$14,105)</f>
        <v>7</v>
      </c>
      <c r="AH262" s="371"/>
      <c r="AI262" s="370">
        <f>VLOOKUP($AA242,Schlüssel!$A$5:$EK$14,106)</f>
        <v>6</v>
      </c>
      <c r="AJ262" s="371"/>
      <c r="AK262" s="370">
        <f>VLOOKUP($AA242,Schlüssel!$A$5:$EK$14,107)</f>
        <v>5</v>
      </c>
      <c r="AL262" s="371"/>
      <c r="AM262" s="370">
        <f>VLOOKUP($AA242,Schlüssel!$A$5:$EK$14,108)</f>
        <v>1</v>
      </c>
      <c r="AN262" s="371"/>
      <c r="AO262" s="370">
        <f>VLOOKUP($AA242,Schlüssel!$A$5:$EK$14,109)</f>
        <v>8</v>
      </c>
      <c r="AP262" s="371"/>
      <c r="AQ262" s="370">
        <f>VLOOKUP($AA242,Schlüssel!$A$5:$EK$14,110)</f>
        <v>2</v>
      </c>
      <c r="AR262" s="371"/>
      <c r="AS262" s="370">
        <f>VLOOKUP($AA242,Schlüssel!$A$5:$EK$14,111)</f>
        <v>10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58" t="str">
        <f t="shared" si="312"/>
        <v>SG DJK Rimpar</v>
      </c>
      <c r="E263" s="359" t="str">
        <f t="shared" si="312"/>
        <v/>
      </c>
      <c r="F263" s="358" t="str">
        <f t="shared" si="312"/>
        <v>BK München 3</v>
      </c>
      <c r="G263" s="359" t="str">
        <f t="shared" si="312"/>
        <v/>
      </c>
      <c r="H263" s="358" t="str">
        <f t="shared" si="312"/>
        <v>Schanzer Ingolstadt 1</v>
      </c>
      <c r="I263" s="359" t="str">
        <f t="shared" si="312"/>
        <v/>
      </c>
      <c r="J263" s="358" t="str">
        <f t="shared" si="312"/>
        <v>SG Rottendorf 1</v>
      </c>
      <c r="K263" s="359" t="str">
        <f t="shared" si="312"/>
        <v/>
      </c>
      <c r="L263" s="358" t="str">
        <f t="shared" si="311"/>
        <v>RW Lichtenhof Stein 1</v>
      </c>
      <c r="M263" s="359" t="str">
        <f t="shared" si="311"/>
        <v/>
      </c>
      <c r="N263" s="358" t="str">
        <f t="shared" si="311"/>
        <v>BC Comet Nürnberg</v>
      </c>
      <c r="O263" s="359" t="str">
        <f t="shared" si="311"/>
        <v/>
      </c>
      <c r="P263" s="358" t="str">
        <f t="shared" si="311"/>
        <v>BC EMAX Unterföhring 2</v>
      </c>
      <c r="Q263" s="359" t="str">
        <f t="shared" si="311"/>
        <v/>
      </c>
      <c r="R263" s="358" t="str">
        <f t="shared" si="311"/>
        <v>Bajuwaren München 1</v>
      </c>
      <c r="S263" s="359" t="str">
        <f t="shared" si="311"/>
        <v/>
      </c>
      <c r="T263" s="358" t="str">
        <f t="shared" si="311"/>
        <v>High Roller Rosenheim 1</v>
      </c>
      <c r="U263" s="359" t="str">
        <f t="shared" si="311"/>
        <v/>
      </c>
      <c r="V263" s="363"/>
      <c r="W263" s="363"/>
      <c r="AA263" s="90"/>
      <c r="AB263" s="86"/>
      <c r="AC263" s="358" t="str">
        <f>VLOOKUP(AC262,Schlüssel!$A$5:$K$14,2)</f>
        <v>SG DJK Rimpar</v>
      </c>
      <c r="AD263" s="359"/>
      <c r="AE263" s="358" t="str">
        <f>VLOOKUP(AE262,Schlüssel!$A$5:$K$14,2)</f>
        <v>BK München 3</v>
      </c>
      <c r="AF263" s="359"/>
      <c r="AG263" s="358" t="str">
        <f>VLOOKUP(AG262,Schlüssel!$A$5:$K$14,2)</f>
        <v>Schanzer Ingolstadt 1</v>
      </c>
      <c r="AH263" s="359"/>
      <c r="AI263" s="358" t="str">
        <f>VLOOKUP(AI262,Schlüssel!$A$5:$K$14,2)</f>
        <v>SG Rottendorf 1</v>
      </c>
      <c r="AJ263" s="359"/>
      <c r="AK263" s="358" t="str">
        <f>VLOOKUP(AK262,Schlüssel!$A$5:$K$14,2)</f>
        <v>RW Lichtenhof Stein 1</v>
      </c>
      <c r="AL263" s="359"/>
      <c r="AM263" s="358" t="str">
        <f>VLOOKUP(AM262,Schlüssel!$A$5:$K$14,2)</f>
        <v>BC Comet Nürnberg</v>
      </c>
      <c r="AN263" s="359"/>
      <c r="AO263" s="358" t="str">
        <f>VLOOKUP(AO262,Schlüssel!$A$5:$K$14,2)</f>
        <v>BC EMAX Unterföhring 2</v>
      </c>
      <c r="AP263" s="359"/>
      <c r="AQ263" s="358" t="str">
        <f>VLOOKUP(AQ262,Schlüssel!$A$5:$K$14,2)</f>
        <v>Bajuwaren München 1</v>
      </c>
      <c r="AR263" s="359"/>
      <c r="AS263" s="358" t="str">
        <f>VLOOKUP(AS262,Schlüssel!$A$5:$K$14,2)</f>
        <v>High Roller Rosenheim 1</v>
      </c>
      <c r="AT263" s="359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60" t="str">
        <f t="shared" si="312"/>
        <v/>
      </c>
      <c r="E264" s="360" t="str">
        <f t="shared" si="312"/>
        <v/>
      </c>
      <c r="F264" s="360" t="str">
        <f t="shared" si="312"/>
        <v/>
      </c>
      <c r="G264" s="360" t="str">
        <f t="shared" si="312"/>
        <v/>
      </c>
      <c r="H264" s="360" t="str">
        <f t="shared" si="312"/>
        <v/>
      </c>
      <c r="I264" s="360" t="str">
        <f t="shared" si="312"/>
        <v/>
      </c>
      <c r="J264" s="360" t="str">
        <f t="shared" si="312"/>
        <v/>
      </c>
      <c r="K264" s="360" t="str">
        <f t="shared" si="312"/>
        <v/>
      </c>
      <c r="L264" s="360" t="str">
        <f t="shared" si="311"/>
        <v/>
      </c>
      <c r="M264" s="360" t="str">
        <f t="shared" si="311"/>
        <v/>
      </c>
      <c r="N264" s="360" t="str">
        <f t="shared" si="311"/>
        <v/>
      </c>
      <c r="O264" s="360" t="str">
        <f t="shared" si="311"/>
        <v/>
      </c>
      <c r="P264" s="360" t="str">
        <f t="shared" si="311"/>
        <v/>
      </c>
      <c r="Q264" s="360" t="str">
        <f t="shared" si="311"/>
        <v/>
      </c>
      <c r="R264" s="360" t="str">
        <f t="shared" si="311"/>
        <v/>
      </c>
      <c r="S264" s="360" t="str">
        <f t="shared" si="311"/>
        <v/>
      </c>
      <c r="T264" s="360" t="str">
        <f t="shared" si="311"/>
        <v/>
      </c>
      <c r="U264" s="361" t="str">
        <f t="shared" si="311"/>
        <v/>
      </c>
      <c r="V264" s="298"/>
      <c r="W264" s="298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4" t="str">
        <f t="shared" ref="B265:C269" si="313">IF(AA265=0,"",AA265)</f>
        <v>Spieler 1</v>
      </c>
      <c r="C265" s="375" t="str">
        <f t="shared" si="313"/>
        <v/>
      </c>
      <c r="D265" s="362">
        <f>IF(AC265=301,"",AC265)</f>
        <v>196</v>
      </c>
      <c r="E265" s="362" t="str">
        <f>IF(AD265=0,"",AD265)</f>
        <v/>
      </c>
      <c r="F265" s="362">
        <f>IF(AE265=301,"",AE265)</f>
        <v>213</v>
      </c>
      <c r="G265" s="362" t="str">
        <f>IF(AF265=0,"",AF265)</f>
        <v/>
      </c>
      <c r="H265" s="362">
        <f>IF(AG265=301,"",AG265)</f>
        <v>186</v>
      </c>
      <c r="I265" s="362" t="str">
        <f>IF(AH265=0,"",AH265)</f>
        <v/>
      </c>
      <c r="J265" s="362">
        <f>IF(AI265=301,"",AI265)</f>
        <v>234</v>
      </c>
      <c r="K265" s="362" t="str">
        <f>IF(AJ265=0,"",AJ265)</f>
        <v/>
      </c>
      <c r="L265" s="362">
        <f>IF(AK265=301,"",AK265)</f>
        <v>190</v>
      </c>
      <c r="M265" s="362" t="str">
        <f>IF(AL265=0,"",AL265)</f>
        <v/>
      </c>
      <c r="N265" s="362">
        <f>IF(AM265=301,"",AM265)</f>
        <v>194</v>
      </c>
      <c r="O265" s="362" t="str">
        <f>IF(AN265=0,"",AN265)</f>
        <v/>
      </c>
      <c r="P265" s="362">
        <f>IF(AO265=301,"",AO265)</f>
        <v>0</v>
      </c>
      <c r="Q265" s="362" t="str">
        <f>IF(AP265=0,"",AP265)</f>
        <v/>
      </c>
      <c r="R265" s="362">
        <f>IF(AQ265=301,"",AQ265)</f>
        <v>0</v>
      </c>
      <c r="S265" s="362" t="str">
        <f>IF(AR265=0,"",AR265)</f>
        <v/>
      </c>
      <c r="T265" s="362">
        <f>IF(AS265=301,"",AS265)</f>
        <v>0</v>
      </c>
      <c r="U265" s="362" t="str">
        <f>IF(AT265=0,"",AT265)</f>
        <v/>
      </c>
      <c r="V265" s="364"/>
      <c r="W265" s="364"/>
      <c r="AA265" s="91" t="s">
        <v>0</v>
      </c>
      <c r="AB265" s="92"/>
      <c r="AC265" s="368">
        <f>ABS(INDEX(AC:AC,MATCH(AC262,$AA:$AA,0)+5)+INDEX(AC:AC,MATCH(AC262,$AA:$AA,0)+6)+INDEX(AC:AC,MATCH(AC262,$AA:$AA,0)+7))</f>
        <v>196</v>
      </c>
      <c r="AD265" s="369"/>
      <c r="AE265" s="368">
        <f>ABS(INDEX(AE:AE,MATCH(AE262,$AA:$AA,0)+5)+INDEX(AE:AE,MATCH(AE262,$AA:$AA,0)+6)+INDEX(AE:AE,MATCH(AE262,$AA:$AA,0)+7))</f>
        <v>213</v>
      </c>
      <c r="AF265" s="369"/>
      <c r="AG265" s="368">
        <f>ABS(INDEX(AG:AG,MATCH(AG262,$AA:$AA,0)+5)+INDEX(AG:AG,MATCH(AG262,$AA:$AA,0)+6)+INDEX(AG:AG,MATCH(AG262,$AA:$AA,0)+7))</f>
        <v>186</v>
      </c>
      <c r="AH265" s="369"/>
      <c r="AI265" s="368">
        <f>ABS(INDEX(AI:AI,MATCH(AI262,$AA:$AA,0)+5)+INDEX(AI:AI,MATCH(AI262,$AA:$AA,0)+6)+INDEX(AI:AI,MATCH(AI262,$AA:$AA,0)+7))</f>
        <v>234</v>
      </c>
      <c r="AJ265" s="369"/>
      <c r="AK265" s="368">
        <f>ABS(INDEX(AK:AK,MATCH(AK262,$AA:$AA,0)+5)+INDEX(AK:AK,MATCH(AK262,$AA:$AA,0)+6)+INDEX(AK:AK,MATCH(AK262,$AA:$AA,0)+7))</f>
        <v>190</v>
      </c>
      <c r="AL265" s="369"/>
      <c r="AM265" s="368">
        <f>ABS(INDEX(AM:AM,MATCH(AM262,$AA:$AA,0)+5)+INDEX(AM:AM,MATCH(AM262,$AA:$AA,0)+6)+INDEX(AM:AM,MATCH(AM262,$AA:$AA,0)+7))</f>
        <v>194</v>
      </c>
      <c r="AN265" s="369"/>
      <c r="AO265" s="368">
        <f>ABS(INDEX(AO:AO,MATCH(AO262,$AA:$AA,0)+5)+INDEX(AO:AO,MATCH(AO262,$AA:$AA,0)+6)+INDEX(AO:AO,MATCH(AO262,$AA:$AA,0)+7))</f>
        <v>0</v>
      </c>
      <c r="AP265" s="369"/>
      <c r="AQ265" s="368">
        <f>ABS(INDEX(AQ:AQ,MATCH(AQ262,$AA:$AA,0)+5)+INDEX(AQ:AQ,MATCH(AQ262,$AA:$AA,0)+6)+INDEX(AQ:AQ,MATCH(AQ262,$AA:$AA,0)+7))</f>
        <v>0</v>
      </c>
      <c r="AR265" s="369"/>
      <c r="AS265" s="368">
        <f>ABS(INDEX(AS:AS,MATCH(AS262,$AA:$AA,0)+5)+INDEX(AS:AS,MATCH(AS262,$AA:$AA,0)+6)+INDEX(AS:AS,MATCH(AS262,$AA:$AA,0)+7))</f>
        <v>0</v>
      </c>
      <c r="AT265" s="369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4" t="str">
        <f t="shared" si="313"/>
        <v>Spieler 2</v>
      </c>
      <c r="C266" s="375" t="str">
        <f t="shared" si="313"/>
        <v/>
      </c>
      <c r="D266" s="362">
        <f>IF(AC266=301,"",AC266)</f>
        <v>266</v>
      </c>
      <c r="E266" s="362" t="str">
        <f>IF(AD266=0,"",AD266)</f>
        <v/>
      </c>
      <c r="F266" s="362">
        <f>IF(AE266=301,"",AE266)</f>
        <v>211</v>
      </c>
      <c r="G266" s="362" t="str">
        <f>IF(AF266=0,"",AF266)</f>
        <v/>
      </c>
      <c r="H266" s="362">
        <f>IF(AG266=301,"",AG266)</f>
        <v>213</v>
      </c>
      <c r="I266" s="362" t="str">
        <f>IF(AH266=0,"",AH266)</f>
        <v/>
      </c>
      <c r="J266" s="362">
        <f>IF(AI266=301,"",AI266)</f>
        <v>179</v>
      </c>
      <c r="K266" s="362" t="str">
        <f>IF(AJ266=0,"",AJ266)</f>
        <v/>
      </c>
      <c r="L266" s="362">
        <f>IF(AK266=301,"",AK266)</f>
        <v>183</v>
      </c>
      <c r="M266" s="362" t="str">
        <f>IF(AL266=0,"",AL266)</f>
        <v/>
      </c>
      <c r="N266" s="362">
        <f>IF(AM266=301,"",AM266)</f>
        <v>203</v>
      </c>
      <c r="O266" s="362" t="str">
        <f>IF(AN266=0,"",AN266)</f>
        <v/>
      </c>
      <c r="P266" s="362">
        <f>IF(AO266=301,"",AO266)</f>
        <v>0</v>
      </c>
      <c r="Q266" s="362" t="str">
        <f>IF(AP266=0,"",AP266)</f>
        <v/>
      </c>
      <c r="R266" s="362">
        <f>IF(AQ266=301,"",AQ266)</f>
        <v>0</v>
      </c>
      <c r="S266" s="362" t="str">
        <f>IF(AR266=0,"",AR266)</f>
        <v/>
      </c>
      <c r="T266" s="362">
        <f>IF(AS266=301,"",AS266)</f>
        <v>0</v>
      </c>
      <c r="U266" s="362" t="str">
        <f>IF(AT266=0,"",AT266)</f>
        <v/>
      </c>
      <c r="V266" s="364"/>
      <c r="W266" s="364"/>
      <c r="AA266" s="91" t="s">
        <v>2</v>
      </c>
      <c r="AB266" s="92"/>
      <c r="AC266" s="366">
        <f>ABS(INDEX(AC:AC,MATCH(AC262,$AA:$AA,0)+8)+INDEX(AC:AC,MATCH(AC262,$AA:$AA,0)+9)+INDEX(AC:AC,MATCH(AC262,$AA:$AA,0)+10))</f>
        <v>266</v>
      </c>
      <c r="AD266" s="367"/>
      <c r="AE266" s="366">
        <f>ABS(INDEX(AE:AE,MATCH(AE262,$AA:$AA,0)+8)+INDEX(AE:AE,MATCH(AE262,$AA:$AA,0)+9)+INDEX(AE:AE,MATCH(AE262,$AA:$AA,0)+10))</f>
        <v>211</v>
      </c>
      <c r="AF266" s="367"/>
      <c r="AG266" s="366">
        <f>ABS(INDEX(AG:AG,MATCH(AG262,$AA:$AA,0)+8)+INDEX(AG:AG,MATCH(AG262,$AA:$AA,0)+9)+INDEX(AG:AG,MATCH(AG262,$AA:$AA,0)+10))</f>
        <v>213</v>
      </c>
      <c r="AH266" s="367"/>
      <c r="AI266" s="366">
        <f>ABS(INDEX(AI:AI,MATCH(AI262,$AA:$AA,0)+8)+INDEX(AI:AI,MATCH(AI262,$AA:$AA,0)+9)+INDEX(AI:AI,MATCH(AI262,$AA:$AA,0)+10))</f>
        <v>179</v>
      </c>
      <c r="AJ266" s="367"/>
      <c r="AK266" s="366">
        <f>ABS(INDEX(AK:AK,MATCH(AK262,$AA:$AA,0)+8)+INDEX(AK:AK,MATCH(AK262,$AA:$AA,0)+9)+INDEX(AK:AK,MATCH(AK262,$AA:$AA,0)+10))</f>
        <v>183</v>
      </c>
      <c r="AL266" s="367"/>
      <c r="AM266" s="366">
        <f>ABS(INDEX(AM:AM,MATCH(AM262,$AA:$AA,0)+8)+INDEX(AM:AM,MATCH(AM262,$AA:$AA,0)+9)+INDEX(AM:AM,MATCH(AM262,$AA:$AA,0)+10))</f>
        <v>203</v>
      </c>
      <c r="AN266" s="367"/>
      <c r="AO266" s="366">
        <f>ABS(INDEX(AO:AO,MATCH(AO262,$AA:$AA,0)+8)+INDEX(AO:AO,MATCH(AO262,$AA:$AA,0)+9)+INDEX(AO:AO,MATCH(AO262,$AA:$AA,0)+10))</f>
        <v>0</v>
      </c>
      <c r="AP266" s="367"/>
      <c r="AQ266" s="366">
        <f>ABS(INDEX(AQ:AQ,MATCH(AQ262,$AA:$AA,0)+8)+INDEX(AQ:AQ,MATCH(AQ262,$AA:$AA,0)+9)+INDEX(AQ:AQ,MATCH(AQ262,$AA:$AA,0)+10))</f>
        <v>0</v>
      </c>
      <c r="AR266" s="367"/>
      <c r="AS266" s="366">
        <f>ABS(INDEX(AS:AS,MATCH(AS262,$AA:$AA,0)+8)+INDEX(AS:AS,MATCH(AS262,$AA:$AA,0)+9)+INDEX(AS:AS,MATCH(AS262,$AA:$AA,0)+10))</f>
        <v>0</v>
      </c>
      <c r="AT266" s="367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4" t="str">
        <f t="shared" si="313"/>
        <v>Spieler 3</v>
      </c>
      <c r="C267" s="375" t="str">
        <f t="shared" si="313"/>
        <v/>
      </c>
      <c r="D267" s="362">
        <f>IF(AC267=301,"",AC267)</f>
        <v>268</v>
      </c>
      <c r="E267" s="362" t="str">
        <f>IF(AD267=0,"",AD267)</f>
        <v/>
      </c>
      <c r="F267" s="362">
        <f>IF(AE267=301,"",AE267)</f>
        <v>191</v>
      </c>
      <c r="G267" s="362" t="str">
        <f>IF(AF267=0,"",AF267)</f>
        <v/>
      </c>
      <c r="H267" s="362">
        <f>IF(AG267=301,"",AG267)</f>
        <v>171</v>
      </c>
      <c r="I267" s="362" t="str">
        <f>IF(AH267=0,"",AH267)</f>
        <v/>
      </c>
      <c r="J267" s="362">
        <f>IF(AI267=301,"",AI267)</f>
        <v>212</v>
      </c>
      <c r="K267" s="362" t="str">
        <f>IF(AJ267=0,"",AJ267)</f>
        <v/>
      </c>
      <c r="L267" s="362">
        <f>IF(AK267=301,"",AK267)</f>
        <v>159</v>
      </c>
      <c r="M267" s="362" t="str">
        <f>IF(AL267=0,"",AL267)</f>
        <v/>
      </c>
      <c r="N267" s="362">
        <f>IF(AM267=301,"",AM267)</f>
        <v>194</v>
      </c>
      <c r="O267" s="362" t="str">
        <f>IF(AN267=0,"",AN267)</f>
        <v/>
      </c>
      <c r="P267" s="362">
        <f>IF(AO267=301,"",AO267)</f>
        <v>0</v>
      </c>
      <c r="Q267" s="362" t="str">
        <f>IF(AP267=0,"",AP267)</f>
        <v/>
      </c>
      <c r="R267" s="362">
        <f>IF(AQ267=301,"",AQ267)</f>
        <v>0</v>
      </c>
      <c r="S267" s="362" t="str">
        <f>IF(AR267=0,"",AR267)</f>
        <v/>
      </c>
      <c r="T267" s="362">
        <f>IF(AS267=301,"",AS267)</f>
        <v>0</v>
      </c>
      <c r="U267" s="362" t="str">
        <f>IF(AT267=0,"",AT267)</f>
        <v/>
      </c>
      <c r="V267" s="364"/>
      <c r="W267" s="364"/>
      <c r="AA267" s="91" t="s">
        <v>3</v>
      </c>
      <c r="AB267" s="92"/>
      <c r="AC267" s="366">
        <f>ABS(INDEX(AC:AC,MATCH(AC262,$AA:$AA,0)+11)+INDEX(AC:AC,MATCH(AC262,$AA:$AA,0)+12)+INDEX(AC:AC,MATCH(AC262,$AA:$AA,0)+13))</f>
        <v>268</v>
      </c>
      <c r="AD267" s="367"/>
      <c r="AE267" s="366">
        <f>ABS(INDEX(AE:AE,MATCH(AE262,$AA:$AA,0)+11)+INDEX(AE:AE,MATCH(AE262,$AA:$AA,0)+12)+INDEX(AE:AE,MATCH(AE262,$AA:$AA,0)+13))</f>
        <v>191</v>
      </c>
      <c r="AF267" s="367"/>
      <c r="AG267" s="366">
        <f>ABS(INDEX(AG:AG,MATCH(AG262,$AA:$AA,0)+11)+INDEX(AG:AG,MATCH(AG262,$AA:$AA,0)+12)+INDEX(AG:AG,MATCH(AG262,$AA:$AA,0)+13))</f>
        <v>171</v>
      </c>
      <c r="AH267" s="367"/>
      <c r="AI267" s="366">
        <f>ABS(INDEX(AI:AI,MATCH(AI262,$AA:$AA,0)+11)+INDEX(AI:AI,MATCH(AI262,$AA:$AA,0)+12)+INDEX(AI:AI,MATCH(AI262,$AA:$AA,0)+13))</f>
        <v>212</v>
      </c>
      <c r="AJ267" s="367"/>
      <c r="AK267" s="366">
        <f>ABS(INDEX(AK:AK,MATCH(AK262,$AA:$AA,0)+11)+INDEX(AK:AK,MATCH(AK262,$AA:$AA,0)+12)+INDEX(AK:AK,MATCH(AK262,$AA:$AA,0)+13))</f>
        <v>159</v>
      </c>
      <c r="AL267" s="367"/>
      <c r="AM267" s="366">
        <f>ABS(INDEX(AM:AM,MATCH(AM262,$AA:$AA,0)+11)+INDEX(AM:AM,MATCH(AM262,$AA:$AA,0)+12)+INDEX(AM:AM,MATCH(AM262,$AA:$AA,0)+13))</f>
        <v>194</v>
      </c>
      <c r="AN267" s="367"/>
      <c r="AO267" s="366">
        <f>ABS(INDEX(AO:AO,MATCH(AO262,$AA:$AA,0)+11)+INDEX(AO:AO,MATCH(AO262,$AA:$AA,0)+12)+INDEX(AO:AO,MATCH(AO262,$AA:$AA,0)+13))</f>
        <v>0</v>
      </c>
      <c r="AP267" s="367"/>
      <c r="AQ267" s="366">
        <f>ABS(INDEX(AQ:AQ,MATCH(AQ262,$AA:$AA,0)+11)+INDEX(AQ:AQ,MATCH(AQ262,$AA:$AA,0)+12)+INDEX(AQ:AQ,MATCH(AQ262,$AA:$AA,0)+13))</f>
        <v>0</v>
      </c>
      <c r="AR267" s="367"/>
      <c r="AS267" s="366">
        <f>ABS(INDEX(AS:AS,MATCH(AS262,$AA:$AA,0)+11)+INDEX(AS:AS,MATCH(AS262,$AA:$AA,0)+12)+INDEX(AS:AS,MATCH(AS262,$AA:$AA,0)+13))</f>
        <v>0</v>
      </c>
      <c r="AT267" s="367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4" t="str">
        <f t="shared" si="313"/>
        <v>Spieler 4</v>
      </c>
      <c r="C268" s="375" t="str">
        <f t="shared" si="313"/>
        <v/>
      </c>
      <c r="D268" s="362">
        <f>IF(AC268=301,"",AC268)</f>
        <v>230</v>
      </c>
      <c r="E268" s="362" t="str">
        <f>IF(AD268=0,"",AD268)</f>
        <v/>
      </c>
      <c r="F268" s="362">
        <f>IF(AE268=301,"",AE268)</f>
        <v>169</v>
      </c>
      <c r="G268" s="362" t="str">
        <f>IF(AF268=0,"",AF268)</f>
        <v/>
      </c>
      <c r="H268" s="362">
        <f>IF(AG268=301,"",AG268)</f>
        <v>244</v>
      </c>
      <c r="I268" s="362" t="str">
        <f>IF(AH268=0,"",AH268)</f>
        <v/>
      </c>
      <c r="J268" s="362">
        <f>IF(AI268=301,"",AI268)</f>
        <v>153</v>
      </c>
      <c r="K268" s="362" t="str">
        <f>IF(AJ268=0,"",AJ268)</f>
        <v/>
      </c>
      <c r="L268" s="362">
        <f>IF(AK268=301,"",AK268)</f>
        <v>246</v>
      </c>
      <c r="M268" s="362" t="str">
        <f>IF(AL268=0,"",AL268)</f>
        <v/>
      </c>
      <c r="N268" s="362">
        <f>IF(AM268=301,"",AM268)</f>
        <v>172</v>
      </c>
      <c r="O268" s="362" t="str">
        <f>IF(AN268=0,"",AN268)</f>
        <v/>
      </c>
      <c r="P268" s="362">
        <f>IF(AO268=301,"",AO268)</f>
        <v>0</v>
      </c>
      <c r="Q268" s="362" t="str">
        <f>IF(AP268=0,"",AP268)</f>
        <v/>
      </c>
      <c r="R268" s="362">
        <f>IF(AQ268=301,"",AQ268)</f>
        <v>0</v>
      </c>
      <c r="S268" s="362" t="str">
        <f>IF(AR268=0,"",AR268)</f>
        <v/>
      </c>
      <c r="T268" s="362">
        <f>IF(AS268=301,"",AS268)</f>
        <v>0</v>
      </c>
      <c r="U268" s="362" t="str">
        <f>IF(AT268=0,"",AT268)</f>
        <v/>
      </c>
      <c r="V268" s="364"/>
      <c r="W268" s="364"/>
      <c r="AA268" s="91" t="s">
        <v>11</v>
      </c>
      <c r="AB268" s="92"/>
      <c r="AC268" s="366">
        <f>ABS(INDEX(AC:AC,MATCH(AC262,$AA:$AA,0)+14)+INDEX(AC:AC,MATCH(AC262,$AA:$AA,0)+15)+INDEX(AC:AC,MATCH(AC262,$AA:$AA,0)+16))</f>
        <v>230</v>
      </c>
      <c r="AD268" s="367"/>
      <c r="AE268" s="366">
        <f>ABS(INDEX(AE:AE,MATCH(AE262,$AA:$AA,0)+14)+INDEX(AE:AE,MATCH(AE262,$AA:$AA,0)+15)+INDEX(AE:AE,MATCH(AE262,$AA:$AA,0)+16))</f>
        <v>169</v>
      </c>
      <c r="AF268" s="367"/>
      <c r="AG268" s="366">
        <f>ABS(INDEX(AG:AG,MATCH(AG262,$AA:$AA,0)+14)+INDEX(AG:AG,MATCH(AG262,$AA:$AA,0)+15)+INDEX(AG:AG,MATCH(AG262,$AA:$AA,0)+16))</f>
        <v>244</v>
      </c>
      <c r="AH268" s="367"/>
      <c r="AI268" s="366">
        <f>ABS(INDEX(AI:AI,MATCH(AI262,$AA:$AA,0)+14)+INDEX(AI:AI,MATCH(AI262,$AA:$AA,0)+15)+INDEX(AI:AI,MATCH(AI262,$AA:$AA,0)+16))</f>
        <v>153</v>
      </c>
      <c r="AJ268" s="367"/>
      <c r="AK268" s="366">
        <f>ABS(INDEX(AK:AK,MATCH(AK262,$AA:$AA,0)+14)+INDEX(AK:AK,MATCH(AK262,$AA:$AA,0)+15)+INDEX(AK:AK,MATCH(AK262,$AA:$AA,0)+16))</f>
        <v>246</v>
      </c>
      <c r="AL268" s="367"/>
      <c r="AM268" s="366">
        <f>ABS(INDEX(AM:AM,MATCH(AM262,$AA:$AA,0)+14)+INDEX(AM:AM,MATCH(AM262,$AA:$AA,0)+15)+INDEX(AM:AM,MATCH(AM262,$AA:$AA,0)+16))</f>
        <v>172</v>
      </c>
      <c r="AN268" s="367"/>
      <c r="AO268" s="366">
        <f>ABS(INDEX(AO:AO,MATCH(AO262,$AA:$AA,0)+14)+INDEX(AO:AO,MATCH(AO262,$AA:$AA,0)+15)+INDEX(AO:AO,MATCH(AO262,$AA:$AA,0)+16))</f>
        <v>0</v>
      </c>
      <c r="AP268" s="367"/>
      <c r="AQ268" s="366">
        <f>ABS(INDEX(AQ:AQ,MATCH(AQ262,$AA:$AA,0)+14)+INDEX(AQ:AQ,MATCH(AQ262,$AA:$AA,0)+15)+INDEX(AQ:AQ,MATCH(AQ262,$AA:$AA,0)+16))</f>
        <v>0</v>
      </c>
      <c r="AR268" s="367"/>
      <c r="AS268" s="366">
        <f>ABS(INDEX(AS:AS,MATCH(AS262,$AA:$AA,0)+14)+INDEX(AS:AS,MATCH(AS262,$AA:$AA,0)+15)+INDEX(AS:AS,MATCH(AS262,$AA:$AA,0)+16))</f>
        <v>0</v>
      </c>
      <c r="AT268" s="367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6" t="str">
        <f t="shared" si="313"/>
        <v>Gesamt</v>
      </c>
      <c r="C269" s="347" t="str">
        <f t="shared" si="313"/>
        <v/>
      </c>
      <c r="D269" s="365">
        <f>IF(AC269=1505,"",AC269)</f>
        <v>960</v>
      </c>
      <c r="E269" s="365" t="str">
        <f>IF(AD269=0,"",AD269)</f>
        <v/>
      </c>
      <c r="F269" s="365">
        <f>IF(AE269=1505,"",AE269)</f>
        <v>784</v>
      </c>
      <c r="G269" s="365" t="str">
        <f>IF(AF269=0,"",AF269)</f>
        <v/>
      </c>
      <c r="H269" s="365">
        <f>IF(AG269=1505,"",AG269)</f>
        <v>814</v>
      </c>
      <c r="I269" s="365" t="str">
        <f>IF(AH269=0,"",AH269)</f>
        <v/>
      </c>
      <c r="J269" s="365">
        <f>IF(AI269=1505,"",AI269)</f>
        <v>778</v>
      </c>
      <c r="K269" s="365" t="str">
        <f>IF(AJ269=0,"",AJ269)</f>
        <v/>
      </c>
      <c r="L269" s="365">
        <f>IF(AK269=1505,"",AK269)</f>
        <v>778</v>
      </c>
      <c r="M269" s="365" t="str">
        <f>IF(AL269=0,"",AL269)</f>
        <v/>
      </c>
      <c r="N269" s="365">
        <f>IF(AM269=1505,"",AM269)</f>
        <v>763</v>
      </c>
      <c r="O269" s="365" t="str">
        <f>IF(AN269=0,"",AN269)</f>
        <v/>
      </c>
      <c r="P269" s="365">
        <f>IF(AO269=1505,"",AO269)</f>
        <v>0</v>
      </c>
      <c r="Q269" s="365" t="str">
        <f>IF(AP269=0,"",AP269)</f>
        <v/>
      </c>
      <c r="R269" s="365">
        <f>IF(AQ269=1505,"",AQ269)</f>
        <v>0</v>
      </c>
      <c r="S269" s="365" t="str">
        <f>IF(AR269=0,"",AR269)</f>
        <v/>
      </c>
      <c r="T269" s="365">
        <f>IF(AS269=1505,"",AS269)</f>
        <v>0</v>
      </c>
      <c r="U269" s="365" t="str">
        <f>IF(AT269=0,"",AT269)</f>
        <v/>
      </c>
      <c r="V269" s="301"/>
      <c r="W269" s="301"/>
      <c r="AA269" s="93" t="s">
        <v>1799</v>
      </c>
      <c r="AB269" s="94"/>
      <c r="AC269" s="346">
        <f>SUM(AC265:AC268)</f>
        <v>960</v>
      </c>
      <c r="AD269" s="347"/>
      <c r="AE269" s="346">
        <f>SUM(AE265:AE268)</f>
        <v>784</v>
      </c>
      <c r="AF269" s="347"/>
      <c r="AG269" s="346">
        <f>SUM(AG265:AG268)</f>
        <v>814</v>
      </c>
      <c r="AH269" s="347"/>
      <c r="AI269" s="346">
        <f>SUM(AI265:AI268)</f>
        <v>778</v>
      </c>
      <c r="AJ269" s="347"/>
      <c r="AK269" s="346">
        <f>SUM(AK265:AK268)</f>
        <v>778</v>
      </c>
      <c r="AL269" s="347"/>
      <c r="AM269" s="346">
        <f>SUM(AM265:AM268)</f>
        <v>763</v>
      </c>
      <c r="AN269" s="347"/>
      <c r="AO269" s="346">
        <f>SUM(AO265:AO268)</f>
        <v>0</v>
      </c>
      <c r="AP269" s="347"/>
      <c r="AQ269" s="346">
        <f>SUM(AQ265:AQ268)</f>
        <v>0</v>
      </c>
      <c r="AR269" s="347"/>
      <c r="AS269" s="346">
        <f>SUM(AS265:AS268)</f>
        <v>0</v>
      </c>
      <c r="AT269" s="347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5" t="str">
        <f>AE271</f>
        <v>Bayernliga Herren</v>
      </c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48"/>
      <c r="S271" s="49" t="s">
        <v>1794</v>
      </c>
      <c r="T271" s="50"/>
      <c r="U271" s="341" t="str">
        <f>AT271</f>
        <v>05.04./06.04.</v>
      </c>
      <c r="V271" s="342"/>
      <c r="W271" s="343"/>
      <c r="X271" s="372"/>
      <c r="Y271" s="373"/>
      <c r="Z271" s="373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41" t="str">
        <f>VLOOKUP(AS272,Spielorte!$A$1:$C$6,2)</f>
        <v>05.04./06.04.</v>
      </c>
      <c r="AU271" s="342"/>
      <c r="AV271" s="34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4" t="str">
        <f>AE272</f>
        <v>Dettelbach Extreme Bowlingarena</v>
      </c>
      <c r="G272" s="344"/>
      <c r="H272" s="344"/>
      <c r="I272" s="344"/>
      <c r="J272" s="344"/>
      <c r="K272" s="344"/>
      <c r="L272" s="344"/>
      <c r="M272" s="344"/>
      <c r="N272" s="344"/>
      <c r="O272" s="344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Dettelbach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6" t="s">
        <v>1800</v>
      </c>
      <c r="E275" s="347"/>
      <c r="F275" s="346" t="s">
        <v>1801</v>
      </c>
      <c r="G275" s="347"/>
      <c r="H275" s="346" t="s">
        <v>1802</v>
      </c>
      <c r="I275" s="347"/>
      <c r="J275" s="346" t="s">
        <v>1803</v>
      </c>
      <c r="K275" s="347"/>
      <c r="L275" s="346" t="s">
        <v>1804</v>
      </c>
      <c r="M275" s="347"/>
      <c r="N275" s="346" t="s">
        <v>1805</v>
      </c>
      <c r="O275" s="347"/>
      <c r="P275" s="346" t="s">
        <v>1806</v>
      </c>
      <c r="Q275" s="347"/>
      <c r="R275" s="346" t="s">
        <v>1807</v>
      </c>
      <c r="S275" s="347"/>
      <c r="T275" s="346" t="s">
        <v>1808</v>
      </c>
      <c r="U275" s="347"/>
      <c r="V275" s="354" t="s">
        <v>1799</v>
      </c>
      <c r="W275" s="355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6" t="s">
        <v>0</v>
      </c>
      <c r="B277" s="73" t="str">
        <f>IF(AA277=0,"",AA277)</f>
        <v>Lengen, Peter</v>
      </c>
      <c r="C277" s="74">
        <f>IF(AB277=0,"",AB277)</f>
        <v>25297</v>
      </c>
      <c r="D277" s="75">
        <f>IF(AC277=0,"",AC277)</f>
        <v>237</v>
      </c>
      <c r="E277" s="348">
        <f>IF(AD277="","",AD277)</f>
        <v>1</v>
      </c>
      <c r="F277" s="75">
        <f t="shared" ref="F277:F290" si="314">IF(AE277=0,"",AE277)</f>
        <v>239</v>
      </c>
      <c r="G277" s="348">
        <f>IF(AF277="","",AF277)</f>
        <v>1</v>
      </c>
      <c r="H277" s="75">
        <f t="shared" ref="H277:H290" si="315">IF(AG277=0,"",AG277)</f>
        <v>210</v>
      </c>
      <c r="I277" s="348">
        <f>IF(AH277="","",AH277)</f>
        <v>1</v>
      </c>
      <c r="J277" s="75">
        <f t="shared" ref="J277:J290" si="316">IF(AI277=0,"",AI277)</f>
        <v>203</v>
      </c>
      <c r="K277" s="348">
        <f>IF(AJ277="","",AJ277)</f>
        <v>0</v>
      </c>
      <c r="L277" s="75">
        <f t="shared" ref="L277:L290" si="317">IF(AK277=0,"",AK277)</f>
        <v>224</v>
      </c>
      <c r="M277" s="348">
        <f>IF(AL277="","",AL277)</f>
        <v>0</v>
      </c>
      <c r="N277" s="75">
        <f>IF(AM277=0,"",AM277)</f>
        <v>234</v>
      </c>
      <c r="O277" s="348">
        <f>IF(AN277="","",AN277)</f>
        <v>1</v>
      </c>
      <c r="P277" s="75" t="str">
        <f t="shared" ref="P277:P290" si="318">IF(AO277=0,"",AO277)</f>
        <v/>
      </c>
      <c r="Q277" s="348">
        <f>IF(AP277="","",AP277)</f>
        <v>0</v>
      </c>
      <c r="R277" s="75" t="str">
        <f t="shared" ref="R277:R290" si="319">IF(AQ277=0,"",AQ277)</f>
        <v/>
      </c>
      <c r="S277" s="348">
        <f>IF(AR277="","",AR277)</f>
        <v>0</v>
      </c>
      <c r="T277" s="75" t="str">
        <f t="shared" ref="T277:T290" si="320">IF(AS277=0,"",AS277)</f>
        <v/>
      </c>
      <c r="U277" s="348">
        <f>IF(AT277="","",AT277)</f>
        <v>0</v>
      </c>
      <c r="V277" s="75">
        <f t="shared" ref="V277:V290" si="321">IF(AU277=0,"",AU277)</f>
        <v>1347</v>
      </c>
      <c r="W277" s="348">
        <f>IF(AV277="","",AV277)</f>
        <v>4</v>
      </c>
      <c r="Z277" s="351" t="s">
        <v>0</v>
      </c>
      <c r="AA277" s="108" t="str">
        <f>IF(AB277=0,"",VLOOKUP(AB277,Starter!$A$1:$D$199,2,FALSE))</f>
        <v>Lengen, Peter</v>
      </c>
      <c r="AB277" s="99">
        <v>25297</v>
      </c>
      <c r="AC277" s="185">
        <v>237</v>
      </c>
      <c r="AD277" s="109">
        <f>IF(SUM(AC277:AC279)+AC295=0,0,IF(SUM(AC277:AC279)=AC295,0.5,IF(SUM(AC277:AC279)&gt;AC295,1,0)))</f>
        <v>1</v>
      </c>
      <c r="AE277" s="185">
        <v>239</v>
      </c>
      <c r="AF277" s="109">
        <f>IF(SUM(AE277:AE279)+AE295=0,0,IF(SUM(AE277:AE279)=AE295,0.5,IF(SUM(AE277:AE279)&gt;AE295,1,0)))</f>
        <v>1</v>
      </c>
      <c r="AG277" s="185">
        <v>210</v>
      </c>
      <c r="AH277" s="109">
        <f>IF(SUM(AG277:AG279)+AG295=0,0,IF(SUM(AG277:AG279)=AG295,0.5,IF(SUM(AG277:AG279)&gt;AG295,1,0)))</f>
        <v>1</v>
      </c>
      <c r="AI277" s="185">
        <v>203</v>
      </c>
      <c r="AJ277" s="109">
        <f>IF(SUM(AI277:AI279)+AI295=0,0,IF(SUM(AI277:AI279)=AI295,0.5,IF(SUM(AI277:AI279)&gt;AI295,1,0)))</f>
        <v>0</v>
      </c>
      <c r="AK277" s="185">
        <v>224</v>
      </c>
      <c r="AL277" s="109">
        <f>IF(SUM(AK277:AK279)+AK295=0,0,IF(SUM(AK277:AK279)=AK295,0.5,IF(SUM(AK277:AK279)&gt;AK295,1,0)))</f>
        <v>0</v>
      </c>
      <c r="AM277" s="185">
        <v>234</v>
      </c>
      <c r="AN277" s="109">
        <f>IF(SUM(AM277:AM279)+AM295=0,0,IF(SUM(AM277:AM279)=AM295,0.5,IF(SUM(AM277:AM279)&gt;AM295,1,0)))</f>
        <v>1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1347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25297</v>
      </c>
      <c r="BE277" s="213">
        <f>+AU277</f>
        <v>1347</v>
      </c>
      <c r="BF277" s="215">
        <f>COUNT(BH277:BP277)</f>
        <v>6</v>
      </c>
      <c r="BG277" s="215">
        <f>COUNTIF(BH277:BP277,"&gt;0")</f>
        <v>6</v>
      </c>
      <c r="BH277" s="215">
        <f t="shared" ref="BH277:BH288" si="323">IF(AC277=0,"",AC277)</f>
        <v>237</v>
      </c>
      <c r="BI277" s="215">
        <f t="shared" ref="BI277:BI288" si="324">IF(AE277=0,"",AE277)</f>
        <v>239</v>
      </c>
      <c r="BJ277" s="215">
        <f t="shared" ref="BJ277:BJ288" si="325">IF(AG277=0,"",AG277)</f>
        <v>210</v>
      </c>
      <c r="BK277" s="215">
        <f t="shared" ref="BK277:BK288" si="326">IF(AI277=0,"",AI277)</f>
        <v>203</v>
      </c>
      <c r="BL277" s="215">
        <f t="shared" ref="BL277:BL288" si="327">IF(AK277=0,"",AK277)</f>
        <v>224</v>
      </c>
      <c r="BM277" s="215">
        <f t="shared" ref="BM277:BM288" si="328">IF(AM277=0,"",AM277)</f>
        <v>234</v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239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1347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5">
      <c r="A278" s="377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9"/>
      <c r="F278" s="78" t="str">
        <f t="shared" si="314"/>
        <v/>
      </c>
      <c r="G278" s="349"/>
      <c r="H278" s="78" t="str">
        <f t="shared" si="315"/>
        <v/>
      </c>
      <c r="I278" s="349"/>
      <c r="J278" s="78" t="str">
        <f t="shared" si="316"/>
        <v/>
      </c>
      <c r="K278" s="349"/>
      <c r="L278" s="78" t="str">
        <f t="shared" si="317"/>
        <v/>
      </c>
      <c r="M278" s="349"/>
      <c r="N278" s="78" t="str">
        <f t="shared" ref="N278:N290" si="334">IF(AM278=0,"",AM278)</f>
        <v/>
      </c>
      <c r="O278" s="349"/>
      <c r="P278" s="78" t="str">
        <f t="shared" si="318"/>
        <v/>
      </c>
      <c r="Q278" s="349"/>
      <c r="R278" s="78" t="str">
        <f t="shared" si="319"/>
        <v/>
      </c>
      <c r="S278" s="349"/>
      <c r="T278" s="78" t="str">
        <f t="shared" si="320"/>
        <v/>
      </c>
      <c r="U278" s="349"/>
      <c r="V278" s="78" t="str">
        <f t="shared" si="321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3">
      <c r="A279" s="378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0"/>
      <c r="F279" s="69" t="str">
        <f t="shared" si="314"/>
        <v/>
      </c>
      <c r="G279" s="350"/>
      <c r="H279" s="69" t="str">
        <f t="shared" si="315"/>
        <v/>
      </c>
      <c r="I279" s="350"/>
      <c r="J279" s="69" t="str">
        <f t="shared" si="316"/>
        <v/>
      </c>
      <c r="K279" s="350"/>
      <c r="L279" s="69" t="str">
        <f t="shared" si="317"/>
        <v/>
      </c>
      <c r="M279" s="350"/>
      <c r="N279" s="69" t="str">
        <f t="shared" si="334"/>
        <v/>
      </c>
      <c r="O279" s="350"/>
      <c r="P279" s="69" t="str">
        <f t="shared" si="318"/>
        <v/>
      </c>
      <c r="Q279" s="350"/>
      <c r="R279" s="69" t="str">
        <f t="shared" si="319"/>
        <v/>
      </c>
      <c r="S279" s="350"/>
      <c r="T279" s="69" t="str">
        <f t="shared" si="320"/>
        <v/>
      </c>
      <c r="U279" s="350"/>
      <c r="V279" s="69" t="str">
        <f t="shared" si="321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5">
      <c r="A280" s="376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192</v>
      </c>
      <c r="E280" s="348">
        <f>IF(AD280="","",AD280)</f>
        <v>0</v>
      </c>
      <c r="F280" s="75">
        <f t="shared" si="314"/>
        <v>158</v>
      </c>
      <c r="G280" s="348">
        <f>IF(AF280="","",AF280)</f>
        <v>0</v>
      </c>
      <c r="H280" s="75">
        <f t="shared" si="315"/>
        <v>189</v>
      </c>
      <c r="I280" s="348">
        <f>IF(AH280="","",AH280)</f>
        <v>0</v>
      </c>
      <c r="J280" s="75">
        <f t="shared" si="316"/>
        <v>150</v>
      </c>
      <c r="K280" s="348">
        <f>IF(AJ280="","",AJ280)</f>
        <v>0</v>
      </c>
      <c r="L280" s="75">
        <f t="shared" si="317"/>
        <v>264</v>
      </c>
      <c r="M280" s="348">
        <f>IF(AL280="","",AL280)</f>
        <v>1</v>
      </c>
      <c r="N280" s="75">
        <f t="shared" si="334"/>
        <v>157</v>
      </c>
      <c r="O280" s="348">
        <f>IF(AN280="","",AN280)</f>
        <v>0</v>
      </c>
      <c r="P280" s="75" t="str">
        <f t="shared" si="318"/>
        <v/>
      </c>
      <c r="Q280" s="348">
        <f>IF(AP280="","",AP280)</f>
        <v>0</v>
      </c>
      <c r="R280" s="75" t="str">
        <f t="shared" si="319"/>
        <v/>
      </c>
      <c r="S280" s="348">
        <f>IF(AR280="","",AR280)</f>
        <v>0</v>
      </c>
      <c r="T280" s="75" t="str">
        <f t="shared" si="320"/>
        <v/>
      </c>
      <c r="U280" s="348">
        <f>IF(AT280="","",AT280)</f>
        <v>0</v>
      </c>
      <c r="V280" s="75">
        <f t="shared" si="321"/>
        <v>1110</v>
      </c>
      <c r="W280" s="348">
        <f>IF(AV280="","",AV280)</f>
        <v>1</v>
      </c>
      <c r="Z280" s="351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192</v>
      </c>
      <c r="AD280" s="109">
        <f>IF(SUM(AC280:AC282)+AC296=0,0,IF(SUM(AC280:AC282)=AC296,0.5,IF(SUM(AC280:AC282)&gt;AC296,1,0)))</f>
        <v>0</v>
      </c>
      <c r="AE280" s="188">
        <v>158</v>
      </c>
      <c r="AF280" s="109">
        <f>IF(SUM(AE280:AE282)+AE296=0,0,IF(SUM(AE280:AE282)=AE296,0.5,IF(SUM(AE280:AE282)&gt;AE296,1,0)))</f>
        <v>0</v>
      </c>
      <c r="AG280" s="188">
        <v>189</v>
      </c>
      <c r="AH280" s="109">
        <f>IF(SUM(AG280:AG282)+AG296=0,0,IF(SUM(AG280:AG282)=AG296,0.5,IF(SUM(AG280:AG282)&gt;AG296,1,0)))</f>
        <v>0</v>
      </c>
      <c r="AI280" s="188">
        <v>150</v>
      </c>
      <c r="AJ280" s="109">
        <f>IF(SUM(AI280:AI282)+AI296=0,0,IF(SUM(AI280:AI282)=AI296,0.5,IF(SUM(AI280:AI282)&gt;AI296,1,0)))</f>
        <v>0</v>
      </c>
      <c r="AK280" s="188">
        <v>264</v>
      </c>
      <c r="AL280" s="109">
        <f>IF(SUM(AK280:AK282)+AK296=0,0,IF(SUM(AK280:AK282)=AK296,0.5,IF(SUM(AK280:AK282)&gt;AK296,1,0)))</f>
        <v>1</v>
      </c>
      <c r="AM280" s="188">
        <v>157</v>
      </c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1110</v>
      </c>
      <c r="AV280" s="111">
        <f>SUM(AD280+AF280+AH280+AJ280+AL280+AN280+AP280+AR280+AT280)</f>
        <v>1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1110</v>
      </c>
      <c r="BF280" s="215">
        <f t="shared" si="337"/>
        <v>6</v>
      </c>
      <c r="BG280" s="215">
        <f t="shared" si="338"/>
        <v>6</v>
      </c>
      <c r="BH280" s="215">
        <f t="shared" si="323"/>
        <v>192</v>
      </c>
      <c r="BI280" s="215">
        <f t="shared" si="324"/>
        <v>158</v>
      </c>
      <c r="BJ280" s="215">
        <f t="shared" si="325"/>
        <v>189</v>
      </c>
      <c r="BK280" s="215">
        <f t="shared" si="326"/>
        <v>150</v>
      </c>
      <c r="BL280" s="215">
        <f t="shared" si="327"/>
        <v>264</v>
      </c>
      <c r="BM280" s="215">
        <f t="shared" si="328"/>
        <v>157</v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264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2</v>
      </c>
      <c r="BW280" s="215">
        <f t="shared" si="343"/>
        <v>1110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5">
      <c r="A281" s="377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9"/>
      <c r="F281" s="78" t="str">
        <f t="shared" si="314"/>
        <v/>
      </c>
      <c r="G281" s="349"/>
      <c r="H281" s="78" t="str">
        <f t="shared" si="315"/>
        <v/>
      </c>
      <c r="I281" s="349"/>
      <c r="J281" s="78" t="str">
        <f t="shared" si="316"/>
        <v/>
      </c>
      <c r="K281" s="349"/>
      <c r="L281" s="78" t="str">
        <f t="shared" si="317"/>
        <v/>
      </c>
      <c r="M281" s="349"/>
      <c r="N281" s="78" t="str">
        <f t="shared" si="334"/>
        <v/>
      </c>
      <c r="O281" s="349"/>
      <c r="P281" s="78" t="str">
        <f t="shared" si="318"/>
        <v/>
      </c>
      <c r="Q281" s="349"/>
      <c r="R281" s="78" t="str">
        <f t="shared" si="319"/>
        <v/>
      </c>
      <c r="S281" s="349"/>
      <c r="T281" s="78" t="str">
        <f t="shared" si="320"/>
        <v/>
      </c>
      <c r="U281" s="349"/>
      <c r="V281" s="78" t="str">
        <f t="shared" si="321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2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3">
      <c r="A282" s="378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0"/>
      <c r="F282" s="69" t="str">
        <f t="shared" si="314"/>
        <v/>
      </c>
      <c r="G282" s="350"/>
      <c r="H282" s="69" t="str">
        <f t="shared" si="315"/>
        <v/>
      </c>
      <c r="I282" s="350"/>
      <c r="J282" s="69" t="str">
        <f t="shared" si="316"/>
        <v/>
      </c>
      <c r="K282" s="350"/>
      <c r="L282" s="69" t="str">
        <f t="shared" si="317"/>
        <v/>
      </c>
      <c r="M282" s="350"/>
      <c r="N282" s="69" t="str">
        <f t="shared" si="334"/>
        <v/>
      </c>
      <c r="O282" s="350"/>
      <c r="P282" s="69" t="str">
        <f t="shared" si="318"/>
        <v/>
      </c>
      <c r="Q282" s="350"/>
      <c r="R282" s="69" t="str">
        <f t="shared" si="319"/>
        <v/>
      </c>
      <c r="S282" s="350"/>
      <c r="T282" s="69" t="str">
        <f t="shared" si="320"/>
        <v/>
      </c>
      <c r="U282" s="350"/>
      <c r="V282" s="69" t="str">
        <f t="shared" si="321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5">
      <c r="A283" s="376" t="s">
        <v>3</v>
      </c>
      <c r="B283" s="73" t="str">
        <f t="shared" si="333"/>
        <v>Tos, Sascha</v>
      </c>
      <c r="C283" s="74">
        <f t="shared" si="333"/>
        <v>16519</v>
      </c>
      <c r="D283" s="75">
        <f t="shared" si="333"/>
        <v>157</v>
      </c>
      <c r="E283" s="348">
        <f>IF(AD283="","",AD283)</f>
        <v>1</v>
      </c>
      <c r="F283" s="75">
        <f t="shared" si="314"/>
        <v>221</v>
      </c>
      <c r="G283" s="348">
        <f>IF(AF283="","",AF283)</f>
        <v>1</v>
      </c>
      <c r="H283" s="75">
        <f t="shared" si="315"/>
        <v>180</v>
      </c>
      <c r="I283" s="348">
        <f>IF(AH283="","",AH283)</f>
        <v>1</v>
      </c>
      <c r="J283" s="75">
        <f t="shared" si="316"/>
        <v>160</v>
      </c>
      <c r="K283" s="348">
        <f>IF(AJ283="","",AJ283)</f>
        <v>0.5</v>
      </c>
      <c r="L283" s="75" t="str">
        <f t="shared" si="317"/>
        <v/>
      </c>
      <c r="M283" s="348">
        <f>IF(AL283="","",AL283)</f>
        <v>0</v>
      </c>
      <c r="N283" s="75" t="str">
        <f t="shared" si="334"/>
        <v/>
      </c>
      <c r="O283" s="348">
        <f>IF(AN283="","",AN283)</f>
        <v>1</v>
      </c>
      <c r="P283" s="75" t="str">
        <f t="shared" si="318"/>
        <v/>
      </c>
      <c r="Q283" s="348">
        <f>IF(AP283="","",AP283)</f>
        <v>0</v>
      </c>
      <c r="R283" s="75" t="str">
        <f t="shared" si="319"/>
        <v/>
      </c>
      <c r="S283" s="348">
        <f>IF(AR283="","",AR283)</f>
        <v>0</v>
      </c>
      <c r="T283" s="75" t="str">
        <f t="shared" si="320"/>
        <v/>
      </c>
      <c r="U283" s="348">
        <f>IF(AT283="","",AT283)</f>
        <v>0</v>
      </c>
      <c r="V283" s="75">
        <f t="shared" si="321"/>
        <v>718</v>
      </c>
      <c r="W283" s="348">
        <f>IF(AV283="","",AV283)</f>
        <v>4.5</v>
      </c>
      <c r="Z283" s="351" t="s">
        <v>3</v>
      </c>
      <c r="AA283" s="108" t="str">
        <f>IF(AB283=0,"",VLOOKUP(AB283,Starter!$A$1:$D$199,2,FALSE))</f>
        <v>Tos, Sascha</v>
      </c>
      <c r="AB283" s="99">
        <v>16519</v>
      </c>
      <c r="AC283" s="188">
        <v>157</v>
      </c>
      <c r="AD283" s="109">
        <f>IF(SUM(AC283:AC285)+AC297=0,0,IF(SUM(AC283:AC285)=AC297,0.5,IF(SUM(AC283:AC285)&gt;AC297,1,0)))</f>
        <v>1</v>
      </c>
      <c r="AE283" s="188">
        <v>221</v>
      </c>
      <c r="AF283" s="109">
        <f>IF(SUM(AE283:AE285)+AE297=0,0,IF(SUM(AE283:AE285)=AE297,0.5,IF(SUM(AE283:AE285)&gt;AE297,1,0)))</f>
        <v>1</v>
      </c>
      <c r="AG283" s="188">
        <v>180</v>
      </c>
      <c r="AH283" s="109">
        <f>IF(SUM(AG283:AG285)+AG297=0,0,IF(SUM(AG283:AG285)=AG297,0.5,IF(SUM(AG283:AG285)&gt;AG297,1,0)))</f>
        <v>1</v>
      </c>
      <c r="AI283" s="188">
        <v>160</v>
      </c>
      <c r="AJ283" s="109">
        <f>IF(SUM(AI283:AI285)+AI297=0,0,IF(SUM(AI283:AI285)=AI297,0.5,IF(SUM(AI283:AI285)&gt;AI297,1,0)))</f>
        <v>0.5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1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718</v>
      </c>
      <c r="AV283" s="111">
        <f>SUM(AD283+AF283+AH283+AJ283+AL283+AN283+AP283+AR283+AT283)</f>
        <v>4.5</v>
      </c>
      <c r="AW283" s="101"/>
      <c r="AX283" s="102"/>
      <c r="AZ283" s="63"/>
      <c r="BA283" s="212"/>
      <c r="BB283" s="213"/>
      <c r="BC283" s="214"/>
      <c r="BD283" s="217">
        <f t="shared" si="335"/>
        <v>16519</v>
      </c>
      <c r="BE283" s="213">
        <f t="shared" si="336"/>
        <v>718</v>
      </c>
      <c r="BF283" s="215">
        <f t="shared" si="337"/>
        <v>4</v>
      </c>
      <c r="BG283" s="215">
        <f t="shared" si="338"/>
        <v>4</v>
      </c>
      <c r="BH283" s="215">
        <f t="shared" si="323"/>
        <v>157</v>
      </c>
      <c r="BI283" s="215">
        <f t="shared" si="324"/>
        <v>221</v>
      </c>
      <c r="BJ283" s="215">
        <f t="shared" si="325"/>
        <v>180</v>
      </c>
      <c r="BK283" s="215">
        <f t="shared" si="326"/>
        <v>160</v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221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2</v>
      </c>
      <c r="BW283" s="215">
        <f t="shared" si="343"/>
        <v>718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5">
      <c r="A284" s="377"/>
      <c r="B284" s="76" t="str">
        <f t="shared" si="333"/>
        <v>Schwarz, Christian</v>
      </c>
      <c r="C284" s="77">
        <f t="shared" si="333"/>
        <v>25061</v>
      </c>
      <c r="D284" s="78" t="str">
        <f t="shared" si="333"/>
        <v/>
      </c>
      <c r="E284" s="349"/>
      <c r="F284" s="78" t="str">
        <f t="shared" si="314"/>
        <v/>
      </c>
      <c r="G284" s="349"/>
      <c r="H284" s="78" t="str">
        <f t="shared" si="315"/>
        <v/>
      </c>
      <c r="I284" s="349"/>
      <c r="J284" s="78" t="str">
        <f t="shared" si="316"/>
        <v/>
      </c>
      <c r="K284" s="349"/>
      <c r="L284" s="78">
        <f t="shared" si="317"/>
        <v>147</v>
      </c>
      <c r="M284" s="349"/>
      <c r="N284" s="78">
        <f t="shared" si="334"/>
        <v>165</v>
      </c>
      <c r="O284" s="349"/>
      <c r="P284" s="78" t="str">
        <f t="shared" si="318"/>
        <v/>
      </c>
      <c r="Q284" s="349"/>
      <c r="R284" s="78" t="str">
        <f t="shared" si="319"/>
        <v/>
      </c>
      <c r="S284" s="349"/>
      <c r="T284" s="78" t="str">
        <f t="shared" si="320"/>
        <v/>
      </c>
      <c r="U284" s="349"/>
      <c r="V284" s="78">
        <f t="shared" si="321"/>
        <v>312</v>
      </c>
      <c r="W284" s="349"/>
      <c r="Z284" s="352"/>
      <c r="AA284" s="108" t="str">
        <f>IF(AB284=0,"",VLOOKUP(AB284,Starter!$A$1:$D$199,2,FALSE))</f>
        <v>Schwarz, Christian</v>
      </c>
      <c r="AB284" s="98">
        <v>25061</v>
      </c>
      <c r="AC284" s="186"/>
      <c r="AD284" s="112"/>
      <c r="AE284" s="186"/>
      <c r="AF284" s="112"/>
      <c r="AG284" s="186"/>
      <c r="AH284" s="112"/>
      <c r="AI284" s="186"/>
      <c r="AJ284" s="112"/>
      <c r="AK284" s="186">
        <v>147</v>
      </c>
      <c r="AL284" s="112"/>
      <c r="AM284" s="186">
        <v>165</v>
      </c>
      <c r="AN284" s="112"/>
      <c r="AO284" s="186"/>
      <c r="AP284" s="112"/>
      <c r="AQ284" s="186"/>
      <c r="AR284" s="112"/>
      <c r="AS284" s="186"/>
      <c r="AT284" s="112"/>
      <c r="AU284" s="113">
        <f t="shared" si="322"/>
        <v>312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25061</v>
      </c>
      <c r="BE284" s="213">
        <f t="shared" si="336"/>
        <v>312</v>
      </c>
      <c r="BF284" s="215">
        <f t="shared" si="337"/>
        <v>2</v>
      </c>
      <c r="BG284" s="215">
        <f t="shared" si="338"/>
        <v>2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>
        <f t="shared" si="327"/>
        <v>147</v>
      </c>
      <c r="BM284" s="215">
        <f t="shared" si="328"/>
        <v>165</v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165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2</v>
      </c>
      <c r="BW284" s="215">
        <f t="shared" si="343"/>
        <v>312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3">
      <c r="A285" s="378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0"/>
      <c r="F285" s="69" t="str">
        <f t="shared" si="314"/>
        <v/>
      </c>
      <c r="G285" s="350"/>
      <c r="H285" s="69" t="str">
        <f t="shared" si="315"/>
        <v/>
      </c>
      <c r="I285" s="350"/>
      <c r="J285" s="69" t="str">
        <f t="shared" si="316"/>
        <v/>
      </c>
      <c r="K285" s="350"/>
      <c r="L285" s="69" t="str">
        <f t="shared" si="317"/>
        <v/>
      </c>
      <c r="M285" s="350"/>
      <c r="N285" s="69" t="str">
        <f t="shared" si="334"/>
        <v/>
      </c>
      <c r="O285" s="350"/>
      <c r="P285" s="69" t="str">
        <f t="shared" si="318"/>
        <v/>
      </c>
      <c r="Q285" s="350"/>
      <c r="R285" s="69" t="str">
        <f t="shared" si="319"/>
        <v/>
      </c>
      <c r="S285" s="350"/>
      <c r="T285" s="69" t="str">
        <f t="shared" si="320"/>
        <v/>
      </c>
      <c r="U285" s="350"/>
      <c r="V285" s="69" t="str">
        <f t="shared" si="321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5">
      <c r="A286" s="376" t="s">
        <v>11</v>
      </c>
      <c r="B286" s="73" t="str">
        <f>IF(AA286=0,"",AA286)</f>
        <v>Auer, Thomas</v>
      </c>
      <c r="C286" s="74">
        <f t="shared" si="333"/>
        <v>16888</v>
      </c>
      <c r="D286" s="75">
        <f t="shared" si="333"/>
        <v>188</v>
      </c>
      <c r="E286" s="348">
        <f>IF(AD286="","",AD286)</f>
        <v>1</v>
      </c>
      <c r="F286" s="75">
        <f t="shared" si="314"/>
        <v>167</v>
      </c>
      <c r="G286" s="348">
        <f>IF(AF286="","",AF286)</f>
        <v>1</v>
      </c>
      <c r="H286" s="75">
        <f t="shared" si="315"/>
        <v>190</v>
      </c>
      <c r="I286" s="348">
        <f>IF(AH286="","",AH286)</f>
        <v>1</v>
      </c>
      <c r="J286" s="75">
        <f t="shared" si="316"/>
        <v>159</v>
      </c>
      <c r="K286" s="348">
        <f>IF(AJ286="","",AJ286)</f>
        <v>0</v>
      </c>
      <c r="L286" s="75">
        <f t="shared" si="317"/>
        <v>226</v>
      </c>
      <c r="M286" s="348">
        <f>IF(AL286="","",AL286)</f>
        <v>1</v>
      </c>
      <c r="N286" s="75">
        <f t="shared" si="334"/>
        <v>168</v>
      </c>
      <c r="O286" s="348">
        <f>IF(AN286="","",AN286)</f>
        <v>0</v>
      </c>
      <c r="P286" s="75" t="str">
        <f t="shared" si="318"/>
        <v/>
      </c>
      <c r="Q286" s="348">
        <f>IF(AP286="","",AP286)</f>
        <v>0</v>
      </c>
      <c r="R286" s="75" t="str">
        <f t="shared" si="319"/>
        <v/>
      </c>
      <c r="S286" s="348">
        <f>IF(AR286="","",AR286)</f>
        <v>0</v>
      </c>
      <c r="T286" s="75" t="str">
        <f t="shared" si="320"/>
        <v/>
      </c>
      <c r="U286" s="348">
        <f>IF(AT286="","",AT286)</f>
        <v>0</v>
      </c>
      <c r="V286" s="75">
        <f t="shared" si="321"/>
        <v>1098</v>
      </c>
      <c r="W286" s="348">
        <f>IF(AV286="","",AV286)</f>
        <v>4</v>
      </c>
      <c r="Z286" s="351" t="s">
        <v>11</v>
      </c>
      <c r="AA286" s="108" t="str">
        <f>IF(AB286=0,"",VLOOKUP(AB286,Starter!$A$1:$D$199,2,FALSE))</f>
        <v>Auer, Thomas</v>
      </c>
      <c r="AB286" s="99">
        <v>16888</v>
      </c>
      <c r="AC286" s="188">
        <v>188</v>
      </c>
      <c r="AD286" s="109">
        <f>IF(SUM(AC286:AC288)+AC298=0,0,IF(SUM(AC286:AC288)=AC298,0.5,IF(SUM(AC286:AC288)&gt;AC298,1,0)))</f>
        <v>1</v>
      </c>
      <c r="AE286" s="188">
        <v>167</v>
      </c>
      <c r="AF286" s="109">
        <f>IF(SUM(AE286:AE288)+AE298=0,0,IF(SUM(AE286:AE288)=AE298,0.5,IF(SUM(AE286:AE288)&gt;AE298,1,0)))</f>
        <v>1</v>
      </c>
      <c r="AG286" s="188">
        <v>190</v>
      </c>
      <c r="AH286" s="109">
        <f>IF(SUM(AG286:AG288)+AG298=0,0,IF(SUM(AG286:AG288)=AG298,0.5,IF(SUM(AG286:AG288)&gt;AG298,1,0)))</f>
        <v>1</v>
      </c>
      <c r="AI286" s="188">
        <v>159</v>
      </c>
      <c r="AJ286" s="109">
        <f>IF(SUM(AI286:AI288)+AI298=0,0,IF(SUM(AI286:AI288)=AI298,0.5,IF(SUM(AI286:AI288)&gt;AI298,1,0)))</f>
        <v>0</v>
      </c>
      <c r="AK286" s="188">
        <v>226</v>
      </c>
      <c r="AL286" s="109">
        <f>IF(SUM(AK286:AK288)+AK298=0,0,IF(SUM(AK286:AK288)=AK298,0.5,IF(SUM(AK286:AK288)&gt;AK298,1,0)))</f>
        <v>1</v>
      </c>
      <c r="AM286" s="188">
        <v>168</v>
      </c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1098</v>
      </c>
      <c r="AV286" s="111">
        <f>SUM(AD286+AF286+AH286+AJ286+AL286+AN286+AP286+AR286+AT286)</f>
        <v>4</v>
      </c>
      <c r="AW286" s="101"/>
      <c r="AX286" s="102"/>
      <c r="AZ286" s="63"/>
      <c r="BA286" s="212"/>
      <c r="BB286" s="213"/>
      <c r="BC286" s="214"/>
      <c r="BD286" s="217">
        <f t="shared" si="335"/>
        <v>16888</v>
      </c>
      <c r="BE286" s="213">
        <f t="shared" si="336"/>
        <v>1098</v>
      </c>
      <c r="BF286" s="215">
        <f t="shared" si="337"/>
        <v>6</v>
      </c>
      <c r="BG286" s="215">
        <f t="shared" si="338"/>
        <v>6</v>
      </c>
      <c r="BH286" s="215">
        <f t="shared" si="323"/>
        <v>188</v>
      </c>
      <c r="BI286" s="215">
        <f t="shared" si="324"/>
        <v>167</v>
      </c>
      <c r="BJ286" s="215">
        <f t="shared" si="325"/>
        <v>190</v>
      </c>
      <c r="BK286" s="215">
        <f t="shared" si="326"/>
        <v>159</v>
      </c>
      <c r="BL286" s="215">
        <f t="shared" si="327"/>
        <v>226</v>
      </c>
      <c r="BM286" s="215">
        <f t="shared" si="328"/>
        <v>168</v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226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2</v>
      </c>
      <c r="BW286" s="215">
        <f t="shared" si="343"/>
        <v>1098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5">
      <c r="A287" s="377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9"/>
      <c r="F287" s="78" t="str">
        <f t="shared" si="314"/>
        <v/>
      </c>
      <c r="G287" s="349"/>
      <c r="H287" s="78" t="str">
        <f t="shared" si="315"/>
        <v/>
      </c>
      <c r="I287" s="349"/>
      <c r="J287" s="78" t="str">
        <f t="shared" si="316"/>
        <v/>
      </c>
      <c r="K287" s="349"/>
      <c r="L287" s="78" t="str">
        <f t="shared" si="317"/>
        <v/>
      </c>
      <c r="M287" s="349"/>
      <c r="N287" s="78" t="str">
        <f t="shared" si="334"/>
        <v/>
      </c>
      <c r="O287" s="349"/>
      <c r="P287" s="78" t="str">
        <f t="shared" si="318"/>
        <v/>
      </c>
      <c r="Q287" s="349"/>
      <c r="R287" s="78" t="str">
        <f t="shared" si="319"/>
        <v/>
      </c>
      <c r="S287" s="349"/>
      <c r="T287" s="78" t="str">
        <f t="shared" si="320"/>
        <v/>
      </c>
      <c r="U287" s="349"/>
      <c r="V287" s="78" t="str">
        <f t="shared" si="321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3">
      <c r="A288" s="378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0"/>
      <c r="F288" s="69" t="str">
        <f t="shared" si="314"/>
        <v/>
      </c>
      <c r="G288" s="350"/>
      <c r="H288" s="69" t="str">
        <f t="shared" si="315"/>
        <v/>
      </c>
      <c r="I288" s="350"/>
      <c r="J288" s="69" t="str">
        <f t="shared" si="316"/>
        <v/>
      </c>
      <c r="K288" s="350"/>
      <c r="L288" s="69" t="str">
        <f t="shared" si="317"/>
        <v/>
      </c>
      <c r="M288" s="350"/>
      <c r="N288" s="69" t="str">
        <f t="shared" si="334"/>
        <v/>
      </c>
      <c r="O288" s="350"/>
      <c r="P288" s="69" t="str">
        <f t="shared" si="318"/>
        <v/>
      </c>
      <c r="Q288" s="350"/>
      <c r="R288" s="69" t="str">
        <f t="shared" si="319"/>
        <v/>
      </c>
      <c r="S288" s="350"/>
      <c r="T288" s="69" t="str">
        <f t="shared" si="320"/>
        <v/>
      </c>
      <c r="U288" s="350"/>
      <c r="V288" s="69" t="str">
        <f t="shared" si="321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774</v>
      </c>
      <c r="E289" s="84">
        <f>IF(AD289="","",AD289)</f>
        <v>2</v>
      </c>
      <c r="F289" s="83">
        <f t="shared" si="314"/>
        <v>785</v>
      </c>
      <c r="G289" s="84">
        <f>IF(AF289="","",AF289)</f>
        <v>2</v>
      </c>
      <c r="H289" s="83">
        <f t="shared" si="315"/>
        <v>769</v>
      </c>
      <c r="I289" s="84">
        <f>IF(AH289="","",AH289)</f>
        <v>2</v>
      </c>
      <c r="J289" s="83">
        <f t="shared" si="316"/>
        <v>672</v>
      </c>
      <c r="K289" s="84">
        <f>IF(AJ289="","",AJ289)</f>
        <v>0</v>
      </c>
      <c r="L289" s="83">
        <f t="shared" si="317"/>
        <v>861</v>
      </c>
      <c r="M289" s="84">
        <f>IF(AL289="","",AL289)</f>
        <v>0</v>
      </c>
      <c r="N289" s="83">
        <f t="shared" si="334"/>
        <v>724</v>
      </c>
      <c r="O289" s="84">
        <f>IF(AN289="","",AN289)</f>
        <v>2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>
        <f t="shared" si="321"/>
        <v>4585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774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785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769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672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861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724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4585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5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5</v>
      </c>
      <c r="J290" s="86" t="str">
        <f t="shared" si="316"/>
        <v/>
      </c>
      <c r="K290" s="87">
        <f>IF(AJ290="","",AJ290)</f>
        <v>0.5</v>
      </c>
      <c r="L290" s="86" t="str">
        <f t="shared" si="317"/>
        <v/>
      </c>
      <c r="M290" s="87">
        <f>IF(AL290="","",AL290)</f>
        <v>2</v>
      </c>
      <c r="N290" s="86" t="str">
        <f t="shared" si="334"/>
        <v/>
      </c>
      <c r="O290" s="87">
        <f>IF(AN290="","",AN290)</f>
        <v>4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21.5</v>
      </c>
      <c r="AA290" s="85" t="s">
        <v>1814</v>
      </c>
      <c r="AB290" s="86"/>
      <c r="AC290" s="86"/>
      <c r="AD290" s="124">
        <f>SUM(AD277:AD289)</f>
        <v>5</v>
      </c>
      <c r="AE290" s="86"/>
      <c r="AF290" s="124">
        <f>SUM(AF277:AF289)</f>
        <v>5</v>
      </c>
      <c r="AG290" s="86"/>
      <c r="AH290" s="124">
        <f>SUM(AH277:AH289)</f>
        <v>5</v>
      </c>
      <c r="AI290" s="86"/>
      <c r="AJ290" s="124">
        <f>SUM(AJ277:AJ289)</f>
        <v>0.5</v>
      </c>
      <c r="AK290" s="86"/>
      <c r="AL290" s="124">
        <f>SUM(AL277:AL289)</f>
        <v>2</v>
      </c>
      <c r="AM290" s="86"/>
      <c r="AN290" s="124">
        <f>SUM(AN277:AN289)</f>
        <v>4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21.5</v>
      </c>
      <c r="AW290" s="101"/>
      <c r="AX290" s="102"/>
      <c r="BA290" s="212">
        <f>+AV290</f>
        <v>21.5</v>
      </c>
      <c r="BB290" s="213">
        <f>+AU289</f>
        <v>4585</v>
      </c>
      <c r="BC290" s="214">
        <f>+AA272</f>
        <v>10</v>
      </c>
      <c r="BF290" s="215">
        <f>SUM(BF271:BF289)</f>
        <v>24</v>
      </c>
      <c r="BQ290" s="212">
        <f>+BB290/1000000+BA290</f>
        <v>21.504584999999999</v>
      </c>
      <c r="BR290" s="214">
        <f>RANK(BQ290,BQ:BQ)</f>
        <v>3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6">
        <f t="shared" si="345"/>
        <v>8</v>
      </c>
      <c r="E292" s="356" t="str">
        <f t="shared" si="345"/>
        <v/>
      </c>
      <c r="F292" s="356">
        <f t="shared" si="345"/>
        <v>6</v>
      </c>
      <c r="G292" s="356" t="str">
        <f t="shared" si="345"/>
        <v/>
      </c>
      <c r="H292" s="356">
        <f t="shared" si="345"/>
        <v>3</v>
      </c>
      <c r="I292" s="356" t="str">
        <f t="shared" si="345"/>
        <v/>
      </c>
      <c r="J292" s="356">
        <f t="shared" si="345"/>
        <v>4</v>
      </c>
      <c r="K292" s="356" t="str">
        <f t="shared" si="345"/>
        <v/>
      </c>
      <c r="L292" s="356">
        <f t="shared" si="345"/>
        <v>7</v>
      </c>
      <c r="M292" s="356" t="str">
        <f t="shared" si="345"/>
        <v/>
      </c>
      <c r="N292" s="356">
        <f t="shared" si="345"/>
        <v>2</v>
      </c>
      <c r="O292" s="356" t="str">
        <f t="shared" si="345"/>
        <v/>
      </c>
      <c r="P292" s="356">
        <f t="shared" si="345"/>
        <v>1</v>
      </c>
      <c r="Q292" s="356" t="str">
        <f t="shared" si="345"/>
        <v/>
      </c>
      <c r="R292" s="356">
        <f t="shared" ref="L292:U294" si="346">IF(AQ292=0,"",AQ292)</f>
        <v>5</v>
      </c>
      <c r="S292" s="356" t="str">
        <f t="shared" si="346"/>
        <v/>
      </c>
      <c r="T292" s="356">
        <f t="shared" si="346"/>
        <v>9</v>
      </c>
      <c r="U292" s="356" t="str">
        <f t="shared" si="346"/>
        <v/>
      </c>
      <c r="V292" s="357"/>
      <c r="W292" s="357"/>
      <c r="AA292" s="88" t="s">
        <v>1797</v>
      </c>
      <c r="AB292" s="89" t="s">
        <v>1798</v>
      </c>
      <c r="AC292" s="370">
        <f>VLOOKUP($AA272,Schlüssel!$A$5:$DG$14,103)</f>
        <v>8</v>
      </c>
      <c r="AD292" s="371"/>
      <c r="AE292" s="370">
        <f>VLOOKUP($AA272,Schlüssel!$A$5:$EK$14,104)</f>
        <v>6</v>
      </c>
      <c r="AF292" s="371"/>
      <c r="AG292" s="370">
        <f>VLOOKUP($AA272,Schlüssel!$A$5:$EK$14,105)</f>
        <v>3</v>
      </c>
      <c r="AH292" s="371"/>
      <c r="AI292" s="370">
        <f>VLOOKUP($AA272,Schlüssel!$A$5:$EK$14,106)</f>
        <v>4</v>
      </c>
      <c r="AJ292" s="371"/>
      <c r="AK292" s="370">
        <f>VLOOKUP($AA272,Schlüssel!$A$5:$EK$14,107)</f>
        <v>7</v>
      </c>
      <c r="AL292" s="371"/>
      <c r="AM292" s="370">
        <f>VLOOKUP($AA272,Schlüssel!$A$5:$EK$14,108)</f>
        <v>2</v>
      </c>
      <c r="AN292" s="371"/>
      <c r="AO292" s="370">
        <f>VLOOKUP($AA272,Schlüssel!$A$5:$EK$14,109)</f>
        <v>1</v>
      </c>
      <c r="AP292" s="371"/>
      <c r="AQ292" s="370">
        <f>VLOOKUP($AA272,Schlüssel!$A$5:$EK$14,110)</f>
        <v>5</v>
      </c>
      <c r="AR292" s="371"/>
      <c r="AS292" s="370">
        <f>VLOOKUP($AA272,Schlüssel!$A$5:$EK$14,111)</f>
        <v>9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58" t="str">
        <f t="shared" si="347"/>
        <v>BC EMAX Unterföhring 2</v>
      </c>
      <c r="E293" s="359" t="str">
        <f t="shared" si="347"/>
        <v/>
      </c>
      <c r="F293" s="358" t="str">
        <f t="shared" si="347"/>
        <v>SG Rottendorf 1</v>
      </c>
      <c r="G293" s="359" t="str">
        <f t="shared" si="347"/>
        <v/>
      </c>
      <c r="H293" s="358" t="str">
        <f t="shared" si="347"/>
        <v>BK München 3</v>
      </c>
      <c r="I293" s="359" t="str">
        <f t="shared" si="347"/>
        <v/>
      </c>
      <c r="J293" s="358" t="str">
        <f t="shared" si="347"/>
        <v>SG DJK Rimpar</v>
      </c>
      <c r="K293" s="359" t="str">
        <f t="shared" si="347"/>
        <v/>
      </c>
      <c r="L293" s="358" t="str">
        <f t="shared" si="346"/>
        <v>Schanzer Ingolstadt 1</v>
      </c>
      <c r="M293" s="359" t="str">
        <f t="shared" si="346"/>
        <v/>
      </c>
      <c r="N293" s="358" t="str">
        <f t="shared" si="346"/>
        <v>Bajuwaren München 1</v>
      </c>
      <c r="O293" s="359" t="str">
        <f t="shared" si="346"/>
        <v/>
      </c>
      <c r="P293" s="358" t="str">
        <f t="shared" si="346"/>
        <v>BC Comet Nürnberg</v>
      </c>
      <c r="Q293" s="359" t="str">
        <f t="shared" si="346"/>
        <v/>
      </c>
      <c r="R293" s="358" t="str">
        <f t="shared" si="346"/>
        <v>RW Lichtenhof Stein 1</v>
      </c>
      <c r="S293" s="359" t="str">
        <f t="shared" si="346"/>
        <v/>
      </c>
      <c r="T293" s="358" t="str">
        <f t="shared" si="346"/>
        <v>Bowlinghaus Bamberg 1</v>
      </c>
      <c r="U293" s="359" t="str">
        <f t="shared" si="346"/>
        <v/>
      </c>
      <c r="V293" s="363"/>
      <c r="W293" s="363"/>
      <c r="AA293" s="90"/>
      <c r="AB293" s="86"/>
      <c r="AC293" s="358" t="str">
        <f>VLOOKUP(AC292,Schlüssel!$A$5:$K$14,2)</f>
        <v>BC EMAX Unterföhring 2</v>
      </c>
      <c r="AD293" s="359"/>
      <c r="AE293" s="358" t="str">
        <f>VLOOKUP(AE292,Schlüssel!$A$5:$K$14,2)</f>
        <v>SG Rottendorf 1</v>
      </c>
      <c r="AF293" s="359"/>
      <c r="AG293" s="358" t="str">
        <f>VLOOKUP(AG292,Schlüssel!$A$5:$K$14,2)</f>
        <v>BK München 3</v>
      </c>
      <c r="AH293" s="359"/>
      <c r="AI293" s="358" t="str">
        <f>VLOOKUP(AI292,Schlüssel!$A$5:$K$14,2)</f>
        <v>SG DJK Rimpar</v>
      </c>
      <c r="AJ293" s="359"/>
      <c r="AK293" s="358" t="str">
        <f>VLOOKUP(AK292,Schlüssel!$A$5:$K$14,2)</f>
        <v>Schanzer Ingolstadt 1</v>
      </c>
      <c r="AL293" s="359"/>
      <c r="AM293" s="358" t="str">
        <f>VLOOKUP(AM292,Schlüssel!$A$5:$K$14,2)</f>
        <v>Bajuwaren München 1</v>
      </c>
      <c r="AN293" s="359"/>
      <c r="AO293" s="358" t="str">
        <f>VLOOKUP(AO292,Schlüssel!$A$5:$K$14,2)</f>
        <v>BC Comet Nürnberg</v>
      </c>
      <c r="AP293" s="359"/>
      <c r="AQ293" s="358" t="str">
        <f>VLOOKUP(AQ292,Schlüssel!$A$5:$K$14,2)</f>
        <v>RW Lichtenhof Stein 1</v>
      </c>
      <c r="AR293" s="359"/>
      <c r="AS293" s="358" t="str">
        <f>VLOOKUP(AS292,Schlüssel!$A$5:$K$14,2)</f>
        <v>Bowlinghaus Bamberg 1</v>
      </c>
      <c r="AT293" s="359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60" t="str">
        <f t="shared" si="347"/>
        <v/>
      </c>
      <c r="E294" s="360" t="str">
        <f t="shared" si="347"/>
        <v/>
      </c>
      <c r="F294" s="360" t="str">
        <f t="shared" si="347"/>
        <v/>
      </c>
      <c r="G294" s="360" t="str">
        <f t="shared" si="347"/>
        <v/>
      </c>
      <c r="H294" s="360" t="str">
        <f t="shared" si="347"/>
        <v/>
      </c>
      <c r="I294" s="360" t="str">
        <f t="shared" si="347"/>
        <v/>
      </c>
      <c r="J294" s="360" t="str">
        <f t="shared" si="347"/>
        <v/>
      </c>
      <c r="K294" s="360" t="str">
        <f t="shared" si="347"/>
        <v/>
      </c>
      <c r="L294" s="360" t="str">
        <f t="shared" si="346"/>
        <v/>
      </c>
      <c r="M294" s="360" t="str">
        <f t="shared" si="346"/>
        <v/>
      </c>
      <c r="N294" s="360" t="str">
        <f t="shared" si="346"/>
        <v/>
      </c>
      <c r="O294" s="360" t="str">
        <f t="shared" si="346"/>
        <v/>
      </c>
      <c r="P294" s="360" t="str">
        <f t="shared" si="346"/>
        <v/>
      </c>
      <c r="Q294" s="360" t="str">
        <f t="shared" si="346"/>
        <v/>
      </c>
      <c r="R294" s="360" t="str">
        <f t="shared" si="346"/>
        <v/>
      </c>
      <c r="S294" s="360" t="str">
        <f t="shared" si="346"/>
        <v/>
      </c>
      <c r="T294" s="360" t="str">
        <f t="shared" si="346"/>
        <v/>
      </c>
      <c r="U294" s="361" t="str">
        <f t="shared" si="346"/>
        <v/>
      </c>
      <c r="V294" s="298"/>
      <c r="W294" s="298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4" t="str">
        <f t="shared" ref="B295:C299" si="348">IF(AA295=0,"",AA295)</f>
        <v>Spieler 1</v>
      </c>
      <c r="C295" s="375" t="str">
        <f t="shared" si="348"/>
        <v/>
      </c>
      <c r="D295" s="362">
        <f>IF(AC295=301,"",AC295)</f>
        <v>212</v>
      </c>
      <c r="E295" s="362" t="str">
        <f>IF(AD295=0,"",AD295)</f>
        <v/>
      </c>
      <c r="F295" s="362">
        <f>IF(AE295=301,"",AE295)</f>
        <v>191</v>
      </c>
      <c r="G295" s="362" t="str">
        <f>IF(AF295=0,"",AF295)</f>
        <v/>
      </c>
      <c r="H295" s="362">
        <f>IF(AG295=301,"",AG295)</f>
        <v>199</v>
      </c>
      <c r="I295" s="362" t="str">
        <f>IF(AH295=0,"",AH295)</f>
        <v/>
      </c>
      <c r="J295" s="362">
        <f>IF(AI295=301,"",AI295)</f>
        <v>212</v>
      </c>
      <c r="K295" s="362" t="str">
        <f>IF(AJ295=0,"",AJ295)</f>
        <v/>
      </c>
      <c r="L295" s="362">
        <f>IF(AK295=301,"",AK295)</f>
        <v>242</v>
      </c>
      <c r="M295" s="362" t="str">
        <f>IF(AL295=0,"",AL295)</f>
        <v/>
      </c>
      <c r="N295" s="362">
        <f>IF(AM295=301,"",AM295)</f>
        <v>176</v>
      </c>
      <c r="O295" s="362" t="str">
        <f>IF(AN295=0,"",AN295)</f>
        <v/>
      </c>
      <c r="P295" s="362">
        <f>IF(AO295=301,"",AO295)</f>
        <v>0</v>
      </c>
      <c r="Q295" s="362" t="str">
        <f>IF(AP295=0,"",AP295)</f>
        <v/>
      </c>
      <c r="R295" s="362">
        <f>IF(AQ295=301,"",AQ295)</f>
        <v>0</v>
      </c>
      <c r="S295" s="362" t="str">
        <f>IF(AR295=0,"",AR295)</f>
        <v/>
      </c>
      <c r="T295" s="362">
        <f>IF(AS295=301,"",AS295)</f>
        <v>0</v>
      </c>
      <c r="U295" s="362" t="str">
        <f>IF(AT295=0,"",AT295)</f>
        <v/>
      </c>
      <c r="V295" s="364"/>
      <c r="W295" s="364"/>
      <c r="AA295" s="91" t="s">
        <v>0</v>
      </c>
      <c r="AB295" s="92"/>
      <c r="AC295" s="368">
        <f>ABS(INDEX(AC:AC,MATCH(AC292,$AA:$AA,0)+5)+INDEX(AC:AC,MATCH(AC292,$AA:$AA,0)+6)+INDEX(AC:AC,MATCH(AC292,$AA:$AA,0)+7))</f>
        <v>212</v>
      </c>
      <c r="AD295" s="369"/>
      <c r="AE295" s="368">
        <f>ABS(INDEX(AE:AE,MATCH(AE292,$AA:$AA,0)+5)+INDEX(AE:AE,MATCH(AE292,$AA:$AA,0)+6)+INDEX(AE:AE,MATCH(AE292,$AA:$AA,0)+7))</f>
        <v>191</v>
      </c>
      <c r="AF295" s="369"/>
      <c r="AG295" s="368">
        <f>ABS(INDEX(AG:AG,MATCH(AG292,$AA:$AA,0)+5)+INDEX(AG:AG,MATCH(AG292,$AA:$AA,0)+6)+INDEX(AG:AG,MATCH(AG292,$AA:$AA,0)+7))</f>
        <v>199</v>
      </c>
      <c r="AH295" s="369"/>
      <c r="AI295" s="368">
        <f>ABS(INDEX(AI:AI,MATCH(AI292,$AA:$AA,0)+5)+INDEX(AI:AI,MATCH(AI292,$AA:$AA,0)+6)+INDEX(AI:AI,MATCH(AI292,$AA:$AA,0)+7))</f>
        <v>212</v>
      </c>
      <c r="AJ295" s="369"/>
      <c r="AK295" s="368">
        <f>ABS(INDEX(AK:AK,MATCH(AK292,$AA:$AA,0)+5)+INDEX(AK:AK,MATCH(AK292,$AA:$AA,0)+6)+INDEX(AK:AK,MATCH(AK292,$AA:$AA,0)+7))</f>
        <v>242</v>
      </c>
      <c r="AL295" s="369"/>
      <c r="AM295" s="368">
        <f>ABS(INDEX(AM:AM,MATCH(AM292,$AA:$AA,0)+5)+INDEX(AM:AM,MATCH(AM292,$AA:$AA,0)+6)+INDEX(AM:AM,MATCH(AM292,$AA:$AA,0)+7))</f>
        <v>176</v>
      </c>
      <c r="AN295" s="369"/>
      <c r="AO295" s="368">
        <f>ABS(INDEX(AO:AO,MATCH(AO292,$AA:$AA,0)+5)+INDEX(AO:AO,MATCH(AO292,$AA:$AA,0)+6)+INDEX(AO:AO,MATCH(AO292,$AA:$AA,0)+7))</f>
        <v>0</v>
      </c>
      <c r="AP295" s="369"/>
      <c r="AQ295" s="368">
        <f>ABS(INDEX(AQ:AQ,MATCH(AQ292,$AA:$AA,0)+5)+INDEX(AQ:AQ,MATCH(AQ292,$AA:$AA,0)+6)+INDEX(AQ:AQ,MATCH(AQ292,$AA:$AA,0)+7))</f>
        <v>0</v>
      </c>
      <c r="AR295" s="369"/>
      <c r="AS295" s="368">
        <f>ABS(INDEX(AS:AS,MATCH(AS292,$AA:$AA,0)+5)+INDEX(AS:AS,MATCH(AS292,$AA:$AA,0)+6)+INDEX(AS:AS,MATCH(AS292,$AA:$AA,0)+7))</f>
        <v>0</v>
      </c>
      <c r="AT295" s="369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4" t="str">
        <f t="shared" si="348"/>
        <v>Spieler 2</v>
      </c>
      <c r="C296" s="375" t="str">
        <f t="shared" si="348"/>
        <v/>
      </c>
      <c r="D296" s="362">
        <f>IF(AC296=301,"",AC296)</f>
        <v>203</v>
      </c>
      <c r="E296" s="362" t="str">
        <f>IF(AD296=0,"",AD296)</f>
        <v/>
      </c>
      <c r="F296" s="362">
        <f>IF(AE296=301,"",AE296)</f>
        <v>179</v>
      </c>
      <c r="G296" s="362" t="str">
        <f>IF(AF296=0,"",AF296)</f>
        <v/>
      </c>
      <c r="H296" s="362">
        <f>IF(AG296=301,"",AG296)</f>
        <v>226</v>
      </c>
      <c r="I296" s="362" t="str">
        <f>IF(AH296=0,"",AH296)</f>
        <v/>
      </c>
      <c r="J296" s="362">
        <f>IF(AI296=301,"",AI296)</f>
        <v>180</v>
      </c>
      <c r="K296" s="362" t="str">
        <f>IF(AJ296=0,"",AJ296)</f>
        <v/>
      </c>
      <c r="L296" s="362">
        <f>IF(AK296=301,"",AK296)</f>
        <v>186</v>
      </c>
      <c r="M296" s="362" t="str">
        <f>IF(AL296=0,"",AL296)</f>
        <v/>
      </c>
      <c r="N296" s="362">
        <f>IF(AM296=301,"",AM296)</f>
        <v>202</v>
      </c>
      <c r="O296" s="362" t="str">
        <f>IF(AN296=0,"",AN296)</f>
        <v/>
      </c>
      <c r="P296" s="362">
        <f>IF(AO296=301,"",AO296)</f>
        <v>0</v>
      </c>
      <c r="Q296" s="362" t="str">
        <f>IF(AP296=0,"",AP296)</f>
        <v/>
      </c>
      <c r="R296" s="362">
        <f>IF(AQ296=301,"",AQ296)</f>
        <v>0</v>
      </c>
      <c r="S296" s="362" t="str">
        <f>IF(AR296=0,"",AR296)</f>
        <v/>
      </c>
      <c r="T296" s="362">
        <f>IF(AS296=301,"",AS296)</f>
        <v>0</v>
      </c>
      <c r="U296" s="362" t="str">
        <f>IF(AT296=0,"",AT296)</f>
        <v/>
      </c>
      <c r="V296" s="364"/>
      <c r="W296" s="364"/>
      <c r="AA296" s="91" t="s">
        <v>2</v>
      </c>
      <c r="AB296" s="92"/>
      <c r="AC296" s="366">
        <f>ABS(INDEX(AC:AC,MATCH(AC292,$AA:$AA,0)+8)+INDEX(AC:AC,MATCH(AC292,$AA:$AA,0)+9)+INDEX(AC:AC,MATCH(AC292,$AA:$AA,0)+10))</f>
        <v>203</v>
      </c>
      <c r="AD296" s="367"/>
      <c r="AE296" s="366">
        <f>ABS(INDEX(AE:AE,MATCH(AE292,$AA:$AA,0)+8)+INDEX(AE:AE,MATCH(AE292,$AA:$AA,0)+9)+INDEX(AE:AE,MATCH(AE292,$AA:$AA,0)+10))</f>
        <v>179</v>
      </c>
      <c r="AF296" s="367"/>
      <c r="AG296" s="366">
        <f>ABS(INDEX(AG:AG,MATCH(AG292,$AA:$AA,0)+8)+INDEX(AG:AG,MATCH(AG292,$AA:$AA,0)+9)+INDEX(AG:AG,MATCH(AG292,$AA:$AA,0)+10))</f>
        <v>226</v>
      </c>
      <c r="AH296" s="367"/>
      <c r="AI296" s="366">
        <f>ABS(INDEX(AI:AI,MATCH(AI292,$AA:$AA,0)+8)+INDEX(AI:AI,MATCH(AI292,$AA:$AA,0)+9)+INDEX(AI:AI,MATCH(AI292,$AA:$AA,0)+10))</f>
        <v>180</v>
      </c>
      <c r="AJ296" s="367"/>
      <c r="AK296" s="366">
        <f>ABS(INDEX(AK:AK,MATCH(AK292,$AA:$AA,0)+8)+INDEX(AK:AK,MATCH(AK292,$AA:$AA,0)+9)+INDEX(AK:AK,MATCH(AK292,$AA:$AA,0)+10))</f>
        <v>186</v>
      </c>
      <c r="AL296" s="367"/>
      <c r="AM296" s="366">
        <f>ABS(INDEX(AM:AM,MATCH(AM292,$AA:$AA,0)+8)+INDEX(AM:AM,MATCH(AM292,$AA:$AA,0)+9)+INDEX(AM:AM,MATCH(AM292,$AA:$AA,0)+10))</f>
        <v>202</v>
      </c>
      <c r="AN296" s="367"/>
      <c r="AO296" s="366">
        <f>ABS(INDEX(AO:AO,MATCH(AO292,$AA:$AA,0)+8)+INDEX(AO:AO,MATCH(AO292,$AA:$AA,0)+9)+INDEX(AO:AO,MATCH(AO292,$AA:$AA,0)+10))</f>
        <v>0</v>
      </c>
      <c r="AP296" s="367"/>
      <c r="AQ296" s="366">
        <f>ABS(INDEX(AQ:AQ,MATCH(AQ292,$AA:$AA,0)+8)+INDEX(AQ:AQ,MATCH(AQ292,$AA:$AA,0)+9)+INDEX(AQ:AQ,MATCH(AQ292,$AA:$AA,0)+10))</f>
        <v>0</v>
      </c>
      <c r="AR296" s="367"/>
      <c r="AS296" s="366">
        <f>ABS(INDEX(AS:AS,MATCH(AS292,$AA:$AA,0)+8)+INDEX(AS:AS,MATCH(AS292,$AA:$AA,0)+9)+INDEX(AS:AS,MATCH(AS292,$AA:$AA,0)+10))</f>
        <v>0</v>
      </c>
      <c r="AT296" s="367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4" t="str">
        <f t="shared" si="348"/>
        <v>Spieler 3</v>
      </c>
      <c r="C297" s="375" t="str">
        <f t="shared" si="348"/>
        <v/>
      </c>
      <c r="D297" s="362">
        <f>IF(AC297=301,"",AC297)</f>
        <v>156</v>
      </c>
      <c r="E297" s="362" t="str">
        <f>IF(AD297=0,"",AD297)</f>
        <v/>
      </c>
      <c r="F297" s="362">
        <f>IF(AE297=301,"",AE297)</f>
        <v>182</v>
      </c>
      <c r="G297" s="362" t="str">
        <f>IF(AF297=0,"",AF297)</f>
        <v/>
      </c>
      <c r="H297" s="362">
        <f>IF(AG297=301,"",AG297)</f>
        <v>164</v>
      </c>
      <c r="I297" s="362" t="str">
        <f>IF(AH297=0,"",AH297)</f>
        <v/>
      </c>
      <c r="J297" s="362">
        <f>IF(AI297=301,"",AI297)</f>
        <v>160</v>
      </c>
      <c r="K297" s="362" t="str">
        <f>IF(AJ297=0,"",AJ297)</f>
        <v/>
      </c>
      <c r="L297" s="362">
        <f>IF(AK297=301,"",AK297)</f>
        <v>246</v>
      </c>
      <c r="M297" s="362" t="str">
        <f>IF(AL297=0,"",AL297)</f>
        <v/>
      </c>
      <c r="N297" s="362">
        <f>IF(AM297=301,"",AM297)</f>
        <v>137</v>
      </c>
      <c r="O297" s="362" t="str">
        <f>IF(AN297=0,"",AN297)</f>
        <v/>
      </c>
      <c r="P297" s="362">
        <f>IF(AO297=301,"",AO297)</f>
        <v>0</v>
      </c>
      <c r="Q297" s="362" t="str">
        <f>IF(AP297=0,"",AP297)</f>
        <v/>
      </c>
      <c r="R297" s="362">
        <f>IF(AQ297=301,"",AQ297)</f>
        <v>0</v>
      </c>
      <c r="S297" s="362" t="str">
        <f>IF(AR297=0,"",AR297)</f>
        <v/>
      </c>
      <c r="T297" s="362">
        <f>IF(AS297=301,"",AS297)</f>
        <v>0</v>
      </c>
      <c r="U297" s="362" t="str">
        <f>IF(AT297=0,"",AT297)</f>
        <v/>
      </c>
      <c r="V297" s="364"/>
      <c r="W297" s="364"/>
      <c r="AA297" s="91" t="s">
        <v>3</v>
      </c>
      <c r="AB297" s="92"/>
      <c r="AC297" s="366">
        <f>ABS(INDEX(AC:AC,MATCH(AC292,$AA:$AA,0)+11)+INDEX(AC:AC,MATCH(AC292,$AA:$AA,0)+12)+INDEX(AC:AC,MATCH(AC292,$AA:$AA,0)+13))</f>
        <v>156</v>
      </c>
      <c r="AD297" s="367"/>
      <c r="AE297" s="366">
        <f>ABS(INDEX(AE:AE,MATCH(AE292,$AA:$AA,0)+11)+INDEX(AE:AE,MATCH(AE292,$AA:$AA,0)+12)+INDEX(AE:AE,MATCH(AE292,$AA:$AA,0)+13))</f>
        <v>182</v>
      </c>
      <c r="AF297" s="367"/>
      <c r="AG297" s="366">
        <f>ABS(INDEX(AG:AG,MATCH(AG292,$AA:$AA,0)+11)+INDEX(AG:AG,MATCH(AG292,$AA:$AA,0)+12)+INDEX(AG:AG,MATCH(AG292,$AA:$AA,0)+13))</f>
        <v>164</v>
      </c>
      <c r="AH297" s="367"/>
      <c r="AI297" s="366">
        <f>ABS(INDEX(AI:AI,MATCH(AI292,$AA:$AA,0)+11)+INDEX(AI:AI,MATCH(AI292,$AA:$AA,0)+12)+INDEX(AI:AI,MATCH(AI292,$AA:$AA,0)+13))</f>
        <v>160</v>
      </c>
      <c r="AJ297" s="367"/>
      <c r="AK297" s="366">
        <f>ABS(INDEX(AK:AK,MATCH(AK292,$AA:$AA,0)+11)+INDEX(AK:AK,MATCH(AK292,$AA:$AA,0)+12)+INDEX(AK:AK,MATCH(AK292,$AA:$AA,0)+13))</f>
        <v>246</v>
      </c>
      <c r="AL297" s="367"/>
      <c r="AM297" s="366">
        <f>ABS(INDEX(AM:AM,MATCH(AM292,$AA:$AA,0)+11)+INDEX(AM:AM,MATCH(AM292,$AA:$AA,0)+12)+INDEX(AM:AM,MATCH(AM292,$AA:$AA,0)+13))</f>
        <v>137</v>
      </c>
      <c r="AN297" s="367"/>
      <c r="AO297" s="366">
        <f>ABS(INDEX(AO:AO,MATCH(AO292,$AA:$AA,0)+11)+INDEX(AO:AO,MATCH(AO292,$AA:$AA,0)+12)+INDEX(AO:AO,MATCH(AO292,$AA:$AA,0)+13))</f>
        <v>0</v>
      </c>
      <c r="AP297" s="367"/>
      <c r="AQ297" s="366">
        <f>ABS(INDEX(AQ:AQ,MATCH(AQ292,$AA:$AA,0)+11)+INDEX(AQ:AQ,MATCH(AQ292,$AA:$AA,0)+12)+INDEX(AQ:AQ,MATCH(AQ292,$AA:$AA,0)+13))</f>
        <v>0</v>
      </c>
      <c r="AR297" s="367"/>
      <c r="AS297" s="366">
        <f>ABS(INDEX(AS:AS,MATCH(AS292,$AA:$AA,0)+11)+INDEX(AS:AS,MATCH(AS292,$AA:$AA,0)+12)+INDEX(AS:AS,MATCH(AS292,$AA:$AA,0)+13))</f>
        <v>0</v>
      </c>
      <c r="AT297" s="367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4" t="str">
        <f t="shared" si="348"/>
        <v>Spieler 4</v>
      </c>
      <c r="C298" s="375" t="str">
        <f t="shared" si="348"/>
        <v/>
      </c>
      <c r="D298" s="362">
        <f>IF(AC298=301,"",AC298)</f>
        <v>163</v>
      </c>
      <c r="E298" s="362" t="str">
        <f>IF(AD298=0,"",AD298)</f>
        <v/>
      </c>
      <c r="F298" s="362">
        <f>IF(AE298=301,"",AE298)</f>
        <v>150</v>
      </c>
      <c r="G298" s="362" t="str">
        <f>IF(AF298=0,"",AF298)</f>
        <v/>
      </c>
      <c r="H298" s="362">
        <f>IF(AG298=301,"",AG298)</f>
        <v>169</v>
      </c>
      <c r="I298" s="362" t="str">
        <f>IF(AH298=0,"",AH298)</f>
        <v/>
      </c>
      <c r="J298" s="362">
        <f>IF(AI298=301,"",AI298)</f>
        <v>188</v>
      </c>
      <c r="K298" s="362" t="str">
        <f>IF(AJ298=0,"",AJ298)</f>
        <v/>
      </c>
      <c r="L298" s="362">
        <f>IF(AK298=301,"",AK298)</f>
        <v>192</v>
      </c>
      <c r="M298" s="362" t="str">
        <f>IF(AL298=0,"",AL298)</f>
        <v/>
      </c>
      <c r="N298" s="362">
        <f>IF(AM298=301,"",AM298)</f>
        <v>194</v>
      </c>
      <c r="O298" s="362" t="str">
        <f>IF(AN298=0,"",AN298)</f>
        <v/>
      </c>
      <c r="P298" s="362">
        <f>IF(AO298=301,"",AO298)</f>
        <v>0</v>
      </c>
      <c r="Q298" s="362" t="str">
        <f>IF(AP298=0,"",AP298)</f>
        <v/>
      </c>
      <c r="R298" s="362">
        <f>IF(AQ298=301,"",AQ298)</f>
        <v>0</v>
      </c>
      <c r="S298" s="362" t="str">
        <f>IF(AR298=0,"",AR298)</f>
        <v/>
      </c>
      <c r="T298" s="362">
        <f>IF(AS298=301,"",AS298)</f>
        <v>0</v>
      </c>
      <c r="U298" s="362" t="str">
        <f>IF(AT298=0,"",AT298)</f>
        <v/>
      </c>
      <c r="V298" s="364"/>
      <c r="W298" s="364"/>
      <c r="AA298" s="91" t="s">
        <v>11</v>
      </c>
      <c r="AB298" s="92"/>
      <c r="AC298" s="366">
        <f>ABS(INDEX(AC:AC,MATCH(AC292,$AA:$AA,0)+14)+INDEX(AC:AC,MATCH(AC292,$AA:$AA,0)+15)+INDEX(AC:AC,MATCH(AC292,$AA:$AA,0)+16))</f>
        <v>163</v>
      </c>
      <c r="AD298" s="367"/>
      <c r="AE298" s="366">
        <f>ABS(INDEX(AE:AE,MATCH(AE292,$AA:$AA,0)+14)+INDEX(AE:AE,MATCH(AE292,$AA:$AA,0)+15)+INDEX(AE:AE,MATCH(AE292,$AA:$AA,0)+16))</f>
        <v>150</v>
      </c>
      <c r="AF298" s="367"/>
      <c r="AG298" s="366">
        <f>ABS(INDEX(AG:AG,MATCH(AG292,$AA:$AA,0)+14)+INDEX(AG:AG,MATCH(AG292,$AA:$AA,0)+15)+INDEX(AG:AG,MATCH(AG292,$AA:$AA,0)+16))</f>
        <v>169</v>
      </c>
      <c r="AH298" s="367"/>
      <c r="AI298" s="366">
        <f>ABS(INDEX(AI:AI,MATCH(AI292,$AA:$AA,0)+14)+INDEX(AI:AI,MATCH(AI292,$AA:$AA,0)+15)+INDEX(AI:AI,MATCH(AI292,$AA:$AA,0)+16))</f>
        <v>188</v>
      </c>
      <c r="AJ298" s="367"/>
      <c r="AK298" s="366">
        <f>ABS(INDEX(AK:AK,MATCH(AK292,$AA:$AA,0)+14)+INDEX(AK:AK,MATCH(AK292,$AA:$AA,0)+15)+INDEX(AK:AK,MATCH(AK292,$AA:$AA,0)+16))</f>
        <v>192</v>
      </c>
      <c r="AL298" s="367"/>
      <c r="AM298" s="366">
        <f>ABS(INDEX(AM:AM,MATCH(AM292,$AA:$AA,0)+14)+INDEX(AM:AM,MATCH(AM292,$AA:$AA,0)+15)+INDEX(AM:AM,MATCH(AM292,$AA:$AA,0)+16))</f>
        <v>194</v>
      </c>
      <c r="AN298" s="367"/>
      <c r="AO298" s="366">
        <f>ABS(INDEX(AO:AO,MATCH(AO292,$AA:$AA,0)+14)+INDEX(AO:AO,MATCH(AO292,$AA:$AA,0)+15)+INDEX(AO:AO,MATCH(AO292,$AA:$AA,0)+16))</f>
        <v>0</v>
      </c>
      <c r="AP298" s="367"/>
      <c r="AQ298" s="366">
        <f>ABS(INDEX(AQ:AQ,MATCH(AQ292,$AA:$AA,0)+14)+INDEX(AQ:AQ,MATCH(AQ292,$AA:$AA,0)+15)+INDEX(AQ:AQ,MATCH(AQ292,$AA:$AA,0)+16))</f>
        <v>0</v>
      </c>
      <c r="AR298" s="367"/>
      <c r="AS298" s="366">
        <f>ABS(INDEX(AS:AS,MATCH(AS292,$AA:$AA,0)+14)+INDEX(AS:AS,MATCH(AS292,$AA:$AA,0)+15)+INDEX(AS:AS,MATCH(AS292,$AA:$AA,0)+16))</f>
        <v>0</v>
      </c>
      <c r="AT298" s="367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6" t="str">
        <f t="shared" si="348"/>
        <v>Gesamt</v>
      </c>
      <c r="C299" s="347" t="str">
        <f t="shared" si="348"/>
        <v/>
      </c>
      <c r="D299" s="365">
        <f>IF(AC299=1505,"",AC299)</f>
        <v>734</v>
      </c>
      <c r="E299" s="365" t="str">
        <f>IF(AD299=0,"",AD299)</f>
        <v/>
      </c>
      <c r="F299" s="365">
        <f>IF(AE299=1505,"",AE299)</f>
        <v>702</v>
      </c>
      <c r="G299" s="365" t="str">
        <f>IF(AF299=0,"",AF299)</f>
        <v/>
      </c>
      <c r="H299" s="365">
        <f>IF(AG299=1505,"",AG299)</f>
        <v>758</v>
      </c>
      <c r="I299" s="365" t="str">
        <f>IF(AH299=0,"",AH299)</f>
        <v/>
      </c>
      <c r="J299" s="365">
        <f>IF(AI299=1505,"",AI299)</f>
        <v>740</v>
      </c>
      <c r="K299" s="365" t="str">
        <f>IF(AJ299=0,"",AJ299)</f>
        <v/>
      </c>
      <c r="L299" s="365">
        <f>IF(AK299=1505,"",AK299)</f>
        <v>866</v>
      </c>
      <c r="M299" s="365" t="str">
        <f>IF(AL299=0,"",AL299)</f>
        <v/>
      </c>
      <c r="N299" s="365">
        <f>IF(AM299=1505,"",AM299)</f>
        <v>709</v>
      </c>
      <c r="O299" s="365" t="str">
        <f>IF(AN299=0,"",AN299)</f>
        <v/>
      </c>
      <c r="P299" s="365">
        <f>IF(AO299=1505,"",AO299)</f>
        <v>0</v>
      </c>
      <c r="Q299" s="365" t="str">
        <f>IF(AP299=0,"",AP299)</f>
        <v/>
      </c>
      <c r="R299" s="365">
        <f>IF(AQ299=1505,"",AQ299)</f>
        <v>0</v>
      </c>
      <c r="S299" s="365" t="str">
        <f>IF(AR299=0,"",AR299)</f>
        <v/>
      </c>
      <c r="T299" s="365">
        <f>IF(AS299=1505,"",AS299)</f>
        <v>0</v>
      </c>
      <c r="U299" s="365" t="str">
        <f>IF(AT299=0,"",AT299)</f>
        <v/>
      </c>
      <c r="V299" s="301"/>
      <c r="W299" s="301"/>
      <c r="AA299" s="93" t="s">
        <v>1799</v>
      </c>
      <c r="AB299" s="94"/>
      <c r="AC299" s="346">
        <f>SUM(AC295:AC298)</f>
        <v>734</v>
      </c>
      <c r="AD299" s="347"/>
      <c r="AE299" s="346">
        <f>SUM(AE295:AE298)</f>
        <v>702</v>
      </c>
      <c r="AF299" s="347"/>
      <c r="AG299" s="346">
        <f>SUM(AG295:AG298)</f>
        <v>758</v>
      </c>
      <c r="AH299" s="347"/>
      <c r="AI299" s="346">
        <f>SUM(AI295:AI298)</f>
        <v>740</v>
      </c>
      <c r="AJ299" s="347"/>
      <c r="AK299" s="346">
        <f>SUM(AK295:AK298)</f>
        <v>866</v>
      </c>
      <c r="AL299" s="347"/>
      <c r="AM299" s="346">
        <f>SUM(AM295:AM298)</f>
        <v>709</v>
      </c>
      <c r="AN299" s="347"/>
      <c r="AO299" s="346">
        <f>SUM(AO295:AO298)</f>
        <v>0</v>
      </c>
      <c r="AP299" s="347"/>
      <c r="AQ299" s="346">
        <f>SUM(AQ295:AQ298)</f>
        <v>0</v>
      </c>
      <c r="AR299" s="347"/>
      <c r="AS299" s="346">
        <f>SUM(AS295:AS298)</f>
        <v>0</v>
      </c>
      <c r="AT299" s="347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topLeftCell="A6" workbookViewId="0">
      <selection activeCell="F22" sqref="F22:G22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5"/>
      <c r="Y1" s="5"/>
      <c r="AA1" s="215" t="s">
        <v>2080</v>
      </c>
    </row>
    <row r="2" spans="1:31" ht="28.5" customHeight="1" x14ac:dyDescent="0.25">
      <c r="A2" s="386" t="str">
        <f>"Saison "&amp;Spielorte!C18&amp;"     -     Spieltag "&amp;Erfassung6!AS2&amp;"     -     "&amp;Erfassung6!AT1</f>
        <v>Saison 2024/2025     -     Spieltag 6     -     05.04./06.04.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5"/>
      <c r="Y2" s="5"/>
    </row>
    <row r="3" spans="1:31" ht="28.5" customHeight="1" x14ac:dyDescent="0.25">
      <c r="A3" s="386" t="str">
        <f>+Erfassung6!AE2</f>
        <v>Dettelbach Extreme Bowlingarena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9" t="s">
        <v>1816</v>
      </c>
      <c r="B5" s="391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1" t="s">
        <v>1808</v>
      </c>
      <c r="T5" s="380"/>
      <c r="U5" s="379" t="s">
        <v>1799</v>
      </c>
      <c r="V5" s="380"/>
      <c r="W5" s="387" t="s">
        <v>1818</v>
      </c>
    </row>
    <row r="6" spans="1:31" ht="13.8" thickBot="1" x14ac:dyDescent="0.3">
      <c r="A6" s="390"/>
      <c r="B6" s="392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8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INDEX(Erfassung6!$AA:$AA,MATCH($A7,Erfassung6!$BR:$BR,0)-17)</f>
        <v>Schanzer Ingolstadt 1</v>
      </c>
      <c r="C7" s="129">
        <f>INDEX(Erfassung6!AC:AC,MATCH($A7,Erfassung6!$BR:$BR,0)-1)</f>
        <v>910</v>
      </c>
      <c r="D7" s="130">
        <f>INDEX(Erfassung6!AD:AD,MATCH($A7,Erfassung6!$BR:$BR,0))</f>
        <v>5.5</v>
      </c>
      <c r="E7" s="129">
        <f>INDEX(Erfassung6!AE:AE,MATCH($A7,Erfassung6!$BR:$BR,0)-1)</f>
        <v>825</v>
      </c>
      <c r="F7" s="130">
        <f>INDEX(Erfassung6!AF:AF,MATCH($A7,Erfassung6!$BR:$BR,0))</f>
        <v>1</v>
      </c>
      <c r="G7" s="129">
        <f>INDEX(Erfassung6!AG:AG,MATCH($A7,Erfassung6!$BR:$BR,0)-1)</f>
        <v>814</v>
      </c>
      <c r="H7" s="130">
        <f>INDEX(Erfassung6!AH:AH,MATCH($A7,Erfassung6!$BR:$BR,0))</f>
        <v>5</v>
      </c>
      <c r="I7" s="129">
        <f>INDEX(Erfassung6!AI:AI,MATCH($A7,Erfassung6!$BR:$BR,0)-1)</f>
        <v>778</v>
      </c>
      <c r="J7" s="130">
        <f>INDEX(Erfassung6!AJ:AJ,MATCH($A7,Erfassung6!$BR:$BR,0))</f>
        <v>5</v>
      </c>
      <c r="K7" s="129">
        <f>INDEX(Erfassung6!AK:AK,MATCH($A7,Erfassung6!$BR:$BR,0)-1)</f>
        <v>866</v>
      </c>
      <c r="L7" s="130">
        <f>INDEX(Erfassung6!AL:AL,MATCH($A7,Erfassung6!$BR:$BR,0))</f>
        <v>4</v>
      </c>
      <c r="M7" s="129">
        <f>INDEX(Erfassung6!AM:AM,MATCH($A7,Erfassung6!$BR:$BR,0)-1)</f>
        <v>863</v>
      </c>
      <c r="N7" s="130">
        <f>INDEX(Erfassung6!AN:AN,MATCH($A7,Erfassung6!$BR:$BR,0))</f>
        <v>5</v>
      </c>
      <c r="O7" s="129">
        <f>INDEX(Erfassung6!AO:AO,MATCH($A7,Erfassung6!$BR:$BR,0)-1)</f>
        <v>0</v>
      </c>
      <c r="P7" s="130">
        <f>INDEX(Erfassung6!AP:AP,MATCH($A7,Erfassung6!$BR:$BR,0))</f>
        <v>0</v>
      </c>
      <c r="Q7" s="129">
        <f>INDEX(Erfassung6!AQ:AQ,MATCH($A7,Erfassung6!$BR:$BR,0)-1)</f>
        <v>0</v>
      </c>
      <c r="R7" s="130">
        <f>INDEX(Erfassung6!AR:AR,MATCH($A7,Erfassung6!$BR:$BR,0))</f>
        <v>0</v>
      </c>
      <c r="S7" s="129">
        <f>INDEX(Erfassung6!AS:AS,MATCH($A7,Erfassung6!$BR:$BR,0)-1)</f>
        <v>0</v>
      </c>
      <c r="T7" s="130">
        <f>INDEX(Erfassung6!AT:AT,MATCH($A7,Erfassung6!$BR:$BR,0))</f>
        <v>0</v>
      </c>
      <c r="U7" s="131">
        <f t="shared" ref="U7:V16" si="0">SUM(C7+E7+G7+I7+K7+M7+O7+Q7+S7)</f>
        <v>5056</v>
      </c>
      <c r="V7" s="132">
        <f t="shared" si="0"/>
        <v>25.5</v>
      </c>
      <c r="W7" s="224">
        <f>IFERROR(U7/INDEX(Erfassung6!BF:BF,MATCH(A7,Erfassung6!BR:BR,0)),0)</f>
        <v>210.66666666666666</v>
      </c>
      <c r="X7" s="25"/>
      <c r="AA7" s="225">
        <f>INDEX(TabGes5!M:M,MATCH($B7,TabGes5!$B:$B,0))+U7</f>
        <v>37602</v>
      </c>
      <c r="AB7" s="225">
        <f>INDEX(TabGes5!N:N,MATCH($B7,TabGes5!$B:$B,0))+V7</f>
        <v>131</v>
      </c>
      <c r="AC7" s="215">
        <f>+AB7+AA7/1000000000</f>
        <v>131.00003760199999</v>
      </c>
      <c r="AD7" s="215">
        <f>RANK(AC7,AC:AC)</f>
        <v>9</v>
      </c>
      <c r="AE7" s="215">
        <f>INDEX(Tabelle5!AE:AE,MATCH(B7,Tabelle5!B:B,0))+SUMIF(Erfassung6!BU:BU,B7,Erfassung6!BF:BF)</f>
        <v>204</v>
      </c>
    </row>
    <row r="8" spans="1:31" ht="42" customHeight="1" thickBot="1" x14ac:dyDescent="0.3">
      <c r="A8" s="223">
        <v>2</v>
      </c>
      <c r="B8" s="128" t="str">
        <f>INDEX(Erfassung6!$AA:$AA,MATCH($A8,Erfassung6!$BR:$BR,0)-17)</f>
        <v>SG Rottendorf 1</v>
      </c>
      <c r="C8" s="129">
        <f>INDEX(Erfassung6!AC:AC,MATCH($A8,Erfassung6!$BR:$BR,0)-1)</f>
        <v>796</v>
      </c>
      <c r="D8" s="130">
        <f>INDEX(Erfassung6!AD:AD,MATCH($A8,Erfassung6!$BR:$BR,0))</f>
        <v>5</v>
      </c>
      <c r="E8" s="129">
        <f>INDEX(Erfassung6!AE:AE,MATCH($A8,Erfassung6!$BR:$BR,0)-1)</f>
        <v>702</v>
      </c>
      <c r="F8" s="130">
        <f>INDEX(Erfassung6!AF:AF,MATCH($A8,Erfassung6!$BR:$BR,0))</f>
        <v>1</v>
      </c>
      <c r="G8" s="129">
        <f>INDEX(Erfassung6!AG:AG,MATCH($A8,Erfassung6!$BR:$BR,0)-1)</f>
        <v>823</v>
      </c>
      <c r="H8" s="130">
        <f>INDEX(Erfassung6!AH:AH,MATCH($A8,Erfassung6!$BR:$BR,0))</f>
        <v>3</v>
      </c>
      <c r="I8" s="129">
        <f>INDEX(Erfassung6!AI:AI,MATCH($A8,Erfassung6!$BR:$BR,0)-1)</f>
        <v>778</v>
      </c>
      <c r="J8" s="130">
        <f>INDEX(Erfassung6!AJ:AJ,MATCH($A8,Erfassung6!$BR:$BR,0))</f>
        <v>5</v>
      </c>
      <c r="K8" s="129">
        <f>INDEX(Erfassung6!AK:AK,MATCH($A8,Erfassung6!$BR:$BR,0)-1)</f>
        <v>805</v>
      </c>
      <c r="L8" s="130">
        <f>INDEX(Erfassung6!AL:AL,MATCH($A8,Erfassung6!$BR:$BR,0))</f>
        <v>4</v>
      </c>
      <c r="M8" s="129">
        <f>INDEX(Erfassung6!AM:AM,MATCH($A8,Erfassung6!$BR:$BR,0)-1)</f>
        <v>792</v>
      </c>
      <c r="N8" s="130">
        <f>INDEX(Erfassung6!AN:AN,MATCH($A8,Erfassung6!$BR:$BR,0))</f>
        <v>4</v>
      </c>
      <c r="O8" s="129">
        <f>INDEX(Erfassung6!AO:AO,MATCH($A8,Erfassung6!$BR:$BR,0)-1)</f>
        <v>0</v>
      </c>
      <c r="P8" s="130">
        <f>INDEX(Erfassung6!AP:AP,MATCH($A8,Erfassung6!$BR:$BR,0))</f>
        <v>0</v>
      </c>
      <c r="Q8" s="129">
        <f>INDEX(Erfassung6!AQ:AQ,MATCH($A8,Erfassung6!$BR:$BR,0)-1)</f>
        <v>0</v>
      </c>
      <c r="R8" s="130">
        <f>INDEX(Erfassung6!AR:AR,MATCH($A8,Erfassung6!$BR:$BR,0))</f>
        <v>0</v>
      </c>
      <c r="S8" s="129">
        <f>INDEX(Erfassung6!AS:AS,MATCH($A8,Erfassung6!$BR:$BR,0)-1)</f>
        <v>0</v>
      </c>
      <c r="T8" s="130">
        <f>INDEX(Erfassung6!AT:AT,MATCH($A8,Erfassung6!$BR:$BR,0))</f>
        <v>0</v>
      </c>
      <c r="U8" s="131">
        <f t="shared" si="0"/>
        <v>4696</v>
      </c>
      <c r="V8" s="132">
        <f t="shared" si="0"/>
        <v>22</v>
      </c>
      <c r="W8" s="224">
        <f>IFERROR(U8/INDEX(Erfassung6!BF:BF,MATCH(A8,Erfassung6!BR:BR,0)),0)</f>
        <v>195.66666666666666</v>
      </c>
      <c r="X8" s="25"/>
      <c r="AA8" s="225">
        <f>INDEX(TabGes5!M:M,MATCH($B8,TabGes5!$B:$B,0))+U8</f>
        <v>38581</v>
      </c>
      <c r="AB8" s="225">
        <f>INDEX(TabGes5!N:N,MATCH($B8,TabGes5!$B:$B,0))+V8</f>
        <v>157.5</v>
      </c>
      <c r="AC8" s="215">
        <f t="shared" ref="AC8:AC16" si="1">+AB8+AA8/1000000000</f>
        <v>157.50003858100001</v>
      </c>
      <c r="AD8" s="215">
        <f t="shared" ref="AD8:AD16" si="2">RANK(AC8,AC:AC)</f>
        <v>4</v>
      </c>
      <c r="AE8" s="215">
        <f>INDEX(Tabelle5!AE:AE,MATCH(B8,Tabelle5!B:B,0))+SUMIF(Erfassung6!BU:BU,B8,Erfassung6!BF:BF)</f>
        <v>203</v>
      </c>
    </row>
    <row r="9" spans="1:31" ht="42" customHeight="1" thickBot="1" x14ac:dyDescent="0.3">
      <c r="A9" s="223">
        <v>3</v>
      </c>
      <c r="B9" s="128" t="str">
        <f>INDEX(Erfassung6!$AA:$AA,MATCH($A9,Erfassung6!$BR:$BR,0)-17)</f>
        <v>High Roller Rosenheim 1</v>
      </c>
      <c r="C9" s="129">
        <f>INDEX(Erfassung6!AC:AC,MATCH($A9,Erfassung6!$BR:$BR,0)-1)</f>
        <v>774</v>
      </c>
      <c r="D9" s="130">
        <f>INDEX(Erfassung6!AD:AD,MATCH($A9,Erfassung6!$BR:$BR,0))</f>
        <v>5</v>
      </c>
      <c r="E9" s="129">
        <f>INDEX(Erfassung6!AE:AE,MATCH($A9,Erfassung6!$BR:$BR,0)-1)</f>
        <v>785</v>
      </c>
      <c r="F9" s="130">
        <f>INDEX(Erfassung6!AF:AF,MATCH($A9,Erfassung6!$BR:$BR,0))</f>
        <v>5</v>
      </c>
      <c r="G9" s="129">
        <f>INDEX(Erfassung6!AG:AG,MATCH($A9,Erfassung6!$BR:$BR,0)-1)</f>
        <v>769</v>
      </c>
      <c r="H9" s="130">
        <f>INDEX(Erfassung6!AH:AH,MATCH($A9,Erfassung6!$BR:$BR,0))</f>
        <v>5</v>
      </c>
      <c r="I9" s="129">
        <f>INDEX(Erfassung6!AI:AI,MATCH($A9,Erfassung6!$BR:$BR,0)-1)</f>
        <v>672</v>
      </c>
      <c r="J9" s="130">
        <f>INDEX(Erfassung6!AJ:AJ,MATCH($A9,Erfassung6!$BR:$BR,0))</f>
        <v>0.5</v>
      </c>
      <c r="K9" s="129">
        <f>INDEX(Erfassung6!AK:AK,MATCH($A9,Erfassung6!$BR:$BR,0)-1)</f>
        <v>861</v>
      </c>
      <c r="L9" s="130">
        <f>INDEX(Erfassung6!AL:AL,MATCH($A9,Erfassung6!$BR:$BR,0))</f>
        <v>2</v>
      </c>
      <c r="M9" s="129">
        <f>INDEX(Erfassung6!AM:AM,MATCH($A9,Erfassung6!$BR:$BR,0)-1)</f>
        <v>724</v>
      </c>
      <c r="N9" s="130">
        <f>INDEX(Erfassung6!AN:AN,MATCH($A9,Erfassung6!$BR:$BR,0))</f>
        <v>4</v>
      </c>
      <c r="O9" s="129">
        <f>INDEX(Erfassung6!AO:AO,MATCH($A9,Erfassung6!$BR:$BR,0)-1)</f>
        <v>0</v>
      </c>
      <c r="P9" s="130">
        <f>INDEX(Erfassung6!AP:AP,MATCH($A9,Erfassung6!$BR:$BR,0))</f>
        <v>0</v>
      </c>
      <c r="Q9" s="129">
        <f>INDEX(Erfassung6!AQ:AQ,MATCH($A9,Erfassung6!$BR:$BR,0)-1)</f>
        <v>0</v>
      </c>
      <c r="R9" s="130">
        <f>INDEX(Erfassung6!AR:AR,MATCH($A9,Erfassung6!$BR:$BR,0))</f>
        <v>0</v>
      </c>
      <c r="S9" s="129">
        <f>INDEX(Erfassung6!AS:AS,MATCH($A9,Erfassung6!$BR:$BR,0)-1)</f>
        <v>0</v>
      </c>
      <c r="T9" s="130">
        <f>INDEX(Erfassung6!AT:AT,MATCH($A9,Erfassung6!$BR:$BR,0))</f>
        <v>0</v>
      </c>
      <c r="U9" s="131">
        <f t="shared" si="0"/>
        <v>4585</v>
      </c>
      <c r="V9" s="132">
        <f t="shared" si="0"/>
        <v>21.5</v>
      </c>
      <c r="W9" s="224">
        <f>IFERROR(U9/INDEX(Erfassung6!BF:BF,MATCH(A9,Erfassung6!BR:BR,0)),0)</f>
        <v>191.04166666666666</v>
      </c>
      <c r="X9" s="25"/>
      <c r="AA9" s="225">
        <f>INDEX(TabGes5!M:M,MATCH($B9,TabGes5!$B:$B,0))+U9</f>
        <v>37857</v>
      </c>
      <c r="AB9" s="225">
        <f>INDEX(TabGes5!N:N,MATCH($B9,TabGes5!$B:$B,0))+V9</f>
        <v>131</v>
      </c>
      <c r="AC9" s="215">
        <f t="shared" si="1"/>
        <v>131.000037857</v>
      </c>
      <c r="AD9" s="215">
        <f t="shared" si="2"/>
        <v>8</v>
      </c>
      <c r="AE9" s="215">
        <f>INDEX(Tabelle5!AE:AE,MATCH(B9,Tabelle5!B:B,0))+SUMIF(Erfassung6!BU:BU,B9,Erfassung6!BF:BF)</f>
        <v>204</v>
      </c>
    </row>
    <row r="10" spans="1:31" ht="42" customHeight="1" thickBot="1" x14ac:dyDescent="0.3">
      <c r="A10" s="223">
        <v>4</v>
      </c>
      <c r="B10" s="128" t="str">
        <f>INDEX(Erfassung6!$AA:$AA,MATCH($A10,Erfassung6!$BR:$BR,0)-17)</f>
        <v>BC Comet Nürnberg</v>
      </c>
      <c r="C10" s="129">
        <f>INDEX(Erfassung6!AC:AC,MATCH($A10,Erfassung6!$BR:$BR,0)-1)</f>
        <v>813</v>
      </c>
      <c r="D10" s="130">
        <f>INDEX(Erfassung6!AD:AD,MATCH($A10,Erfassung6!$BR:$BR,0))</f>
        <v>0.5</v>
      </c>
      <c r="E10" s="129">
        <f>INDEX(Erfassung6!AE:AE,MATCH($A10,Erfassung6!$BR:$BR,0)-1)</f>
        <v>800</v>
      </c>
      <c r="F10" s="130">
        <f>INDEX(Erfassung6!AF:AF,MATCH($A10,Erfassung6!$BR:$BR,0))</f>
        <v>4</v>
      </c>
      <c r="G10" s="129">
        <f>INDEX(Erfassung6!AG:AG,MATCH($A10,Erfassung6!$BR:$BR,0)-1)</f>
        <v>813</v>
      </c>
      <c r="H10" s="130">
        <f>INDEX(Erfassung6!AH:AH,MATCH($A10,Erfassung6!$BR:$BR,0))</f>
        <v>5</v>
      </c>
      <c r="I10" s="129">
        <f>INDEX(Erfassung6!AI:AI,MATCH($A10,Erfassung6!$BR:$BR,0)-1)</f>
        <v>886</v>
      </c>
      <c r="J10" s="130">
        <f>INDEX(Erfassung6!AJ:AJ,MATCH($A10,Erfassung6!$BR:$BR,0))</f>
        <v>4.5</v>
      </c>
      <c r="K10" s="129">
        <f>INDEX(Erfassung6!AK:AK,MATCH($A10,Erfassung6!$BR:$BR,0)-1)</f>
        <v>802</v>
      </c>
      <c r="L10" s="130">
        <f>INDEX(Erfassung6!AL:AL,MATCH($A10,Erfassung6!$BR:$BR,0))</f>
        <v>4</v>
      </c>
      <c r="M10" s="129">
        <f>INDEX(Erfassung6!AM:AM,MATCH($A10,Erfassung6!$BR:$BR,0)-1)</f>
        <v>763</v>
      </c>
      <c r="N10" s="130">
        <f>INDEX(Erfassung6!AN:AN,MATCH($A10,Erfassung6!$BR:$BR,0))</f>
        <v>2</v>
      </c>
      <c r="O10" s="129">
        <f>INDEX(Erfassung6!AO:AO,MATCH($A10,Erfassung6!$BR:$BR,0)-1)</f>
        <v>0</v>
      </c>
      <c r="P10" s="130">
        <f>INDEX(Erfassung6!AP:AP,MATCH($A10,Erfassung6!$BR:$BR,0))</f>
        <v>0</v>
      </c>
      <c r="Q10" s="129">
        <f>INDEX(Erfassung6!AQ:AQ,MATCH($A10,Erfassung6!$BR:$BR,0)-1)</f>
        <v>0</v>
      </c>
      <c r="R10" s="130">
        <f>INDEX(Erfassung6!AR:AR,MATCH($A10,Erfassung6!$BR:$BR,0))</f>
        <v>0</v>
      </c>
      <c r="S10" s="129">
        <f>INDEX(Erfassung6!AS:AS,MATCH($A10,Erfassung6!$BR:$BR,0)-1)</f>
        <v>0</v>
      </c>
      <c r="T10" s="130">
        <f>INDEX(Erfassung6!AT:AT,MATCH($A10,Erfassung6!$BR:$BR,0))</f>
        <v>0</v>
      </c>
      <c r="U10" s="131">
        <f t="shared" si="0"/>
        <v>4877</v>
      </c>
      <c r="V10" s="132">
        <f t="shared" si="0"/>
        <v>20</v>
      </c>
      <c r="W10" s="224">
        <f>IFERROR(U10/INDEX(Erfassung6!BF:BF,MATCH(A10,Erfassung6!BR:BR,0)),0)</f>
        <v>203.20833333333334</v>
      </c>
      <c r="X10" s="25"/>
      <c r="AA10" s="225">
        <f>INDEX(TabGes5!M:M,MATCH($B10,TabGes5!$B:$B,0))+U10</f>
        <v>41193</v>
      </c>
      <c r="AB10" s="225">
        <f>INDEX(TabGes5!N:N,MATCH($B10,TabGes5!$B:$B,0))+V10</f>
        <v>198</v>
      </c>
      <c r="AC10" s="215">
        <f t="shared" si="1"/>
        <v>198.00004119299999</v>
      </c>
      <c r="AD10" s="215">
        <f t="shared" si="2"/>
        <v>1</v>
      </c>
      <c r="AE10" s="215">
        <f>INDEX(Tabelle5!AE:AE,MATCH(B10,Tabelle5!B:B,0))+SUMIF(Erfassung6!BU:BU,B10,Erfassung6!BF:BF)</f>
        <v>204</v>
      </c>
    </row>
    <row r="11" spans="1:31" ht="42" customHeight="1" thickBot="1" x14ac:dyDescent="0.3">
      <c r="A11" s="223">
        <v>5</v>
      </c>
      <c r="B11" s="128" t="str">
        <f>INDEX(Erfassung6!$AA:$AA,MATCH($A11,Erfassung6!$BR:$BR,0)-17)</f>
        <v>SG DJK Rimpar</v>
      </c>
      <c r="C11" s="129">
        <f>INDEX(Erfassung6!AC:AC,MATCH($A11,Erfassung6!$BR:$BR,0)-1)</f>
        <v>960</v>
      </c>
      <c r="D11" s="130">
        <f>INDEX(Erfassung6!AD:AD,MATCH($A11,Erfassung6!$BR:$BR,0))</f>
        <v>4</v>
      </c>
      <c r="E11" s="129">
        <f>INDEX(Erfassung6!AE:AE,MATCH($A11,Erfassung6!$BR:$BR,0)-1)</f>
        <v>723</v>
      </c>
      <c r="F11" s="130">
        <f>INDEX(Erfassung6!AF:AF,MATCH($A11,Erfassung6!$BR:$BR,0))</f>
        <v>2</v>
      </c>
      <c r="G11" s="129">
        <f>INDEX(Erfassung6!AG:AG,MATCH($A11,Erfassung6!$BR:$BR,0)-1)</f>
        <v>785</v>
      </c>
      <c r="H11" s="130">
        <f>INDEX(Erfassung6!AH:AH,MATCH($A11,Erfassung6!$BR:$BR,0))</f>
        <v>3</v>
      </c>
      <c r="I11" s="129">
        <f>INDEX(Erfassung6!AI:AI,MATCH($A11,Erfassung6!$BR:$BR,0)-1)</f>
        <v>740</v>
      </c>
      <c r="J11" s="130">
        <f>INDEX(Erfassung6!AJ:AJ,MATCH($A11,Erfassung6!$BR:$BR,0))</f>
        <v>5.5</v>
      </c>
      <c r="K11" s="129">
        <f>INDEX(Erfassung6!AK:AK,MATCH($A11,Erfassung6!$BR:$BR,0)-1)</f>
        <v>766</v>
      </c>
      <c r="L11" s="130">
        <f>INDEX(Erfassung6!AL:AL,MATCH($A11,Erfassung6!$BR:$BR,0))</f>
        <v>2</v>
      </c>
      <c r="M11" s="129">
        <f>INDEX(Erfassung6!AM:AM,MATCH($A11,Erfassung6!$BR:$BR,0)-1)</f>
        <v>762</v>
      </c>
      <c r="N11" s="130">
        <f>INDEX(Erfassung6!AN:AN,MATCH($A11,Erfassung6!$BR:$BR,0))</f>
        <v>1</v>
      </c>
      <c r="O11" s="129">
        <f>INDEX(Erfassung6!AO:AO,MATCH($A11,Erfassung6!$BR:$BR,0)-1)</f>
        <v>0</v>
      </c>
      <c r="P11" s="130">
        <f>INDEX(Erfassung6!AP:AP,MATCH($A11,Erfassung6!$BR:$BR,0))</f>
        <v>0</v>
      </c>
      <c r="Q11" s="129">
        <f>INDEX(Erfassung6!AQ:AQ,MATCH($A11,Erfassung6!$BR:$BR,0)-1)</f>
        <v>0</v>
      </c>
      <c r="R11" s="130">
        <f>INDEX(Erfassung6!AR:AR,MATCH($A11,Erfassung6!$BR:$BR,0))</f>
        <v>0</v>
      </c>
      <c r="S11" s="129">
        <f>INDEX(Erfassung6!AS:AS,MATCH($A11,Erfassung6!$BR:$BR,0)-1)</f>
        <v>0</v>
      </c>
      <c r="T11" s="130">
        <f>INDEX(Erfassung6!AT:AT,MATCH($A11,Erfassung6!$BR:$BR,0))</f>
        <v>0</v>
      </c>
      <c r="U11" s="131">
        <f t="shared" si="0"/>
        <v>4736</v>
      </c>
      <c r="V11" s="132">
        <f t="shared" si="0"/>
        <v>17.5</v>
      </c>
      <c r="W11" s="224">
        <f>IFERROR(U11/INDEX(Erfassung6!BF:BF,MATCH(A11,Erfassung6!BR:BR,0)),0)</f>
        <v>197.33333333333334</v>
      </c>
      <c r="X11" s="25"/>
      <c r="AA11" s="225">
        <f>INDEX(TabGes5!M:M,MATCH($B11,TabGes5!$B:$B,0))+U11</f>
        <v>40570</v>
      </c>
      <c r="AB11" s="225">
        <f>INDEX(TabGes5!N:N,MATCH($B11,TabGes5!$B:$B,0))+V11</f>
        <v>176</v>
      </c>
      <c r="AC11" s="215">
        <f t="shared" si="1"/>
        <v>176.00004057000001</v>
      </c>
      <c r="AD11" s="215">
        <f t="shared" si="2"/>
        <v>3</v>
      </c>
      <c r="AE11" s="215">
        <f>INDEX(Tabelle5!AE:AE,MATCH(B11,Tabelle5!B:B,0))+SUMIF(Erfassung6!BU:BU,B11,Erfassung6!BF:BF)</f>
        <v>204</v>
      </c>
    </row>
    <row r="12" spans="1:31" ht="42" customHeight="1" thickBot="1" x14ac:dyDescent="0.3">
      <c r="A12" s="223">
        <v>6</v>
      </c>
      <c r="B12" s="128" t="str">
        <f>INDEX(Erfassung6!$AA:$AA,MATCH($A12,Erfassung6!$BR:$BR,0)-17)</f>
        <v>Bowlinghaus Bamberg 1</v>
      </c>
      <c r="C12" s="129">
        <f>INDEX(Erfassung6!AC:AC,MATCH($A12,Erfassung6!$BR:$BR,0)-1)</f>
        <v>831</v>
      </c>
      <c r="D12" s="130">
        <f>INDEX(Erfassung6!AD:AD,MATCH($A12,Erfassung6!$BR:$BR,0))</f>
        <v>2</v>
      </c>
      <c r="E12" s="129">
        <f>INDEX(Erfassung6!AE:AE,MATCH($A12,Erfassung6!$BR:$BR,0)-1)</f>
        <v>798</v>
      </c>
      <c r="F12" s="130">
        <f>INDEX(Erfassung6!AF:AF,MATCH($A12,Erfassung6!$BR:$BR,0))</f>
        <v>4.5</v>
      </c>
      <c r="G12" s="129">
        <f>INDEX(Erfassung6!AG:AG,MATCH($A12,Erfassung6!$BR:$BR,0)-1)</f>
        <v>700</v>
      </c>
      <c r="H12" s="130">
        <f>INDEX(Erfassung6!AH:AH,MATCH($A12,Erfassung6!$BR:$BR,0))</f>
        <v>1</v>
      </c>
      <c r="I12" s="129">
        <f>INDEX(Erfassung6!AI:AI,MATCH($A12,Erfassung6!$BR:$BR,0)-1)</f>
        <v>748</v>
      </c>
      <c r="J12" s="130">
        <f>INDEX(Erfassung6!AJ:AJ,MATCH($A12,Erfassung6!$BR:$BR,0))</f>
        <v>1</v>
      </c>
      <c r="K12" s="129">
        <f>INDEX(Erfassung6!AK:AK,MATCH($A12,Erfassung6!$BR:$BR,0)-1)</f>
        <v>826</v>
      </c>
      <c r="L12" s="130">
        <f>INDEX(Erfassung6!AL:AL,MATCH($A12,Erfassung6!$BR:$BR,0))</f>
        <v>5</v>
      </c>
      <c r="M12" s="129">
        <f>INDEX(Erfassung6!AM:AM,MATCH($A12,Erfassung6!$BR:$BR,0)-1)</f>
        <v>813</v>
      </c>
      <c r="N12" s="130">
        <f>INDEX(Erfassung6!AN:AN,MATCH($A12,Erfassung6!$BR:$BR,0))</f>
        <v>4</v>
      </c>
      <c r="O12" s="129">
        <f>INDEX(Erfassung6!AO:AO,MATCH($A12,Erfassung6!$BR:$BR,0)-1)</f>
        <v>0</v>
      </c>
      <c r="P12" s="130">
        <f>INDEX(Erfassung6!AP:AP,MATCH($A12,Erfassung6!$BR:$BR,0))</f>
        <v>0</v>
      </c>
      <c r="Q12" s="129">
        <f>INDEX(Erfassung6!AQ:AQ,MATCH($A12,Erfassung6!$BR:$BR,0)-1)</f>
        <v>0</v>
      </c>
      <c r="R12" s="130">
        <f>INDEX(Erfassung6!AR:AR,MATCH($A12,Erfassung6!$BR:$BR,0))</f>
        <v>0</v>
      </c>
      <c r="S12" s="129">
        <f>INDEX(Erfassung6!AS:AS,MATCH($A12,Erfassung6!$BR:$BR,0)-1)</f>
        <v>0</v>
      </c>
      <c r="T12" s="130">
        <f>INDEX(Erfassung6!AT:AT,MATCH($A12,Erfassung6!$BR:$BR,0))</f>
        <v>0</v>
      </c>
      <c r="U12" s="131">
        <f t="shared" si="0"/>
        <v>4716</v>
      </c>
      <c r="V12" s="132">
        <f t="shared" si="0"/>
        <v>17.5</v>
      </c>
      <c r="W12" s="224">
        <f>IFERROR(U12/INDEX(Erfassung6!BF:BF,MATCH(A12,Erfassung6!BR:BR,0)),0)</f>
        <v>196.5</v>
      </c>
      <c r="X12" s="25"/>
      <c r="AA12" s="225">
        <f>INDEX(TabGes5!M:M,MATCH($B12,TabGes5!$B:$B,0))+U12</f>
        <v>39040</v>
      </c>
      <c r="AB12" s="225">
        <f>INDEX(TabGes5!N:N,MATCH($B12,TabGes5!$B:$B,0))+V12</f>
        <v>137.5</v>
      </c>
      <c r="AC12" s="215">
        <f t="shared" si="1"/>
        <v>137.50003903999999</v>
      </c>
      <c r="AD12" s="215">
        <f t="shared" si="2"/>
        <v>7</v>
      </c>
      <c r="AE12" s="215">
        <f>INDEX(Tabelle5!AE:AE,MATCH(B12,Tabelle5!B:B,0))+SUMIF(Erfassung6!BU:BU,B12,Erfassung6!BF:BF)</f>
        <v>204</v>
      </c>
    </row>
    <row r="13" spans="1:31" ht="42" customHeight="1" thickBot="1" x14ac:dyDescent="0.3">
      <c r="A13" s="223">
        <v>7</v>
      </c>
      <c r="B13" s="128" t="str">
        <f>INDEX(Erfassung6!$AA:$AA,MATCH($A13,Erfassung6!$BR:$BR,0)-17)</f>
        <v>RW Lichtenhof Stein 1</v>
      </c>
      <c r="C13" s="129">
        <f>INDEX(Erfassung6!AC:AC,MATCH($A13,Erfassung6!$BR:$BR,0)-1)</f>
        <v>827</v>
      </c>
      <c r="D13" s="130">
        <f>INDEX(Erfassung6!AD:AD,MATCH($A13,Erfassung6!$BR:$BR,0))</f>
        <v>5</v>
      </c>
      <c r="E13" s="129">
        <f>INDEX(Erfassung6!AE:AE,MATCH($A13,Erfassung6!$BR:$BR,0)-1)</f>
        <v>847</v>
      </c>
      <c r="F13" s="130">
        <f>INDEX(Erfassung6!AF:AF,MATCH($A13,Erfassung6!$BR:$BR,0))</f>
        <v>5</v>
      </c>
      <c r="G13" s="129">
        <f>INDEX(Erfassung6!AG:AG,MATCH($A13,Erfassung6!$BR:$BR,0)-1)</f>
        <v>777</v>
      </c>
      <c r="H13" s="130">
        <f>INDEX(Erfassung6!AH:AH,MATCH($A13,Erfassung6!$BR:$BR,0))</f>
        <v>1</v>
      </c>
      <c r="I13" s="129">
        <f>INDEX(Erfassung6!AI:AI,MATCH($A13,Erfassung6!$BR:$BR,0)-1)</f>
        <v>700</v>
      </c>
      <c r="J13" s="130">
        <f>INDEX(Erfassung6!AJ:AJ,MATCH($A13,Erfassung6!$BR:$BR,0))</f>
        <v>1</v>
      </c>
      <c r="K13" s="129">
        <f>INDEX(Erfassung6!AK:AK,MATCH($A13,Erfassung6!$BR:$BR,0)-1)</f>
        <v>778</v>
      </c>
      <c r="L13" s="130">
        <f>INDEX(Erfassung6!AL:AL,MATCH($A13,Erfassung6!$BR:$BR,0))</f>
        <v>1</v>
      </c>
      <c r="M13" s="129">
        <f>INDEX(Erfassung6!AM:AM,MATCH($A13,Erfassung6!$BR:$BR,0)-1)</f>
        <v>775</v>
      </c>
      <c r="N13" s="130">
        <f>INDEX(Erfassung6!AN:AN,MATCH($A13,Erfassung6!$BR:$BR,0))</f>
        <v>4</v>
      </c>
      <c r="O13" s="129">
        <f>INDEX(Erfassung6!AO:AO,MATCH($A13,Erfassung6!$BR:$BR,0)-1)</f>
        <v>0</v>
      </c>
      <c r="P13" s="130">
        <f>INDEX(Erfassung6!AP:AP,MATCH($A13,Erfassung6!$BR:$BR,0))</f>
        <v>0</v>
      </c>
      <c r="Q13" s="129">
        <f>INDEX(Erfassung6!AQ:AQ,MATCH($A13,Erfassung6!$BR:$BR,0)-1)</f>
        <v>0</v>
      </c>
      <c r="R13" s="130">
        <f>INDEX(Erfassung6!AR:AR,MATCH($A13,Erfassung6!$BR:$BR,0))</f>
        <v>0</v>
      </c>
      <c r="S13" s="129">
        <f>INDEX(Erfassung6!AS:AS,MATCH($A13,Erfassung6!$BR:$BR,0)-1)</f>
        <v>0</v>
      </c>
      <c r="T13" s="130">
        <f>INDEX(Erfassung6!AT:AT,MATCH($A13,Erfassung6!$BR:$BR,0))</f>
        <v>0</v>
      </c>
      <c r="U13" s="131">
        <f t="shared" si="0"/>
        <v>4704</v>
      </c>
      <c r="V13" s="132">
        <f t="shared" si="0"/>
        <v>17</v>
      </c>
      <c r="W13" s="224">
        <f>IFERROR(U13/INDEX(Erfassung6!BF:BF,MATCH(A13,Erfassung6!BR:BR,0)),0)</f>
        <v>196</v>
      </c>
      <c r="X13" s="25"/>
      <c r="AA13" s="225">
        <f>INDEX(TabGes5!M:M,MATCH($B13,TabGes5!$B:$B,0))+U13</f>
        <v>38213</v>
      </c>
      <c r="AB13" s="225">
        <f>INDEX(TabGes5!N:N,MATCH($B13,TabGes5!$B:$B,0))+V13</f>
        <v>117.5</v>
      </c>
      <c r="AC13" s="215">
        <f t="shared" si="1"/>
        <v>117.500038213</v>
      </c>
      <c r="AD13" s="215">
        <f t="shared" si="2"/>
        <v>10</v>
      </c>
      <c r="AE13" s="215">
        <f>INDEX(Tabelle5!AE:AE,MATCH(B13,Tabelle5!B:B,0))+SUMIF(Erfassung6!BU:BU,B13,Erfassung6!BF:BF)</f>
        <v>204</v>
      </c>
    </row>
    <row r="14" spans="1:31" ht="42" customHeight="1" thickBot="1" x14ac:dyDescent="0.3">
      <c r="A14" s="223">
        <v>8</v>
      </c>
      <c r="B14" s="128" t="str">
        <f>INDEX(Erfassung6!$AA:$AA,MATCH($A14,Erfassung6!$BR:$BR,0)-17)</f>
        <v>BC EMAX Unterföhring 2</v>
      </c>
      <c r="C14" s="129">
        <f>INDEX(Erfassung6!AC:AC,MATCH($A14,Erfassung6!$BR:$BR,0)-1)</f>
        <v>734</v>
      </c>
      <c r="D14" s="130">
        <f>INDEX(Erfassung6!AD:AD,MATCH($A14,Erfassung6!$BR:$BR,0))</f>
        <v>1</v>
      </c>
      <c r="E14" s="129">
        <f>INDEX(Erfassung6!AE:AE,MATCH($A14,Erfassung6!$BR:$BR,0)-1)</f>
        <v>799</v>
      </c>
      <c r="F14" s="130">
        <f>INDEX(Erfassung6!AF:AF,MATCH($A14,Erfassung6!$BR:$BR,0))</f>
        <v>2</v>
      </c>
      <c r="G14" s="129">
        <f>INDEX(Erfassung6!AG:AG,MATCH($A14,Erfassung6!$BR:$BR,0)-1)</f>
        <v>726</v>
      </c>
      <c r="H14" s="130">
        <f>INDEX(Erfassung6!AH:AH,MATCH($A14,Erfassung6!$BR:$BR,0))</f>
        <v>4.5</v>
      </c>
      <c r="I14" s="129">
        <f>INDEX(Erfassung6!AI:AI,MATCH($A14,Erfassung6!$BR:$BR,0)-1)</f>
        <v>756</v>
      </c>
      <c r="J14" s="130">
        <f>INDEX(Erfassung6!AJ:AJ,MATCH($A14,Erfassung6!$BR:$BR,0))</f>
        <v>5</v>
      </c>
      <c r="K14" s="129">
        <f>INDEX(Erfassung6!AK:AK,MATCH($A14,Erfassung6!$BR:$BR,0)-1)</f>
        <v>765</v>
      </c>
      <c r="L14" s="130">
        <f>INDEX(Erfassung6!AL:AL,MATCH($A14,Erfassung6!$BR:$BR,0))</f>
        <v>1</v>
      </c>
      <c r="M14" s="129">
        <f>INDEX(Erfassung6!AM:AM,MATCH($A14,Erfassung6!$BR:$BR,0)-1)</f>
        <v>765</v>
      </c>
      <c r="N14" s="130">
        <f>INDEX(Erfassung6!AN:AN,MATCH($A14,Erfassung6!$BR:$BR,0))</f>
        <v>2</v>
      </c>
      <c r="O14" s="129">
        <f>INDEX(Erfassung6!AO:AO,MATCH($A14,Erfassung6!$BR:$BR,0)-1)</f>
        <v>0</v>
      </c>
      <c r="P14" s="130">
        <f>INDEX(Erfassung6!AP:AP,MATCH($A14,Erfassung6!$BR:$BR,0))</f>
        <v>0</v>
      </c>
      <c r="Q14" s="129">
        <f>INDEX(Erfassung6!AQ:AQ,MATCH($A14,Erfassung6!$BR:$BR,0)-1)</f>
        <v>0</v>
      </c>
      <c r="R14" s="130">
        <f>INDEX(Erfassung6!AR:AR,MATCH($A14,Erfassung6!$BR:$BR,0))</f>
        <v>0</v>
      </c>
      <c r="S14" s="129">
        <f>INDEX(Erfassung6!AS:AS,MATCH($A14,Erfassung6!$BR:$BR,0)-1)</f>
        <v>0</v>
      </c>
      <c r="T14" s="130">
        <f>INDEX(Erfassung6!AT:AT,MATCH($A14,Erfassung6!$BR:$BR,0))</f>
        <v>0</v>
      </c>
      <c r="U14" s="131">
        <f t="shared" si="0"/>
        <v>4545</v>
      </c>
      <c r="V14" s="132">
        <f t="shared" si="0"/>
        <v>15.5</v>
      </c>
      <c r="W14" s="224">
        <f>IFERROR(U14/INDEX(Erfassung6!BF:BF,MATCH(A14,Erfassung6!BR:BR,0)),0)</f>
        <v>189.375</v>
      </c>
      <c r="X14" s="25"/>
      <c r="AA14" s="225">
        <f>INDEX(TabGes5!M:M,MATCH($B14,TabGes5!$B:$B,0))+U14</f>
        <v>38880</v>
      </c>
      <c r="AB14" s="225">
        <f>INDEX(TabGes5!N:N,MATCH($B14,TabGes5!$B:$B,0))+V14</f>
        <v>150</v>
      </c>
      <c r="AC14" s="215">
        <f t="shared" si="1"/>
        <v>150.00003888000001</v>
      </c>
      <c r="AD14" s="215">
        <f t="shared" si="2"/>
        <v>6</v>
      </c>
      <c r="AE14" s="215">
        <f>INDEX(Tabelle5!AE:AE,MATCH(B14,Tabelle5!B:B,0))+SUMIF(Erfassung6!BU:BU,B14,Erfassung6!BF:BF)</f>
        <v>202</v>
      </c>
    </row>
    <row r="15" spans="1:31" ht="42" customHeight="1" thickBot="1" x14ac:dyDescent="0.3">
      <c r="A15" s="223">
        <v>9</v>
      </c>
      <c r="B15" s="128" t="str">
        <f>INDEX(Erfassung6!$AA:$AA,MATCH($A15,Erfassung6!$BR:$BR,0)-17)</f>
        <v>BK München 3</v>
      </c>
      <c r="C15" s="129">
        <f>INDEX(Erfassung6!AC:AC,MATCH($A15,Erfassung6!$BR:$BR,0)-1)</f>
        <v>683</v>
      </c>
      <c r="D15" s="130">
        <f>INDEX(Erfassung6!AD:AD,MATCH($A15,Erfassung6!$BR:$BR,0))</f>
        <v>1</v>
      </c>
      <c r="E15" s="129">
        <f>INDEX(Erfassung6!AE:AE,MATCH($A15,Erfassung6!$BR:$BR,0)-1)</f>
        <v>784</v>
      </c>
      <c r="F15" s="130">
        <f>INDEX(Erfassung6!AF:AF,MATCH($A15,Erfassung6!$BR:$BR,0))</f>
        <v>1.5</v>
      </c>
      <c r="G15" s="129">
        <f>INDEX(Erfassung6!AG:AG,MATCH($A15,Erfassung6!$BR:$BR,0)-1)</f>
        <v>758</v>
      </c>
      <c r="H15" s="130">
        <f>INDEX(Erfassung6!AH:AH,MATCH($A15,Erfassung6!$BR:$BR,0))</f>
        <v>1</v>
      </c>
      <c r="I15" s="129">
        <f>INDEX(Erfassung6!AI:AI,MATCH($A15,Erfassung6!$BR:$BR,0)-1)</f>
        <v>742</v>
      </c>
      <c r="J15" s="130">
        <f>INDEX(Erfassung6!AJ:AJ,MATCH($A15,Erfassung6!$BR:$BR,0))</f>
        <v>1.5</v>
      </c>
      <c r="K15" s="129">
        <f>INDEX(Erfassung6!AK:AK,MATCH($A15,Erfassung6!$BR:$BR,0)-1)</f>
        <v>811</v>
      </c>
      <c r="L15" s="130">
        <f>INDEX(Erfassung6!AL:AL,MATCH($A15,Erfassung6!$BR:$BR,0))</f>
        <v>5</v>
      </c>
      <c r="M15" s="129">
        <f>INDEX(Erfassung6!AM:AM,MATCH($A15,Erfassung6!$BR:$BR,0)-1)</f>
        <v>726</v>
      </c>
      <c r="N15" s="130">
        <f>INDEX(Erfassung6!AN:AN,MATCH($A15,Erfassung6!$BR:$BR,0))</f>
        <v>2</v>
      </c>
      <c r="O15" s="129">
        <f>INDEX(Erfassung6!AO:AO,MATCH($A15,Erfassung6!$BR:$BR,0)-1)</f>
        <v>0</v>
      </c>
      <c r="P15" s="130">
        <f>INDEX(Erfassung6!AP:AP,MATCH($A15,Erfassung6!$BR:$BR,0))</f>
        <v>0</v>
      </c>
      <c r="Q15" s="129">
        <f>INDEX(Erfassung6!AQ:AQ,MATCH($A15,Erfassung6!$BR:$BR,0)-1)</f>
        <v>0</v>
      </c>
      <c r="R15" s="130">
        <f>INDEX(Erfassung6!AR:AR,MATCH($A15,Erfassung6!$BR:$BR,0))</f>
        <v>0</v>
      </c>
      <c r="S15" s="129">
        <f>INDEX(Erfassung6!AS:AS,MATCH($A15,Erfassung6!$BR:$BR,0)-1)</f>
        <v>0</v>
      </c>
      <c r="T15" s="130">
        <f>INDEX(Erfassung6!AT:AT,MATCH($A15,Erfassung6!$BR:$BR,0))</f>
        <v>0</v>
      </c>
      <c r="U15" s="131">
        <f t="shared" si="0"/>
        <v>4504</v>
      </c>
      <c r="V15" s="132">
        <f t="shared" si="0"/>
        <v>12</v>
      </c>
      <c r="W15" s="224">
        <f>IFERROR(U15/INDEX(Erfassung6!BF:BF,MATCH(A15,Erfassung6!BR:BR,0)),0)</f>
        <v>187.66666666666666</v>
      </c>
      <c r="X15" s="25"/>
      <c r="AA15" s="225">
        <f>INDEX(TabGes5!M:M,MATCH($B15,TabGes5!$B:$B,0))+U15</f>
        <v>40866</v>
      </c>
      <c r="AB15" s="225">
        <f>INDEX(TabGes5!N:N,MATCH($B15,TabGes5!$B:$B,0))+V15</f>
        <v>177</v>
      </c>
      <c r="AC15" s="215">
        <f t="shared" si="1"/>
        <v>177.00004086600001</v>
      </c>
      <c r="AD15" s="215">
        <f t="shared" si="2"/>
        <v>2</v>
      </c>
      <c r="AE15" s="215">
        <f>INDEX(Tabelle5!AE:AE,MATCH(B15,Tabelle5!B:B,0))+SUMIF(Erfassung6!BU:BU,B15,Erfassung6!BF:BF)</f>
        <v>204</v>
      </c>
    </row>
    <row r="16" spans="1:31" ht="42" customHeight="1" thickBot="1" x14ac:dyDescent="0.3">
      <c r="A16" s="223">
        <v>10</v>
      </c>
      <c r="B16" s="128" t="str">
        <f>INDEX(Erfassung6!$AA:$AA,MATCH($A16,Erfassung6!$BR:$BR,0)-17)</f>
        <v>Bajuwaren München 1</v>
      </c>
      <c r="C16" s="129">
        <f>INDEX(Erfassung6!AC:AC,MATCH($A16,Erfassung6!$BR:$BR,0)-1)</f>
        <v>723</v>
      </c>
      <c r="D16" s="130">
        <f>INDEX(Erfassung6!AD:AD,MATCH($A16,Erfassung6!$BR:$BR,0))</f>
        <v>1</v>
      </c>
      <c r="E16" s="129">
        <f>INDEX(Erfassung6!AE:AE,MATCH($A16,Erfassung6!$BR:$BR,0)-1)</f>
        <v>736</v>
      </c>
      <c r="F16" s="130">
        <f>INDEX(Erfassung6!AF:AF,MATCH($A16,Erfassung6!$BR:$BR,0))</f>
        <v>4</v>
      </c>
      <c r="G16" s="129">
        <f>INDEX(Erfassung6!AG:AG,MATCH($A16,Erfassung6!$BR:$BR,0)-1)</f>
        <v>716</v>
      </c>
      <c r="H16" s="130">
        <f>INDEX(Erfassung6!AH:AH,MATCH($A16,Erfassung6!$BR:$BR,0))</f>
        <v>1.5</v>
      </c>
      <c r="I16" s="129">
        <f>INDEX(Erfassung6!AI:AI,MATCH($A16,Erfassung6!$BR:$BR,0)-1)</f>
        <v>730</v>
      </c>
      <c r="J16" s="130">
        <f>INDEX(Erfassung6!AJ:AJ,MATCH($A16,Erfassung6!$BR:$BR,0))</f>
        <v>1</v>
      </c>
      <c r="K16" s="129">
        <f>INDEX(Erfassung6!AK:AK,MATCH($A16,Erfassung6!$BR:$BR,0)-1)</f>
        <v>796</v>
      </c>
      <c r="L16" s="130">
        <f>INDEX(Erfassung6!AL:AL,MATCH($A16,Erfassung6!$BR:$BR,0))</f>
        <v>2</v>
      </c>
      <c r="M16" s="129">
        <f>INDEX(Erfassung6!AM:AM,MATCH($A16,Erfassung6!$BR:$BR,0)-1)</f>
        <v>709</v>
      </c>
      <c r="N16" s="130">
        <f>INDEX(Erfassung6!AN:AN,MATCH($A16,Erfassung6!$BR:$BR,0))</f>
        <v>2</v>
      </c>
      <c r="O16" s="129">
        <f>INDEX(Erfassung6!AO:AO,MATCH($A16,Erfassung6!$BR:$BR,0)-1)</f>
        <v>0</v>
      </c>
      <c r="P16" s="130">
        <f>INDEX(Erfassung6!AP:AP,MATCH($A16,Erfassung6!$BR:$BR,0))</f>
        <v>0</v>
      </c>
      <c r="Q16" s="129">
        <f>INDEX(Erfassung6!AQ:AQ,MATCH($A16,Erfassung6!$BR:$BR,0)-1)</f>
        <v>0</v>
      </c>
      <c r="R16" s="130">
        <f>INDEX(Erfassung6!AR:AR,MATCH($A16,Erfassung6!$BR:$BR,0))</f>
        <v>0</v>
      </c>
      <c r="S16" s="129">
        <f>INDEX(Erfassung6!AS:AS,MATCH($A16,Erfassung6!$BR:$BR,0)-1)</f>
        <v>0</v>
      </c>
      <c r="T16" s="130">
        <f>INDEX(Erfassung6!AT:AT,MATCH($A16,Erfassung6!$BR:$BR,0))</f>
        <v>0</v>
      </c>
      <c r="U16" s="131">
        <f t="shared" si="0"/>
        <v>4410</v>
      </c>
      <c r="V16" s="132">
        <f t="shared" si="0"/>
        <v>11.5</v>
      </c>
      <c r="W16" s="224">
        <f>IFERROR(U16/INDEX(Erfassung6!BF:BF,MATCH(A16,Erfassung6!BR:BR,0)),0)</f>
        <v>183.75</v>
      </c>
      <c r="X16" s="25"/>
      <c r="AA16" s="225">
        <f>INDEX(TabGes5!M:M,MATCH($B16,TabGes5!$B:$B,0))+U16</f>
        <v>38917</v>
      </c>
      <c r="AB16" s="225">
        <f>INDEX(TabGes5!N:N,MATCH($B16,TabGes5!$B:$B,0))+V16</f>
        <v>154.5</v>
      </c>
      <c r="AC16" s="215">
        <f t="shared" si="1"/>
        <v>154.50003891700001</v>
      </c>
      <c r="AD16" s="215">
        <f t="shared" si="2"/>
        <v>5</v>
      </c>
      <c r="AE16" s="215">
        <f>INDEX(Tabelle5!AE:AE,MATCH(B16,Tabelle5!B:B,0))+SUMIF(Erfassung6!BU:BU,B16,Erfassung6!BF:BF)</f>
        <v>204</v>
      </c>
    </row>
    <row r="19" spans="2:23" ht="15.6" x14ac:dyDescent="0.3">
      <c r="B19" s="382" t="s">
        <v>1827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3"/>
      <c r="V19" s="383"/>
      <c r="W19" s="383"/>
    </row>
    <row r="20" spans="2:23" x14ac:dyDescent="0.25">
      <c r="C20" s="383"/>
      <c r="D20" s="383"/>
      <c r="E20" s="383"/>
      <c r="F20" s="383"/>
      <c r="G20" s="383"/>
      <c r="H20" s="383"/>
    </row>
    <row r="21" spans="2:23" x14ac:dyDescent="0.25">
      <c r="B21" s="166" t="s">
        <v>1826</v>
      </c>
      <c r="C21" t="str">
        <f>IFERROR(INDEX(Erfassung6!AA:AA,MATCH(1,Erfassung6!BV:BV,0)),"")</f>
        <v>Gräfe, Sebastian</v>
      </c>
      <c r="H21" t="str">
        <f>INDEX(Erfassung6!BU:BU,MATCH(C21,Erfassung6!AA:AA,0))</f>
        <v>SG DJK Rimpar</v>
      </c>
      <c r="N21" s="133">
        <f>IFERROR(ROUND(INDEX(Erfassung6!BT:BT,MATCH(1,Erfassung6!BV:BV,0)),0),"")</f>
        <v>268</v>
      </c>
    </row>
    <row r="22" spans="2:23" x14ac:dyDescent="0.25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x14ac:dyDescent="0.25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x14ac:dyDescent="0.25">
      <c r="B24" s="166" t="s">
        <v>1828</v>
      </c>
      <c r="C24" t="str">
        <f>IFERROR(INDEX(Erfassung6!AA:AA,MATCH(1,Erfassung6!BZ:BZ,0)),"")</f>
        <v/>
      </c>
      <c r="H24" t="str">
        <f>INDEX(Erfassung6!BU:BU,MATCH(C24,Erfassung6!AA:AA,0))</f>
        <v>BC Comet Nürnberg</v>
      </c>
      <c r="N24" s="384" t="str">
        <f>IFERROR(ROUND(INDEX(Erfassung6!BW:BW,MATCH(1,Erfassung6!BZ:BZ,0)),0),"")&amp;"  /  "&amp;ROUND(IFERROR(ROUND(INDEX(Erfassung6!BW:BW,MATCH(1,Erfassung6!BZ:BZ,0)),0),"")/9,2)</f>
        <v>0  /  0</v>
      </c>
      <c r="O24" s="384"/>
      <c r="P24" s="384"/>
    </row>
    <row r="25" spans="2:23" x14ac:dyDescent="0.25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25">
      <c r="C26" t="str">
        <f>IF(N26="","",IFERROR(INDEX(Erfassung6!AA:AA,MATCH(3,Erfassung6!BZ:BZ,0)),""))</f>
        <v>Auer, Thomas</v>
      </c>
      <c r="E26" s="2"/>
      <c r="H26" t="str">
        <f>IF(C26="","",INDEX(Erfassung6!BU:BU,MATCH(C26,Erfassung6!AA:AA,0)))</f>
        <v>High Roller Rosenheim 1</v>
      </c>
      <c r="N26" s="134">
        <f>IF(IFERROR(ROUND(INDEX(Erfassung6!BW:BW,MATCH(3,Erfassung6!BZ:BZ,0)),0),0)=0,"",IFERROR(ROUND(INDEX(Erfassung6!BW:BW,MATCH(3,Erfassung6!BZ:BZ,0)),0),0))</f>
        <v>1098</v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3" priority="1" stopIfTrue="1" rank="1"/>
  </conditionalFormatting>
  <conditionalFormatting sqref="U7:U16">
    <cfRule type="top10" dxfId="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topLeftCell="A4" zoomScale="75" zoomScaleNormal="75" workbookViewId="0">
      <selection activeCell="F10" sqref="F10"/>
    </sheetView>
  </sheetViews>
  <sheetFormatPr baseColWidth="10" defaultRowHeight="13.2" x14ac:dyDescent="0.25"/>
  <cols>
    <col min="1" max="1" width="4.109375" customWidth="1"/>
    <col min="2" max="2" width="18.44140625" customWidth="1"/>
    <col min="3" max="14" width="8.6640625" customWidth="1"/>
    <col min="15" max="15" width="13.44140625" customWidth="1"/>
    <col min="16" max="16" width="9.44140625" customWidth="1"/>
    <col min="18" max="18" width="6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6" t="str">
        <f>"Saison "&amp;Spielorte!C18&amp;"     -     Spieltag "&amp;Erfassung6!AS2&amp;"     -     "&amp;Erfassung6!AT1</f>
        <v>Saison 2024/2025     -     Spieltag 6     -     05.04./06.04.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6" t="s">
        <v>2082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A4" s="397"/>
      <c r="B4" s="397"/>
      <c r="C4" s="28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0"/>
      <c r="Q4" s="33"/>
    </row>
    <row r="5" spans="1:31" x14ac:dyDescent="0.25">
      <c r="A5" s="389" t="s">
        <v>1816</v>
      </c>
      <c r="B5" s="391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1" t="s">
        <v>1823</v>
      </c>
      <c r="J5" s="380"/>
      <c r="K5" s="381" t="s">
        <v>1824</v>
      </c>
      <c r="L5" s="380"/>
      <c r="M5" s="381" t="s">
        <v>1825</v>
      </c>
      <c r="N5" s="380"/>
      <c r="O5" s="379" t="s">
        <v>1799</v>
      </c>
      <c r="P5" s="380"/>
      <c r="Q5" s="387" t="s">
        <v>1818</v>
      </c>
    </row>
    <row r="6" spans="1:31" ht="13.8" thickBot="1" x14ac:dyDescent="0.3">
      <c r="A6" s="390"/>
      <c r="B6" s="392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8"/>
    </row>
    <row r="7" spans="1:31" ht="42" customHeight="1" thickBot="1" x14ac:dyDescent="0.3">
      <c r="A7" s="34">
        <v>1</v>
      </c>
      <c r="B7" s="128" t="str">
        <f>INDEX(Tabelle6!B:B,MATCH(A7,Tabelle6!AD:AD,0))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5">
        <f>INDEX(Tabelle4!U:U,MATCH(B7,Tabelle4!B:B,0))</f>
        <v>6969</v>
      </c>
      <c r="J7" s="38">
        <f>INDEX(Tabelle4!V:V,MATCH(B7,Tabelle4!B:B,0))</f>
        <v>42</v>
      </c>
      <c r="K7" s="35">
        <f>INDEX(Tabelle5!U:U,MATCH(B7,Tabelle5!B:B,0))</f>
        <v>7708</v>
      </c>
      <c r="L7" s="38">
        <f>INDEX(Tabelle5!V:V,MATCH(B7,Tabelle5!B:B,0))</f>
        <v>33.5</v>
      </c>
      <c r="M7" s="35">
        <f>INDEX(Tabelle6!U:U,MATCH(B7,Tabelle6!B:B,0))</f>
        <v>4877</v>
      </c>
      <c r="N7" s="43">
        <f>INDEX(Tabelle6!V:V,MATCH(B7,Tabelle6!B:B,0))</f>
        <v>20</v>
      </c>
      <c r="O7" s="41">
        <f t="shared" ref="O7:O16" si="0">SUM(C7+E7+G7+I7+K7+M7)</f>
        <v>41193</v>
      </c>
      <c r="P7" s="42">
        <f t="shared" ref="P7:P16" si="1">SUM(D7+F7+H7+J7+L7+N7)</f>
        <v>198</v>
      </c>
      <c r="Q7" s="37">
        <f>O7/INDEX(Tabelle6!$AE:$AE,MATCH($B7,Tabelle6!$B:$B,0))</f>
        <v>201.9264705882353</v>
      </c>
      <c r="R7" s="25"/>
    </row>
    <row r="8" spans="1:31" ht="42" customHeight="1" thickBot="1" x14ac:dyDescent="0.3">
      <c r="A8" s="34">
        <v>2</v>
      </c>
      <c r="B8" s="128" t="str">
        <f>INDEX(Tabelle6!B:B,MATCH(A8,Tabelle6!AD:AD,0))</f>
        <v>BK München 3</v>
      </c>
      <c r="C8" s="35">
        <f>INDEX(Tabelle1!U:U,MATCH(B8,Tabelle1!B:B,0))</f>
        <v>7670</v>
      </c>
      <c r="D8" s="36">
        <f>INDEX(Tabelle1!V:V,MATCH(B8,Tabelle1!B:B,0))</f>
        <v>35</v>
      </c>
      <c r="E8" s="35">
        <f>INDEX(Tabelle2!U:U,MATCH(B8,Tabelle2!B:B,0))</f>
        <v>6866</v>
      </c>
      <c r="F8" s="36">
        <f>INDEX(Tabelle2!V:V,MATCH(B8,Tabelle2!B:B,0))</f>
        <v>25</v>
      </c>
      <c r="G8" s="35">
        <f>INDEX(Tabelle3!U:U,MATCH(B8,Tabelle3!B:B,0))</f>
        <v>6898</v>
      </c>
      <c r="H8" s="38">
        <f>INDEX(Tabelle3!V:V,MATCH(B8,Tabelle3!B:B,0))</f>
        <v>28</v>
      </c>
      <c r="I8" s="35">
        <f>INDEX(Tabelle4!U:U,MATCH(B8,Tabelle4!B:B,0))</f>
        <v>7173</v>
      </c>
      <c r="J8" s="38">
        <f>INDEX(Tabelle4!V:V,MATCH(B8,Tabelle4!B:B,0))</f>
        <v>39.5</v>
      </c>
      <c r="K8" s="35">
        <f>INDEX(Tabelle5!U:U,MATCH(B8,Tabelle5!B:B,0))</f>
        <v>7755</v>
      </c>
      <c r="L8" s="38">
        <f>INDEX(Tabelle5!V:V,MATCH(B8,Tabelle5!B:B,0))</f>
        <v>37.5</v>
      </c>
      <c r="M8" s="35">
        <f>INDEX(Tabelle6!U:U,MATCH(B8,Tabelle6!B:B,0))</f>
        <v>4504</v>
      </c>
      <c r="N8" s="43">
        <f>INDEX(Tabelle6!V:V,MATCH(B8,Tabelle6!B:B,0))</f>
        <v>12</v>
      </c>
      <c r="O8" s="41">
        <f t="shared" si="0"/>
        <v>40866</v>
      </c>
      <c r="P8" s="42">
        <f t="shared" si="1"/>
        <v>177</v>
      </c>
      <c r="Q8" s="37">
        <f>O8/INDEX(Tabelle6!$AE:$AE,MATCH($B8,Tabelle6!$B:$B,0))</f>
        <v>200.3235294117647</v>
      </c>
      <c r="R8" s="25"/>
    </row>
    <row r="9" spans="1:31" ht="42" customHeight="1" thickBot="1" x14ac:dyDescent="0.3">
      <c r="A9" s="34">
        <v>3</v>
      </c>
      <c r="B9" s="128" t="str">
        <f>INDEX(Tabelle6!B:B,MATCH(A9,Tabelle6!AD:AD,0))</f>
        <v>SG DJK Rimpar</v>
      </c>
      <c r="C9" s="35">
        <f>INDEX(Tabelle1!U:U,MATCH(B9,Tabelle1!B:B,0))</f>
        <v>7439</v>
      </c>
      <c r="D9" s="36">
        <f>INDEX(Tabelle1!V:V,MATCH(B9,Tabelle1!B:B,0))</f>
        <v>29</v>
      </c>
      <c r="E9" s="35">
        <f>INDEX(Tabelle2!U:U,MATCH(B9,Tabelle2!B:B,0))</f>
        <v>7274</v>
      </c>
      <c r="F9" s="36">
        <f>INDEX(Tabelle2!V:V,MATCH(B9,Tabelle2!B:B,0))</f>
        <v>40.5</v>
      </c>
      <c r="G9" s="35">
        <f>INDEX(Tabelle3!U:U,MATCH(B9,Tabelle3!B:B,0))</f>
        <v>6683</v>
      </c>
      <c r="H9" s="38">
        <f>INDEX(Tabelle3!V:V,MATCH(B9,Tabelle3!B:B,0))</f>
        <v>27</v>
      </c>
      <c r="I9" s="35">
        <f>INDEX(Tabelle4!U:U,MATCH(B9,Tabelle4!B:B,0))</f>
        <v>6972</v>
      </c>
      <c r="J9" s="38">
        <f>INDEX(Tabelle4!V:V,MATCH(B9,Tabelle4!B:B,0))</f>
        <v>33</v>
      </c>
      <c r="K9" s="35">
        <f>INDEX(Tabelle5!U:U,MATCH(B9,Tabelle5!B:B,0))</f>
        <v>7466</v>
      </c>
      <c r="L9" s="38">
        <f>INDEX(Tabelle5!V:V,MATCH(B9,Tabelle5!B:B,0))</f>
        <v>29</v>
      </c>
      <c r="M9" s="35">
        <f>INDEX(Tabelle6!U:U,MATCH(B9,Tabelle6!B:B,0))</f>
        <v>4736</v>
      </c>
      <c r="N9" s="43">
        <f>INDEX(Tabelle6!V:V,MATCH(B9,Tabelle6!B:B,0))</f>
        <v>17.5</v>
      </c>
      <c r="O9" s="41">
        <f t="shared" si="0"/>
        <v>40570</v>
      </c>
      <c r="P9" s="42">
        <f t="shared" si="1"/>
        <v>176</v>
      </c>
      <c r="Q9" s="37">
        <f>O9/INDEX(Tabelle6!$AE:$AE,MATCH($B9,Tabelle6!$B:$B,0))</f>
        <v>198.87254901960785</v>
      </c>
      <c r="R9" s="25"/>
    </row>
    <row r="10" spans="1:31" ht="42" customHeight="1" thickBot="1" x14ac:dyDescent="0.3">
      <c r="A10" s="34">
        <v>4</v>
      </c>
      <c r="B10" s="128" t="str">
        <f>INDEX(Tabelle6!B:B,MATCH(A10,Tabelle6!AD:AD,0))</f>
        <v>SG Rottendorf 1</v>
      </c>
      <c r="C10" s="35">
        <f>INDEX(Tabelle1!U:U,MATCH(B10,Tabelle1!B:B,0))</f>
        <v>6830</v>
      </c>
      <c r="D10" s="36">
        <f>INDEX(Tabelle1!V:V,MATCH(B10,Tabelle1!B:B,0))</f>
        <v>26.5</v>
      </c>
      <c r="E10" s="35">
        <f>INDEX(Tabelle2!U:U,MATCH(B10,Tabelle2!B:B,0))</f>
        <v>6788</v>
      </c>
      <c r="F10" s="36">
        <f>INDEX(Tabelle2!V:V,MATCH(B10,Tabelle2!B:B,0))</f>
        <v>30</v>
      </c>
      <c r="G10" s="35">
        <f>INDEX(Tabelle3!U:U,MATCH(B10,Tabelle3!B:B,0))</f>
        <v>6507</v>
      </c>
      <c r="H10" s="38">
        <f>INDEX(Tabelle3!V:V,MATCH(B10,Tabelle3!B:B,0))</f>
        <v>20</v>
      </c>
      <c r="I10" s="35">
        <f>INDEX(Tabelle4!U:U,MATCH(B10,Tabelle4!B:B,0))</f>
        <v>6501</v>
      </c>
      <c r="J10" s="38">
        <f>INDEX(Tabelle4!V:V,MATCH(B10,Tabelle4!B:B,0))</f>
        <v>32</v>
      </c>
      <c r="K10" s="35">
        <f>INDEX(Tabelle5!U:U,MATCH(B10,Tabelle5!B:B,0))</f>
        <v>7259</v>
      </c>
      <c r="L10" s="38">
        <f>INDEX(Tabelle5!V:V,MATCH(B10,Tabelle5!B:B,0))</f>
        <v>27</v>
      </c>
      <c r="M10" s="35">
        <f>INDEX(Tabelle6!U:U,MATCH(B10,Tabelle6!B:B,0))</f>
        <v>4696</v>
      </c>
      <c r="N10" s="43">
        <f>INDEX(Tabelle6!V:V,MATCH(B10,Tabelle6!B:B,0))</f>
        <v>22</v>
      </c>
      <c r="O10" s="41">
        <f t="shared" si="0"/>
        <v>38581</v>
      </c>
      <c r="P10" s="42">
        <f t="shared" si="1"/>
        <v>157.5</v>
      </c>
      <c r="Q10" s="37">
        <f>O10/INDEX(Tabelle6!$AE:$AE,MATCH($B10,Tabelle6!$B:$B,0))</f>
        <v>190.05418719211823</v>
      </c>
      <c r="R10" s="25"/>
    </row>
    <row r="11" spans="1:31" ht="42" customHeight="1" thickBot="1" x14ac:dyDescent="0.3">
      <c r="A11" s="34">
        <v>5</v>
      </c>
      <c r="B11" s="128" t="str">
        <f>INDEX(Tabelle6!B:B,MATCH(A11,Tabelle6!AD:AD,0))</f>
        <v>Bajuwaren München 1</v>
      </c>
      <c r="C11" s="35">
        <f>INDEX(Tabelle1!U:U,MATCH(B11,Tabelle1!B:B,0))</f>
        <v>7404</v>
      </c>
      <c r="D11" s="36">
        <f>INDEX(Tabelle1!V:V,MATCH(B11,Tabelle1!B:B,0))</f>
        <v>39</v>
      </c>
      <c r="E11" s="35">
        <f>INDEX(Tabelle2!U:U,MATCH(B11,Tabelle2!B:B,0))</f>
        <v>6704</v>
      </c>
      <c r="F11" s="36">
        <f>INDEX(Tabelle2!V:V,MATCH(B11,Tabelle2!B:B,0))</f>
        <v>26</v>
      </c>
      <c r="G11" s="35">
        <f>INDEX(Tabelle3!U:U,MATCH(B11,Tabelle3!B:B,0))</f>
        <v>6799</v>
      </c>
      <c r="H11" s="38">
        <f>INDEX(Tabelle3!V:V,MATCH(B11,Tabelle3!B:B,0))</f>
        <v>29</v>
      </c>
      <c r="I11" s="35">
        <f>INDEX(Tabelle4!U:U,MATCH(B11,Tabelle4!B:B,0))</f>
        <v>6407</v>
      </c>
      <c r="J11" s="38">
        <f>INDEX(Tabelle4!V:V,MATCH(B11,Tabelle4!B:B,0))</f>
        <v>21</v>
      </c>
      <c r="K11" s="35">
        <f>INDEX(Tabelle5!U:U,MATCH(B11,Tabelle5!B:B,0))</f>
        <v>7193</v>
      </c>
      <c r="L11" s="38">
        <f>INDEX(Tabelle5!V:V,MATCH(B11,Tabelle5!B:B,0))</f>
        <v>28</v>
      </c>
      <c r="M11" s="35">
        <f>INDEX(Tabelle6!U:U,MATCH(B11,Tabelle6!B:B,0))</f>
        <v>4410</v>
      </c>
      <c r="N11" s="43">
        <f>INDEX(Tabelle6!V:V,MATCH(B11,Tabelle6!B:B,0))</f>
        <v>11.5</v>
      </c>
      <c r="O11" s="41">
        <f t="shared" si="0"/>
        <v>38917</v>
      </c>
      <c r="P11" s="42">
        <f t="shared" si="1"/>
        <v>154.5</v>
      </c>
      <c r="Q11" s="37">
        <f>O11/INDEX(Tabelle6!$AE:$AE,MATCH($B11,Tabelle6!$B:$B,0))</f>
        <v>190.76960784313727</v>
      </c>
      <c r="R11" s="25"/>
    </row>
    <row r="12" spans="1:31" ht="42" customHeight="1" thickBot="1" x14ac:dyDescent="0.3">
      <c r="A12" s="34">
        <v>6</v>
      </c>
      <c r="B12" s="128" t="str">
        <f>INDEX(Tabelle6!B:B,MATCH(A12,Tabelle6!AD:AD,0))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5">
        <f>INDEX(Tabelle4!U:U,MATCH(B12,Tabelle4!B:B,0))</f>
        <v>6417</v>
      </c>
      <c r="J12" s="38">
        <f>INDEX(Tabelle4!V:V,MATCH(B12,Tabelle4!B:B,0))</f>
        <v>27</v>
      </c>
      <c r="K12" s="35">
        <f>INDEX(Tabelle5!U:U,MATCH(B12,Tabelle5!B:B,0))</f>
        <v>7368</v>
      </c>
      <c r="L12" s="38">
        <f>INDEX(Tabelle5!V:V,MATCH(B12,Tabelle5!B:B,0))</f>
        <v>28</v>
      </c>
      <c r="M12" s="35">
        <f>INDEX(Tabelle6!U:U,MATCH(B12,Tabelle6!B:B,0))</f>
        <v>4545</v>
      </c>
      <c r="N12" s="43">
        <f>INDEX(Tabelle6!V:V,MATCH(B12,Tabelle6!B:B,0))</f>
        <v>15.5</v>
      </c>
      <c r="O12" s="41">
        <f t="shared" si="0"/>
        <v>38880</v>
      </c>
      <c r="P12" s="42">
        <f t="shared" si="1"/>
        <v>150</v>
      </c>
      <c r="Q12" s="37">
        <f>O12/INDEX(Tabelle6!$AE:$AE,MATCH($B12,Tabelle6!$B:$B,0))</f>
        <v>192.47524752475246</v>
      </c>
      <c r="R12" s="25"/>
    </row>
    <row r="13" spans="1:31" ht="42" customHeight="1" thickBot="1" x14ac:dyDescent="0.3">
      <c r="A13" s="34">
        <v>7</v>
      </c>
      <c r="B13" s="128" t="str">
        <f>INDEX(Tabelle6!B:B,MATCH(A13,Tabelle6!AD:AD,0))</f>
        <v>Bowlinghaus Bamberg 1</v>
      </c>
      <c r="C13" s="35">
        <f>INDEX(Tabelle1!U:U,MATCH(B13,Tabelle1!B:B,0))</f>
        <v>6986</v>
      </c>
      <c r="D13" s="36">
        <f>INDEX(Tabelle1!V:V,MATCH(B13,Tabelle1!B:B,0))</f>
        <v>28.5</v>
      </c>
      <c r="E13" s="35">
        <f>INDEX(Tabelle2!U:U,MATCH(B13,Tabelle2!B:B,0))</f>
        <v>6944</v>
      </c>
      <c r="F13" s="36">
        <f>INDEX(Tabelle2!V:V,MATCH(B13,Tabelle2!B:B,0))</f>
        <v>31.5</v>
      </c>
      <c r="G13" s="35">
        <f>INDEX(Tabelle3!U:U,MATCH(B13,Tabelle3!B:B,0))</f>
        <v>6842</v>
      </c>
      <c r="H13" s="38">
        <f>INDEX(Tabelle3!V:V,MATCH(B13,Tabelle3!B:B,0))</f>
        <v>26</v>
      </c>
      <c r="I13" s="35">
        <f>INDEX(Tabelle4!U:U,MATCH(B13,Tabelle4!B:B,0))</f>
        <v>6515</v>
      </c>
      <c r="J13" s="38">
        <f>INDEX(Tabelle4!V:V,MATCH(B13,Tabelle4!B:B,0))</f>
        <v>18.5</v>
      </c>
      <c r="K13" s="35">
        <f>INDEX(Tabelle5!U:U,MATCH(B13,Tabelle5!B:B,0))</f>
        <v>7037</v>
      </c>
      <c r="L13" s="38">
        <f>INDEX(Tabelle5!V:V,MATCH(B13,Tabelle5!B:B,0))</f>
        <v>15.5</v>
      </c>
      <c r="M13" s="35">
        <f>INDEX(Tabelle6!U:U,MATCH(B13,Tabelle6!B:B,0))</f>
        <v>4716</v>
      </c>
      <c r="N13" s="43">
        <f>INDEX(Tabelle6!V:V,MATCH(B13,Tabelle6!B:B,0))</f>
        <v>17.5</v>
      </c>
      <c r="O13" s="41">
        <f t="shared" si="0"/>
        <v>39040</v>
      </c>
      <c r="P13" s="42">
        <f t="shared" si="1"/>
        <v>137.5</v>
      </c>
      <c r="Q13" s="37">
        <f>O13/INDEX(Tabelle6!$AE:$AE,MATCH($B13,Tabelle6!$B:$B,0))</f>
        <v>191.37254901960785</v>
      </c>
      <c r="R13" s="25"/>
    </row>
    <row r="14" spans="1:31" ht="42" customHeight="1" thickBot="1" x14ac:dyDescent="0.3">
      <c r="A14" s="34">
        <v>8</v>
      </c>
      <c r="B14" s="128" t="str">
        <f>INDEX(Tabelle6!B:B,MATCH(A14,Tabelle6!AD:AD,0))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35">
        <f>INDEX(Tabelle3!U:U,MATCH(B14,Tabelle3!B:B,0))</f>
        <v>6507</v>
      </c>
      <c r="H14" s="38">
        <f>INDEX(Tabelle3!V:V,MATCH(B14,Tabelle3!B:B,0))</f>
        <v>23</v>
      </c>
      <c r="I14" s="35">
        <f>INDEX(Tabelle4!U:U,MATCH(B14,Tabelle4!B:B,0))</f>
        <v>6152</v>
      </c>
      <c r="J14" s="38">
        <f>INDEX(Tabelle4!V:V,MATCH(B14,Tabelle4!B:B,0))</f>
        <v>20</v>
      </c>
      <c r="K14" s="35">
        <f>INDEX(Tabelle5!U:U,MATCH(B14,Tabelle5!B:B,0))</f>
        <v>7276</v>
      </c>
      <c r="L14" s="38">
        <f>INDEX(Tabelle5!V:V,MATCH(B14,Tabelle5!B:B,0))</f>
        <v>23</v>
      </c>
      <c r="M14" s="35">
        <f>INDEX(Tabelle6!U:U,MATCH(B14,Tabelle6!B:B,0))</f>
        <v>4585</v>
      </c>
      <c r="N14" s="43">
        <f>INDEX(Tabelle6!V:V,MATCH(B14,Tabelle6!B:B,0))</f>
        <v>21.5</v>
      </c>
      <c r="O14" s="41">
        <f t="shared" si="0"/>
        <v>37857</v>
      </c>
      <c r="P14" s="42">
        <f t="shared" si="1"/>
        <v>131</v>
      </c>
      <c r="Q14" s="37">
        <f>O14/INDEX(Tabelle6!$AE:$AE,MATCH($B14,Tabelle6!$B:$B,0))</f>
        <v>185.5735294117647</v>
      </c>
      <c r="R14" s="25"/>
    </row>
    <row r="15" spans="1:31" ht="42" customHeight="1" thickBot="1" x14ac:dyDescent="0.3">
      <c r="A15" s="34">
        <v>9</v>
      </c>
      <c r="B15" s="128" t="str">
        <f>INDEX(Tabelle6!B:B,MATCH(A15,Tabelle6!AD:AD,0))</f>
        <v>Schanzer Ingolstadt 1</v>
      </c>
      <c r="C15" s="35">
        <f>INDEX(Tabelle1!U:U,MATCH(B15,Tabelle1!B:B,0))</f>
        <v>6254</v>
      </c>
      <c r="D15" s="36">
        <f>INDEX(Tabelle1!V:V,MATCH(B15,Tabelle1!B:B,0))</f>
        <v>14</v>
      </c>
      <c r="E15" s="35">
        <f>INDEX(Tabelle2!U:U,MATCH(B15,Tabelle2!B:B,0))</f>
        <v>6398</v>
      </c>
      <c r="F15" s="36">
        <f>INDEX(Tabelle2!V:V,MATCH(B15,Tabelle2!B:B,0))</f>
        <v>20</v>
      </c>
      <c r="G15" s="35">
        <f>INDEX(Tabelle3!U:U,MATCH(B15,Tabelle3!B:B,0))</f>
        <v>6642</v>
      </c>
      <c r="H15" s="38">
        <f>INDEX(Tabelle3!V:V,MATCH(B15,Tabelle3!B:B,0))</f>
        <v>34</v>
      </c>
      <c r="I15" s="35">
        <f>INDEX(Tabelle4!U:U,MATCH(B15,Tabelle4!B:B,0))</f>
        <v>6122</v>
      </c>
      <c r="J15" s="38">
        <f>INDEX(Tabelle4!V:V,MATCH(B15,Tabelle4!B:B,0))</f>
        <v>17</v>
      </c>
      <c r="K15" s="35">
        <f>INDEX(Tabelle5!U:U,MATCH(B15,Tabelle5!B:B,0))</f>
        <v>7130</v>
      </c>
      <c r="L15" s="38">
        <f>INDEX(Tabelle5!V:V,MATCH(B15,Tabelle5!B:B,0))</f>
        <v>20.5</v>
      </c>
      <c r="M15" s="35">
        <f>INDEX(Tabelle6!U:U,MATCH(B15,Tabelle6!B:B,0))</f>
        <v>5056</v>
      </c>
      <c r="N15" s="43">
        <f>INDEX(Tabelle6!V:V,MATCH(B15,Tabelle6!B:B,0))</f>
        <v>25.5</v>
      </c>
      <c r="O15" s="41">
        <f t="shared" si="0"/>
        <v>37602</v>
      </c>
      <c r="P15" s="42">
        <f t="shared" si="1"/>
        <v>131</v>
      </c>
      <c r="Q15" s="37">
        <f>O15/INDEX(Tabelle6!$AE:$AE,MATCH($B15,Tabelle6!$B:$B,0))</f>
        <v>184.3235294117647</v>
      </c>
      <c r="R15" s="25"/>
    </row>
    <row r="16" spans="1:31" ht="42" customHeight="1" thickBot="1" x14ac:dyDescent="0.3">
      <c r="A16" s="34">
        <v>10</v>
      </c>
      <c r="B16" s="128" t="str">
        <f>INDEX(Tabelle6!B:B,MATCH(A16,Tabelle6!AD:AD,0))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5">
        <f>INDEX(Tabelle4!U:U,MATCH(B16,Tabelle4!B:B,0))</f>
        <v>6336</v>
      </c>
      <c r="J16" s="38">
        <f>INDEX(Tabelle4!V:V,MATCH(B16,Tabelle4!B:B,0))</f>
        <v>20</v>
      </c>
      <c r="K16" s="35">
        <f>INDEX(Tabelle5!U:U,MATCH(B16,Tabelle5!B:B,0))</f>
        <v>7465</v>
      </c>
      <c r="L16" s="38">
        <f>INDEX(Tabelle5!V:V,MATCH(B16,Tabelle5!B:B,0))</f>
        <v>28</v>
      </c>
      <c r="M16" s="35">
        <f>INDEX(Tabelle6!U:U,MATCH(B16,Tabelle6!B:B,0))</f>
        <v>4704</v>
      </c>
      <c r="N16" s="43">
        <f>INDEX(Tabelle6!V:V,MATCH(B16,Tabelle6!B:B,0))</f>
        <v>17</v>
      </c>
      <c r="O16" s="41">
        <f t="shared" si="0"/>
        <v>38213</v>
      </c>
      <c r="P16" s="42">
        <f t="shared" si="1"/>
        <v>117.5</v>
      </c>
      <c r="Q16" s="37">
        <f>O16/INDEX(Tabelle6!$AE:$AE,MATCH($B16,Tabelle6!$B:$B,0))</f>
        <v>187.31862745098039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16253</v>
      </c>
      <c r="M2">
        <f>SUMIF(Erfassung6!BD:BD,L2,Erfassung6!BW:BW)</f>
        <v>845</v>
      </c>
      <c r="N2">
        <f>SUMIF(Erfassung6!BD:BD,L2,Erfassung6!BG:BG)</f>
        <v>4</v>
      </c>
      <c r="O2">
        <f t="shared" ref="O2:O65" si="0">IF(N2=0,0,M2/N2-ROW()/1000000000)</f>
        <v>211.24999999799999</v>
      </c>
      <c r="P2">
        <f t="shared" ref="P2:P65" si="1">RANK(O2,O:O)</f>
        <v>9</v>
      </c>
    </row>
    <row r="3" spans="1:16" x14ac:dyDescent="0.25">
      <c r="L3" s="227">
        <f>INDEX(Starter!A:A,ROW()-1)</f>
        <v>38687</v>
      </c>
      <c r="M3">
        <f>SUMIF(Erfassung6!BD:BD,L3,Erfassung6!BW:BW)</f>
        <v>1150</v>
      </c>
      <c r="N3">
        <f>SUMIF(Erfassung6!BD:BD,L3,Erfassung6!BG:BG)</f>
        <v>6</v>
      </c>
      <c r="O3">
        <f t="shared" si="0"/>
        <v>191.66666666366666</v>
      </c>
      <c r="P3">
        <f t="shared" si="1"/>
        <v>27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SUMIF(Erfassung6!BD:BD,L4,Erfassung6!BW:BW)</f>
        <v>1165</v>
      </c>
      <c r="N4">
        <f>SUMIF(Erfassung6!BD:BD,L4,Erfassung6!BG:BG)</f>
        <v>6</v>
      </c>
      <c r="O4">
        <f t="shared" si="0"/>
        <v>194.16666666266667</v>
      </c>
      <c r="P4">
        <f t="shared" si="1"/>
        <v>23</v>
      </c>
    </row>
    <row r="5" spans="1:16" x14ac:dyDescent="0.25">
      <c r="A5">
        <v>1</v>
      </c>
      <c r="B5">
        <f t="shared" ref="B5:B36" si="2">IFERROR(INDEX(L:L,MATCH(A5,P:P,0)),"")</f>
        <v>7348</v>
      </c>
      <c r="C5" t="str">
        <f>IFERROR(INDEX(Starter!B:B,MATCH(B5,Starter!A:A,0)),"")</f>
        <v>Spielvogel, Jochen</v>
      </c>
      <c r="D5" t="str">
        <f>IFERROR(INDEX(Starter!C:C,MATCH(B5,Starter!A:A,0)),"")</f>
        <v>BC Schanzer Strikers</v>
      </c>
      <c r="E5" s="102">
        <f t="shared" ref="E5:E36" si="3">IFERROR(INDEX(M:M,MATCH(A5,P:P,0)),"")</f>
        <v>1351</v>
      </c>
      <c r="F5">
        <f t="shared" ref="F5:F36" si="4">IFERROR(INDEX(N:N,MATCH(A5,P:P,0)),"")</f>
        <v>6</v>
      </c>
      <c r="G5" s="137">
        <f t="shared" ref="G5:G36" si="5">IFERROR(INDEX(O:O,MATCH(A5,P:P,0)),"")</f>
        <v>225.16666665766667</v>
      </c>
      <c r="L5" s="227">
        <f>INDEX(Starter!A:A,ROW()-1)</f>
        <v>16301</v>
      </c>
      <c r="M5">
        <f>SUMIF(Erfassung6!BD:BD,L5,Erfassung6!BW:BW)</f>
        <v>1140</v>
      </c>
      <c r="N5">
        <f>SUMIF(Erfassung6!BD:BD,L5,Erfassung6!BG:BG)</f>
        <v>6</v>
      </c>
      <c r="O5">
        <f t="shared" si="0"/>
        <v>189.999999995</v>
      </c>
      <c r="P5">
        <f t="shared" si="1"/>
        <v>28</v>
      </c>
    </row>
    <row r="6" spans="1:16" x14ac:dyDescent="0.25">
      <c r="A6">
        <f t="shared" ref="A6:A37" si="6">IFERROR(IF(A5+1&gt;MAX(P:P)-1,"",A5+1),"")</f>
        <v>2</v>
      </c>
      <c r="B6">
        <f t="shared" si="2"/>
        <v>25297</v>
      </c>
      <c r="C6" t="str">
        <f>IFERROR(INDEX(Starter!B:B,MATCH(B6,Starter!A:A,0)),"")</f>
        <v>Lengen, Peter</v>
      </c>
      <c r="D6" t="str">
        <f>IFERROR(INDEX(Starter!C:C,MATCH(B6,Starter!A:A,0)),"")</f>
        <v>BSC Highroller Rosenheim</v>
      </c>
      <c r="E6" s="102">
        <f t="shared" si="3"/>
        <v>1347</v>
      </c>
      <c r="F6">
        <f t="shared" si="4"/>
        <v>6</v>
      </c>
      <c r="G6" s="137">
        <f t="shared" si="5"/>
        <v>224.49999997699999</v>
      </c>
      <c r="L6" s="227">
        <f>INDEX(Starter!A:A,ROW()-1)</f>
        <v>38411</v>
      </c>
      <c r="M6">
        <f>SUMIF(Erfassung6!BD:BD,L6,Erfassung6!BW:BW)</f>
        <v>1218</v>
      </c>
      <c r="N6">
        <f>SUMIF(Erfassung6!BD:BD,L6,Erfassung6!BG:BG)</f>
        <v>6</v>
      </c>
      <c r="O6">
        <f t="shared" si="0"/>
        <v>202.99999999400001</v>
      </c>
      <c r="P6">
        <f t="shared" si="1"/>
        <v>16</v>
      </c>
    </row>
    <row r="7" spans="1:16" x14ac:dyDescent="0.25">
      <c r="A7">
        <f t="shared" si="6"/>
        <v>3</v>
      </c>
      <c r="B7">
        <f t="shared" si="2"/>
        <v>7102</v>
      </c>
      <c r="C7" t="str">
        <f>IFERROR(INDEX(Starter!B:B,MATCH(B7,Starter!A:A,0)),"")</f>
        <v>Schick, Andreas</v>
      </c>
      <c r="D7" t="str">
        <f>IFERROR(INDEX(Starter!C:C,MATCH(B7,Starter!A:A,0)),"")</f>
        <v>Comet</v>
      </c>
      <c r="E7" s="102">
        <f t="shared" si="3"/>
        <v>1330</v>
      </c>
      <c r="F7">
        <f t="shared" si="4"/>
        <v>6</v>
      </c>
      <c r="G7" s="137">
        <f t="shared" si="5"/>
        <v>221.66666663566664</v>
      </c>
      <c r="L7" s="227">
        <f>INDEX(Starter!A:A,ROW()-1)</f>
        <v>38361</v>
      </c>
      <c r="M7">
        <f>SUMIF(Erfassung6!BD:BD,L7,Erfassung6!BW:BW)</f>
        <v>1227</v>
      </c>
      <c r="N7">
        <f>SUMIF(Erfassung6!BD:BD,L7,Erfassung6!BG:BG)</f>
        <v>6</v>
      </c>
      <c r="O7">
        <f t="shared" si="0"/>
        <v>204.49999999299999</v>
      </c>
      <c r="P7">
        <f t="shared" si="1"/>
        <v>14</v>
      </c>
    </row>
    <row r="8" spans="1:16" x14ac:dyDescent="0.25">
      <c r="A8">
        <f t="shared" si="6"/>
        <v>4</v>
      </c>
      <c r="B8">
        <f t="shared" si="2"/>
        <v>25516</v>
      </c>
      <c r="C8" t="str">
        <f>IFERROR(INDEX(Starter!B:B,MATCH(B8,Starter!A:A,0)),"")</f>
        <v>Nikoleit, Thomas</v>
      </c>
      <c r="D8" t="str">
        <f>IFERROR(INDEX(Starter!C:C,MATCH(B8,Starter!A:A,0)),"")</f>
        <v>BC Bamberger Bowlinghaus</v>
      </c>
      <c r="E8" s="102">
        <f t="shared" si="3"/>
        <v>1324</v>
      </c>
      <c r="F8">
        <f t="shared" si="4"/>
        <v>6</v>
      </c>
      <c r="G8" s="137">
        <f t="shared" si="5"/>
        <v>220.66666662766664</v>
      </c>
      <c r="L8" s="227">
        <f>INDEX(Starter!A:A,ROW()-1)</f>
        <v>38550</v>
      </c>
      <c r="M8">
        <f>SUMIF(Erfassung6!BD:BD,L8,Erfassung6!BW:BW)</f>
        <v>1260</v>
      </c>
      <c r="N8">
        <f>SUMIF(Erfassung6!BD:BD,L8,Erfassung6!BG:BG)</f>
        <v>6</v>
      </c>
      <c r="O8">
        <f t="shared" si="0"/>
        <v>209.999999992</v>
      </c>
      <c r="P8">
        <f t="shared" si="1"/>
        <v>10</v>
      </c>
    </row>
    <row r="9" spans="1:16" x14ac:dyDescent="0.25">
      <c r="A9">
        <f t="shared" si="6"/>
        <v>5</v>
      </c>
      <c r="B9">
        <f t="shared" si="2"/>
        <v>38018</v>
      </c>
      <c r="C9" t="str">
        <f>IFERROR(INDEX(Starter!B:B,MATCH(B9,Starter!A:A,0)),"")</f>
        <v>Wunderlich, Henning</v>
      </c>
      <c r="D9" t="str">
        <f>IFERROR(INDEX(Starter!C:C,MATCH(B9,Starter!A:A,0)),"")</f>
        <v>DJK Rimpar</v>
      </c>
      <c r="E9" s="102">
        <f t="shared" si="3"/>
        <v>436</v>
      </c>
      <c r="F9">
        <f t="shared" si="4"/>
        <v>2</v>
      </c>
      <c r="G9" s="137">
        <f t="shared" si="5"/>
        <v>217.99999992599999</v>
      </c>
      <c r="L9" s="227">
        <f>INDEX(Starter!A:A,ROW()-1)</f>
        <v>7348</v>
      </c>
      <c r="M9">
        <f>SUMIF(Erfassung6!BD:BD,L9,Erfassung6!BW:BW)</f>
        <v>1351</v>
      </c>
      <c r="N9">
        <f>SUMIF(Erfassung6!BD:BD,L9,Erfassung6!BG:BG)</f>
        <v>6</v>
      </c>
      <c r="O9">
        <f t="shared" si="0"/>
        <v>225.16666665766667</v>
      </c>
      <c r="P9">
        <f t="shared" si="1"/>
        <v>1</v>
      </c>
    </row>
    <row r="10" spans="1:16" x14ac:dyDescent="0.25">
      <c r="A10">
        <f t="shared" si="6"/>
        <v>6</v>
      </c>
      <c r="B10">
        <f t="shared" si="2"/>
        <v>16495</v>
      </c>
      <c r="C10" t="str">
        <f>IFERROR(INDEX(Starter!B:B,MATCH(B10,Starter!A:A,0)),"")</f>
        <v>Stemmler, Patrick</v>
      </c>
      <c r="D10" t="str">
        <f>IFERROR(INDEX(Starter!C:C,MATCH(B10,Starter!A:A,0)),"")</f>
        <v>SG Rottendorf</v>
      </c>
      <c r="E10" s="102">
        <f t="shared" si="3"/>
        <v>1303</v>
      </c>
      <c r="F10">
        <f t="shared" si="4"/>
        <v>6</v>
      </c>
      <c r="G10" s="137">
        <f t="shared" si="5"/>
        <v>217.16666665466667</v>
      </c>
      <c r="L10" s="227">
        <f>INDEX(Starter!A:A,ROW()-1)</f>
        <v>16852</v>
      </c>
      <c r="M10">
        <f>SUMIF(Erfassung6!BD:BD,L10,Erfassung6!BW:BW)</f>
        <v>773</v>
      </c>
      <c r="N10">
        <f>SUMIF(Erfassung6!BD:BD,L10,Erfassung6!BG:BG)</f>
        <v>4</v>
      </c>
      <c r="O10">
        <f t="shared" si="0"/>
        <v>193.24999998999999</v>
      </c>
      <c r="P10">
        <f t="shared" si="1"/>
        <v>24</v>
      </c>
    </row>
    <row r="11" spans="1:16" x14ac:dyDescent="0.25">
      <c r="A11">
        <f t="shared" si="6"/>
        <v>7</v>
      </c>
      <c r="B11">
        <f t="shared" si="2"/>
        <v>16243</v>
      </c>
      <c r="C11" t="str">
        <f>IFERROR(INDEX(Starter!B:B,MATCH(B11,Starter!A:A,0)),"")</f>
        <v>Glatzer, Daniel</v>
      </c>
      <c r="D11" t="str">
        <f>IFERROR(INDEX(Starter!C:C,MATCH(B11,Starter!A:A,0)),"")</f>
        <v>Comet</v>
      </c>
      <c r="E11" s="102">
        <f t="shared" si="3"/>
        <v>1296</v>
      </c>
      <c r="F11">
        <f t="shared" si="4"/>
        <v>6</v>
      </c>
      <c r="G11" s="137">
        <f t="shared" si="5"/>
        <v>215.99999997399999</v>
      </c>
      <c r="L11" s="227">
        <f>INDEX(Starter!A:A,ROW()-1)</f>
        <v>16352</v>
      </c>
      <c r="M11">
        <f>SUMIF(Erfassung6!BD:BD,L11,Erfassung6!BW:BW)</f>
        <v>1133</v>
      </c>
      <c r="N11">
        <f>SUMIF(Erfassung6!BD:BD,L11,Erfassung6!BG:BG)</f>
        <v>6</v>
      </c>
      <c r="O11">
        <f t="shared" si="0"/>
        <v>188.83333332233335</v>
      </c>
      <c r="P11">
        <f t="shared" si="1"/>
        <v>31</v>
      </c>
    </row>
    <row r="12" spans="1:16" x14ac:dyDescent="0.25">
      <c r="A12">
        <f t="shared" si="6"/>
        <v>8</v>
      </c>
      <c r="B12">
        <f t="shared" si="2"/>
        <v>7937</v>
      </c>
      <c r="C12" t="str">
        <f>IFERROR(INDEX(Starter!B:B,MATCH(B12,Starter!A:A,0)),"")</f>
        <v>Birkner, Jochen</v>
      </c>
      <c r="D12" t="str">
        <f>IFERROR(INDEX(Starter!C:C,MATCH(B12,Starter!A:A,0)),"")</f>
        <v>BF Rot-Weiß Lichtenhof 69</v>
      </c>
      <c r="E12" s="102">
        <f t="shared" si="3"/>
        <v>1281</v>
      </c>
      <c r="F12">
        <f t="shared" si="4"/>
        <v>6</v>
      </c>
      <c r="G12" s="137">
        <f t="shared" si="5"/>
        <v>213.49999995900001</v>
      </c>
      <c r="L12" s="227">
        <f>INDEX(Starter!A:A,ROW()-1)</f>
        <v>16495</v>
      </c>
      <c r="M12">
        <f>SUMIF(Erfassung6!BD:BD,L12,Erfassung6!BW:BW)</f>
        <v>1303</v>
      </c>
      <c r="N12">
        <f>SUMIF(Erfassung6!BD:BD,L12,Erfassung6!BG:BG)</f>
        <v>6</v>
      </c>
      <c r="O12">
        <f t="shared" si="0"/>
        <v>217.16666665466667</v>
      </c>
      <c r="P12">
        <f t="shared" si="1"/>
        <v>6</v>
      </c>
    </row>
    <row r="13" spans="1:16" x14ac:dyDescent="0.25">
      <c r="A13">
        <f t="shared" si="6"/>
        <v>9</v>
      </c>
      <c r="B13">
        <f t="shared" si="2"/>
        <v>16253</v>
      </c>
      <c r="C13" t="str">
        <f>IFERROR(INDEX(Starter!B:B,MATCH(B13,Starter!A:A,0)),"")</f>
        <v>Altenfeld, Marco</v>
      </c>
      <c r="D13" t="str">
        <f>IFERROR(INDEX(Starter!C:C,MATCH(B13,Starter!A:A,0)),"")</f>
        <v>DJK Rimpar</v>
      </c>
      <c r="E13" s="102">
        <f t="shared" si="3"/>
        <v>845</v>
      </c>
      <c r="F13">
        <f t="shared" si="4"/>
        <v>4</v>
      </c>
      <c r="G13" s="137">
        <f t="shared" si="5"/>
        <v>211.24999999799999</v>
      </c>
      <c r="L13" s="227">
        <f>INDEX(Starter!A:A,ROW()-1)</f>
        <v>16945</v>
      </c>
      <c r="M13">
        <f>SUMIF(Erfassung6!BD:BD,L13,Erfassung6!BW:BW)</f>
        <v>1151</v>
      </c>
      <c r="N13">
        <f>SUMIF(Erfassung6!BD:BD,L13,Erfassung6!BG:BG)</f>
        <v>6</v>
      </c>
      <c r="O13">
        <f t="shared" si="0"/>
        <v>191.83333332033334</v>
      </c>
      <c r="P13">
        <f t="shared" si="1"/>
        <v>26</v>
      </c>
    </row>
    <row r="14" spans="1:16" x14ac:dyDescent="0.25">
      <c r="A14">
        <f t="shared" si="6"/>
        <v>10</v>
      </c>
      <c r="B14">
        <f t="shared" si="2"/>
        <v>38550</v>
      </c>
      <c r="C14" t="str">
        <f>IFERROR(INDEX(Starter!B:B,MATCH(B14,Starter!A:A,0)),"")</f>
        <v>Schütze, Oliver</v>
      </c>
      <c r="D14" t="str">
        <f>IFERROR(INDEX(Starter!C:C,MATCH(B14,Starter!A:A,0)),"")</f>
        <v>BC Schanzer Strikers</v>
      </c>
      <c r="E14" s="102">
        <f t="shared" si="3"/>
        <v>1260</v>
      </c>
      <c r="F14">
        <f t="shared" si="4"/>
        <v>6</v>
      </c>
      <c r="G14" s="137">
        <f t="shared" si="5"/>
        <v>209.999999992</v>
      </c>
      <c r="L14" s="227">
        <f>INDEX(Starter!A:A,ROW()-1)</f>
        <v>7867</v>
      </c>
      <c r="M14">
        <f>SUMIF(Erfassung6!BD:BD,L14,Erfassung6!BW:BW)</f>
        <v>1244</v>
      </c>
      <c r="N14">
        <f>SUMIF(Erfassung6!BD:BD,L14,Erfassung6!BG:BG)</f>
        <v>6</v>
      </c>
      <c r="O14">
        <f t="shared" si="0"/>
        <v>207.33333331933335</v>
      </c>
      <c r="P14">
        <f t="shared" si="1"/>
        <v>13</v>
      </c>
    </row>
    <row r="15" spans="1:16" x14ac:dyDescent="0.25">
      <c r="A15">
        <f t="shared" si="6"/>
        <v>11</v>
      </c>
      <c r="B15">
        <f t="shared" si="2"/>
        <v>7408</v>
      </c>
      <c r="C15" t="str">
        <f>IFERROR(INDEX(Starter!B:B,MATCH(B15,Starter!A:A,0)),"")</f>
        <v>Glasl jun., Hans-Jürgen</v>
      </c>
      <c r="D15" t="str">
        <f>IFERROR(INDEX(Starter!C:C,MATCH(B15,Starter!A:A,0)),"")</f>
        <v>BC Bajuwaren 1976 München</v>
      </c>
      <c r="E15" s="102">
        <f t="shared" si="3"/>
        <v>1258</v>
      </c>
      <c r="F15">
        <f t="shared" si="4"/>
        <v>6</v>
      </c>
      <c r="G15" s="137">
        <f t="shared" si="5"/>
        <v>209.66666664866665</v>
      </c>
      <c r="L15" s="227">
        <f>INDEX(Starter!A:A,ROW()-1)</f>
        <v>7597</v>
      </c>
      <c r="M15">
        <f>SUMIF(Erfassung6!BD:BD,L15,Erfassung6!BW:BW)</f>
        <v>1023</v>
      </c>
      <c r="N15">
        <f>SUMIF(Erfassung6!BD:BD,L15,Erfassung6!BG:BG)</f>
        <v>6</v>
      </c>
      <c r="O15">
        <f t="shared" si="0"/>
        <v>170.49999998499999</v>
      </c>
      <c r="P15">
        <f t="shared" si="1"/>
        <v>47</v>
      </c>
    </row>
    <row r="16" spans="1:16" x14ac:dyDescent="0.25">
      <c r="A16">
        <f t="shared" si="6"/>
        <v>12</v>
      </c>
      <c r="B16">
        <f t="shared" si="2"/>
        <v>10124</v>
      </c>
      <c r="C16" t="str">
        <f>IFERROR(INDEX(Starter!B:B,MATCH(B16,Starter!A:A,0)),"")</f>
        <v>Kristof, Robert</v>
      </c>
      <c r="D16" t="str">
        <f>IFERROR(INDEX(Starter!C:C,MATCH(B16,Starter!A:A,0)),"")</f>
        <v>BF Rot-Weiß Lichtenhof 69</v>
      </c>
      <c r="E16" s="102">
        <f t="shared" si="3"/>
        <v>1255</v>
      </c>
      <c r="F16">
        <f t="shared" si="4"/>
        <v>6</v>
      </c>
      <c r="G16" s="137">
        <f t="shared" si="5"/>
        <v>209.16666662466665</v>
      </c>
      <c r="L16" s="227">
        <f>INDEX(Starter!A:A,ROW()-1)</f>
        <v>16912</v>
      </c>
      <c r="M16">
        <f>SUMIF(Erfassung6!BD:BD,L16,Erfassung6!BW:BW)</f>
        <v>1105</v>
      </c>
      <c r="N16">
        <f>SUMIF(Erfassung6!BD:BD,L16,Erfassung6!BG:BG)</f>
        <v>6</v>
      </c>
      <c r="O16">
        <f t="shared" si="0"/>
        <v>184.16666665066666</v>
      </c>
      <c r="P16">
        <f t="shared" si="1"/>
        <v>35</v>
      </c>
    </row>
    <row r="17" spans="1:16" x14ac:dyDescent="0.25">
      <c r="A17">
        <f t="shared" si="6"/>
        <v>13</v>
      </c>
      <c r="B17">
        <f t="shared" si="2"/>
        <v>7867</v>
      </c>
      <c r="C17" t="str">
        <f>IFERROR(INDEX(Starter!B:B,MATCH(B17,Starter!A:A,0)),"")</f>
        <v>Hinterwimmer, Georg</v>
      </c>
      <c r="D17" t="str">
        <f>IFERROR(INDEX(Starter!C:C,MATCH(B17,Starter!A:A,0)),"")</f>
        <v>BK München</v>
      </c>
      <c r="E17" s="102">
        <f t="shared" si="3"/>
        <v>1244</v>
      </c>
      <c r="F17">
        <f t="shared" si="4"/>
        <v>6</v>
      </c>
      <c r="G17" s="137">
        <f t="shared" si="5"/>
        <v>207.33333331933335</v>
      </c>
      <c r="L17" s="227">
        <f>INDEX(Starter!A:A,ROW()-1)</f>
        <v>7885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53</v>
      </c>
    </row>
    <row r="18" spans="1:16" x14ac:dyDescent="0.25">
      <c r="A18">
        <f t="shared" si="6"/>
        <v>14</v>
      </c>
      <c r="B18">
        <f t="shared" si="2"/>
        <v>38361</v>
      </c>
      <c r="C18" t="str">
        <f>IFERROR(INDEX(Starter!B:B,MATCH(B18,Starter!A:A,0)),"")</f>
        <v>Schmied, Markus</v>
      </c>
      <c r="D18" t="str">
        <f>IFERROR(INDEX(Starter!C:C,MATCH(B18,Starter!A:A,0)),"")</f>
        <v>BC Schanzer Strikers</v>
      </c>
      <c r="E18" s="102">
        <f t="shared" si="3"/>
        <v>1227</v>
      </c>
      <c r="F18">
        <f t="shared" si="4"/>
        <v>6</v>
      </c>
      <c r="G18" s="137">
        <f t="shared" si="5"/>
        <v>204.49999999299999</v>
      </c>
      <c r="L18" s="227">
        <f>INDEX(Starter!A:A,ROW()-1)</f>
        <v>7408</v>
      </c>
      <c r="M18">
        <f>SUMIF(Erfassung6!BD:BD,L18,Erfassung6!BW:BW)</f>
        <v>1258</v>
      </c>
      <c r="N18">
        <f>SUMIF(Erfassung6!BD:BD,L18,Erfassung6!BG:BG)</f>
        <v>6</v>
      </c>
      <c r="O18">
        <f t="shared" si="0"/>
        <v>209.66666664866665</v>
      </c>
      <c r="P18">
        <f t="shared" si="1"/>
        <v>11</v>
      </c>
    </row>
    <row r="19" spans="1:16" x14ac:dyDescent="0.25">
      <c r="A19">
        <f t="shared" si="6"/>
        <v>15</v>
      </c>
      <c r="B19">
        <f t="shared" si="2"/>
        <v>25325</v>
      </c>
      <c r="C19" t="str">
        <f>IFERROR(INDEX(Starter!B:B,MATCH(B19,Starter!A:A,0)),"")</f>
        <v>Wegenast, Robert</v>
      </c>
      <c r="D19" t="str">
        <f>IFERROR(INDEX(Starter!C:C,MATCH(B19,Starter!A:A,0)),"")</f>
        <v>BC EMAX</v>
      </c>
      <c r="E19" s="102">
        <f t="shared" si="3"/>
        <v>1221</v>
      </c>
      <c r="F19">
        <f t="shared" si="4"/>
        <v>6</v>
      </c>
      <c r="G19" s="137">
        <f t="shared" si="5"/>
        <v>203.49999994500001</v>
      </c>
      <c r="L19" s="227">
        <f>INDEX(Starter!A:A,ROW()-1)</f>
        <v>16762</v>
      </c>
      <c r="M19">
        <f>SUMIF(Erfassung6!BD:BD,L19,Erfassung6!BW:BW)</f>
        <v>629</v>
      </c>
      <c r="N19">
        <f>SUMIF(Erfassung6!BD:BD,L19,Erfassung6!BG:BG)</f>
        <v>4</v>
      </c>
      <c r="O19">
        <f t="shared" si="0"/>
        <v>157.249999981</v>
      </c>
      <c r="P19">
        <f t="shared" si="1"/>
        <v>51</v>
      </c>
    </row>
    <row r="20" spans="1:16" x14ac:dyDescent="0.25">
      <c r="A20">
        <f t="shared" si="6"/>
        <v>16</v>
      </c>
      <c r="B20">
        <f t="shared" si="2"/>
        <v>38411</v>
      </c>
      <c r="C20" t="str">
        <f>IFERROR(INDEX(Starter!B:B,MATCH(B20,Starter!A:A,0)),"")</f>
        <v>Hartl, Thomas</v>
      </c>
      <c r="D20" t="str">
        <f>IFERROR(INDEX(Starter!C:C,MATCH(B20,Starter!A:A,0)),"")</f>
        <v>BC Schanzer Strikers</v>
      </c>
      <c r="E20" s="102">
        <f t="shared" si="3"/>
        <v>1218</v>
      </c>
      <c r="F20">
        <f t="shared" si="4"/>
        <v>6</v>
      </c>
      <c r="G20" s="137">
        <f t="shared" si="5"/>
        <v>202.99999999400001</v>
      </c>
      <c r="L20" s="227">
        <f>INDEX(Starter!A:A,ROW()-1)</f>
        <v>7600</v>
      </c>
      <c r="M20">
        <f>SUMIF(Erfassung6!BD:BD,L20,Erfassung6!BW:BW)</f>
        <v>1038</v>
      </c>
      <c r="N20">
        <f>SUMIF(Erfassung6!BD:BD,L20,Erfassung6!BG:BG)</f>
        <v>6</v>
      </c>
      <c r="O20">
        <f t="shared" si="0"/>
        <v>172.99999998000001</v>
      </c>
      <c r="P20">
        <f t="shared" si="1"/>
        <v>44</v>
      </c>
    </row>
    <row r="21" spans="1:16" x14ac:dyDescent="0.25">
      <c r="A21">
        <f t="shared" si="6"/>
        <v>17</v>
      </c>
      <c r="B21">
        <f t="shared" si="2"/>
        <v>16251</v>
      </c>
      <c r="C21" t="str">
        <f>IFERROR(INDEX(Starter!B:B,MATCH(B21,Starter!A:A,0)),"")</f>
        <v>Renner, Alexander</v>
      </c>
      <c r="D21" t="str">
        <f>IFERROR(INDEX(Starter!C:C,MATCH(B21,Starter!A:A,0)),"")</f>
        <v>BC Bamberger Bowlinghaus</v>
      </c>
      <c r="E21" s="102">
        <f t="shared" si="3"/>
        <v>1212</v>
      </c>
      <c r="F21">
        <f t="shared" si="4"/>
        <v>6</v>
      </c>
      <c r="G21" s="137">
        <f t="shared" si="5"/>
        <v>201.999999933</v>
      </c>
      <c r="L21" s="227">
        <f>INDEX(Starter!A:A,ROW()-1)</f>
        <v>7416</v>
      </c>
      <c r="M21">
        <f>SUMIF(Erfassung6!BD:BD,L21,Erfassung6!BW:BW)</f>
        <v>777</v>
      </c>
      <c r="N21">
        <f>SUMIF(Erfassung6!BD:BD,L21,Erfassung6!BG:BG)</f>
        <v>4</v>
      </c>
      <c r="O21">
        <f t="shared" si="0"/>
        <v>194.24999997899999</v>
      </c>
      <c r="P21">
        <f t="shared" si="1"/>
        <v>22</v>
      </c>
    </row>
    <row r="22" spans="1:16" x14ac:dyDescent="0.25">
      <c r="A22">
        <f t="shared" si="6"/>
        <v>18</v>
      </c>
      <c r="B22">
        <f t="shared" si="2"/>
        <v>7099</v>
      </c>
      <c r="C22" t="str">
        <f>IFERROR(INDEX(Starter!B:B,MATCH(B22,Starter!A:A,0)),"")</f>
        <v>Holzinger, Sebastian</v>
      </c>
      <c r="D22" t="str">
        <f>IFERROR(INDEX(Starter!C:C,MATCH(B22,Starter!A:A,0)),"")</f>
        <v>BC Bamberger Bowlinghaus</v>
      </c>
      <c r="E22" s="102">
        <f t="shared" si="3"/>
        <v>403</v>
      </c>
      <c r="F22">
        <f t="shared" si="4"/>
        <v>2</v>
      </c>
      <c r="G22" s="137">
        <f t="shared" si="5"/>
        <v>201.49999996299999</v>
      </c>
      <c r="L22" s="227">
        <f>INDEX(Starter!A:A,ROW()-1)</f>
        <v>7425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53</v>
      </c>
    </row>
    <row r="23" spans="1:16" x14ac:dyDescent="0.25">
      <c r="A23">
        <f t="shared" si="6"/>
        <v>19</v>
      </c>
      <c r="B23">
        <f t="shared" si="2"/>
        <v>7740</v>
      </c>
      <c r="C23" t="str">
        <f>IFERROR(INDEX(Starter!B:B,MATCH(B23,Starter!A:A,0)),"")</f>
        <v>Mesch, John</v>
      </c>
      <c r="D23" t="str">
        <f>IFERROR(INDEX(Starter!C:C,MATCH(B23,Starter!A:A,0)),"")</f>
        <v>BF Rot-Weiß Lichtenhof 69</v>
      </c>
      <c r="E23" s="102">
        <f t="shared" si="3"/>
        <v>201</v>
      </c>
      <c r="F23">
        <f t="shared" si="4"/>
        <v>1</v>
      </c>
      <c r="G23" s="137">
        <f t="shared" si="5"/>
        <v>200.999999938</v>
      </c>
      <c r="L23" s="227">
        <f>INDEX(Starter!A:A,ROW()-1)</f>
        <v>25297</v>
      </c>
      <c r="M23">
        <f>SUMIF(Erfassung6!BD:BD,L23,Erfassung6!BW:BW)</f>
        <v>1347</v>
      </c>
      <c r="N23">
        <f>SUMIF(Erfassung6!BD:BD,L23,Erfassung6!BG:BG)</f>
        <v>6</v>
      </c>
      <c r="O23">
        <f t="shared" si="0"/>
        <v>224.49999997699999</v>
      </c>
      <c r="P23">
        <f t="shared" si="1"/>
        <v>2</v>
      </c>
    </row>
    <row r="24" spans="1:16" x14ac:dyDescent="0.25">
      <c r="A24">
        <f t="shared" si="6"/>
        <v>20</v>
      </c>
      <c r="B24">
        <f t="shared" si="2"/>
        <v>7602</v>
      </c>
      <c r="C24" t="str">
        <f>IFERROR(INDEX(Starter!B:B,MATCH(B24,Starter!A:A,0)),"")</f>
        <v>Probst, Marco</v>
      </c>
      <c r="D24" t="str">
        <f>IFERROR(INDEX(Starter!C:C,MATCH(B24,Starter!A:A,0)),"")</f>
        <v>BC EMAX</v>
      </c>
      <c r="E24" s="102">
        <f t="shared" si="3"/>
        <v>1180</v>
      </c>
      <c r="F24">
        <f t="shared" si="4"/>
        <v>6</v>
      </c>
      <c r="G24" s="137">
        <f t="shared" si="5"/>
        <v>196.66666661266666</v>
      </c>
      <c r="L24" s="227">
        <f>INDEX(Starter!A:A,ROW()-1)</f>
        <v>16888</v>
      </c>
      <c r="M24">
        <f>SUMIF(Erfassung6!BD:BD,L24,Erfassung6!BW:BW)</f>
        <v>1098</v>
      </c>
      <c r="N24">
        <f>SUMIF(Erfassung6!BD:BD,L24,Erfassung6!BG:BG)</f>
        <v>6</v>
      </c>
      <c r="O24">
        <f t="shared" si="0"/>
        <v>182.999999976</v>
      </c>
      <c r="P24">
        <f t="shared" si="1"/>
        <v>37</v>
      </c>
    </row>
    <row r="25" spans="1:16" x14ac:dyDescent="0.25">
      <c r="A25">
        <f t="shared" si="6"/>
        <v>21</v>
      </c>
      <c r="B25">
        <f t="shared" si="2"/>
        <v>7725</v>
      </c>
      <c r="C25" t="str">
        <f>IFERROR(INDEX(Starter!B:B,MATCH(B25,Starter!A:A,0)),"")</f>
        <v>Schlundt, Michael</v>
      </c>
      <c r="D25" t="str">
        <f>IFERROR(INDEX(Starter!C:C,MATCH(B25,Starter!A:A,0)),"")</f>
        <v>Comet</v>
      </c>
      <c r="E25" s="102">
        <f t="shared" si="3"/>
        <v>977</v>
      </c>
      <c r="F25">
        <f t="shared" si="4"/>
        <v>5</v>
      </c>
      <c r="G25" s="137">
        <f t="shared" si="5"/>
        <v>195.39999997300001</v>
      </c>
      <c r="L25" s="227">
        <f>INDEX(Starter!A:A,ROW()-1)</f>
        <v>38092</v>
      </c>
      <c r="M25">
        <f>SUMIF(Erfassung6!BD:BD,L25,Erfassung6!BW:BW)</f>
        <v>1110</v>
      </c>
      <c r="N25">
        <f>SUMIF(Erfassung6!BD:BD,L25,Erfassung6!BG:BG)</f>
        <v>6</v>
      </c>
      <c r="O25">
        <f t="shared" si="0"/>
        <v>184.99999997500001</v>
      </c>
      <c r="P25">
        <f t="shared" si="1"/>
        <v>34</v>
      </c>
    </row>
    <row r="26" spans="1:16" x14ac:dyDescent="0.25">
      <c r="A26">
        <f t="shared" si="6"/>
        <v>22</v>
      </c>
      <c r="B26">
        <f t="shared" si="2"/>
        <v>7416</v>
      </c>
      <c r="C26" t="str">
        <f>IFERROR(INDEX(Starter!B:B,MATCH(B26,Starter!A:A,0)),"")</f>
        <v>Reichert, Ralph</v>
      </c>
      <c r="D26" t="str">
        <f>IFERROR(INDEX(Starter!C:C,MATCH(B26,Starter!A:A,0)),"")</f>
        <v>BC Bajuwaren 1976 München</v>
      </c>
      <c r="E26" s="102">
        <f t="shared" si="3"/>
        <v>777</v>
      </c>
      <c r="F26">
        <f t="shared" si="4"/>
        <v>4</v>
      </c>
      <c r="G26" s="137">
        <f t="shared" si="5"/>
        <v>194.24999997899999</v>
      </c>
      <c r="L26" s="227">
        <f>INDEX(Starter!A:A,ROW()-1)</f>
        <v>16243</v>
      </c>
      <c r="M26">
        <f>SUMIF(Erfassung6!BD:BD,L26,Erfassung6!BW:BW)</f>
        <v>1296</v>
      </c>
      <c r="N26">
        <f>SUMIF(Erfassung6!BD:BD,L26,Erfassung6!BG:BG)</f>
        <v>6</v>
      </c>
      <c r="O26">
        <f t="shared" si="0"/>
        <v>215.99999997399999</v>
      </c>
      <c r="P26">
        <f t="shared" si="1"/>
        <v>7</v>
      </c>
    </row>
    <row r="27" spans="1:16" x14ac:dyDescent="0.25">
      <c r="A27">
        <f t="shared" si="6"/>
        <v>23</v>
      </c>
      <c r="B27">
        <f t="shared" si="2"/>
        <v>10622</v>
      </c>
      <c r="C27" t="str">
        <f>IFERROR(INDEX(Starter!B:B,MATCH(B27,Starter!A:A,0)),"")</f>
        <v>Kreß, Michael</v>
      </c>
      <c r="D27" t="str">
        <f>IFERROR(INDEX(Starter!C:C,MATCH(B27,Starter!A:A,0)),"")</f>
        <v>DJK Rimpar</v>
      </c>
      <c r="E27" s="102">
        <f t="shared" si="3"/>
        <v>1165</v>
      </c>
      <c r="F27">
        <f t="shared" si="4"/>
        <v>6</v>
      </c>
      <c r="G27" s="137">
        <f t="shared" si="5"/>
        <v>194.16666666266667</v>
      </c>
      <c r="L27" s="227">
        <f>INDEX(Starter!A:A,ROW()-1)</f>
        <v>7725</v>
      </c>
      <c r="M27">
        <f>SUMIF(Erfassung6!BD:BD,L27,Erfassung6!BW:BW)</f>
        <v>977</v>
      </c>
      <c r="N27">
        <f>SUMIF(Erfassung6!BD:BD,L27,Erfassung6!BG:BG)</f>
        <v>5</v>
      </c>
      <c r="O27">
        <f t="shared" si="0"/>
        <v>195.39999997300001</v>
      </c>
      <c r="P27">
        <f t="shared" si="1"/>
        <v>21</v>
      </c>
    </row>
    <row r="28" spans="1:16" x14ac:dyDescent="0.25">
      <c r="A28">
        <f t="shared" si="6"/>
        <v>24</v>
      </c>
      <c r="B28">
        <f t="shared" si="2"/>
        <v>16852</v>
      </c>
      <c r="C28" t="str">
        <f>IFERROR(INDEX(Starter!B:B,MATCH(B28,Starter!A:A,0)),"")</f>
        <v>Wendel, Dominik</v>
      </c>
      <c r="D28" t="str">
        <f>IFERROR(INDEX(Starter!C:C,MATCH(B28,Starter!A:A,0)),"")</f>
        <v>SG Rottendorf</v>
      </c>
      <c r="E28" s="102">
        <f t="shared" si="3"/>
        <v>773</v>
      </c>
      <c r="F28">
        <f t="shared" si="4"/>
        <v>4</v>
      </c>
      <c r="G28" s="137">
        <f t="shared" si="5"/>
        <v>193.24999998999999</v>
      </c>
      <c r="L28" s="227">
        <f>INDEX(Starter!A:A,ROW()-1)</f>
        <v>7734</v>
      </c>
      <c r="M28">
        <f>SUMIF(Erfassung6!BD:BD,L28,Erfassung6!BW:BW)</f>
        <v>538</v>
      </c>
      <c r="N28">
        <f>SUMIF(Erfassung6!BD:BD,L28,Erfassung6!BG:BG)</f>
        <v>3</v>
      </c>
      <c r="O28">
        <f t="shared" si="0"/>
        <v>179.33333330533335</v>
      </c>
      <c r="P28">
        <f t="shared" si="1"/>
        <v>39</v>
      </c>
    </row>
    <row r="29" spans="1:16" x14ac:dyDescent="0.25">
      <c r="A29">
        <f t="shared" si="6"/>
        <v>25</v>
      </c>
      <c r="B29">
        <f t="shared" si="2"/>
        <v>16469</v>
      </c>
      <c r="C29" t="str">
        <f>IFERROR(INDEX(Starter!B:B,MATCH(B29,Starter!A:A,0)),"")</f>
        <v>Breitenstein, Alexander Kurt</v>
      </c>
      <c r="D29" t="str">
        <f>IFERROR(INDEX(Starter!C:C,MATCH(B29,Starter!A:A,0)),"")</f>
        <v>BF Rot-Weiß Lichtenhof 69</v>
      </c>
      <c r="E29" s="102">
        <f t="shared" si="3"/>
        <v>770</v>
      </c>
      <c r="F29">
        <f t="shared" si="4"/>
        <v>4</v>
      </c>
      <c r="G29" s="137">
        <f t="shared" si="5"/>
        <v>192.499999927</v>
      </c>
      <c r="L29" s="227">
        <f>INDEX(Starter!A:A,ROW()-1)</f>
        <v>7724</v>
      </c>
      <c r="M29">
        <f>SUMIF(Erfassung6!BD:BD,L29,Erfassung6!BW:BW)</f>
        <v>171</v>
      </c>
      <c r="N29">
        <f>SUMIF(Erfassung6!BD:BD,L29,Erfassung6!BG:BG)</f>
        <v>1</v>
      </c>
      <c r="O29">
        <f t="shared" si="0"/>
        <v>170.99999997099999</v>
      </c>
      <c r="P29">
        <f t="shared" si="1"/>
        <v>46</v>
      </c>
    </row>
    <row r="30" spans="1:16" x14ac:dyDescent="0.25">
      <c r="A30">
        <f t="shared" si="6"/>
        <v>26</v>
      </c>
      <c r="B30">
        <f t="shared" si="2"/>
        <v>16945</v>
      </c>
      <c r="C30" t="str">
        <f>IFERROR(INDEX(Starter!B:B,MATCH(B30,Starter!A:A,0)),"")</f>
        <v>Reichardt, Stefan</v>
      </c>
      <c r="D30" t="str">
        <f>IFERROR(INDEX(Starter!C:C,MATCH(B30,Starter!A:A,0)),"")</f>
        <v>SG Rottendorf</v>
      </c>
      <c r="E30" s="102">
        <f t="shared" si="3"/>
        <v>1151</v>
      </c>
      <c r="F30">
        <f t="shared" si="4"/>
        <v>6</v>
      </c>
      <c r="G30" s="137">
        <f t="shared" si="5"/>
        <v>191.83333332033334</v>
      </c>
      <c r="L30" s="227">
        <f>INDEX(Starter!A:A,ROW()-1)</f>
        <v>16896</v>
      </c>
      <c r="M30">
        <f>SUMIF(Erfassung6!BD:BD,L30,Erfassung6!BW:BW)</f>
        <v>565</v>
      </c>
      <c r="N30">
        <f>SUMIF(Erfassung6!BD:BD,L30,Erfassung6!BG:BG)</f>
        <v>3</v>
      </c>
      <c r="O30">
        <f t="shared" si="0"/>
        <v>188.33333330333335</v>
      </c>
      <c r="P30">
        <f t="shared" si="1"/>
        <v>33</v>
      </c>
    </row>
    <row r="31" spans="1:16" x14ac:dyDescent="0.25">
      <c r="A31">
        <f t="shared" si="6"/>
        <v>27</v>
      </c>
      <c r="B31">
        <f t="shared" si="2"/>
        <v>38687</v>
      </c>
      <c r="C31" t="str">
        <f>IFERROR(INDEX(Starter!B:B,MATCH(B31,Starter!A:A,0)),"")</f>
        <v>Gräfe, Sebastian</v>
      </c>
      <c r="D31" t="str">
        <f>IFERROR(INDEX(Starter!C:C,MATCH(B31,Starter!A:A,0)),"")</f>
        <v>DJK Rimpar</v>
      </c>
      <c r="E31" s="102">
        <f t="shared" si="3"/>
        <v>1150</v>
      </c>
      <c r="F31">
        <f t="shared" si="4"/>
        <v>6</v>
      </c>
      <c r="G31" s="137">
        <f t="shared" si="5"/>
        <v>191.66666666366666</v>
      </c>
      <c r="L31" s="227">
        <f>INDEX(Starter!A:A,ROW()-1)</f>
        <v>7102</v>
      </c>
      <c r="M31">
        <f>SUMIF(Erfassung6!BD:BD,L31,Erfassung6!BW:BW)</f>
        <v>1330</v>
      </c>
      <c r="N31">
        <f>SUMIF(Erfassung6!BD:BD,L31,Erfassung6!BG:BG)</f>
        <v>6</v>
      </c>
      <c r="O31">
        <f t="shared" si="0"/>
        <v>221.66666663566664</v>
      </c>
      <c r="P31">
        <f t="shared" si="1"/>
        <v>3</v>
      </c>
    </row>
    <row r="32" spans="1:16" x14ac:dyDescent="0.25">
      <c r="A32">
        <f t="shared" si="6"/>
        <v>28</v>
      </c>
      <c r="B32">
        <f t="shared" si="2"/>
        <v>16301</v>
      </c>
      <c r="C32" t="str">
        <f>IFERROR(INDEX(Starter!B:B,MATCH(B32,Starter!A:A,0)),"")</f>
        <v>Werder, Jan-Uwe</v>
      </c>
      <c r="D32" t="str">
        <f>IFERROR(INDEX(Starter!C:C,MATCH(B32,Starter!A:A,0)),"")</f>
        <v>DJK Rimpar</v>
      </c>
      <c r="E32" s="102">
        <f t="shared" si="3"/>
        <v>1140</v>
      </c>
      <c r="F32">
        <f t="shared" si="4"/>
        <v>6</v>
      </c>
      <c r="G32" s="137">
        <f t="shared" si="5"/>
        <v>189.999999995</v>
      </c>
      <c r="L32" s="227">
        <f>INDEX(Starter!A:A,ROW()-1)</f>
        <v>16245</v>
      </c>
      <c r="M32">
        <f>SUMIF(Erfassung6!BD:BD,L32,Erfassung6!BW:BW)</f>
        <v>0</v>
      </c>
      <c r="N32">
        <f>SUMIF(Erfassung6!BD:BD,L32,Erfassung6!BG:BG)</f>
        <v>0</v>
      </c>
      <c r="O32">
        <f t="shared" si="0"/>
        <v>0</v>
      </c>
      <c r="P32">
        <f t="shared" si="1"/>
        <v>53</v>
      </c>
    </row>
    <row r="33" spans="1:16" x14ac:dyDescent="0.25">
      <c r="A33">
        <f t="shared" si="6"/>
        <v>29</v>
      </c>
      <c r="B33">
        <f t="shared" si="2"/>
        <v>16532</v>
      </c>
      <c r="C33" t="str">
        <f>IFERROR(INDEX(Starter!B:B,MATCH(B33,Starter!A:A,0)),"")</f>
        <v>Karl, William</v>
      </c>
      <c r="D33" t="str">
        <f>IFERROR(INDEX(Starter!C:C,MATCH(B33,Starter!A:A,0)),"")</f>
        <v>BC Bamberger Bowlinghaus</v>
      </c>
      <c r="E33" s="102">
        <f t="shared" si="3"/>
        <v>570</v>
      </c>
      <c r="F33">
        <f t="shared" si="4"/>
        <v>3</v>
      </c>
      <c r="G33" s="137">
        <f t="shared" si="5"/>
        <v>189.99999994300001</v>
      </c>
      <c r="L33" s="227">
        <f>INDEX(Starter!A:A,ROW()-1)</f>
        <v>27134</v>
      </c>
      <c r="M33">
        <f>SUMIF(Erfassung6!BD:BD,L33,Erfassung6!BW:BW)</f>
        <v>550</v>
      </c>
      <c r="N33">
        <f>SUMIF(Erfassung6!BD:BD,L33,Erfassung6!BG:BG)</f>
        <v>3</v>
      </c>
      <c r="O33">
        <f t="shared" si="0"/>
        <v>183.33333330033335</v>
      </c>
      <c r="P33">
        <f t="shared" si="1"/>
        <v>36</v>
      </c>
    </row>
    <row r="34" spans="1:16" x14ac:dyDescent="0.25">
      <c r="A34">
        <f t="shared" si="6"/>
        <v>30</v>
      </c>
      <c r="B34">
        <f t="shared" si="2"/>
        <v>41008</v>
      </c>
      <c r="C34" t="str">
        <f>IFERROR(INDEX(Starter!B:B,MATCH(B34,Starter!A:A,0)),"")</f>
        <v>Richter, Benjamin</v>
      </c>
      <c r="D34" t="str">
        <f>IFERROR(INDEX(Starter!C:C,MATCH(B34,Starter!A:A,0)),"")</f>
        <v>BC EMAX</v>
      </c>
      <c r="E34" s="102">
        <f t="shared" si="3"/>
        <v>379</v>
      </c>
      <c r="F34">
        <f t="shared" si="4"/>
        <v>2</v>
      </c>
      <c r="G34" s="137">
        <f t="shared" si="5"/>
        <v>189.49999993500001</v>
      </c>
      <c r="L34" s="227">
        <f>INDEX(Starter!A:A,ROW()-1)</f>
        <v>7883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53</v>
      </c>
    </row>
    <row r="35" spans="1:16" x14ac:dyDescent="0.25">
      <c r="A35">
        <f t="shared" si="6"/>
        <v>31</v>
      </c>
      <c r="B35">
        <f t="shared" si="2"/>
        <v>16352</v>
      </c>
      <c r="C35" t="str">
        <f>IFERROR(INDEX(Starter!B:B,MATCH(B35,Starter!A:A,0)),"")</f>
        <v>Scholz, Alexander</v>
      </c>
      <c r="D35" t="str">
        <f>IFERROR(INDEX(Starter!C:C,MATCH(B35,Starter!A:A,0)),"")</f>
        <v>SG Rottendorf</v>
      </c>
      <c r="E35" s="102">
        <f t="shared" si="3"/>
        <v>1133</v>
      </c>
      <c r="F35">
        <f t="shared" si="4"/>
        <v>6</v>
      </c>
      <c r="G35" s="137">
        <f t="shared" si="5"/>
        <v>188.83333332233335</v>
      </c>
      <c r="L35" s="227">
        <f>INDEX(Starter!A:A,ROW()-1)</f>
        <v>7653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53</v>
      </c>
    </row>
    <row r="36" spans="1:16" x14ac:dyDescent="0.25">
      <c r="A36">
        <f t="shared" si="6"/>
        <v>32</v>
      </c>
      <c r="B36">
        <f t="shared" si="2"/>
        <v>7593</v>
      </c>
      <c r="C36" t="str">
        <f>IFERROR(INDEX(Starter!B:B,MATCH(B36,Starter!A:A,0)),"")</f>
        <v>Börding, Peter</v>
      </c>
      <c r="D36" t="str">
        <f>IFERROR(INDEX(Starter!C:C,MATCH(B36,Starter!A:A,0)),"")</f>
        <v>BK München</v>
      </c>
      <c r="E36" s="102">
        <f t="shared" si="3"/>
        <v>1132</v>
      </c>
      <c r="F36">
        <f t="shared" si="4"/>
        <v>6</v>
      </c>
      <c r="G36" s="137">
        <f t="shared" si="5"/>
        <v>188.66666662066666</v>
      </c>
      <c r="L36" s="227">
        <f>INDEX(Starter!A:A,ROW()-1)</f>
        <v>25554</v>
      </c>
      <c r="M36">
        <f>SUMIF(Erfassung6!BD:BD,L36,Erfassung6!BW:BW)</f>
        <v>709</v>
      </c>
      <c r="N36">
        <f>SUMIF(Erfassung6!BD:BD,L36,Erfassung6!BG:BG)</f>
        <v>4</v>
      </c>
      <c r="O36">
        <f t="shared" si="0"/>
        <v>177.24999996400001</v>
      </c>
      <c r="P36">
        <f t="shared" si="1"/>
        <v>40</v>
      </c>
    </row>
    <row r="37" spans="1:16" x14ac:dyDescent="0.25">
      <c r="A37">
        <f t="shared" si="6"/>
        <v>33</v>
      </c>
      <c r="B37">
        <f t="shared" ref="B37:B68" si="7">IFERROR(INDEX(L:L,MATCH(A37,P:P,0)),"")</f>
        <v>16896</v>
      </c>
      <c r="C37" t="str">
        <f>IFERROR(INDEX(Starter!B:B,MATCH(B37,Starter!A:A,0)),"")</f>
        <v>Mittelmaier, Andreas</v>
      </c>
      <c r="D37" t="str">
        <f>IFERROR(INDEX(Starter!C:C,MATCH(B37,Starter!A:A,0)),"")</f>
        <v>Comet</v>
      </c>
      <c r="E37" s="102">
        <f t="shared" ref="E37:E68" si="8">IFERROR(INDEX(M:M,MATCH(A37,P:P,0)),"")</f>
        <v>565</v>
      </c>
      <c r="F37">
        <f t="shared" ref="F37:F68" si="9">IFERROR(INDEX(N:N,MATCH(A37,P:P,0)),"")</f>
        <v>3</v>
      </c>
      <c r="G37" s="137">
        <f t="shared" ref="G37:G68" si="10">IFERROR(INDEX(O:O,MATCH(A37,P:P,0)),"")</f>
        <v>188.33333330333335</v>
      </c>
      <c r="L37" s="227">
        <f>INDEX(Starter!A:A,ROW()-1)</f>
        <v>7099</v>
      </c>
      <c r="M37">
        <f>SUMIF(Erfassung6!BD:BD,L37,Erfassung6!BW:BW)</f>
        <v>403</v>
      </c>
      <c r="N37">
        <f>SUMIF(Erfassung6!BD:BD,L37,Erfassung6!BG:BG)</f>
        <v>2</v>
      </c>
      <c r="O37">
        <f t="shared" si="0"/>
        <v>201.49999996299999</v>
      </c>
      <c r="P37">
        <f t="shared" si="1"/>
        <v>18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38092</v>
      </c>
      <c r="C38" t="str">
        <f>IFERROR(INDEX(Starter!B:B,MATCH(B38,Starter!A:A,0)),"")</f>
        <v>Kabel, Nicolas</v>
      </c>
      <c r="D38" t="str">
        <f>IFERROR(INDEX(Starter!C:C,MATCH(B38,Starter!A:A,0)),"")</f>
        <v>BSC Highroller Rosenheim</v>
      </c>
      <c r="E38" s="102">
        <f t="shared" si="8"/>
        <v>1110</v>
      </c>
      <c r="F38">
        <f t="shared" si="9"/>
        <v>6</v>
      </c>
      <c r="G38" s="137">
        <f t="shared" si="10"/>
        <v>184.99999997500001</v>
      </c>
      <c r="L38" s="227">
        <f>INDEX(Starter!A:A,ROW()-1)</f>
        <v>38041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53</v>
      </c>
    </row>
    <row r="39" spans="1:16" x14ac:dyDescent="0.25">
      <c r="A39">
        <f t="shared" si="11"/>
        <v>35</v>
      </c>
      <c r="B39">
        <f t="shared" si="7"/>
        <v>16912</v>
      </c>
      <c r="C39" t="str">
        <f>IFERROR(INDEX(Starter!B:B,MATCH(B39,Starter!A:A,0)),"")</f>
        <v>Hellmessen, Maximilian</v>
      </c>
      <c r="D39" t="str">
        <f>IFERROR(INDEX(Starter!C:C,MATCH(B39,Starter!A:A,0)),"")</f>
        <v>BK München</v>
      </c>
      <c r="E39" s="102">
        <f t="shared" si="8"/>
        <v>1105</v>
      </c>
      <c r="F39">
        <f t="shared" si="9"/>
        <v>6</v>
      </c>
      <c r="G39" s="137">
        <f t="shared" si="10"/>
        <v>184.16666665066666</v>
      </c>
      <c r="L39" s="227">
        <f>INDEX(Starter!A:A,ROW()-1)</f>
        <v>25516</v>
      </c>
      <c r="M39">
        <f>SUMIF(Erfassung6!BD:BD,L39,Erfassung6!BW:BW)</f>
        <v>1324</v>
      </c>
      <c r="N39">
        <f>SUMIF(Erfassung6!BD:BD,L39,Erfassung6!BG:BG)</f>
        <v>6</v>
      </c>
      <c r="O39">
        <f t="shared" si="0"/>
        <v>220.66666662766664</v>
      </c>
      <c r="P39">
        <f t="shared" si="1"/>
        <v>4</v>
      </c>
    </row>
    <row r="40" spans="1:16" x14ac:dyDescent="0.25">
      <c r="A40">
        <f t="shared" si="11"/>
        <v>36</v>
      </c>
      <c r="B40">
        <f t="shared" si="7"/>
        <v>27134</v>
      </c>
      <c r="C40" t="str">
        <f>IFERROR(INDEX(Starter!B:B,MATCH(B40,Starter!A:A,0)),"")</f>
        <v>Lohse, Sebastian</v>
      </c>
      <c r="D40" t="str">
        <f>IFERROR(INDEX(Starter!C:C,MATCH(B40,Starter!A:A,0)),"")</f>
        <v>BC EMAX</v>
      </c>
      <c r="E40" s="102">
        <f t="shared" si="8"/>
        <v>550</v>
      </c>
      <c r="F40">
        <f t="shared" si="9"/>
        <v>3</v>
      </c>
      <c r="G40" s="137">
        <f t="shared" si="10"/>
        <v>183.33333330033335</v>
      </c>
      <c r="L40" s="227">
        <f>INDEX(Starter!A:A,ROW()-1)</f>
        <v>16873</v>
      </c>
      <c r="M40">
        <f>SUMIF(Erfassung6!BD:BD,L40,Erfassung6!BW:BW)</f>
        <v>347</v>
      </c>
      <c r="N40">
        <f>SUMIF(Erfassung6!BD:BD,L40,Erfassung6!BG:BG)</f>
        <v>2</v>
      </c>
      <c r="O40">
        <f t="shared" si="0"/>
        <v>173.49999996</v>
      </c>
      <c r="P40">
        <f t="shared" si="1"/>
        <v>43</v>
      </c>
    </row>
    <row r="41" spans="1:16" x14ac:dyDescent="0.25">
      <c r="A41">
        <f t="shared" si="11"/>
        <v>37</v>
      </c>
      <c r="B41">
        <f t="shared" si="7"/>
        <v>16888</v>
      </c>
      <c r="C41" t="str">
        <f>IFERROR(INDEX(Starter!B:B,MATCH(B41,Starter!A:A,0)),"")</f>
        <v>Auer, Thomas</v>
      </c>
      <c r="D41" t="str">
        <f>IFERROR(INDEX(Starter!C:C,MATCH(B41,Starter!A:A,0)),"")</f>
        <v>BSC Highroller Rosenheim</v>
      </c>
      <c r="E41" s="102">
        <f t="shared" si="8"/>
        <v>1098</v>
      </c>
      <c r="F41">
        <f t="shared" si="9"/>
        <v>6</v>
      </c>
      <c r="G41" s="137">
        <f t="shared" si="10"/>
        <v>182.999999976</v>
      </c>
      <c r="L41" s="227">
        <f>INDEX(Starter!A:A,ROW()-1)</f>
        <v>7937</v>
      </c>
      <c r="M41">
        <f>SUMIF(Erfassung6!BD:BD,L41,Erfassung6!BW:BW)</f>
        <v>1281</v>
      </c>
      <c r="N41">
        <f>SUMIF(Erfassung6!BD:BD,L41,Erfassung6!BG:BG)</f>
        <v>6</v>
      </c>
      <c r="O41">
        <f t="shared" si="0"/>
        <v>213.49999995900001</v>
      </c>
      <c r="P41">
        <f t="shared" si="1"/>
        <v>8</v>
      </c>
    </row>
    <row r="42" spans="1:16" x14ac:dyDescent="0.25">
      <c r="A42">
        <f t="shared" si="11"/>
        <v>38</v>
      </c>
      <c r="B42">
        <f t="shared" si="7"/>
        <v>16519</v>
      </c>
      <c r="C42" t="str">
        <f>IFERROR(INDEX(Starter!B:B,MATCH(B42,Starter!A:A,0)),"")</f>
        <v>Tos, Sascha</v>
      </c>
      <c r="D42" t="str">
        <f>IFERROR(INDEX(Starter!C:C,MATCH(B42,Starter!A:A,0)),"")</f>
        <v>BSC Highroller Rosenheim</v>
      </c>
      <c r="E42" s="102">
        <f t="shared" si="8"/>
        <v>718</v>
      </c>
      <c r="F42">
        <f t="shared" si="9"/>
        <v>4</v>
      </c>
      <c r="G42" s="137">
        <f t="shared" si="10"/>
        <v>179.49999994000001</v>
      </c>
      <c r="L42" s="227">
        <f>INDEX(Starter!A:A,ROW()-1)</f>
        <v>10124</v>
      </c>
      <c r="M42">
        <f>SUMIF(Erfassung6!BD:BD,L42,Erfassung6!BW:BW)</f>
        <v>1255</v>
      </c>
      <c r="N42">
        <f>SUMIF(Erfassung6!BD:BD,L42,Erfassung6!BG:BG)</f>
        <v>6</v>
      </c>
      <c r="O42">
        <f t="shared" si="0"/>
        <v>209.16666662466665</v>
      </c>
      <c r="P42">
        <f t="shared" si="1"/>
        <v>12</v>
      </c>
    </row>
    <row r="43" spans="1:16" x14ac:dyDescent="0.25">
      <c r="A43">
        <f t="shared" si="11"/>
        <v>39</v>
      </c>
      <c r="B43">
        <f t="shared" si="7"/>
        <v>7734</v>
      </c>
      <c r="C43" t="str">
        <f>IFERROR(INDEX(Starter!B:B,MATCH(B43,Starter!A:A,0)),"")</f>
        <v>Schwarz, Jan</v>
      </c>
      <c r="D43" t="str">
        <f>IFERROR(INDEX(Starter!C:C,MATCH(B43,Starter!A:A,0)),"")</f>
        <v>Comet</v>
      </c>
      <c r="E43" s="102">
        <f t="shared" si="8"/>
        <v>538</v>
      </c>
      <c r="F43">
        <f t="shared" si="9"/>
        <v>3</v>
      </c>
      <c r="G43" s="137">
        <f t="shared" si="10"/>
        <v>179.33333330533335</v>
      </c>
      <c r="L43" s="227">
        <f>INDEX(Starter!A:A,ROW()-1)</f>
        <v>16263</v>
      </c>
      <c r="M43">
        <f>SUMIF(Erfassung6!BD:BD,L43,Erfassung6!BW:BW)</f>
        <v>844</v>
      </c>
      <c r="N43">
        <f>SUMIF(Erfassung6!BD:BD,L43,Erfassung6!BG:BG)</f>
        <v>5</v>
      </c>
      <c r="O43">
        <f t="shared" si="0"/>
        <v>168.79999995700001</v>
      </c>
      <c r="P43">
        <f t="shared" si="1"/>
        <v>48</v>
      </c>
    </row>
    <row r="44" spans="1:16" x14ac:dyDescent="0.25">
      <c r="A44">
        <f t="shared" si="11"/>
        <v>40</v>
      </c>
      <c r="B44">
        <f t="shared" si="7"/>
        <v>25554</v>
      </c>
      <c r="C44" t="str">
        <f>IFERROR(INDEX(Starter!B:B,MATCH(B44,Starter!A:A,0)),"")</f>
        <v>Blasits, Ernst</v>
      </c>
      <c r="D44" t="str">
        <f>IFERROR(INDEX(Starter!C:C,MATCH(B44,Starter!A:A,0)),"")</f>
        <v>BC EMAX</v>
      </c>
      <c r="E44" s="102">
        <f t="shared" si="8"/>
        <v>709</v>
      </c>
      <c r="F44">
        <f t="shared" si="9"/>
        <v>4</v>
      </c>
      <c r="G44" s="137">
        <f t="shared" si="10"/>
        <v>177.24999996400001</v>
      </c>
      <c r="L44" s="227">
        <f>INDEX(Starter!A:A,ROW()-1)</f>
        <v>7959</v>
      </c>
      <c r="M44">
        <f>SUMIF(Erfassung6!BD:BD,L44,Erfassung6!BW:BW)</f>
        <v>0</v>
      </c>
      <c r="N44">
        <f>SUMIF(Erfassung6!BD:BD,L44,Erfassung6!BG:BG)</f>
        <v>0</v>
      </c>
      <c r="O44">
        <f t="shared" si="0"/>
        <v>0</v>
      </c>
      <c r="P44">
        <f t="shared" si="1"/>
        <v>53</v>
      </c>
    </row>
    <row r="45" spans="1:16" x14ac:dyDescent="0.25">
      <c r="A45">
        <f t="shared" si="11"/>
        <v>41</v>
      </c>
      <c r="B45">
        <f t="shared" si="7"/>
        <v>7601</v>
      </c>
      <c r="C45" t="str">
        <f>IFERROR(INDEX(Starter!B:B,MATCH(B45,Starter!A:A,0)),"")</f>
        <v>Lüthje, Volker</v>
      </c>
      <c r="D45" t="str">
        <f>IFERROR(INDEX(Starter!C:C,MATCH(B45,Starter!A:A,0)),"")</f>
        <v>BC Bajuwaren 1976 München</v>
      </c>
      <c r="E45" s="102">
        <f t="shared" si="8"/>
        <v>708</v>
      </c>
      <c r="F45">
        <f t="shared" si="9"/>
        <v>4</v>
      </c>
      <c r="G45" s="137">
        <f t="shared" si="10"/>
        <v>176.99999995499999</v>
      </c>
      <c r="L45" s="227">
        <f>INDEX(Starter!A:A,ROW()-1)</f>
        <v>7601</v>
      </c>
      <c r="M45">
        <f>SUMIF(Erfassung6!BD:BD,L45,Erfassung6!BW:BW)</f>
        <v>708</v>
      </c>
      <c r="N45">
        <f>SUMIF(Erfassung6!BD:BD,L45,Erfassung6!BG:BG)</f>
        <v>4</v>
      </c>
      <c r="O45">
        <f t="shared" si="0"/>
        <v>176.99999995499999</v>
      </c>
      <c r="P45">
        <f t="shared" si="1"/>
        <v>41</v>
      </c>
    </row>
    <row r="46" spans="1:16" x14ac:dyDescent="0.25">
      <c r="A46">
        <f t="shared" si="11"/>
        <v>42</v>
      </c>
      <c r="B46">
        <f t="shared" si="7"/>
        <v>25465</v>
      </c>
      <c r="C46" t="str">
        <f>IFERROR(INDEX(Starter!B:B,MATCH(B46,Starter!A:A,0)),"")</f>
        <v>Wahl, Norbert</v>
      </c>
      <c r="D46" t="str">
        <f>IFERROR(INDEX(Starter!C:C,MATCH(B46,Starter!A:A,0)),"")</f>
        <v>BF Rot-Weiß Lichtenhof 69</v>
      </c>
      <c r="E46" s="102">
        <f t="shared" si="8"/>
        <v>353</v>
      </c>
      <c r="F46">
        <f t="shared" si="9"/>
        <v>2</v>
      </c>
      <c r="G46" s="137">
        <f t="shared" si="10"/>
        <v>176.499999925</v>
      </c>
      <c r="L46" s="227">
        <f>INDEX(Starter!A:A,ROW()-1)</f>
        <v>7593</v>
      </c>
      <c r="M46">
        <f>SUMIF(Erfassung6!BD:BD,L46,Erfassung6!BW:BW)</f>
        <v>1132</v>
      </c>
      <c r="N46">
        <f>SUMIF(Erfassung6!BD:BD,L46,Erfassung6!BG:BG)</f>
        <v>6</v>
      </c>
      <c r="O46">
        <f t="shared" si="0"/>
        <v>188.66666662066666</v>
      </c>
      <c r="P46">
        <f t="shared" si="1"/>
        <v>32</v>
      </c>
    </row>
    <row r="47" spans="1:16" x14ac:dyDescent="0.25">
      <c r="A47">
        <f t="shared" si="11"/>
        <v>43</v>
      </c>
      <c r="B47">
        <f t="shared" si="7"/>
        <v>16873</v>
      </c>
      <c r="C47" t="str">
        <f>IFERROR(INDEX(Starter!B:B,MATCH(B47,Starter!A:A,0)),"")</f>
        <v>Nolan, Jonathan</v>
      </c>
      <c r="D47" t="str">
        <f>IFERROR(INDEX(Starter!C:C,MATCH(B47,Starter!A:A,0)),"")</f>
        <v>BC Bamberger Bowlinghaus</v>
      </c>
      <c r="E47" s="102">
        <f t="shared" si="8"/>
        <v>347</v>
      </c>
      <c r="F47">
        <f t="shared" si="9"/>
        <v>2</v>
      </c>
      <c r="G47" s="137">
        <f t="shared" si="10"/>
        <v>173.49999996</v>
      </c>
      <c r="L47" s="227">
        <f>INDEX(Starter!A:A,ROW()-1)</f>
        <v>7591</v>
      </c>
      <c r="M47">
        <f>SUMIF(Erfassung6!BD:BD,L47,Erfassung6!BW:BW)</f>
        <v>0</v>
      </c>
      <c r="N47">
        <f>SUMIF(Erfassung6!BD:BD,L47,Erfassung6!BG:BG)</f>
        <v>0</v>
      </c>
      <c r="O47">
        <f t="shared" si="0"/>
        <v>0</v>
      </c>
      <c r="P47">
        <f t="shared" si="1"/>
        <v>53</v>
      </c>
    </row>
    <row r="48" spans="1:16" x14ac:dyDescent="0.25">
      <c r="A48">
        <f t="shared" si="11"/>
        <v>44</v>
      </c>
      <c r="B48">
        <f t="shared" si="7"/>
        <v>7600</v>
      </c>
      <c r="C48" t="str">
        <f>IFERROR(INDEX(Starter!B:B,MATCH(B48,Starter!A:A,0)),"")</f>
        <v>Lüthje, Dennis</v>
      </c>
      <c r="D48" t="str">
        <f>IFERROR(INDEX(Starter!C:C,MATCH(B48,Starter!A:A,0)),"")</f>
        <v>BC Bajuwaren 1976 München</v>
      </c>
      <c r="E48" s="102">
        <f t="shared" si="8"/>
        <v>1038</v>
      </c>
      <c r="F48">
        <f t="shared" si="9"/>
        <v>6</v>
      </c>
      <c r="G48" s="137">
        <f t="shared" si="10"/>
        <v>172.99999998000001</v>
      </c>
      <c r="L48" s="227">
        <f>INDEX(Starter!A:A,ROW()-1)</f>
        <v>38039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53</v>
      </c>
    </row>
    <row r="49" spans="1:16" x14ac:dyDescent="0.25">
      <c r="A49">
        <f t="shared" si="11"/>
        <v>45</v>
      </c>
      <c r="B49">
        <f t="shared" si="7"/>
        <v>38043</v>
      </c>
      <c r="C49" t="str">
        <f>IFERROR(INDEX(Starter!B:B,MATCH(B49,Starter!A:A,0)),"")</f>
        <v>Badum, Daniel</v>
      </c>
      <c r="D49" t="str">
        <f>IFERROR(INDEX(Starter!C:C,MATCH(B49,Starter!A:A,0)),"")</f>
        <v>BC Bamberger Bowlinghaus</v>
      </c>
      <c r="E49" s="102">
        <f t="shared" si="8"/>
        <v>860</v>
      </c>
      <c r="F49">
        <f t="shared" si="9"/>
        <v>5</v>
      </c>
      <c r="G49" s="137">
        <f t="shared" si="10"/>
        <v>171.99999994199999</v>
      </c>
      <c r="L49" s="227">
        <f>INDEX(Starter!A:A,ROW()-1)</f>
        <v>7738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53</v>
      </c>
    </row>
    <row r="50" spans="1:16" x14ac:dyDescent="0.25">
      <c r="A50">
        <f t="shared" si="11"/>
        <v>46</v>
      </c>
      <c r="B50">
        <f t="shared" si="7"/>
        <v>7724</v>
      </c>
      <c r="C50" t="str">
        <f>IFERROR(INDEX(Starter!B:B,MATCH(B50,Starter!A:A,0)),"")</f>
        <v>Schlick, Christian</v>
      </c>
      <c r="D50" t="str">
        <f>IFERROR(INDEX(Starter!C:C,MATCH(B50,Starter!A:A,0)),"")</f>
        <v>Comet</v>
      </c>
      <c r="E50" s="102">
        <f t="shared" si="8"/>
        <v>171</v>
      </c>
      <c r="F50">
        <f t="shared" si="9"/>
        <v>1</v>
      </c>
      <c r="G50" s="137">
        <f t="shared" si="10"/>
        <v>170.99999997099999</v>
      </c>
      <c r="L50" s="227">
        <f>INDEX(Starter!A:A,ROW()-1)</f>
        <v>16862</v>
      </c>
      <c r="M50">
        <f>SUMIF(Erfassung6!BD:BD,L50,Erfassung6!BW:BW)</f>
        <v>336</v>
      </c>
      <c r="N50">
        <f>SUMIF(Erfassung6!BD:BD,L50,Erfassung6!BG:BG)</f>
        <v>2</v>
      </c>
      <c r="O50">
        <f t="shared" si="0"/>
        <v>167.99999994999999</v>
      </c>
      <c r="P50">
        <f t="shared" si="1"/>
        <v>50</v>
      </c>
    </row>
    <row r="51" spans="1:16" x14ac:dyDescent="0.25">
      <c r="A51">
        <f t="shared" si="11"/>
        <v>47</v>
      </c>
      <c r="B51">
        <f t="shared" si="7"/>
        <v>7597</v>
      </c>
      <c r="C51" t="str">
        <f>IFERROR(INDEX(Starter!B:B,MATCH(B51,Starter!A:A,0)),"")</f>
        <v>Laub, Harald</v>
      </c>
      <c r="D51" t="str">
        <f>IFERROR(INDEX(Starter!C:C,MATCH(B51,Starter!A:A,0)),"")</f>
        <v>BK München</v>
      </c>
      <c r="E51" s="102">
        <f t="shared" si="8"/>
        <v>1023</v>
      </c>
      <c r="F51">
        <f t="shared" si="9"/>
        <v>6</v>
      </c>
      <c r="G51" s="137">
        <f t="shared" si="10"/>
        <v>170.49999998499999</v>
      </c>
      <c r="L51" s="227">
        <f>INDEX(Starter!A:A,ROW()-1)</f>
        <v>16346</v>
      </c>
      <c r="M51">
        <f>SUMIF(Erfassung6!BD:BD,L51,Erfassung6!BW:BW)</f>
        <v>0</v>
      </c>
      <c r="N51">
        <f>SUMIF(Erfassung6!BD:BD,L51,Erfassung6!BG:BG)</f>
        <v>0</v>
      </c>
      <c r="O51">
        <f t="shared" si="0"/>
        <v>0</v>
      </c>
      <c r="P51">
        <f t="shared" si="1"/>
        <v>53</v>
      </c>
    </row>
    <row r="52" spans="1:16" x14ac:dyDescent="0.25">
      <c r="A52">
        <f t="shared" si="11"/>
        <v>48</v>
      </c>
      <c r="B52">
        <f t="shared" si="7"/>
        <v>16263</v>
      </c>
      <c r="C52" t="str">
        <f>IFERROR(INDEX(Starter!B:B,MATCH(B52,Starter!A:A,0)),"")</f>
        <v>Jackwerth, Enno</v>
      </c>
      <c r="D52" t="str">
        <f>IFERROR(INDEX(Starter!C:C,MATCH(B52,Starter!A:A,0)),"")</f>
        <v>BF Rot-Weiß Lichtenhof 69</v>
      </c>
      <c r="E52" s="102">
        <f t="shared" si="8"/>
        <v>844</v>
      </c>
      <c r="F52">
        <f t="shared" si="9"/>
        <v>5</v>
      </c>
      <c r="G52" s="137">
        <f t="shared" si="10"/>
        <v>168.79999995700001</v>
      </c>
      <c r="L52" s="227">
        <f>INDEX(Starter!A:A,ROW()-1)</f>
        <v>25024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53</v>
      </c>
    </row>
    <row r="53" spans="1:16" x14ac:dyDescent="0.25">
      <c r="A53">
        <f t="shared" si="11"/>
        <v>49</v>
      </c>
      <c r="B53">
        <f t="shared" si="7"/>
        <v>16398</v>
      </c>
      <c r="C53" t="str">
        <f>IFERROR(INDEX(Starter!B:B,MATCH(B53,Starter!A:A,0)),"")</f>
        <v>Denz, Günter</v>
      </c>
      <c r="D53" t="str">
        <f>IFERROR(INDEX(Starter!C:C,MATCH(B53,Starter!A:A,0)),"")</f>
        <v>BC EMAX</v>
      </c>
      <c r="E53" s="102">
        <f t="shared" si="8"/>
        <v>506</v>
      </c>
      <c r="F53">
        <f t="shared" si="9"/>
        <v>3</v>
      </c>
      <c r="G53" s="137">
        <f t="shared" si="10"/>
        <v>168.66666660066664</v>
      </c>
      <c r="L53" s="227">
        <f>INDEX(Starter!A:A,ROW()-1)</f>
        <v>7344</v>
      </c>
      <c r="M53">
        <f>SUMIF(Erfassung6!BD:BD,L53,Erfassung6!BW:BW)</f>
        <v>0</v>
      </c>
      <c r="N53">
        <f>SUMIF(Erfassung6!BD:BD,L53,Erfassung6!BG:BG)</f>
        <v>0</v>
      </c>
      <c r="O53">
        <f t="shared" si="0"/>
        <v>0</v>
      </c>
      <c r="P53">
        <f t="shared" si="1"/>
        <v>53</v>
      </c>
    </row>
    <row r="54" spans="1:16" x14ac:dyDescent="0.25">
      <c r="A54">
        <f t="shared" si="11"/>
        <v>50</v>
      </c>
      <c r="B54">
        <f t="shared" si="7"/>
        <v>16862</v>
      </c>
      <c r="C54" t="str">
        <f>IFERROR(INDEX(Starter!B:B,MATCH(B54,Starter!A:A,0)),"")</f>
        <v>Büttner, Christian</v>
      </c>
      <c r="D54" t="str">
        <f>IFERROR(INDEX(Starter!C:C,MATCH(B54,Starter!A:A,0)),"")</f>
        <v>SG Rottendorf</v>
      </c>
      <c r="E54" s="102">
        <f t="shared" si="8"/>
        <v>336</v>
      </c>
      <c r="F54">
        <f t="shared" si="9"/>
        <v>2</v>
      </c>
      <c r="G54" s="137">
        <f t="shared" si="10"/>
        <v>167.99999994999999</v>
      </c>
      <c r="L54" s="227">
        <f>INDEX(Starter!A:A,ROW()-1)</f>
        <v>7602</v>
      </c>
      <c r="M54">
        <f>SUMIF(Erfassung6!BD:BD,L54,Erfassung6!BW:BW)</f>
        <v>1180</v>
      </c>
      <c r="N54">
        <f>SUMIF(Erfassung6!BD:BD,L54,Erfassung6!BG:BG)</f>
        <v>6</v>
      </c>
      <c r="O54">
        <f t="shared" si="0"/>
        <v>196.66666661266666</v>
      </c>
      <c r="P54">
        <f t="shared" si="1"/>
        <v>20</v>
      </c>
    </row>
    <row r="55" spans="1:16" x14ac:dyDescent="0.25">
      <c r="A55">
        <f t="shared" si="11"/>
        <v>51</v>
      </c>
      <c r="B55">
        <f t="shared" si="7"/>
        <v>16762</v>
      </c>
      <c r="C55" t="str">
        <f>IFERROR(INDEX(Starter!B:B,MATCH(B55,Starter!A:A,0)),"")</f>
        <v>Glasl sen., Hans</v>
      </c>
      <c r="D55" t="str">
        <f>IFERROR(INDEX(Starter!C:C,MATCH(B55,Starter!A:A,0)),"")</f>
        <v>BC Bajuwaren 1976 München</v>
      </c>
      <c r="E55" s="102">
        <f t="shared" si="8"/>
        <v>629</v>
      </c>
      <c r="F55">
        <f t="shared" si="9"/>
        <v>4</v>
      </c>
      <c r="G55" s="137">
        <f t="shared" si="10"/>
        <v>157.249999981</v>
      </c>
      <c r="L55" s="227">
        <f>INDEX(Starter!A:A,ROW()-1)</f>
        <v>25325</v>
      </c>
      <c r="M55">
        <f>SUMIF(Erfassung6!BD:BD,L55,Erfassung6!BW:BW)</f>
        <v>1221</v>
      </c>
      <c r="N55">
        <f>SUMIF(Erfassung6!BD:BD,L55,Erfassung6!BG:BG)</f>
        <v>6</v>
      </c>
      <c r="O55">
        <f t="shared" si="0"/>
        <v>203.49999994500001</v>
      </c>
      <c r="P55">
        <f t="shared" si="1"/>
        <v>15</v>
      </c>
    </row>
    <row r="56" spans="1:16" x14ac:dyDescent="0.25">
      <c r="A56">
        <f t="shared" si="11"/>
        <v>52</v>
      </c>
      <c r="B56">
        <f t="shared" si="7"/>
        <v>25061</v>
      </c>
      <c r="C56" t="str">
        <f>IFERROR(INDEX(Starter!B:B,MATCH(B56,Starter!A:A,0)),"")</f>
        <v>Schwarz, Christian</v>
      </c>
      <c r="D56" t="str">
        <f>IFERROR(INDEX(Starter!C:C,MATCH(B56,Starter!A:A,0)),"")</f>
        <v>BSC Highroller Rosenheim</v>
      </c>
      <c r="E56" s="102">
        <f t="shared" si="8"/>
        <v>312</v>
      </c>
      <c r="F56">
        <f t="shared" si="9"/>
        <v>2</v>
      </c>
      <c r="G56" s="137">
        <f t="shared" si="10"/>
        <v>155.999999941</v>
      </c>
      <c r="L56" s="227">
        <f>INDEX(Starter!A:A,ROW()-1)</f>
        <v>7428</v>
      </c>
      <c r="M56">
        <f>SUMIF(Erfassung6!BD:BD,L56,Erfassung6!BW:BW)</f>
        <v>0</v>
      </c>
      <c r="N56">
        <f>SUMIF(Erfassung6!BD:BD,L56,Erfassung6!BG:BG)</f>
        <v>0</v>
      </c>
      <c r="O56">
        <f t="shared" si="0"/>
        <v>0</v>
      </c>
      <c r="P56">
        <f t="shared" si="1"/>
        <v>53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SUMIF(Erfassung6!BD:BD,L57,Erfassung6!BW:BW)</f>
        <v>570</v>
      </c>
      <c r="N57">
        <f>SUMIF(Erfassung6!BD:BD,L57,Erfassung6!BG:BG)</f>
        <v>3</v>
      </c>
      <c r="O57">
        <f t="shared" si="0"/>
        <v>189.99999994300001</v>
      </c>
      <c r="P57">
        <f t="shared" si="1"/>
        <v>29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SUMIF(Erfassung6!BD:BD,L58,Erfassung6!BW:BW)</f>
        <v>860</v>
      </c>
      <c r="N58">
        <f>SUMIF(Erfassung6!BD:BD,L58,Erfassung6!BG:BG)</f>
        <v>5</v>
      </c>
      <c r="O58">
        <f t="shared" si="0"/>
        <v>171.99999994199999</v>
      </c>
      <c r="P58">
        <f t="shared" si="1"/>
        <v>45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SUMIF(Erfassung6!BD:BD,L59,Erfassung6!BW:BW)</f>
        <v>312</v>
      </c>
      <c r="N59">
        <f>SUMIF(Erfassung6!BD:BD,L59,Erfassung6!BG:BG)</f>
        <v>2</v>
      </c>
      <c r="O59">
        <f t="shared" si="0"/>
        <v>155.999999941</v>
      </c>
      <c r="P59">
        <f t="shared" si="1"/>
        <v>52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SUMIF(Erfassung6!BD:BD,L60,Erfassung6!BW:BW)</f>
        <v>718</v>
      </c>
      <c r="N60">
        <f>SUMIF(Erfassung6!BD:BD,L60,Erfassung6!BG:BG)</f>
        <v>4</v>
      </c>
      <c r="O60">
        <f t="shared" si="0"/>
        <v>179.49999994000001</v>
      </c>
      <c r="P60">
        <f t="shared" si="1"/>
        <v>38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SUMIF(Erfassung6!BD:BD,L61,Erfassung6!BW:BW)</f>
        <v>0</v>
      </c>
      <c r="N61">
        <f>SUMIF(Erfassung6!BD:BD,L61,Erfassung6!BG:BG)</f>
        <v>0</v>
      </c>
      <c r="O61">
        <f t="shared" si="0"/>
        <v>0</v>
      </c>
      <c r="P61">
        <f t="shared" si="1"/>
        <v>53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SUMIF(Erfassung6!BD:BD,L62,Erfassung6!BW:BW)</f>
        <v>201</v>
      </c>
      <c r="N62">
        <f>SUMIF(Erfassung6!BD:BD,L62,Erfassung6!BG:BG)</f>
        <v>1</v>
      </c>
      <c r="O62">
        <f t="shared" si="0"/>
        <v>200.999999938</v>
      </c>
      <c r="P62">
        <f t="shared" si="1"/>
        <v>19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53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53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SUMIF(Erfassung6!BD:BD,L65,Erfassung6!BW:BW)</f>
        <v>379</v>
      </c>
      <c r="N65">
        <f>SUMIF(Erfassung6!BD:BD,L65,Erfassung6!BG:BG)</f>
        <v>2</v>
      </c>
      <c r="O65">
        <f t="shared" si="0"/>
        <v>189.49999993500001</v>
      </c>
      <c r="P65">
        <f t="shared" si="1"/>
        <v>30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SUMIF(Erfassung6!BD:BD,L66,Erfassung6!BW:BW)</f>
        <v>506</v>
      </c>
      <c r="N66">
        <f>SUMIF(Erfassung6!BD:BD,L66,Erfassung6!BG:BG)</f>
        <v>3</v>
      </c>
      <c r="O66">
        <f t="shared" ref="O66:O104" si="12">IF(N66=0,0,M66/N66-ROW()/1000000000)</f>
        <v>168.66666660066664</v>
      </c>
      <c r="P66">
        <f t="shared" ref="P66:P104" si="13">RANK(O66,O:O)</f>
        <v>49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SUMIF(Erfassung6!BD:BD,L67,Erfassung6!BW:BW)</f>
        <v>1212</v>
      </c>
      <c r="N67">
        <f>SUMIF(Erfassung6!BD:BD,L67,Erfassung6!BG:BG)</f>
        <v>6</v>
      </c>
      <c r="O67">
        <f t="shared" si="12"/>
        <v>201.999999933</v>
      </c>
      <c r="P67">
        <f t="shared" si="13"/>
        <v>17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53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SUMIF(Erfassung6!BD:BD,L69,Erfassung6!BW:BW)</f>
        <v>0</v>
      </c>
      <c r="N69">
        <f>SUMIF(Erfassung6!BD:BD,L69,Erfassung6!BG:BG)</f>
        <v>0</v>
      </c>
      <c r="O69">
        <f t="shared" si="12"/>
        <v>0</v>
      </c>
      <c r="P69">
        <f t="shared" si="13"/>
        <v>53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SUMIF(Erfassung6!BD:BD,L70,Erfassung6!BW:BW)</f>
        <v>0</v>
      </c>
      <c r="N70">
        <f>SUMIF(Erfassung6!BD:BD,L70,Erfassung6!BG:BG)</f>
        <v>0</v>
      </c>
      <c r="O70">
        <f t="shared" si="12"/>
        <v>0</v>
      </c>
      <c r="P70">
        <f t="shared" si="13"/>
        <v>53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SUMIF(Erfassung6!BD:BD,L71,Erfassung6!BW:BW)</f>
        <v>0</v>
      </c>
      <c r="N71">
        <f>SUMIF(Erfassung6!BD:BD,L71,Erfassung6!BG:BG)</f>
        <v>0</v>
      </c>
      <c r="O71">
        <f t="shared" si="12"/>
        <v>0</v>
      </c>
      <c r="P71">
        <f t="shared" si="13"/>
        <v>53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53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SUMIF(Erfassung6!BD:BD,L73,Erfassung6!BW:BW)</f>
        <v>770</v>
      </c>
      <c r="N73">
        <f>SUMIF(Erfassung6!BD:BD,L73,Erfassung6!BG:BG)</f>
        <v>4</v>
      </c>
      <c r="O73">
        <f t="shared" si="12"/>
        <v>192.499999927</v>
      </c>
      <c r="P73">
        <f t="shared" si="13"/>
        <v>25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38018</v>
      </c>
      <c r="M74">
        <f>SUMIF(Erfassung6!BD:BD,L74,Erfassung6!BW:BW)</f>
        <v>436</v>
      </c>
      <c r="N74">
        <f>SUMIF(Erfassung6!BD:BD,L74,Erfassung6!BG:BG)</f>
        <v>2</v>
      </c>
      <c r="O74">
        <f t="shared" si="12"/>
        <v>217.99999992599999</v>
      </c>
      <c r="P74">
        <f t="shared" si="13"/>
        <v>5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25465</v>
      </c>
      <c r="M75">
        <f>SUMIF(Erfassung6!BD:BD,L75,Erfassung6!BW:BW)</f>
        <v>353</v>
      </c>
      <c r="N75">
        <f>SUMIF(Erfassung6!BD:BD,L75,Erfassung6!BG:BG)</f>
        <v>2</v>
      </c>
      <c r="O75">
        <f t="shared" si="12"/>
        <v>176.499999925</v>
      </c>
      <c r="P75">
        <f t="shared" si="13"/>
        <v>42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53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53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53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53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53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53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53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53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53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53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53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53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53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53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53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53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53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53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53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53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53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53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53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53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53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53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53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53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53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16253</v>
      </c>
      <c r="M2">
        <f>INDEX(SchnittGes5!M:M,MATCH(L2,SchnittGes5!L:L,0))+INDEX(Schnitt6!M:M,MATCH(L2,Schnitt6!L:L,0))</f>
        <v>8567</v>
      </c>
      <c r="N2">
        <f>INDEX(SchnittGes5!N:N,MATCH(L2,SchnittGes5!L:L,0))+INDEX(Schnitt6!N:N,MATCH(L2,Schnitt6!L:L,0))</f>
        <v>40</v>
      </c>
      <c r="O2">
        <f t="shared" ref="O2:O11" si="0">IF(N2=0,0,M2/N2-ROW()/1000000000)</f>
        <v>214.174999998</v>
      </c>
      <c r="P2">
        <f t="shared" ref="P2:P33" si="1">RANK(O2,O:O)</f>
        <v>3</v>
      </c>
    </row>
    <row r="3" spans="1:16" x14ac:dyDescent="0.25">
      <c r="L3" s="227">
        <f>INDEX(Starter!A:A,ROW()-1)</f>
        <v>38687</v>
      </c>
      <c r="M3">
        <f>INDEX(SchnittGes5!M:M,MATCH(L3,SchnittGes5!L:L,0))+INDEX(Schnitt6!M:M,MATCH(L3,Schnitt6!L:L,0))</f>
        <v>8028</v>
      </c>
      <c r="N3">
        <f>INDEX(SchnittGes5!N:N,MATCH(L3,SchnittGes5!L:L,0))+INDEX(Schnitt6!N:N,MATCH(L3,Schnitt6!L:L,0))</f>
        <v>42</v>
      </c>
      <c r="O3">
        <f t="shared" si="0"/>
        <v>191.14285713985714</v>
      </c>
      <c r="P3">
        <f t="shared" si="1"/>
        <v>36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INDEX(SchnittGes5!M:M,MATCH(L4,SchnittGes5!L:L,0))+INDEX(Schnitt6!M:M,MATCH(L4,Schnitt6!L:L,0))</f>
        <v>10242</v>
      </c>
      <c r="N4">
        <f>INDEX(SchnittGes5!N:N,MATCH(L4,SchnittGes5!L:L,0))+INDEX(Schnitt6!N:N,MATCH(L4,Schnitt6!L:L,0))</f>
        <v>50</v>
      </c>
      <c r="O4">
        <f t="shared" si="0"/>
        <v>204.83999999600002</v>
      </c>
      <c r="P4">
        <f t="shared" si="1"/>
        <v>12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INDEX(SchnittGes5!M:M,MATCH(L5,SchnittGes5!L:L,0))+INDEX(Schnitt6!M:M,MATCH(L5,Schnitt6!L:L,0))</f>
        <v>8455</v>
      </c>
      <c r="N5">
        <f>INDEX(SchnittGes5!N:N,MATCH(L5,SchnittGes5!L:L,0))+INDEX(Schnitt6!N:N,MATCH(L5,Schnitt6!L:L,0))</f>
        <v>44</v>
      </c>
      <c r="O5">
        <f t="shared" si="0"/>
        <v>192.1590909040909</v>
      </c>
      <c r="P5">
        <f t="shared" si="1"/>
        <v>33</v>
      </c>
    </row>
    <row r="6" spans="1:16" x14ac:dyDescent="0.25">
      <c r="A6">
        <f t="shared" ref="A6:A37" si="6">IFERROR(IF(A5+1&gt;MAX(P:P)-1,"",A5+1),"")</f>
        <v>2</v>
      </c>
      <c r="B6">
        <f t="shared" si="2"/>
        <v>38018</v>
      </c>
      <c r="C6" t="str">
        <f>IFERROR(INDEX(Starter!B:B,MATCH(B6,Starter!A:A,0)),"")</f>
        <v>Wunderlich, Henning</v>
      </c>
      <c r="D6" t="str">
        <f>IFERROR(INDEX(Starter!C:C,MATCH(B6,Starter!A:A,0)),"")</f>
        <v>DJK Rimpar</v>
      </c>
      <c r="E6" s="102">
        <f t="shared" si="3"/>
        <v>436</v>
      </c>
      <c r="F6">
        <f t="shared" si="4"/>
        <v>2</v>
      </c>
      <c r="G6" s="137">
        <f t="shared" si="5"/>
        <v>217.99999992599999</v>
      </c>
      <c r="L6" s="227">
        <f>INDEX(Starter!A:A,ROW()-1)</f>
        <v>38411</v>
      </c>
      <c r="M6">
        <f>INDEX(SchnittGes5!M:M,MATCH(L6,SchnittGes5!L:L,0))+INDEX(Schnitt6!M:M,MATCH(L6,Schnitt6!L:L,0))</f>
        <v>7350</v>
      </c>
      <c r="N6">
        <f>INDEX(SchnittGes5!N:N,MATCH(L6,SchnittGes5!L:L,0))+INDEX(Schnitt6!N:N,MATCH(L6,Schnitt6!L:L,0))</f>
        <v>42</v>
      </c>
      <c r="O6">
        <f t="shared" si="0"/>
        <v>174.99999999400001</v>
      </c>
      <c r="P6">
        <f t="shared" si="1"/>
        <v>60</v>
      </c>
    </row>
    <row r="7" spans="1:16" x14ac:dyDescent="0.25">
      <c r="A7">
        <f t="shared" si="6"/>
        <v>3</v>
      </c>
      <c r="B7">
        <f t="shared" si="2"/>
        <v>16253</v>
      </c>
      <c r="C7" t="str">
        <f>IFERROR(INDEX(Starter!B:B,MATCH(B7,Starter!A:A,0)),"")</f>
        <v>Altenfeld, Marco</v>
      </c>
      <c r="D7" t="str">
        <f>IFERROR(INDEX(Starter!C:C,MATCH(B7,Starter!A:A,0)),"")</f>
        <v>DJK Rimpar</v>
      </c>
      <c r="E7" s="102">
        <f t="shared" si="3"/>
        <v>8567</v>
      </c>
      <c r="F7">
        <f t="shared" si="4"/>
        <v>40</v>
      </c>
      <c r="G7" s="137">
        <f t="shared" si="5"/>
        <v>214.174999998</v>
      </c>
      <c r="L7" s="227">
        <f>INDEX(Starter!A:A,ROW()-1)</f>
        <v>38361</v>
      </c>
      <c r="M7">
        <f>INDEX(SchnittGes5!M:M,MATCH(L7,SchnittGes5!L:L,0))+INDEX(Schnitt6!M:M,MATCH(L7,Schnitt6!L:L,0))</f>
        <v>8955</v>
      </c>
      <c r="N7">
        <f>INDEX(SchnittGes5!N:N,MATCH(L7,SchnittGes5!L:L,0))+INDEX(Schnitt6!N:N,MATCH(L7,Schnitt6!L:L,0))</f>
        <v>51</v>
      </c>
      <c r="O7">
        <f t="shared" si="0"/>
        <v>175.58823528711764</v>
      </c>
      <c r="P7">
        <f t="shared" si="1"/>
        <v>59</v>
      </c>
    </row>
    <row r="8" spans="1:16" x14ac:dyDescent="0.25">
      <c r="A8">
        <f t="shared" si="6"/>
        <v>4</v>
      </c>
      <c r="B8">
        <f t="shared" si="2"/>
        <v>16243</v>
      </c>
      <c r="C8" t="str">
        <f>IFERROR(INDEX(Starter!B:B,MATCH(B8,Starter!A:A,0)),"")</f>
        <v>Glatzer, Daniel</v>
      </c>
      <c r="D8" t="str">
        <f>IFERROR(INDEX(Starter!C:C,MATCH(B8,Starter!A:A,0)),"")</f>
        <v>Comet</v>
      </c>
      <c r="E8" s="102">
        <f t="shared" si="3"/>
        <v>7013</v>
      </c>
      <c r="F8">
        <f t="shared" si="4"/>
        <v>33</v>
      </c>
      <c r="G8" s="137">
        <f t="shared" si="5"/>
        <v>212.51515148915149</v>
      </c>
      <c r="L8" s="227">
        <f>INDEX(Starter!A:A,ROW()-1)</f>
        <v>38550</v>
      </c>
      <c r="M8">
        <f>INDEX(SchnittGes5!M:M,MATCH(L8,SchnittGes5!L:L,0))+INDEX(Schnitt6!M:M,MATCH(L8,Schnitt6!L:L,0))</f>
        <v>6440</v>
      </c>
      <c r="N8">
        <f>INDEX(SchnittGes5!N:N,MATCH(L8,SchnittGes5!L:L,0))+INDEX(Schnitt6!N:N,MATCH(L8,Schnitt6!L:L,0))</f>
        <v>33</v>
      </c>
      <c r="O8">
        <f t="shared" si="0"/>
        <v>195.15151514351516</v>
      </c>
      <c r="P8">
        <f t="shared" si="1"/>
        <v>26</v>
      </c>
    </row>
    <row r="9" spans="1:16" x14ac:dyDescent="0.25">
      <c r="A9">
        <f t="shared" si="6"/>
        <v>5</v>
      </c>
      <c r="B9">
        <f t="shared" si="2"/>
        <v>16346</v>
      </c>
      <c r="C9" t="str">
        <f>IFERROR(INDEX(Starter!B:B,MATCH(B9,Starter!A:A,0)),"")</f>
        <v>Schön, Horst</v>
      </c>
      <c r="D9" t="str">
        <f>IFERROR(INDEX(Starter!C:C,MATCH(B9,Starter!A:A,0)),"")</f>
        <v>SG Rottendorf</v>
      </c>
      <c r="E9" s="102">
        <f t="shared" si="3"/>
        <v>422</v>
      </c>
      <c r="F9">
        <f t="shared" si="4"/>
        <v>2</v>
      </c>
      <c r="G9" s="137">
        <f t="shared" si="5"/>
        <v>210.999999949</v>
      </c>
      <c r="L9" s="227">
        <f>INDEX(Starter!A:A,ROW()-1)</f>
        <v>7348</v>
      </c>
      <c r="M9">
        <f>INDEX(SchnittGes5!M:M,MATCH(L9,SchnittGes5!L:L,0))+INDEX(Schnitt6!M:M,MATCH(L9,Schnitt6!L:L,0))</f>
        <v>10276</v>
      </c>
      <c r="N9">
        <f>INDEX(SchnittGes5!N:N,MATCH(L9,SchnittGes5!L:L,0))+INDEX(Schnitt6!N:N,MATCH(L9,Schnitt6!L:L,0))</f>
        <v>51</v>
      </c>
      <c r="O9">
        <f t="shared" si="0"/>
        <v>201.49019606943139</v>
      </c>
      <c r="P9">
        <f t="shared" si="1"/>
        <v>18</v>
      </c>
    </row>
    <row r="10" spans="1:16" x14ac:dyDescent="0.25">
      <c r="A10">
        <f t="shared" si="6"/>
        <v>6</v>
      </c>
      <c r="B10">
        <f t="shared" si="2"/>
        <v>7885</v>
      </c>
      <c r="C10" t="str">
        <f>IFERROR(INDEX(Starter!B:B,MATCH(B10,Starter!A:A,0)),"")</f>
        <v>Hinterwimmer, Sebastian</v>
      </c>
      <c r="D10" t="str">
        <f>IFERROR(INDEX(Starter!C:C,MATCH(B10,Starter!A:A,0)),"")</f>
        <v>BK München</v>
      </c>
      <c r="E10" s="102">
        <f t="shared" si="3"/>
        <v>6513</v>
      </c>
      <c r="F10">
        <f t="shared" si="4"/>
        <v>31</v>
      </c>
      <c r="G10" s="137">
        <f t="shared" si="5"/>
        <v>210.09677417654839</v>
      </c>
      <c r="L10" s="227">
        <f>INDEX(Starter!A:A,ROW()-1)</f>
        <v>16852</v>
      </c>
      <c r="M10">
        <f>INDEX(SchnittGes5!M:M,MATCH(L10,SchnittGes5!L:L,0))+INDEX(Schnitt6!M:M,MATCH(L10,Schnitt6!L:L,0))</f>
        <v>6807</v>
      </c>
      <c r="N10">
        <f>INDEX(SchnittGes5!N:N,MATCH(L10,SchnittGes5!L:L,0))+INDEX(Schnitt6!N:N,MATCH(L10,Schnitt6!L:L,0))</f>
        <v>36</v>
      </c>
      <c r="O10">
        <f t="shared" si="0"/>
        <v>189.08333332333333</v>
      </c>
      <c r="P10">
        <f t="shared" si="1"/>
        <v>39</v>
      </c>
    </row>
    <row r="11" spans="1:16" x14ac:dyDescent="0.25">
      <c r="A11">
        <f t="shared" si="6"/>
        <v>7</v>
      </c>
      <c r="B11">
        <f t="shared" si="2"/>
        <v>7099</v>
      </c>
      <c r="C11" t="str">
        <f>IFERROR(INDEX(Starter!B:B,MATCH(B11,Starter!A:A,0)),"")</f>
        <v>Holzinger, Sebastian</v>
      </c>
      <c r="D11" t="str">
        <f>IFERROR(INDEX(Starter!C:C,MATCH(B11,Starter!A:A,0)),"")</f>
        <v>BC Bamberger Bowlinghaus</v>
      </c>
      <c r="E11" s="102">
        <f t="shared" si="3"/>
        <v>5227</v>
      </c>
      <c r="F11">
        <f t="shared" si="4"/>
        <v>25</v>
      </c>
      <c r="G11" s="137">
        <f t="shared" si="5"/>
        <v>209.07999996300001</v>
      </c>
      <c r="L11" s="227">
        <f>INDEX(Starter!A:A,ROW()-1)</f>
        <v>16352</v>
      </c>
      <c r="M11">
        <f>INDEX(SchnittGes5!M:M,MATCH(L11,SchnittGes5!L:L,0))+INDEX(Schnitt6!M:M,MATCH(L11,Schnitt6!L:L,0))</f>
        <v>4035</v>
      </c>
      <c r="N11">
        <f>INDEX(SchnittGes5!N:N,MATCH(L11,SchnittGes5!L:L,0))+INDEX(Schnitt6!N:N,MATCH(L11,Schnitt6!L:L,0))</f>
        <v>22</v>
      </c>
      <c r="O11">
        <f t="shared" si="0"/>
        <v>183.40909089809091</v>
      </c>
      <c r="P11">
        <f t="shared" si="1"/>
        <v>51</v>
      </c>
    </row>
    <row r="12" spans="1:16" x14ac:dyDescent="0.25">
      <c r="A12">
        <f t="shared" si="6"/>
        <v>8</v>
      </c>
      <c r="B12">
        <f t="shared" si="2"/>
        <v>7591</v>
      </c>
      <c r="C12" t="str">
        <f>IFERROR(INDEX(Starter!B:B,MATCH(B12,Starter!A:A,0)),"")</f>
        <v>Börding, Daniel</v>
      </c>
      <c r="D12" t="str">
        <f>IFERROR(INDEX(Starter!C:C,MATCH(B12,Starter!A:A,0)),"")</f>
        <v>BK München</v>
      </c>
      <c r="E12" s="102">
        <f t="shared" si="3"/>
        <v>5414</v>
      </c>
      <c r="F12">
        <f t="shared" si="4"/>
        <v>26</v>
      </c>
      <c r="G12" s="137">
        <f t="shared" si="5"/>
        <v>208.23076918376924</v>
      </c>
      <c r="L12" s="227">
        <f>INDEX(Starter!A:A,ROW()-1)</f>
        <v>16495</v>
      </c>
      <c r="M12">
        <f>INDEX(SchnittGes5!M:M,MATCH(L12,SchnittGes5!L:L,0))+INDEX(Schnitt6!M:M,MATCH(L12,Schnitt6!L:L,0))</f>
        <v>9579</v>
      </c>
      <c r="N12">
        <f>INDEX(SchnittGes5!N:N,MATCH(L12,SchnittGes5!L:L,0))+INDEX(Schnitt6!N:N,MATCH(L12,Schnitt6!L:L,0))</f>
        <v>50</v>
      </c>
      <c r="O12">
        <f t="shared" ref="O12:O75" si="7">IF(N12=0,0,M12/N12-ROW()/1000000000)</f>
        <v>191.57999998800003</v>
      </c>
      <c r="P12">
        <f t="shared" si="1"/>
        <v>35</v>
      </c>
    </row>
    <row r="13" spans="1:16" x14ac:dyDescent="0.25">
      <c r="A13">
        <f t="shared" si="6"/>
        <v>9</v>
      </c>
      <c r="B13">
        <f t="shared" si="2"/>
        <v>7102</v>
      </c>
      <c r="C13" t="str">
        <f>IFERROR(INDEX(Starter!B:B,MATCH(B13,Starter!A:A,0)),"")</f>
        <v>Schick, Andreas</v>
      </c>
      <c r="D13" t="str">
        <f>IFERROR(INDEX(Starter!C:C,MATCH(B13,Starter!A:A,0)),"")</f>
        <v>Comet</v>
      </c>
      <c r="E13" s="102">
        <f t="shared" si="3"/>
        <v>6866</v>
      </c>
      <c r="F13">
        <f t="shared" si="4"/>
        <v>33</v>
      </c>
      <c r="G13" s="137">
        <f t="shared" si="5"/>
        <v>208.06060602960605</v>
      </c>
      <c r="L13" s="227">
        <f>INDEX(Starter!A:A,ROW()-1)</f>
        <v>16945</v>
      </c>
      <c r="M13">
        <f>INDEX(SchnittGes5!M:M,MATCH(L13,SchnittGes5!L:L,0))+INDEX(Schnitt6!M:M,MATCH(L13,Schnitt6!L:L,0))</f>
        <v>9295</v>
      </c>
      <c r="N13">
        <f>INDEX(SchnittGes5!N:N,MATCH(L13,SchnittGes5!L:L,0))+INDEX(Schnitt6!N:N,MATCH(L13,Schnitt6!L:L,0))</f>
        <v>48</v>
      </c>
      <c r="O13">
        <f t="shared" si="7"/>
        <v>193.64583332033334</v>
      </c>
      <c r="P13">
        <f t="shared" si="1"/>
        <v>29</v>
      </c>
    </row>
    <row r="14" spans="1:16" x14ac:dyDescent="0.25">
      <c r="A14">
        <f t="shared" si="6"/>
        <v>10</v>
      </c>
      <c r="B14">
        <f t="shared" si="2"/>
        <v>7734</v>
      </c>
      <c r="C14" t="str">
        <f>IFERROR(INDEX(Starter!B:B,MATCH(B14,Starter!A:A,0)),"")</f>
        <v>Schwarz, Jan</v>
      </c>
      <c r="D14" t="str">
        <f>IFERROR(INDEX(Starter!C:C,MATCH(B14,Starter!A:A,0)),"")</f>
        <v>Comet</v>
      </c>
      <c r="E14" s="102">
        <f t="shared" si="3"/>
        <v>4366</v>
      </c>
      <c r="F14">
        <f t="shared" si="4"/>
        <v>21</v>
      </c>
      <c r="G14" s="137">
        <f t="shared" si="5"/>
        <v>207.90476187676191</v>
      </c>
      <c r="L14" s="227">
        <f>INDEX(Starter!A:A,ROW()-1)</f>
        <v>7867</v>
      </c>
      <c r="M14">
        <f>INDEX(SchnittGes5!M:M,MATCH(L14,SchnittGes5!L:L,0))+INDEX(Schnitt6!M:M,MATCH(L14,Schnitt6!L:L,0))</f>
        <v>5655</v>
      </c>
      <c r="N14">
        <f>INDEX(SchnittGes5!N:N,MATCH(L14,SchnittGes5!L:L,0))+INDEX(Schnitt6!N:N,MATCH(L14,Schnitt6!L:L,0))</f>
        <v>28</v>
      </c>
      <c r="O14">
        <f t="shared" si="7"/>
        <v>201.96428570028573</v>
      </c>
      <c r="P14">
        <f t="shared" si="1"/>
        <v>16</v>
      </c>
    </row>
    <row r="15" spans="1:16" x14ac:dyDescent="0.25">
      <c r="A15">
        <f t="shared" si="6"/>
        <v>11</v>
      </c>
      <c r="B15">
        <f t="shared" si="2"/>
        <v>7408</v>
      </c>
      <c r="C15" t="str">
        <f>IFERROR(INDEX(Starter!B:B,MATCH(B15,Starter!A:A,0)),"")</f>
        <v>Glasl jun., Hans-Jürgen</v>
      </c>
      <c r="D15" t="str">
        <f>IFERROR(INDEX(Starter!C:C,MATCH(B15,Starter!A:A,0)),"")</f>
        <v>BC Bajuwaren 1976 München</v>
      </c>
      <c r="E15" s="102">
        <f t="shared" si="3"/>
        <v>10575</v>
      </c>
      <c r="F15">
        <f t="shared" si="4"/>
        <v>51</v>
      </c>
      <c r="G15" s="137">
        <f t="shared" si="5"/>
        <v>207.35294115847057</v>
      </c>
      <c r="L15" s="227">
        <f>INDEX(Starter!A:A,ROW()-1)</f>
        <v>7597</v>
      </c>
      <c r="M15">
        <f>INDEX(SchnittGes5!M:M,MATCH(L15,SchnittGes5!L:L,0))+INDEX(Schnitt6!M:M,MATCH(L15,Schnitt6!L:L,0))</f>
        <v>7280</v>
      </c>
      <c r="N15">
        <f>INDEX(SchnittGes5!N:N,MATCH(L15,SchnittGes5!L:L,0))+INDEX(Schnitt6!N:N,MATCH(L15,Schnitt6!L:L,0))</f>
        <v>39</v>
      </c>
      <c r="O15">
        <f t="shared" si="7"/>
        <v>186.66666665166665</v>
      </c>
      <c r="P15">
        <f t="shared" si="1"/>
        <v>44</v>
      </c>
    </row>
    <row r="16" spans="1:16" x14ac:dyDescent="0.25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10242</v>
      </c>
      <c r="F16">
        <f t="shared" si="4"/>
        <v>50</v>
      </c>
      <c r="G16" s="137">
        <f t="shared" si="5"/>
        <v>204.83999999600002</v>
      </c>
      <c r="L16" s="227">
        <f>INDEX(Starter!A:A,ROW()-1)</f>
        <v>16912</v>
      </c>
      <c r="M16">
        <f>INDEX(SchnittGes5!M:M,MATCH(L16,SchnittGes5!L:L,0))+INDEX(Schnitt6!M:M,MATCH(L16,Schnitt6!L:L,0))</f>
        <v>6650</v>
      </c>
      <c r="N16">
        <f>INDEX(SchnittGes5!N:N,MATCH(L16,SchnittGes5!L:L,0))+INDEX(Schnitt6!N:N,MATCH(L16,Schnitt6!L:L,0))</f>
        <v>33</v>
      </c>
      <c r="O16">
        <f t="shared" si="7"/>
        <v>201.5151514991515</v>
      </c>
      <c r="P16">
        <f t="shared" si="1"/>
        <v>17</v>
      </c>
    </row>
    <row r="17" spans="1:16" x14ac:dyDescent="0.25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6955</v>
      </c>
      <c r="F17">
        <f t="shared" si="4"/>
        <v>34</v>
      </c>
      <c r="G17" s="137">
        <f t="shared" si="5"/>
        <v>204.55882347341176</v>
      </c>
      <c r="L17" s="227">
        <f>INDEX(Starter!A:A,ROW()-1)</f>
        <v>7885</v>
      </c>
      <c r="M17">
        <f>INDEX(SchnittGes5!M:M,MATCH(L17,SchnittGes5!L:L,0))+INDEX(Schnitt6!M:M,MATCH(L17,Schnitt6!L:L,0))</f>
        <v>6513</v>
      </c>
      <c r="N17">
        <f>INDEX(SchnittGes5!N:N,MATCH(L17,SchnittGes5!L:L,0))+INDEX(Schnitt6!N:N,MATCH(L17,Schnitt6!L:L,0))</f>
        <v>31</v>
      </c>
      <c r="O17">
        <f t="shared" si="7"/>
        <v>210.09677417654839</v>
      </c>
      <c r="P17">
        <f t="shared" si="1"/>
        <v>6</v>
      </c>
    </row>
    <row r="18" spans="1:16" x14ac:dyDescent="0.25">
      <c r="A18">
        <f t="shared" si="6"/>
        <v>14</v>
      </c>
      <c r="B18">
        <f t="shared" si="2"/>
        <v>7937</v>
      </c>
      <c r="C18" t="str">
        <f>IFERROR(INDEX(Starter!B:B,MATCH(B18,Starter!A:A,0)),"")</f>
        <v>Birkner, Jochen</v>
      </c>
      <c r="D18" t="str">
        <f>IFERROR(INDEX(Starter!C:C,MATCH(B18,Starter!A:A,0)),"")</f>
        <v>BF Rot-Weiß Lichtenhof 69</v>
      </c>
      <c r="E18" s="102">
        <f t="shared" si="3"/>
        <v>10403</v>
      </c>
      <c r="F18">
        <f t="shared" si="4"/>
        <v>51</v>
      </c>
      <c r="G18" s="137">
        <f t="shared" si="5"/>
        <v>203.98039211586274</v>
      </c>
      <c r="L18" s="227">
        <f>INDEX(Starter!A:A,ROW()-1)</f>
        <v>7408</v>
      </c>
      <c r="M18">
        <f>INDEX(SchnittGes5!M:M,MATCH(L18,SchnittGes5!L:L,0))+INDEX(Schnitt6!M:M,MATCH(L18,Schnitt6!L:L,0))</f>
        <v>10575</v>
      </c>
      <c r="N18">
        <f>INDEX(SchnittGes5!N:N,MATCH(L18,SchnittGes5!L:L,0))+INDEX(Schnitt6!N:N,MATCH(L18,Schnitt6!L:L,0))</f>
        <v>51</v>
      </c>
      <c r="O18">
        <f t="shared" si="7"/>
        <v>207.35294115847057</v>
      </c>
      <c r="P18">
        <f t="shared" si="1"/>
        <v>11</v>
      </c>
    </row>
    <row r="19" spans="1:16" x14ac:dyDescent="0.25">
      <c r="A19">
        <f t="shared" si="6"/>
        <v>15</v>
      </c>
      <c r="B19">
        <f t="shared" si="2"/>
        <v>7724</v>
      </c>
      <c r="C19" t="str">
        <f>IFERROR(INDEX(Starter!B:B,MATCH(B19,Starter!A:A,0)),"")</f>
        <v>Schlick, Christian</v>
      </c>
      <c r="D19" t="str">
        <f>IFERROR(INDEX(Starter!C:C,MATCH(B19,Starter!A:A,0)),"")</f>
        <v>Comet</v>
      </c>
      <c r="E19" s="102">
        <f t="shared" si="3"/>
        <v>6879</v>
      </c>
      <c r="F19">
        <f t="shared" si="4"/>
        <v>34</v>
      </c>
      <c r="G19" s="137">
        <f t="shared" si="5"/>
        <v>202.32352938276469</v>
      </c>
      <c r="L19" s="227">
        <f>INDEX(Starter!A:A,ROW()-1)</f>
        <v>16762</v>
      </c>
      <c r="M19">
        <f>INDEX(SchnittGes5!M:M,MATCH(L19,SchnittGes5!L:L,0))+INDEX(Schnitt6!M:M,MATCH(L19,Schnitt6!L:L,0))</f>
        <v>4699</v>
      </c>
      <c r="N19">
        <f>INDEX(SchnittGes5!N:N,MATCH(L19,SchnittGes5!L:L,0))+INDEX(Schnitt6!N:N,MATCH(L19,Schnitt6!L:L,0))</f>
        <v>27</v>
      </c>
      <c r="O19">
        <f t="shared" si="7"/>
        <v>174.03703701803704</v>
      </c>
      <c r="P19">
        <f t="shared" si="1"/>
        <v>61</v>
      </c>
    </row>
    <row r="20" spans="1:16" x14ac:dyDescent="0.25">
      <c r="A20">
        <f t="shared" si="6"/>
        <v>16</v>
      </c>
      <c r="B20">
        <f t="shared" si="2"/>
        <v>7867</v>
      </c>
      <c r="C20" t="str">
        <f>IFERROR(INDEX(Starter!B:B,MATCH(B20,Starter!A:A,0)),"")</f>
        <v>Hinterwimmer, Georg</v>
      </c>
      <c r="D20" t="str">
        <f>IFERROR(INDEX(Starter!C:C,MATCH(B20,Starter!A:A,0)),"")</f>
        <v>BK München</v>
      </c>
      <c r="E20" s="102">
        <f t="shared" si="3"/>
        <v>5655</v>
      </c>
      <c r="F20">
        <f t="shared" si="4"/>
        <v>28</v>
      </c>
      <c r="G20" s="137">
        <f t="shared" si="5"/>
        <v>201.96428570028573</v>
      </c>
      <c r="L20" s="227">
        <f>INDEX(Starter!A:A,ROW()-1)</f>
        <v>7600</v>
      </c>
      <c r="M20">
        <f>INDEX(SchnittGes5!M:M,MATCH(L20,SchnittGes5!L:L,0))+INDEX(Schnitt6!M:M,MATCH(L20,Schnitt6!L:L,0))</f>
        <v>7577</v>
      </c>
      <c r="N20">
        <f>INDEX(SchnittGes5!N:N,MATCH(L20,SchnittGes5!L:L,0))+INDEX(Schnitt6!N:N,MATCH(L20,Schnitt6!L:L,0))</f>
        <v>41</v>
      </c>
      <c r="O20">
        <f t="shared" si="7"/>
        <v>184.80487802878051</v>
      </c>
      <c r="P20">
        <f t="shared" si="1"/>
        <v>48</v>
      </c>
    </row>
    <row r="21" spans="1:16" x14ac:dyDescent="0.25">
      <c r="A21">
        <f t="shared" si="6"/>
        <v>17</v>
      </c>
      <c r="B21">
        <f t="shared" si="2"/>
        <v>16912</v>
      </c>
      <c r="C21" t="str">
        <f>IFERROR(INDEX(Starter!B:B,MATCH(B21,Starter!A:A,0)),"")</f>
        <v>Hellmessen, Maximilian</v>
      </c>
      <c r="D21" t="str">
        <f>IFERROR(INDEX(Starter!C:C,MATCH(B21,Starter!A:A,0)),"")</f>
        <v>BK München</v>
      </c>
      <c r="E21" s="102">
        <f t="shared" si="3"/>
        <v>6650</v>
      </c>
      <c r="F21">
        <f t="shared" si="4"/>
        <v>33</v>
      </c>
      <c r="G21" s="137">
        <f t="shared" si="5"/>
        <v>201.5151514991515</v>
      </c>
      <c r="L21" s="227">
        <f>INDEX(Starter!A:A,ROW()-1)</f>
        <v>7416</v>
      </c>
      <c r="M21">
        <f>INDEX(SchnittGes5!M:M,MATCH(L21,SchnittGes5!L:L,0))+INDEX(Schnitt6!M:M,MATCH(L21,Schnitt6!L:L,0))</f>
        <v>9687</v>
      </c>
      <c r="N21">
        <f>INDEX(SchnittGes5!N:N,MATCH(L21,SchnittGes5!L:L,0))+INDEX(Schnitt6!N:N,MATCH(L21,Schnitt6!L:L,0))</f>
        <v>49</v>
      </c>
      <c r="O21">
        <f t="shared" si="7"/>
        <v>197.69387753002042</v>
      </c>
      <c r="P21">
        <f t="shared" si="1"/>
        <v>21</v>
      </c>
    </row>
    <row r="22" spans="1:16" x14ac:dyDescent="0.25">
      <c r="A22">
        <f t="shared" si="6"/>
        <v>18</v>
      </c>
      <c r="B22">
        <f t="shared" si="2"/>
        <v>7348</v>
      </c>
      <c r="C22" t="str">
        <f>IFERROR(INDEX(Starter!B:B,MATCH(B22,Starter!A:A,0)),"")</f>
        <v>Spielvogel, Jochen</v>
      </c>
      <c r="D22" t="str">
        <f>IFERROR(INDEX(Starter!C:C,MATCH(B22,Starter!A:A,0)),"")</f>
        <v>BC Schanzer Strikers</v>
      </c>
      <c r="E22" s="102">
        <f t="shared" si="3"/>
        <v>10276</v>
      </c>
      <c r="F22">
        <f t="shared" si="4"/>
        <v>51</v>
      </c>
      <c r="G22" s="137">
        <f t="shared" si="5"/>
        <v>201.49019606943139</v>
      </c>
      <c r="L22" s="227">
        <f>INDEX(Starter!A:A,ROW()-1)</f>
        <v>7425</v>
      </c>
      <c r="M22">
        <f>INDEX(SchnittGes5!M:M,MATCH(L22,SchnittGes5!L:L,0))+INDEX(Schnitt6!M:M,MATCH(L22,Schnitt6!L:L,0))</f>
        <v>1192</v>
      </c>
      <c r="N22">
        <f>INDEX(SchnittGes5!N:N,MATCH(L22,SchnittGes5!L:L,0))+INDEX(Schnitt6!N:N,MATCH(L22,Schnitt6!L:L,0))</f>
        <v>7</v>
      </c>
      <c r="O22">
        <f t="shared" si="7"/>
        <v>170.28571426371428</v>
      </c>
      <c r="P22">
        <f t="shared" si="1"/>
        <v>65</v>
      </c>
    </row>
    <row r="23" spans="1:16" x14ac:dyDescent="0.25">
      <c r="A23">
        <f t="shared" si="6"/>
        <v>19</v>
      </c>
      <c r="B23">
        <f t="shared" si="2"/>
        <v>7602</v>
      </c>
      <c r="C23" t="str">
        <f>IFERROR(INDEX(Starter!B:B,MATCH(B23,Starter!A:A,0)),"")</f>
        <v>Probst, Marco</v>
      </c>
      <c r="D23" t="str">
        <f>IFERROR(INDEX(Starter!C:C,MATCH(B23,Starter!A:A,0)),"")</f>
        <v>BC EMAX</v>
      </c>
      <c r="E23" s="102">
        <f t="shared" si="3"/>
        <v>7428</v>
      </c>
      <c r="F23">
        <f t="shared" si="4"/>
        <v>37</v>
      </c>
      <c r="G23" s="137">
        <f t="shared" si="5"/>
        <v>200.75675670275675</v>
      </c>
      <c r="L23" s="227">
        <f>INDEX(Starter!A:A,ROW()-1)</f>
        <v>25297</v>
      </c>
      <c r="M23">
        <f>INDEX(SchnittGes5!M:M,MATCH(L23,SchnittGes5!L:L,0))+INDEX(Schnitt6!M:M,MATCH(L23,Schnitt6!L:L,0))</f>
        <v>5956</v>
      </c>
      <c r="N23">
        <f>INDEX(SchnittGes5!N:N,MATCH(L23,SchnittGes5!L:L,0))+INDEX(Schnitt6!N:N,MATCH(L23,Schnitt6!L:L,0))</f>
        <v>31</v>
      </c>
      <c r="O23">
        <f t="shared" si="7"/>
        <v>192.1290322350645</v>
      </c>
      <c r="P23">
        <f t="shared" si="1"/>
        <v>34</v>
      </c>
    </row>
    <row r="24" spans="1:16" x14ac:dyDescent="0.25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4574</v>
      </c>
      <c r="F24">
        <f t="shared" si="4"/>
        <v>23</v>
      </c>
      <c r="G24" s="137">
        <f t="shared" si="5"/>
        <v>198.86956516039132</v>
      </c>
      <c r="L24" s="227">
        <f>INDEX(Starter!A:A,ROW()-1)</f>
        <v>16888</v>
      </c>
      <c r="M24">
        <f>INDEX(SchnittGes5!M:M,MATCH(L24,SchnittGes5!L:L,0))+INDEX(Schnitt6!M:M,MATCH(L24,Schnitt6!L:L,0))</f>
        <v>8671</v>
      </c>
      <c r="N24">
        <f>INDEX(SchnittGes5!N:N,MATCH(L24,SchnittGes5!L:L,0))+INDEX(Schnitt6!N:N,MATCH(L24,Schnitt6!L:L,0))</f>
        <v>45</v>
      </c>
      <c r="O24">
        <f t="shared" si="7"/>
        <v>192.6888888648889</v>
      </c>
      <c r="P24">
        <f t="shared" si="1"/>
        <v>32</v>
      </c>
    </row>
    <row r="25" spans="1:16" x14ac:dyDescent="0.25">
      <c r="A25">
        <f t="shared" si="6"/>
        <v>21</v>
      </c>
      <c r="B25">
        <f t="shared" si="2"/>
        <v>7416</v>
      </c>
      <c r="C25" t="str">
        <f>IFERROR(INDEX(Starter!B:B,MATCH(B25,Starter!A:A,0)),"")</f>
        <v>Reichert, Ralph</v>
      </c>
      <c r="D25" t="str">
        <f>IFERROR(INDEX(Starter!C:C,MATCH(B25,Starter!A:A,0)),"")</f>
        <v>BC Bajuwaren 1976 München</v>
      </c>
      <c r="E25" s="102">
        <f t="shared" si="3"/>
        <v>9687</v>
      </c>
      <c r="F25">
        <f t="shared" si="4"/>
        <v>49</v>
      </c>
      <c r="G25" s="137">
        <f t="shared" si="5"/>
        <v>197.69387753002042</v>
      </c>
      <c r="L25" s="227">
        <f>INDEX(Starter!A:A,ROW()-1)</f>
        <v>38092</v>
      </c>
      <c r="M25">
        <f>INDEX(SchnittGes5!M:M,MATCH(L25,SchnittGes5!L:L,0))+INDEX(Schnitt6!M:M,MATCH(L25,Schnitt6!L:L,0))</f>
        <v>9064</v>
      </c>
      <c r="N25">
        <f>INDEX(SchnittGes5!N:N,MATCH(L25,SchnittGes5!L:L,0))+INDEX(Schnitt6!N:N,MATCH(L25,Schnitt6!L:L,0))</f>
        <v>49</v>
      </c>
      <c r="O25">
        <f t="shared" si="7"/>
        <v>184.97959181173471</v>
      </c>
      <c r="P25">
        <f t="shared" si="1"/>
        <v>47</v>
      </c>
    </row>
    <row r="26" spans="1:16" x14ac:dyDescent="0.25">
      <c r="A26">
        <f t="shared" si="6"/>
        <v>22</v>
      </c>
      <c r="B26">
        <f t="shared" si="2"/>
        <v>16896</v>
      </c>
      <c r="C26" t="str">
        <f>IFERROR(INDEX(Starter!B:B,MATCH(B26,Starter!A:A,0)),"")</f>
        <v>Mittelmaier, Andreas</v>
      </c>
      <c r="D26" t="str">
        <f>IFERROR(INDEX(Starter!C:C,MATCH(B26,Starter!A:A,0)),"")</f>
        <v>Comet</v>
      </c>
      <c r="E26" s="102">
        <f t="shared" si="3"/>
        <v>6325</v>
      </c>
      <c r="F26">
        <f t="shared" si="4"/>
        <v>32</v>
      </c>
      <c r="G26" s="137">
        <f t="shared" si="5"/>
        <v>197.65624997</v>
      </c>
      <c r="L26" s="227">
        <f>INDEX(Starter!A:A,ROW()-1)</f>
        <v>16243</v>
      </c>
      <c r="M26">
        <f>INDEX(SchnittGes5!M:M,MATCH(L26,SchnittGes5!L:L,0))+INDEX(Schnitt6!M:M,MATCH(L26,Schnitt6!L:L,0))</f>
        <v>7013</v>
      </c>
      <c r="N26">
        <f>INDEX(SchnittGes5!N:N,MATCH(L26,SchnittGes5!L:L,0))+INDEX(Schnitt6!N:N,MATCH(L26,Schnitt6!L:L,0))</f>
        <v>33</v>
      </c>
      <c r="O26">
        <f t="shared" si="7"/>
        <v>212.51515148915149</v>
      </c>
      <c r="P26">
        <f t="shared" si="1"/>
        <v>4</v>
      </c>
    </row>
    <row r="27" spans="1:16" x14ac:dyDescent="0.25">
      <c r="A27">
        <f t="shared" si="6"/>
        <v>23</v>
      </c>
      <c r="B27">
        <f t="shared" si="2"/>
        <v>7593</v>
      </c>
      <c r="C27" t="str">
        <f>IFERROR(INDEX(Starter!B:B,MATCH(B27,Starter!A:A,0)),"")</f>
        <v>Börding, Peter</v>
      </c>
      <c r="D27" t="str">
        <f>IFERROR(INDEX(Starter!C:C,MATCH(B27,Starter!A:A,0)),"")</f>
        <v>BK München</v>
      </c>
      <c r="E27" s="102">
        <f t="shared" si="3"/>
        <v>6521</v>
      </c>
      <c r="F27">
        <f t="shared" si="4"/>
        <v>33</v>
      </c>
      <c r="G27" s="137">
        <f t="shared" si="5"/>
        <v>197.6060605600606</v>
      </c>
      <c r="L27" s="227">
        <f>INDEX(Starter!A:A,ROW()-1)</f>
        <v>7725</v>
      </c>
      <c r="M27">
        <f>INDEX(SchnittGes5!M:M,MATCH(L27,SchnittGes5!L:L,0))+INDEX(Schnitt6!M:M,MATCH(L27,Schnitt6!L:L,0))</f>
        <v>8231</v>
      </c>
      <c r="N27">
        <f>INDEX(SchnittGes5!N:N,MATCH(L27,SchnittGes5!L:L,0))+INDEX(Schnitt6!N:N,MATCH(L27,Schnitt6!L:L,0))</f>
        <v>42</v>
      </c>
      <c r="O27">
        <f t="shared" si="7"/>
        <v>195.97619044919048</v>
      </c>
      <c r="P27">
        <f t="shared" si="1"/>
        <v>25</v>
      </c>
    </row>
    <row r="28" spans="1:16" x14ac:dyDescent="0.25">
      <c r="A28">
        <f t="shared" si="6"/>
        <v>24</v>
      </c>
      <c r="B28">
        <f t="shared" si="2"/>
        <v>25325</v>
      </c>
      <c r="C28" t="str">
        <f>IFERROR(INDEX(Starter!B:B,MATCH(B28,Starter!A:A,0)),"")</f>
        <v>Wegenast, Robert</v>
      </c>
      <c r="D28" t="str">
        <f>IFERROR(INDEX(Starter!C:C,MATCH(B28,Starter!A:A,0)),"")</f>
        <v>BC EMAX</v>
      </c>
      <c r="E28" s="102">
        <f t="shared" si="3"/>
        <v>7296</v>
      </c>
      <c r="F28">
        <f t="shared" si="4"/>
        <v>37</v>
      </c>
      <c r="G28" s="137">
        <f t="shared" si="5"/>
        <v>197.18918913418921</v>
      </c>
      <c r="L28" s="227">
        <f>INDEX(Starter!A:A,ROW()-1)</f>
        <v>7734</v>
      </c>
      <c r="M28">
        <f>INDEX(SchnittGes5!M:M,MATCH(L28,SchnittGes5!L:L,0))+INDEX(Schnitt6!M:M,MATCH(L28,Schnitt6!L:L,0))</f>
        <v>4366</v>
      </c>
      <c r="N28">
        <f>INDEX(SchnittGes5!N:N,MATCH(L28,SchnittGes5!L:L,0))+INDEX(Schnitt6!N:N,MATCH(L28,Schnitt6!L:L,0))</f>
        <v>21</v>
      </c>
      <c r="O28">
        <f t="shared" si="7"/>
        <v>207.90476187676191</v>
      </c>
      <c r="P28">
        <f t="shared" si="1"/>
        <v>10</v>
      </c>
    </row>
    <row r="29" spans="1:16" x14ac:dyDescent="0.25">
      <c r="A29">
        <f t="shared" si="6"/>
        <v>25</v>
      </c>
      <c r="B29">
        <f t="shared" si="2"/>
        <v>7725</v>
      </c>
      <c r="C29" t="str">
        <f>IFERROR(INDEX(Starter!B:B,MATCH(B29,Starter!A:A,0)),"")</f>
        <v>Schlundt, Michael</v>
      </c>
      <c r="D29" t="str">
        <f>IFERROR(INDEX(Starter!C:C,MATCH(B29,Starter!A:A,0)),"")</f>
        <v>Comet</v>
      </c>
      <c r="E29" s="102">
        <f t="shared" si="3"/>
        <v>8231</v>
      </c>
      <c r="F29">
        <f t="shared" si="4"/>
        <v>42</v>
      </c>
      <c r="G29" s="137">
        <f t="shared" si="5"/>
        <v>195.97619044919048</v>
      </c>
      <c r="L29" s="227">
        <f>INDEX(Starter!A:A,ROW()-1)</f>
        <v>7724</v>
      </c>
      <c r="M29">
        <f>INDEX(SchnittGes5!M:M,MATCH(L29,SchnittGes5!L:L,0))+INDEX(Schnitt6!M:M,MATCH(L29,Schnitt6!L:L,0))</f>
        <v>6879</v>
      </c>
      <c r="N29">
        <f>INDEX(SchnittGes5!N:N,MATCH(L29,SchnittGes5!L:L,0))+INDEX(Schnitt6!N:N,MATCH(L29,Schnitt6!L:L,0))</f>
        <v>34</v>
      </c>
      <c r="O29">
        <f t="shared" si="7"/>
        <v>202.32352938276469</v>
      </c>
      <c r="P29">
        <f t="shared" si="1"/>
        <v>15</v>
      </c>
    </row>
    <row r="30" spans="1:16" x14ac:dyDescent="0.25">
      <c r="A30">
        <f t="shared" si="6"/>
        <v>26</v>
      </c>
      <c r="B30">
        <f t="shared" si="2"/>
        <v>38550</v>
      </c>
      <c r="C30" t="str">
        <f>IFERROR(INDEX(Starter!B:B,MATCH(B30,Starter!A:A,0)),"")</f>
        <v>Schütze, Oliver</v>
      </c>
      <c r="D30" t="str">
        <f>IFERROR(INDEX(Starter!C:C,MATCH(B30,Starter!A:A,0)),"")</f>
        <v>BC Schanzer Strikers</v>
      </c>
      <c r="E30" s="102">
        <f t="shared" si="3"/>
        <v>6440</v>
      </c>
      <c r="F30">
        <f t="shared" si="4"/>
        <v>33</v>
      </c>
      <c r="G30" s="137">
        <f t="shared" si="5"/>
        <v>195.15151514351516</v>
      </c>
      <c r="L30" s="227">
        <f>INDEX(Starter!A:A,ROW()-1)</f>
        <v>16896</v>
      </c>
      <c r="M30">
        <f>INDEX(SchnittGes5!M:M,MATCH(L30,SchnittGes5!L:L,0))+INDEX(Schnitt6!M:M,MATCH(L30,Schnitt6!L:L,0))</f>
        <v>6325</v>
      </c>
      <c r="N30">
        <f>INDEX(SchnittGes5!N:N,MATCH(L30,SchnittGes5!L:L,0))+INDEX(Schnitt6!N:N,MATCH(L30,Schnitt6!L:L,0))</f>
        <v>32</v>
      </c>
      <c r="O30">
        <f t="shared" si="7"/>
        <v>197.65624997</v>
      </c>
      <c r="P30">
        <f t="shared" si="1"/>
        <v>22</v>
      </c>
    </row>
    <row r="31" spans="1:16" x14ac:dyDescent="0.25">
      <c r="A31">
        <f t="shared" si="6"/>
        <v>27</v>
      </c>
      <c r="B31">
        <f t="shared" si="2"/>
        <v>16469</v>
      </c>
      <c r="C31" t="str">
        <f>IFERROR(INDEX(Starter!B:B,MATCH(B31,Starter!A:A,0)),"")</f>
        <v>Breitenstein, Alexander Kurt</v>
      </c>
      <c r="D31" t="str">
        <f>IFERROR(INDEX(Starter!C:C,MATCH(B31,Starter!A:A,0)),"")</f>
        <v>BF Rot-Weiß Lichtenhof 69</v>
      </c>
      <c r="E31" s="102">
        <f t="shared" si="3"/>
        <v>1750</v>
      </c>
      <c r="F31">
        <f t="shared" si="4"/>
        <v>9</v>
      </c>
      <c r="G31" s="137">
        <f t="shared" si="5"/>
        <v>194.44444437144446</v>
      </c>
      <c r="L31" s="227">
        <f>INDEX(Starter!A:A,ROW()-1)</f>
        <v>7102</v>
      </c>
      <c r="M31">
        <f>INDEX(SchnittGes5!M:M,MATCH(L31,SchnittGes5!L:L,0))+INDEX(Schnitt6!M:M,MATCH(L31,Schnitt6!L:L,0))</f>
        <v>6866</v>
      </c>
      <c r="N31">
        <f>INDEX(SchnittGes5!N:N,MATCH(L31,SchnittGes5!L:L,0))+INDEX(Schnitt6!N:N,MATCH(L31,Schnitt6!L:L,0))</f>
        <v>33</v>
      </c>
      <c r="O31">
        <f t="shared" si="7"/>
        <v>208.06060602960605</v>
      </c>
      <c r="P31">
        <f t="shared" si="1"/>
        <v>9</v>
      </c>
    </row>
    <row r="32" spans="1:16" x14ac:dyDescent="0.25">
      <c r="A32">
        <f t="shared" si="6"/>
        <v>28</v>
      </c>
      <c r="B32">
        <f t="shared" si="2"/>
        <v>7337</v>
      </c>
      <c r="C32" t="str">
        <f>IFERROR(INDEX(Starter!B:B,MATCH(B32,Starter!A:A,0)),"")</f>
        <v>Haunschild, Thomas</v>
      </c>
      <c r="D32" t="str">
        <f>IFERROR(INDEX(Starter!C:C,MATCH(B32,Starter!A:A,0)),"")</f>
        <v>BC Schanzer Strikers</v>
      </c>
      <c r="E32" s="102">
        <f t="shared" si="3"/>
        <v>777</v>
      </c>
      <c r="F32">
        <f t="shared" si="4"/>
        <v>4</v>
      </c>
      <c r="G32" s="137">
        <f t="shared" si="5"/>
        <v>194.24999993700001</v>
      </c>
      <c r="L32" s="227">
        <f>INDEX(Starter!A:A,ROW()-1)</f>
        <v>16245</v>
      </c>
      <c r="M32">
        <f>INDEX(SchnittGes5!M:M,MATCH(L32,SchnittGes5!L:L,0))+INDEX(Schnitt6!M:M,MATCH(L32,Schnitt6!L:L,0))</f>
        <v>1513</v>
      </c>
      <c r="N32">
        <f>INDEX(SchnittGes5!N:N,MATCH(L32,SchnittGes5!L:L,0))+INDEX(Schnitt6!N:N,MATCH(L32,Schnitt6!L:L,0))</f>
        <v>9</v>
      </c>
      <c r="O32">
        <f t="shared" si="7"/>
        <v>168.11111107911111</v>
      </c>
      <c r="P32">
        <f t="shared" si="1"/>
        <v>69</v>
      </c>
    </row>
    <row r="33" spans="1:16" x14ac:dyDescent="0.25">
      <c r="A33">
        <f t="shared" si="6"/>
        <v>29</v>
      </c>
      <c r="B33">
        <f t="shared" si="2"/>
        <v>16945</v>
      </c>
      <c r="C33" t="str">
        <f>IFERROR(INDEX(Starter!B:B,MATCH(B33,Starter!A:A,0)),"")</f>
        <v>Reichardt, Stefan</v>
      </c>
      <c r="D33" t="str">
        <f>IFERROR(INDEX(Starter!C:C,MATCH(B33,Starter!A:A,0)),"")</f>
        <v>SG Rottendorf</v>
      </c>
      <c r="E33" s="102">
        <f t="shared" si="3"/>
        <v>9295</v>
      </c>
      <c r="F33">
        <f t="shared" si="4"/>
        <v>48</v>
      </c>
      <c r="G33" s="137">
        <f t="shared" si="5"/>
        <v>193.64583332033334</v>
      </c>
      <c r="L33" s="227">
        <f>INDEX(Starter!A:A,ROW()-1)</f>
        <v>27134</v>
      </c>
      <c r="M33">
        <f>INDEX(SchnittGes5!M:M,MATCH(L33,SchnittGes5!L:L,0))+INDEX(Schnitt6!M:M,MATCH(L33,Schnitt6!L:L,0))</f>
        <v>5128</v>
      </c>
      <c r="N33">
        <f>INDEX(SchnittGes5!N:N,MATCH(L33,SchnittGes5!L:L,0))+INDEX(Schnitt6!N:N,MATCH(L33,Schnitt6!L:L,0))</f>
        <v>29</v>
      </c>
      <c r="O33">
        <f t="shared" si="7"/>
        <v>176.82758617389655</v>
      </c>
      <c r="P33">
        <f t="shared" si="1"/>
        <v>56</v>
      </c>
    </row>
    <row r="34" spans="1:16" x14ac:dyDescent="0.25">
      <c r="A34">
        <f t="shared" si="6"/>
        <v>30</v>
      </c>
      <c r="B34">
        <f t="shared" si="2"/>
        <v>16251</v>
      </c>
      <c r="C34" t="str">
        <f>IFERROR(INDEX(Starter!B:B,MATCH(B34,Starter!A:A,0)),"")</f>
        <v>Renner, Alexander</v>
      </c>
      <c r="D34" t="str">
        <f>IFERROR(INDEX(Starter!C:C,MATCH(B34,Starter!A:A,0)),"")</f>
        <v>BC Bamberger Bowlinghaus</v>
      </c>
      <c r="E34" s="102">
        <f t="shared" si="3"/>
        <v>3482</v>
      </c>
      <c r="F34">
        <f t="shared" si="4"/>
        <v>18</v>
      </c>
      <c r="G34" s="137">
        <f t="shared" si="5"/>
        <v>193.44444437744446</v>
      </c>
      <c r="L34" s="227">
        <f>INDEX(Starter!A:A,ROW()-1)</f>
        <v>7883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73</v>
      </c>
    </row>
    <row r="35" spans="1:16" x14ac:dyDescent="0.25">
      <c r="A35">
        <f t="shared" si="6"/>
        <v>31</v>
      </c>
      <c r="B35">
        <f t="shared" si="2"/>
        <v>38041</v>
      </c>
      <c r="C35" t="str">
        <f>IFERROR(INDEX(Starter!B:B,MATCH(B35,Starter!A:A,0)),"")</f>
        <v>Röhlig, Jörg</v>
      </c>
      <c r="D35" t="str">
        <f>IFERROR(INDEX(Starter!C:C,MATCH(B35,Starter!A:A,0)),"")</f>
        <v>BC Bamberger Bowlinghaus</v>
      </c>
      <c r="E35" s="102">
        <f t="shared" si="3"/>
        <v>5606</v>
      </c>
      <c r="F35">
        <f t="shared" si="4"/>
        <v>29</v>
      </c>
      <c r="G35" s="137">
        <f t="shared" si="5"/>
        <v>193.31034478958622</v>
      </c>
      <c r="L35" s="227">
        <f>INDEX(Starter!A:A,ROW()-1)</f>
        <v>7653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73</v>
      </c>
    </row>
    <row r="36" spans="1:16" x14ac:dyDescent="0.25">
      <c r="A36">
        <f t="shared" si="6"/>
        <v>32</v>
      </c>
      <c r="B36">
        <f t="shared" si="2"/>
        <v>16888</v>
      </c>
      <c r="C36" t="str">
        <f>IFERROR(INDEX(Starter!B:B,MATCH(B36,Starter!A:A,0)),"")</f>
        <v>Auer, Thomas</v>
      </c>
      <c r="D36" t="str">
        <f>IFERROR(INDEX(Starter!C:C,MATCH(B36,Starter!A:A,0)),"")</f>
        <v>BSC Highroller Rosenheim</v>
      </c>
      <c r="E36" s="102">
        <f t="shared" si="3"/>
        <v>8671</v>
      </c>
      <c r="F36">
        <f t="shared" si="4"/>
        <v>45</v>
      </c>
      <c r="G36" s="137">
        <f t="shared" si="5"/>
        <v>192.6888888648889</v>
      </c>
      <c r="L36" s="227">
        <f>INDEX(Starter!A:A,ROW()-1)</f>
        <v>25554</v>
      </c>
      <c r="M36">
        <f>INDEX(SchnittGes5!M:M,MATCH(L36,SchnittGes5!L:L,0))+INDEX(Schnitt6!M:M,MATCH(L36,Schnitt6!L:L,0))</f>
        <v>4349</v>
      </c>
      <c r="N36">
        <f>INDEX(SchnittGes5!N:N,MATCH(L36,SchnittGes5!L:L,0))+INDEX(Schnitt6!N:N,MATCH(L36,Schnitt6!L:L,0))</f>
        <v>24</v>
      </c>
      <c r="O36">
        <f t="shared" si="7"/>
        <v>181.20833329733335</v>
      </c>
      <c r="P36">
        <f t="shared" si="8"/>
        <v>52</v>
      </c>
    </row>
    <row r="37" spans="1:16" x14ac:dyDescent="0.25">
      <c r="A37">
        <f t="shared" si="6"/>
        <v>33</v>
      </c>
      <c r="B37">
        <f t="shared" ref="B37:B68" si="9">IFERROR(INDEX(L:L,MATCH(A37,P:P,0)),"")</f>
        <v>16301</v>
      </c>
      <c r="C37" t="str">
        <f>IFERROR(INDEX(Starter!B:B,MATCH(B37,Starter!A:A,0)),"")</f>
        <v>Werder, Jan-Uwe</v>
      </c>
      <c r="D37" t="str">
        <f>IFERROR(INDEX(Starter!C:C,MATCH(B37,Starter!A:A,0)),"")</f>
        <v>DJK Rimpar</v>
      </c>
      <c r="E37" s="102">
        <f t="shared" ref="E37:E68" si="10">IFERROR(INDEX(M:M,MATCH(A37,P:P,0)),"")</f>
        <v>8455</v>
      </c>
      <c r="F37">
        <f t="shared" ref="F37:F68" si="11">IFERROR(INDEX(N:N,MATCH(A37,P:P,0)),"")</f>
        <v>44</v>
      </c>
      <c r="G37" s="137">
        <f t="shared" ref="G37:G68" si="12">IFERROR(INDEX(O:O,MATCH(A37,P:P,0)),"")</f>
        <v>192.1590909040909</v>
      </c>
      <c r="L37" s="227">
        <f>INDEX(Starter!A:A,ROW()-1)</f>
        <v>7099</v>
      </c>
      <c r="M37">
        <f>INDEX(SchnittGes5!M:M,MATCH(L37,SchnittGes5!L:L,0))+INDEX(Schnitt6!M:M,MATCH(L37,Schnitt6!L:L,0))</f>
        <v>5227</v>
      </c>
      <c r="N37">
        <f>INDEX(SchnittGes5!N:N,MATCH(L37,SchnittGes5!L:L,0))+INDEX(Schnitt6!N:N,MATCH(L37,Schnitt6!L:L,0))</f>
        <v>25</v>
      </c>
      <c r="O37">
        <f t="shared" si="7"/>
        <v>209.07999996300001</v>
      </c>
      <c r="P37">
        <f t="shared" si="8"/>
        <v>7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25297</v>
      </c>
      <c r="C38" t="str">
        <f>IFERROR(INDEX(Starter!B:B,MATCH(B38,Starter!A:A,0)),"")</f>
        <v>Lengen, Peter</v>
      </c>
      <c r="D38" t="str">
        <f>IFERROR(INDEX(Starter!C:C,MATCH(B38,Starter!A:A,0)),"")</f>
        <v>BSC Highroller Rosenheim</v>
      </c>
      <c r="E38" s="102">
        <f t="shared" si="10"/>
        <v>5956</v>
      </c>
      <c r="F38">
        <f t="shared" si="11"/>
        <v>31</v>
      </c>
      <c r="G38" s="137">
        <f t="shared" si="12"/>
        <v>192.1290322350645</v>
      </c>
      <c r="L38" s="227">
        <f>INDEX(Starter!A:A,ROW()-1)</f>
        <v>38041</v>
      </c>
      <c r="M38">
        <f>INDEX(SchnittGes5!M:M,MATCH(L38,SchnittGes5!L:L,0))+INDEX(Schnitt6!M:M,MATCH(L38,Schnitt6!L:L,0))</f>
        <v>5606</v>
      </c>
      <c r="N38">
        <f>INDEX(SchnittGes5!N:N,MATCH(L38,SchnittGes5!L:L,0))+INDEX(Schnitt6!N:N,MATCH(L38,Schnitt6!L:L,0))</f>
        <v>29</v>
      </c>
      <c r="O38">
        <f t="shared" si="7"/>
        <v>193.31034478958622</v>
      </c>
      <c r="P38">
        <f t="shared" si="8"/>
        <v>31</v>
      </c>
    </row>
    <row r="39" spans="1:16" x14ac:dyDescent="0.25">
      <c r="A39">
        <f t="shared" si="13"/>
        <v>35</v>
      </c>
      <c r="B39">
        <f t="shared" si="9"/>
        <v>16495</v>
      </c>
      <c r="C39" t="str">
        <f>IFERROR(INDEX(Starter!B:B,MATCH(B39,Starter!A:A,0)),"")</f>
        <v>Stemmler, Patrick</v>
      </c>
      <c r="D39" t="str">
        <f>IFERROR(INDEX(Starter!C:C,MATCH(B39,Starter!A:A,0)),"")</f>
        <v>SG Rottendorf</v>
      </c>
      <c r="E39" s="102">
        <f t="shared" si="10"/>
        <v>9579</v>
      </c>
      <c r="F39">
        <f t="shared" si="11"/>
        <v>50</v>
      </c>
      <c r="G39" s="137">
        <f t="shared" si="12"/>
        <v>191.57999998800003</v>
      </c>
      <c r="L39" s="227">
        <f>INDEX(Starter!A:A,ROW()-1)</f>
        <v>25516</v>
      </c>
      <c r="M39">
        <f>INDEX(SchnittGes5!M:M,MATCH(L39,SchnittGes5!L:L,0))+INDEX(Schnitt6!M:M,MATCH(L39,Schnitt6!L:L,0))</f>
        <v>5295</v>
      </c>
      <c r="N39">
        <f>INDEX(SchnittGes5!N:N,MATCH(L39,SchnittGes5!L:L,0))+INDEX(Schnitt6!N:N,MATCH(L39,Schnitt6!L:L,0))</f>
        <v>28</v>
      </c>
      <c r="O39">
        <f t="shared" si="7"/>
        <v>189.10714281814285</v>
      </c>
      <c r="P39">
        <f t="shared" si="8"/>
        <v>38</v>
      </c>
    </row>
    <row r="40" spans="1:16" x14ac:dyDescent="0.25">
      <c r="A40">
        <f t="shared" si="13"/>
        <v>36</v>
      </c>
      <c r="B40">
        <f t="shared" si="9"/>
        <v>38687</v>
      </c>
      <c r="C40" t="str">
        <f>IFERROR(INDEX(Starter!B:B,MATCH(B40,Starter!A:A,0)),"")</f>
        <v>Gräfe, Sebastian</v>
      </c>
      <c r="D40" t="str">
        <f>IFERROR(INDEX(Starter!C:C,MATCH(B40,Starter!A:A,0)),"")</f>
        <v>DJK Rimpar</v>
      </c>
      <c r="E40" s="102">
        <f t="shared" si="10"/>
        <v>8028</v>
      </c>
      <c r="F40">
        <f t="shared" si="11"/>
        <v>42</v>
      </c>
      <c r="G40" s="137">
        <f t="shared" si="12"/>
        <v>191.14285713985714</v>
      </c>
      <c r="L40" s="227">
        <f>INDEX(Starter!A:A,ROW()-1)</f>
        <v>16873</v>
      </c>
      <c r="M40">
        <f>INDEX(SchnittGes5!M:M,MATCH(L40,SchnittGes5!L:L,0))+INDEX(Schnitt6!M:M,MATCH(L40,Schnitt6!L:L,0))</f>
        <v>7015</v>
      </c>
      <c r="N40">
        <f>INDEX(SchnittGes5!N:N,MATCH(L40,SchnittGes5!L:L,0))+INDEX(Schnitt6!N:N,MATCH(L40,Schnitt6!L:L,0))</f>
        <v>38</v>
      </c>
      <c r="O40">
        <f t="shared" si="7"/>
        <v>184.60526311789474</v>
      </c>
      <c r="P40">
        <f t="shared" si="8"/>
        <v>49</v>
      </c>
    </row>
    <row r="41" spans="1:16" x14ac:dyDescent="0.25">
      <c r="A41">
        <f t="shared" si="13"/>
        <v>37</v>
      </c>
      <c r="B41">
        <f t="shared" si="9"/>
        <v>41008</v>
      </c>
      <c r="C41" t="str">
        <f>IFERROR(INDEX(Starter!B:B,MATCH(B41,Starter!A:A,0)),"")</f>
        <v>Richter, Benjamin</v>
      </c>
      <c r="D41" t="str">
        <f>IFERROR(INDEX(Starter!C:C,MATCH(B41,Starter!A:A,0)),"")</f>
        <v>BC EMAX</v>
      </c>
      <c r="E41" s="102">
        <f t="shared" si="10"/>
        <v>3814</v>
      </c>
      <c r="F41">
        <f t="shared" si="11"/>
        <v>20</v>
      </c>
      <c r="G41" s="137">
        <f t="shared" si="12"/>
        <v>190.69999993499999</v>
      </c>
      <c r="L41" s="227">
        <f>INDEX(Starter!A:A,ROW()-1)</f>
        <v>7937</v>
      </c>
      <c r="M41">
        <f>INDEX(SchnittGes5!M:M,MATCH(L41,SchnittGes5!L:L,0))+INDEX(Schnitt6!M:M,MATCH(L41,Schnitt6!L:L,0))</f>
        <v>10403</v>
      </c>
      <c r="N41">
        <f>INDEX(SchnittGes5!N:N,MATCH(L41,SchnittGes5!L:L,0))+INDEX(Schnitt6!N:N,MATCH(L41,Schnitt6!L:L,0))</f>
        <v>51</v>
      </c>
      <c r="O41">
        <f t="shared" si="7"/>
        <v>203.98039211586274</v>
      </c>
      <c r="P41">
        <f t="shared" si="8"/>
        <v>14</v>
      </c>
    </row>
    <row r="42" spans="1:16" x14ac:dyDescent="0.25">
      <c r="A42">
        <f t="shared" si="13"/>
        <v>38</v>
      </c>
      <c r="B42">
        <f t="shared" si="9"/>
        <v>25516</v>
      </c>
      <c r="C42" t="str">
        <f>IFERROR(INDEX(Starter!B:B,MATCH(B42,Starter!A:A,0)),"")</f>
        <v>Nikoleit, Thomas</v>
      </c>
      <c r="D42" t="str">
        <f>IFERROR(INDEX(Starter!C:C,MATCH(B42,Starter!A:A,0)),"")</f>
        <v>BC Bamberger Bowlinghaus</v>
      </c>
      <c r="E42" s="102">
        <f t="shared" si="10"/>
        <v>5295</v>
      </c>
      <c r="F42">
        <f t="shared" si="11"/>
        <v>28</v>
      </c>
      <c r="G42" s="137">
        <f t="shared" si="12"/>
        <v>189.10714281814285</v>
      </c>
      <c r="L42" s="227">
        <f>INDEX(Starter!A:A,ROW()-1)</f>
        <v>10124</v>
      </c>
      <c r="M42">
        <f>INDEX(SchnittGes5!M:M,MATCH(L42,SchnittGes5!L:L,0))+INDEX(Schnitt6!M:M,MATCH(L42,Schnitt6!L:L,0))</f>
        <v>9112</v>
      </c>
      <c r="N42">
        <f>INDEX(SchnittGes5!N:N,MATCH(L42,SchnittGes5!L:L,0))+INDEX(Schnitt6!N:N,MATCH(L42,Schnitt6!L:L,0))</f>
        <v>49</v>
      </c>
      <c r="O42">
        <f t="shared" si="7"/>
        <v>185.95918363146939</v>
      </c>
      <c r="P42">
        <f t="shared" si="8"/>
        <v>46</v>
      </c>
    </row>
    <row r="43" spans="1:16" x14ac:dyDescent="0.25">
      <c r="A43">
        <f t="shared" si="13"/>
        <v>39</v>
      </c>
      <c r="B43">
        <f t="shared" si="9"/>
        <v>16852</v>
      </c>
      <c r="C43" t="str">
        <f>IFERROR(INDEX(Starter!B:B,MATCH(B43,Starter!A:A,0)),"")</f>
        <v>Wendel, Dominik</v>
      </c>
      <c r="D43" t="str">
        <f>IFERROR(INDEX(Starter!C:C,MATCH(B43,Starter!A:A,0)),"")</f>
        <v>SG Rottendorf</v>
      </c>
      <c r="E43" s="102">
        <f t="shared" si="10"/>
        <v>6807</v>
      </c>
      <c r="F43">
        <f t="shared" si="11"/>
        <v>36</v>
      </c>
      <c r="G43" s="137">
        <f t="shared" si="12"/>
        <v>189.08333332333333</v>
      </c>
      <c r="L43" s="227">
        <f>INDEX(Starter!A:A,ROW()-1)</f>
        <v>16263</v>
      </c>
      <c r="M43">
        <f>INDEX(SchnittGes5!M:M,MATCH(L43,SchnittGes5!L:L,0))+INDEX(Schnitt6!M:M,MATCH(L43,Schnitt6!L:L,0))</f>
        <v>9394</v>
      </c>
      <c r="N43">
        <f>INDEX(SchnittGes5!N:N,MATCH(L43,SchnittGes5!L:L,0))+INDEX(Schnitt6!N:N,MATCH(L43,Schnitt6!L:L,0))</f>
        <v>50</v>
      </c>
      <c r="O43">
        <f t="shared" si="7"/>
        <v>187.879999957</v>
      </c>
      <c r="P43">
        <f t="shared" si="8"/>
        <v>41</v>
      </c>
    </row>
    <row r="44" spans="1:16" x14ac:dyDescent="0.25">
      <c r="A44">
        <f t="shared" si="13"/>
        <v>40</v>
      </c>
      <c r="B44">
        <f t="shared" si="9"/>
        <v>38039</v>
      </c>
      <c r="C44" t="str">
        <f>IFERROR(INDEX(Starter!B:B,MATCH(B44,Starter!A:A,0)),"")</f>
        <v>Plaschka, Nico</v>
      </c>
      <c r="D44" t="str">
        <f>IFERROR(INDEX(Starter!C:C,MATCH(B44,Starter!A:A,0)),"")</f>
        <v>DJK Rimpar</v>
      </c>
      <c r="E44" s="102">
        <f t="shared" si="10"/>
        <v>4134</v>
      </c>
      <c r="F44">
        <f t="shared" si="11"/>
        <v>22</v>
      </c>
      <c r="G44" s="137">
        <f t="shared" si="12"/>
        <v>187.9090908610909</v>
      </c>
      <c r="L44" s="227">
        <f>INDEX(Starter!A:A,ROW()-1)</f>
        <v>7959</v>
      </c>
      <c r="M44">
        <f>INDEX(SchnittGes5!M:M,MATCH(L44,SchnittGes5!L:L,0))+INDEX(Schnitt6!M:M,MATCH(L44,Schnitt6!L:L,0))</f>
        <v>2390</v>
      </c>
      <c r="N44">
        <f>INDEX(SchnittGes5!N:N,MATCH(L44,SchnittGes5!L:L,0))+INDEX(Schnitt6!N:N,MATCH(L44,Schnitt6!L:L,0))</f>
        <v>14</v>
      </c>
      <c r="O44">
        <f t="shared" si="7"/>
        <v>170.71428567028573</v>
      </c>
      <c r="P44">
        <f t="shared" si="8"/>
        <v>64</v>
      </c>
    </row>
    <row r="45" spans="1:16" x14ac:dyDescent="0.25">
      <c r="A45">
        <f t="shared" si="13"/>
        <v>41</v>
      </c>
      <c r="B45">
        <f t="shared" si="9"/>
        <v>16263</v>
      </c>
      <c r="C45" t="str">
        <f>IFERROR(INDEX(Starter!B:B,MATCH(B45,Starter!A:A,0)),"")</f>
        <v>Jackwerth, Enno</v>
      </c>
      <c r="D45" t="str">
        <f>IFERROR(INDEX(Starter!C:C,MATCH(B45,Starter!A:A,0)),"")</f>
        <v>BF Rot-Weiß Lichtenhof 69</v>
      </c>
      <c r="E45" s="102">
        <f t="shared" si="10"/>
        <v>9394</v>
      </c>
      <c r="F45">
        <f t="shared" si="11"/>
        <v>50</v>
      </c>
      <c r="G45" s="137">
        <f t="shared" si="12"/>
        <v>187.879999957</v>
      </c>
      <c r="L45" s="227">
        <f>INDEX(Starter!A:A,ROW()-1)</f>
        <v>7601</v>
      </c>
      <c r="M45">
        <f>INDEX(SchnittGes5!M:M,MATCH(L45,SchnittGes5!L:L,0))+INDEX(Schnitt6!M:M,MATCH(L45,Schnitt6!L:L,0))</f>
        <v>6222</v>
      </c>
      <c r="N45">
        <f>INDEX(SchnittGes5!N:N,MATCH(L45,SchnittGes5!L:L,0))+INDEX(Schnitt6!N:N,MATCH(L45,Schnitt6!L:L,0))</f>
        <v>35</v>
      </c>
      <c r="O45">
        <f t="shared" si="7"/>
        <v>177.77142852642856</v>
      </c>
      <c r="P45">
        <f t="shared" si="8"/>
        <v>53</v>
      </c>
    </row>
    <row r="46" spans="1:16" x14ac:dyDescent="0.25">
      <c r="A46">
        <f t="shared" si="13"/>
        <v>42</v>
      </c>
      <c r="B46">
        <f t="shared" si="9"/>
        <v>16519</v>
      </c>
      <c r="C46" t="str">
        <f>IFERROR(INDEX(Starter!B:B,MATCH(B46,Starter!A:A,0)),"")</f>
        <v>Tos, Sascha</v>
      </c>
      <c r="D46" t="str">
        <f>IFERROR(INDEX(Starter!C:C,MATCH(B46,Starter!A:A,0)),"")</f>
        <v>BSC Highroller Rosenheim</v>
      </c>
      <c r="E46" s="102">
        <f t="shared" si="10"/>
        <v>4696</v>
      </c>
      <c r="F46">
        <f t="shared" si="11"/>
        <v>25</v>
      </c>
      <c r="G46" s="137">
        <f t="shared" si="12"/>
        <v>187.83999994000001</v>
      </c>
      <c r="L46" s="227">
        <f>INDEX(Starter!A:A,ROW()-1)</f>
        <v>7593</v>
      </c>
      <c r="M46">
        <f>INDEX(SchnittGes5!M:M,MATCH(L46,SchnittGes5!L:L,0))+INDEX(Schnitt6!M:M,MATCH(L46,Schnitt6!L:L,0))</f>
        <v>6521</v>
      </c>
      <c r="N46">
        <f>INDEX(SchnittGes5!N:N,MATCH(L46,SchnittGes5!L:L,0))+INDEX(Schnitt6!N:N,MATCH(L46,Schnitt6!L:L,0))</f>
        <v>33</v>
      </c>
      <c r="O46">
        <f t="shared" si="7"/>
        <v>197.6060605600606</v>
      </c>
      <c r="P46">
        <f t="shared" si="8"/>
        <v>23</v>
      </c>
    </row>
    <row r="47" spans="1:16" x14ac:dyDescent="0.25">
      <c r="A47">
        <f t="shared" si="13"/>
        <v>43</v>
      </c>
      <c r="B47">
        <f t="shared" si="9"/>
        <v>16862</v>
      </c>
      <c r="C47" t="str">
        <f>IFERROR(INDEX(Starter!B:B,MATCH(B47,Starter!A:A,0)),"")</f>
        <v>Büttner, Christian</v>
      </c>
      <c r="D47" t="str">
        <f>IFERROR(INDEX(Starter!C:C,MATCH(B47,Starter!A:A,0)),"")</f>
        <v>SG Rottendorf</v>
      </c>
      <c r="E47" s="102">
        <f t="shared" si="10"/>
        <v>8443</v>
      </c>
      <c r="F47">
        <f t="shared" si="11"/>
        <v>45</v>
      </c>
      <c r="G47" s="137">
        <f t="shared" si="12"/>
        <v>187.62222217222222</v>
      </c>
      <c r="L47" s="227">
        <f>INDEX(Starter!A:A,ROW()-1)</f>
        <v>7591</v>
      </c>
      <c r="M47">
        <f>INDEX(SchnittGes5!M:M,MATCH(L47,SchnittGes5!L:L,0))+INDEX(Schnitt6!M:M,MATCH(L47,Schnitt6!L:L,0))</f>
        <v>5414</v>
      </c>
      <c r="N47">
        <f>INDEX(SchnittGes5!N:N,MATCH(L47,SchnittGes5!L:L,0))+INDEX(Schnitt6!N:N,MATCH(L47,Schnitt6!L:L,0))</f>
        <v>26</v>
      </c>
      <c r="O47">
        <f t="shared" si="7"/>
        <v>208.23076918376924</v>
      </c>
      <c r="P47">
        <f t="shared" si="8"/>
        <v>8</v>
      </c>
    </row>
    <row r="48" spans="1:16" x14ac:dyDescent="0.25">
      <c r="A48">
        <f t="shared" si="13"/>
        <v>44</v>
      </c>
      <c r="B48">
        <f t="shared" si="9"/>
        <v>7597</v>
      </c>
      <c r="C48" t="str">
        <f>IFERROR(INDEX(Starter!B:B,MATCH(B48,Starter!A:A,0)),"")</f>
        <v>Laub, Harald</v>
      </c>
      <c r="D48" t="str">
        <f>IFERROR(INDEX(Starter!C:C,MATCH(B48,Starter!A:A,0)),"")</f>
        <v>BK München</v>
      </c>
      <c r="E48" s="102">
        <f t="shared" si="10"/>
        <v>7280</v>
      </c>
      <c r="F48">
        <f t="shared" si="11"/>
        <v>39</v>
      </c>
      <c r="G48" s="137">
        <f t="shared" si="12"/>
        <v>186.66666665166665</v>
      </c>
      <c r="L48" s="227">
        <f>INDEX(Starter!A:A,ROW()-1)</f>
        <v>38039</v>
      </c>
      <c r="M48">
        <f>INDEX(SchnittGes5!M:M,MATCH(L48,SchnittGes5!L:L,0))+INDEX(Schnitt6!M:M,MATCH(L48,Schnitt6!L:L,0))</f>
        <v>4134</v>
      </c>
      <c r="N48">
        <f>INDEX(SchnittGes5!N:N,MATCH(L48,SchnittGes5!L:L,0))+INDEX(Schnitt6!N:N,MATCH(L48,Schnitt6!L:L,0))</f>
        <v>22</v>
      </c>
      <c r="O48">
        <f t="shared" si="7"/>
        <v>187.9090908610909</v>
      </c>
      <c r="P48">
        <f t="shared" si="8"/>
        <v>40</v>
      </c>
    </row>
    <row r="49" spans="1:16" x14ac:dyDescent="0.25">
      <c r="A49">
        <f t="shared" si="13"/>
        <v>45</v>
      </c>
      <c r="B49">
        <f t="shared" si="9"/>
        <v>16398</v>
      </c>
      <c r="C49" t="str">
        <f>IFERROR(INDEX(Starter!B:B,MATCH(B49,Starter!A:A,0)),"")</f>
        <v>Denz, Günter</v>
      </c>
      <c r="D49" t="str">
        <f>IFERROR(INDEX(Starter!C:C,MATCH(B49,Starter!A:A,0)),"")</f>
        <v>BC EMAX</v>
      </c>
      <c r="E49" s="102">
        <f t="shared" si="10"/>
        <v>3910</v>
      </c>
      <c r="F49">
        <f t="shared" si="11"/>
        <v>21</v>
      </c>
      <c r="G49" s="137">
        <f t="shared" si="12"/>
        <v>186.19047612447619</v>
      </c>
      <c r="L49" s="227">
        <f>INDEX(Starter!A:A,ROW()-1)</f>
        <v>7738</v>
      </c>
      <c r="M49">
        <f>INDEX(SchnittGes5!M:M,MATCH(L49,SchnittGes5!L:L,0))+INDEX(Schnitt6!M:M,MATCH(L49,Schnitt6!L:L,0))</f>
        <v>704</v>
      </c>
      <c r="N49">
        <f>INDEX(SchnittGes5!N:N,MATCH(L49,SchnittGes5!L:L,0))+INDEX(Schnitt6!N:N,MATCH(L49,Schnitt6!L:L,0))</f>
        <v>4</v>
      </c>
      <c r="O49">
        <f t="shared" si="7"/>
        <v>175.99999995100001</v>
      </c>
      <c r="P49">
        <f t="shared" si="8"/>
        <v>58</v>
      </c>
    </row>
    <row r="50" spans="1:16" x14ac:dyDescent="0.25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9112</v>
      </c>
      <c r="F50">
        <f t="shared" si="11"/>
        <v>49</v>
      </c>
      <c r="G50" s="137">
        <f t="shared" si="12"/>
        <v>185.95918363146939</v>
      </c>
      <c r="L50" s="227">
        <f>INDEX(Starter!A:A,ROW()-1)</f>
        <v>16862</v>
      </c>
      <c r="M50">
        <f>INDEX(SchnittGes5!M:M,MATCH(L50,SchnittGes5!L:L,0))+INDEX(Schnitt6!M:M,MATCH(L50,Schnitt6!L:L,0))</f>
        <v>8443</v>
      </c>
      <c r="N50">
        <f>INDEX(SchnittGes5!N:N,MATCH(L50,SchnittGes5!L:L,0))+INDEX(Schnitt6!N:N,MATCH(L50,Schnitt6!L:L,0))</f>
        <v>45</v>
      </c>
      <c r="O50">
        <f t="shared" si="7"/>
        <v>187.62222217222222</v>
      </c>
      <c r="P50">
        <f t="shared" si="8"/>
        <v>43</v>
      </c>
    </row>
    <row r="51" spans="1:16" x14ac:dyDescent="0.25">
      <c r="A51">
        <f t="shared" si="13"/>
        <v>47</v>
      </c>
      <c r="B51">
        <f t="shared" si="9"/>
        <v>38092</v>
      </c>
      <c r="C51" t="str">
        <f>IFERROR(INDEX(Starter!B:B,MATCH(B51,Starter!A:A,0)),"")</f>
        <v>Kabel, Nicolas</v>
      </c>
      <c r="D51" t="str">
        <f>IFERROR(INDEX(Starter!C:C,MATCH(B51,Starter!A:A,0)),"")</f>
        <v>BSC Highroller Rosenheim</v>
      </c>
      <c r="E51" s="102">
        <f t="shared" si="10"/>
        <v>9064</v>
      </c>
      <c r="F51">
        <f t="shared" si="11"/>
        <v>49</v>
      </c>
      <c r="G51" s="137">
        <f t="shared" si="12"/>
        <v>184.97959181173471</v>
      </c>
      <c r="L51" s="227">
        <f>INDEX(Starter!A:A,ROW()-1)</f>
        <v>16346</v>
      </c>
      <c r="M51">
        <f>INDEX(SchnittGes5!M:M,MATCH(L51,SchnittGes5!L:L,0))+INDEX(Schnitt6!M:M,MATCH(L51,Schnitt6!L:L,0))</f>
        <v>422</v>
      </c>
      <c r="N51">
        <f>INDEX(SchnittGes5!N:N,MATCH(L51,SchnittGes5!L:L,0))+INDEX(Schnitt6!N:N,MATCH(L51,Schnitt6!L:L,0))</f>
        <v>2</v>
      </c>
      <c r="O51">
        <f t="shared" si="7"/>
        <v>210.999999949</v>
      </c>
      <c r="P51">
        <f t="shared" si="8"/>
        <v>5</v>
      </c>
    </row>
    <row r="52" spans="1:16" x14ac:dyDescent="0.25">
      <c r="A52">
        <f t="shared" si="13"/>
        <v>48</v>
      </c>
      <c r="B52">
        <f t="shared" si="9"/>
        <v>7600</v>
      </c>
      <c r="C52" t="str">
        <f>IFERROR(INDEX(Starter!B:B,MATCH(B52,Starter!A:A,0)),"")</f>
        <v>Lüthje, Dennis</v>
      </c>
      <c r="D52" t="str">
        <f>IFERROR(INDEX(Starter!C:C,MATCH(B52,Starter!A:A,0)),"")</f>
        <v>BC Bajuwaren 1976 München</v>
      </c>
      <c r="E52" s="102">
        <f t="shared" si="10"/>
        <v>7577</v>
      </c>
      <c r="F52">
        <f t="shared" si="11"/>
        <v>41</v>
      </c>
      <c r="G52" s="137">
        <f t="shared" si="12"/>
        <v>184.80487802878051</v>
      </c>
      <c r="L52" s="227">
        <f>INDEX(Starter!A:A,ROW()-1)</f>
        <v>25024</v>
      </c>
      <c r="M52">
        <f>INDEX(SchnittGes5!M:M,MATCH(L52,SchnittGes5!L:L,0))+INDEX(Schnitt6!M:M,MATCH(L52,Schnitt6!L:L,0))</f>
        <v>1434</v>
      </c>
      <c r="N52">
        <f>INDEX(SchnittGes5!N:N,MATCH(L52,SchnittGes5!L:L,0))+INDEX(Schnitt6!N:N,MATCH(L52,Schnitt6!L:L,0))</f>
        <v>9</v>
      </c>
      <c r="O52">
        <f t="shared" si="7"/>
        <v>159.33333328133335</v>
      </c>
      <c r="P52">
        <f t="shared" si="8"/>
        <v>71</v>
      </c>
    </row>
    <row r="53" spans="1:16" x14ac:dyDescent="0.25">
      <c r="A53">
        <f t="shared" si="13"/>
        <v>49</v>
      </c>
      <c r="B53">
        <f t="shared" si="9"/>
        <v>16873</v>
      </c>
      <c r="C53" t="str">
        <f>IFERROR(INDEX(Starter!B:B,MATCH(B53,Starter!A:A,0)),"")</f>
        <v>Nolan, Jonathan</v>
      </c>
      <c r="D53" t="str">
        <f>IFERROR(INDEX(Starter!C:C,MATCH(B53,Starter!A:A,0)),"")</f>
        <v>BC Bamberger Bowlinghaus</v>
      </c>
      <c r="E53" s="102">
        <f t="shared" si="10"/>
        <v>7015</v>
      </c>
      <c r="F53">
        <f t="shared" si="11"/>
        <v>38</v>
      </c>
      <c r="G53" s="137">
        <f t="shared" si="12"/>
        <v>184.60526311789474</v>
      </c>
      <c r="L53" s="227">
        <f>INDEX(Starter!A:A,ROW()-1)</f>
        <v>7344</v>
      </c>
      <c r="M53">
        <f>INDEX(SchnittGes5!M:M,MATCH(L53,SchnittGes5!L:L,0))+INDEX(Schnitt6!M:M,MATCH(L53,Schnitt6!L:L,0))</f>
        <v>1528</v>
      </c>
      <c r="N53">
        <f>INDEX(SchnittGes5!N:N,MATCH(L53,SchnittGes5!L:L,0))+INDEX(Schnitt6!N:N,MATCH(L53,Schnitt6!L:L,0))</f>
        <v>9</v>
      </c>
      <c r="O53">
        <f t="shared" si="7"/>
        <v>169.77777772477776</v>
      </c>
      <c r="P53">
        <f t="shared" si="8"/>
        <v>66</v>
      </c>
    </row>
    <row r="54" spans="1:16" x14ac:dyDescent="0.25">
      <c r="A54">
        <f t="shared" si="13"/>
        <v>50</v>
      </c>
      <c r="B54">
        <f t="shared" si="9"/>
        <v>38043</v>
      </c>
      <c r="C54" t="str">
        <f>IFERROR(INDEX(Starter!B:B,MATCH(B54,Starter!A:A,0)),"")</f>
        <v>Badum, Daniel</v>
      </c>
      <c r="D54" t="str">
        <f>IFERROR(INDEX(Starter!C:C,MATCH(B54,Starter!A:A,0)),"")</f>
        <v>BC Bamberger Bowlinghaus</v>
      </c>
      <c r="E54" s="102">
        <f t="shared" si="10"/>
        <v>7705</v>
      </c>
      <c r="F54">
        <f t="shared" si="11"/>
        <v>42</v>
      </c>
      <c r="G54" s="137">
        <f t="shared" si="12"/>
        <v>183.45238089438095</v>
      </c>
      <c r="L54" s="227">
        <f>INDEX(Starter!A:A,ROW()-1)</f>
        <v>7602</v>
      </c>
      <c r="M54">
        <f>INDEX(SchnittGes5!M:M,MATCH(L54,SchnittGes5!L:L,0))+INDEX(Schnitt6!M:M,MATCH(L54,Schnitt6!L:L,0))</f>
        <v>7428</v>
      </c>
      <c r="N54">
        <f>INDEX(SchnittGes5!N:N,MATCH(L54,SchnittGes5!L:L,0))+INDEX(Schnitt6!N:N,MATCH(L54,Schnitt6!L:L,0))</f>
        <v>37</v>
      </c>
      <c r="O54">
        <f t="shared" si="7"/>
        <v>200.75675670275675</v>
      </c>
      <c r="P54">
        <f t="shared" si="8"/>
        <v>19</v>
      </c>
    </row>
    <row r="55" spans="1:16" x14ac:dyDescent="0.25">
      <c r="A55">
        <f t="shared" si="13"/>
        <v>51</v>
      </c>
      <c r="B55">
        <f t="shared" si="9"/>
        <v>16352</v>
      </c>
      <c r="C55" t="str">
        <f>IFERROR(INDEX(Starter!B:B,MATCH(B55,Starter!A:A,0)),"")</f>
        <v>Scholz, Alexander</v>
      </c>
      <c r="D55" t="str">
        <f>IFERROR(INDEX(Starter!C:C,MATCH(B55,Starter!A:A,0)),"")</f>
        <v>SG Rottendorf</v>
      </c>
      <c r="E55" s="102">
        <f t="shared" si="10"/>
        <v>4035</v>
      </c>
      <c r="F55">
        <f t="shared" si="11"/>
        <v>22</v>
      </c>
      <c r="G55" s="137">
        <f t="shared" si="12"/>
        <v>183.40909089809091</v>
      </c>
      <c r="L55" s="227">
        <f>INDEX(Starter!A:A,ROW()-1)</f>
        <v>25325</v>
      </c>
      <c r="M55">
        <f>INDEX(SchnittGes5!M:M,MATCH(L55,SchnittGes5!L:L,0))+INDEX(Schnitt6!M:M,MATCH(L55,Schnitt6!L:L,0))</f>
        <v>7296</v>
      </c>
      <c r="N55">
        <f>INDEX(SchnittGes5!N:N,MATCH(L55,SchnittGes5!L:L,0))+INDEX(Schnitt6!N:N,MATCH(L55,Schnitt6!L:L,0))</f>
        <v>37</v>
      </c>
      <c r="O55">
        <f t="shared" si="7"/>
        <v>197.18918913418921</v>
      </c>
      <c r="P55">
        <f t="shared" si="8"/>
        <v>24</v>
      </c>
    </row>
    <row r="56" spans="1:16" x14ac:dyDescent="0.25">
      <c r="A56">
        <f t="shared" si="13"/>
        <v>52</v>
      </c>
      <c r="B56">
        <f t="shared" si="9"/>
        <v>25554</v>
      </c>
      <c r="C56" t="str">
        <f>IFERROR(INDEX(Starter!B:B,MATCH(B56,Starter!A:A,0)),"")</f>
        <v>Blasits, Ernst</v>
      </c>
      <c r="D56" t="str">
        <f>IFERROR(INDEX(Starter!C:C,MATCH(B56,Starter!A:A,0)),"")</f>
        <v>BC EMAX</v>
      </c>
      <c r="E56" s="102">
        <f t="shared" si="10"/>
        <v>4349</v>
      </c>
      <c r="F56">
        <f t="shared" si="11"/>
        <v>24</v>
      </c>
      <c r="G56" s="137">
        <f t="shared" si="12"/>
        <v>181.20833329733335</v>
      </c>
      <c r="L56" s="227">
        <f>INDEX(Starter!A:A,ROW()-1)</f>
        <v>7428</v>
      </c>
      <c r="M56">
        <f>INDEX(SchnittGes5!M:M,MATCH(L56,SchnittGes5!L:L,0))+INDEX(Schnitt6!M:M,MATCH(L56,Schnitt6!L:L,0))</f>
        <v>6955</v>
      </c>
      <c r="N56">
        <f>INDEX(SchnittGes5!N:N,MATCH(L56,SchnittGes5!L:L,0))+INDEX(Schnitt6!N:N,MATCH(L56,Schnitt6!L:L,0))</f>
        <v>34</v>
      </c>
      <c r="O56">
        <f t="shared" si="7"/>
        <v>204.55882347341176</v>
      </c>
      <c r="P56">
        <f t="shared" si="8"/>
        <v>13</v>
      </c>
    </row>
    <row r="57" spans="1:16" x14ac:dyDescent="0.25">
      <c r="A57">
        <f t="shared" si="13"/>
        <v>53</v>
      </c>
      <c r="B57">
        <f t="shared" si="9"/>
        <v>7601</v>
      </c>
      <c r="C57" t="str">
        <f>IFERROR(INDEX(Starter!B:B,MATCH(B57,Starter!A:A,0)),"")</f>
        <v>Lüthje, Volker</v>
      </c>
      <c r="D57" t="str">
        <f>IFERROR(INDEX(Starter!C:C,MATCH(B57,Starter!A:A,0)),"")</f>
        <v>BC Bajuwaren 1976 München</v>
      </c>
      <c r="E57" s="102">
        <f t="shared" si="10"/>
        <v>6222</v>
      </c>
      <c r="F57">
        <f t="shared" si="11"/>
        <v>35</v>
      </c>
      <c r="G57" s="137">
        <f t="shared" si="12"/>
        <v>177.77142852642856</v>
      </c>
      <c r="L57" s="227">
        <f>INDEX(Starter!A:A,ROW()-1)</f>
        <v>16532</v>
      </c>
      <c r="M57">
        <f>INDEX(SchnittGes5!M:M,MATCH(L57,SchnittGes5!L:L,0))+INDEX(Schnitt6!M:M,MATCH(L57,Schnitt6!L:L,0))</f>
        <v>4574</v>
      </c>
      <c r="N57">
        <f>INDEX(SchnittGes5!N:N,MATCH(L57,SchnittGes5!L:L,0))+INDEX(Schnitt6!N:N,MATCH(L57,Schnitt6!L:L,0))</f>
        <v>23</v>
      </c>
      <c r="O57">
        <f t="shared" si="7"/>
        <v>198.86956516039132</v>
      </c>
      <c r="P57">
        <f t="shared" si="8"/>
        <v>20</v>
      </c>
    </row>
    <row r="58" spans="1:16" x14ac:dyDescent="0.25">
      <c r="A58">
        <f t="shared" si="13"/>
        <v>54</v>
      </c>
      <c r="B58">
        <f t="shared" si="9"/>
        <v>25061</v>
      </c>
      <c r="C58" t="str">
        <f>IFERROR(INDEX(Starter!B:B,MATCH(B58,Starter!A:A,0)),"")</f>
        <v>Schwarz, Christian</v>
      </c>
      <c r="D58" t="str">
        <f>IFERROR(INDEX(Starter!C:C,MATCH(B58,Starter!A:A,0)),"")</f>
        <v>BSC Highroller Rosenheim</v>
      </c>
      <c r="E58" s="102">
        <f t="shared" si="10"/>
        <v>7095</v>
      </c>
      <c r="F58">
        <f t="shared" si="11"/>
        <v>40</v>
      </c>
      <c r="G58" s="137">
        <f t="shared" si="12"/>
        <v>177.374999941</v>
      </c>
      <c r="L58" s="227">
        <f>INDEX(Starter!A:A,ROW()-1)</f>
        <v>38043</v>
      </c>
      <c r="M58">
        <f>INDEX(SchnittGes5!M:M,MATCH(L58,SchnittGes5!L:L,0))+INDEX(Schnitt6!M:M,MATCH(L58,Schnitt6!L:L,0))</f>
        <v>7705</v>
      </c>
      <c r="N58">
        <f>INDEX(SchnittGes5!N:N,MATCH(L58,SchnittGes5!L:L,0))+INDEX(Schnitt6!N:N,MATCH(L58,Schnitt6!L:L,0))</f>
        <v>42</v>
      </c>
      <c r="O58">
        <f t="shared" si="7"/>
        <v>183.45238089438095</v>
      </c>
      <c r="P58">
        <f t="shared" si="8"/>
        <v>50</v>
      </c>
    </row>
    <row r="59" spans="1:16" x14ac:dyDescent="0.25">
      <c r="A59">
        <f t="shared" si="13"/>
        <v>55</v>
      </c>
      <c r="B59">
        <f t="shared" si="9"/>
        <v>38686</v>
      </c>
      <c r="C59" t="str">
        <f>IFERROR(INDEX(Starter!B:B,MATCH(B59,Starter!A:A,0)),"")</f>
        <v>Beck, Stefan</v>
      </c>
      <c r="D59" t="str">
        <f>IFERROR(INDEX(Starter!C:C,MATCH(B59,Starter!A:A,0)),"")</f>
        <v>DJK Rimpar</v>
      </c>
      <c r="E59" s="102">
        <f t="shared" si="10"/>
        <v>708</v>
      </c>
      <c r="F59">
        <f t="shared" si="11"/>
        <v>4</v>
      </c>
      <c r="G59" s="137">
        <f t="shared" si="12"/>
        <v>176.99999993200001</v>
      </c>
      <c r="L59" s="227">
        <f>INDEX(Starter!A:A,ROW()-1)</f>
        <v>25061</v>
      </c>
      <c r="M59">
        <f>INDEX(SchnittGes5!M:M,MATCH(L59,SchnittGes5!L:L,0))+INDEX(Schnitt6!M:M,MATCH(L59,Schnitt6!L:L,0))</f>
        <v>7095</v>
      </c>
      <c r="N59">
        <f>INDEX(SchnittGes5!N:N,MATCH(L59,SchnittGes5!L:L,0))+INDEX(Schnitt6!N:N,MATCH(L59,Schnitt6!L:L,0))</f>
        <v>40</v>
      </c>
      <c r="O59">
        <f t="shared" si="7"/>
        <v>177.374999941</v>
      </c>
      <c r="P59">
        <f t="shared" si="8"/>
        <v>54</v>
      </c>
    </row>
    <row r="60" spans="1:16" x14ac:dyDescent="0.25">
      <c r="A60">
        <f t="shared" si="13"/>
        <v>56</v>
      </c>
      <c r="B60">
        <f t="shared" si="9"/>
        <v>27134</v>
      </c>
      <c r="C60" t="str">
        <f>IFERROR(INDEX(Starter!B:B,MATCH(B60,Starter!A:A,0)),"")</f>
        <v>Lohse, Sebastian</v>
      </c>
      <c r="D60" t="str">
        <f>IFERROR(INDEX(Starter!C:C,MATCH(B60,Starter!A:A,0)),"")</f>
        <v>BC EMAX</v>
      </c>
      <c r="E60" s="102">
        <f t="shared" si="10"/>
        <v>5128</v>
      </c>
      <c r="F60">
        <f t="shared" si="11"/>
        <v>29</v>
      </c>
      <c r="G60" s="137">
        <f t="shared" si="12"/>
        <v>176.82758617389655</v>
      </c>
      <c r="L60" s="227">
        <f>INDEX(Starter!A:A,ROW()-1)</f>
        <v>16519</v>
      </c>
      <c r="M60">
        <f>INDEX(SchnittGes5!M:M,MATCH(L60,SchnittGes5!L:L,0))+INDEX(Schnitt6!M:M,MATCH(L60,Schnitt6!L:L,0))</f>
        <v>4696</v>
      </c>
      <c r="N60">
        <f>INDEX(SchnittGes5!N:N,MATCH(L60,SchnittGes5!L:L,0))+INDEX(Schnitt6!N:N,MATCH(L60,Schnitt6!L:L,0))</f>
        <v>25</v>
      </c>
      <c r="O60">
        <f t="shared" si="7"/>
        <v>187.83999994000001</v>
      </c>
      <c r="P60">
        <f t="shared" si="8"/>
        <v>42</v>
      </c>
    </row>
    <row r="61" spans="1:16" x14ac:dyDescent="0.25">
      <c r="A61">
        <f t="shared" si="13"/>
        <v>57</v>
      </c>
      <c r="B61">
        <f t="shared" si="9"/>
        <v>25465</v>
      </c>
      <c r="C61" t="str">
        <f>IFERROR(INDEX(Starter!B:B,MATCH(B61,Starter!A:A,0)),"")</f>
        <v>Wahl, Norbert</v>
      </c>
      <c r="D61" t="str">
        <f>IFERROR(INDEX(Starter!C:C,MATCH(B61,Starter!A:A,0)),"")</f>
        <v>BF Rot-Weiß Lichtenhof 69</v>
      </c>
      <c r="E61" s="102">
        <f t="shared" si="10"/>
        <v>353</v>
      </c>
      <c r="F61">
        <f t="shared" si="11"/>
        <v>2</v>
      </c>
      <c r="G61" s="137">
        <f t="shared" si="12"/>
        <v>176.499999925</v>
      </c>
      <c r="L61" s="227">
        <f>INDEX(Starter!A:A,ROW()-1)</f>
        <v>7485</v>
      </c>
      <c r="M61">
        <f>INDEX(SchnittGes5!M:M,MATCH(L61,SchnittGes5!L:L,0))+INDEX(Schnitt6!M:M,MATCH(L61,Schnitt6!L:L,0))</f>
        <v>862</v>
      </c>
      <c r="N61">
        <f>INDEX(SchnittGes5!N:N,MATCH(L61,SchnittGes5!L:L,0))+INDEX(Schnitt6!N:N,MATCH(L61,Schnitt6!L:L,0))</f>
        <v>5</v>
      </c>
      <c r="O61">
        <f t="shared" si="7"/>
        <v>172.399999939</v>
      </c>
      <c r="P61">
        <f t="shared" si="8"/>
        <v>62</v>
      </c>
    </row>
    <row r="62" spans="1:16" x14ac:dyDescent="0.25">
      <c r="A62">
        <f t="shared" si="13"/>
        <v>58</v>
      </c>
      <c r="B62">
        <f t="shared" si="9"/>
        <v>7738</v>
      </c>
      <c r="C62" t="str">
        <f>IFERROR(INDEX(Starter!B:B,MATCH(B62,Starter!A:A,0)),"")</f>
        <v>Stöhr, Jürgen</v>
      </c>
      <c r="D62" t="str">
        <f>IFERROR(INDEX(Starter!C:C,MATCH(B62,Starter!A:A,0)),"")</f>
        <v>BF Rot-Weiß Lichtenhof 69</v>
      </c>
      <c r="E62" s="102">
        <f t="shared" si="10"/>
        <v>704</v>
      </c>
      <c r="F62">
        <f t="shared" si="11"/>
        <v>4</v>
      </c>
      <c r="G62" s="137">
        <f t="shared" si="12"/>
        <v>175.99999995100001</v>
      </c>
      <c r="L62" s="227">
        <f>INDEX(Starter!A:A,ROW()-1)</f>
        <v>7740</v>
      </c>
      <c r="M62">
        <f>INDEX(SchnittGes5!M:M,MATCH(L62,SchnittGes5!L:L,0))+INDEX(Schnitt6!M:M,MATCH(L62,Schnitt6!L:L,0))</f>
        <v>2819</v>
      </c>
      <c r="N62">
        <f>INDEX(SchnittGes5!N:N,MATCH(L62,SchnittGes5!L:L,0))+INDEX(Schnitt6!N:N,MATCH(L62,Schnitt6!L:L,0))</f>
        <v>17</v>
      </c>
      <c r="O62">
        <f t="shared" si="7"/>
        <v>165.8235293497647</v>
      </c>
      <c r="P62">
        <f t="shared" si="8"/>
        <v>70</v>
      </c>
    </row>
    <row r="63" spans="1:16" x14ac:dyDescent="0.25">
      <c r="A63">
        <f t="shared" si="13"/>
        <v>59</v>
      </c>
      <c r="B63">
        <f t="shared" si="9"/>
        <v>38361</v>
      </c>
      <c r="C63" t="str">
        <f>IFERROR(INDEX(Starter!B:B,MATCH(B63,Starter!A:A,0)),"")</f>
        <v>Schmied, Markus</v>
      </c>
      <c r="D63" t="str">
        <f>IFERROR(INDEX(Starter!C:C,MATCH(B63,Starter!A:A,0)),"")</f>
        <v>BC Schanzer Strikers</v>
      </c>
      <c r="E63" s="102">
        <f t="shared" si="10"/>
        <v>8955</v>
      </c>
      <c r="F63">
        <f t="shared" si="11"/>
        <v>51</v>
      </c>
      <c r="G63" s="137">
        <f t="shared" si="12"/>
        <v>175.58823528711764</v>
      </c>
      <c r="L63" s="227">
        <f>INDEX(Starter!A:A,ROW()-1)</f>
        <v>7337</v>
      </c>
      <c r="M63">
        <f>INDEX(SchnittGes5!M:M,MATCH(L63,SchnittGes5!L:L,0))+INDEX(Schnitt6!M:M,MATCH(L63,Schnitt6!L:L,0))</f>
        <v>777</v>
      </c>
      <c r="N63">
        <f>INDEX(SchnittGes5!N:N,MATCH(L63,SchnittGes5!L:L,0))+INDEX(Schnitt6!N:N,MATCH(L63,Schnitt6!L:L,0))</f>
        <v>4</v>
      </c>
      <c r="O63">
        <f t="shared" si="7"/>
        <v>194.24999993700001</v>
      </c>
      <c r="P63">
        <f t="shared" si="8"/>
        <v>28</v>
      </c>
    </row>
    <row r="64" spans="1:16" x14ac:dyDescent="0.25">
      <c r="A64">
        <f t="shared" si="13"/>
        <v>60</v>
      </c>
      <c r="B64">
        <f t="shared" si="9"/>
        <v>38411</v>
      </c>
      <c r="C64" t="str">
        <f>IFERROR(INDEX(Starter!B:B,MATCH(B64,Starter!A:A,0)),"")</f>
        <v>Hartl, Thomas</v>
      </c>
      <c r="D64" t="str">
        <f>IFERROR(INDEX(Starter!C:C,MATCH(B64,Starter!A:A,0)),"")</f>
        <v>BC Schanzer Strikers</v>
      </c>
      <c r="E64" s="102">
        <f t="shared" si="10"/>
        <v>7350</v>
      </c>
      <c r="F64">
        <f t="shared" si="11"/>
        <v>42</v>
      </c>
      <c r="G64" s="137">
        <f t="shared" si="12"/>
        <v>174.99999999400001</v>
      </c>
      <c r="L64" s="227">
        <f>INDEX(Starter!A:A,ROW()-1)</f>
        <v>38360</v>
      </c>
      <c r="M64">
        <f>INDEX(SchnittGes5!M:M,MATCH(L64,SchnittGes5!L:L,0))+INDEX(Schnitt6!M:M,MATCH(L64,Schnitt6!L:L,0))</f>
        <v>842</v>
      </c>
      <c r="N64">
        <f>INDEX(SchnittGes5!N:N,MATCH(L64,SchnittGes5!L:L,0))+INDEX(Schnitt6!N:N,MATCH(L64,Schnitt6!L:L,0))</f>
        <v>5</v>
      </c>
      <c r="O64">
        <f t="shared" si="7"/>
        <v>168.399999936</v>
      </c>
      <c r="P64">
        <f t="shared" si="8"/>
        <v>68</v>
      </c>
    </row>
    <row r="65" spans="1:16" x14ac:dyDescent="0.25">
      <c r="A65">
        <f t="shared" si="13"/>
        <v>61</v>
      </c>
      <c r="B65">
        <f t="shared" si="9"/>
        <v>16762</v>
      </c>
      <c r="C65" t="str">
        <f>IFERROR(INDEX(Starter!B:B,MATCH(B65,Starter!A:A,0)),"")</f>
        <v>Glasl sen., Hans</v>
      </c>
      <c r="D65" t="str">
        <f>IFERROR(INDEX(Starter!C:C,MATCH(B65,Starter!A:A,0)),"")</f>
        <v>BC Bajuwaren 1976 München</v>
      </c>
      <c r="E65" s="102">
        <f t="shared" si="10"/>
        <v>4699</v>
      </c>
      <c r="F65">
        <f t="shared" si="11"/>
        <v>27</v>
      </c>
      <c r="G65" s="137">
        <f t="shared" si="12"/>
        <v>174.03703701803704</v>
      </c>
      <c r="L65" s="227">
        <f>INDEX(Starter!A:A,ROW()-1)</f>
        <v>41008</v>
      </c>
      <c r="M65">
        <f>INDEX(SchnittGes5!M:M,MATCH(L65,SchnittGes5!L:L,0))+INDEX(Schnitt6!M:M,MATCH(L65,Schnitt6!L:L,0))</f>
        <v>3814</v>
      </c>
      <c r="N65">
        <f>INDEX(SchnittGes5!N:N,MATCH(L65,SchnittGes5!L:L,0))+INDEX(Schnitt6!N:N,MATCH(L65,Schnitt6!L:L,0))</f>
        <v>20</v>
      </c>
      <c r="O65">
        <f t="shared" si="7"/>
        <v>190.69999993499999</v>
      </c>
      <c r="P65">
        <f t="shared" si="8"/>
        <v>37</v>
      </c>
    </row>
    <row r="66" spans="1:16" x14ac:dyDescent="0.25">
      <c r="A66">
        <f t="shared" si="13"/>
        <v>62</v>
      </c>
      <c r="B66">
        <f t="shared" si="9"/>
        <v>7485</v>
      </c>
      <c r="C66" t="str">
        <f>IFERROR(INDEX(Starter!B:B,MATCH(B66,Starter!A:A,0)),"")</f>
        <v>Singer, Michael</v>
      </c>
      <c r="D66" t="str">
        <f>IFERROR(INDEX(Starter!C:C,MATCH(B66,Starter!A:A,0)),"")</f>
        <v>BK München</v>
      </c>
      <c r="E66" s="102">
        <f t="shared" si="10"/>
        <v>862</v>
      </c>
      <c r="F66">
        <f t="shared" si="11"/>
        <v>5</v>
      </c>
      <c r="G66" s="137">
        <f t="shared" si="12"/>
        <v>172.399999939</v>
      </c>
      <c r="L66" s="227">
        <f>INDEX(Starter!A:A,ROW()-1)</f>
        <v>16398</v>
      </c>
      <c r="M66">
        <f>INDEX(SchnittGes5!M:M,MATCH(L66,SchnittGes5!L:L,0))+INDEX(Schnitt6!M:M,MATCH(L66,Schnitt6!L:L,0))</f>
        <v>3910</v>
      </c>
      <c r="N66">
        <f>INDEX(SchnittGes5!N:N,MATCH(L66,SchnittGes5!L:L,0))+INDEX(Schnitt6!N:N,MATCH(L66,Schnitt6!L:L,0))</f>
        <v>21</v>
      </c>
      <c r="O66">
        <f t="shared" si="7"/>
        <v>186.19047612447619</v>
      </c>
      <c r="P66">
        <f t="shared" ref="P66:P97" si="14">RANK(O66,O:O)</f>
        <v>45</v>
      </c>
    </row>
    <row r="67" spans="1:16" x14ac:dyDescent="0.25">
      <c r="A67">
        <f t="shared" si="13"/>
        <v>63</v>
      </c>
      <c r="B67">
        <f t="shared" si="9"/>
        <v>38907</v>
      </c>
      <c r="C67" t="str">
        <f>IFERROR(INDEX(Starter!B:B,MATCH(B67,Starter!A:A,0)),"")</f>
        <v>Moser, Thomas</v>
      </c>
      <c r="D67" t="str">
        <f>IFERROR(INDEX(Starter!C:C,MATCH(B67,Starter!A:A,0)),"")</f>
        <v>BF Rot-Weiß Lichtenhof 69</v>
      </c>
      <c r="E67" s="102">
        <f t="shared" si="10"/>
        <v>689</v>
      </c>
      <c r="F67">
        <f t="shared" si="11"/>
        <v>4</v>
      </c>
      <c r="G67" s="137">
        <f t="shared" si="12"/>
        <v>172.24999992799999</v>
      </c>
      <c r="L67" s="227">
        <f>INDEX(Starter!A:A,ROW()-1)</f>
        <v>16251</v>
      </c>
      <c r="M67">
        <f>INDEX(SchnittGes5!M:M,MATCH(L67,SchnittGes5!L:L,0))+INDEX(Schnitt6!M:M,MATCH(L67,Schnitt6!L:L,0))</f>
        <v>3482</v>
      </c>
      <c r="N67">
        <f>INDEX(SchnittGes5!N:N,MATCH(L67,SchnittGes5!L:L,0))+INDEX(Schnitt6!N:N,MATCH(L67,Schnitt6!L:L,0))</f>
        <v>18</v>
      </c>
      <c r="O67">
        <f t="shared" si="7"/>
        <v>193.44444437744446</v>
      </c>
      <c r="P67">
        <f t="shared" si="14"/>
        <v>30</v>
      </c>
    </row>
    <row r="68" spans="1:16" x14ac:dyDescent="0.25">
      <c r="A68">
        <f t="shared" si="13"/>
        <v>64</v>
      </c>
      <c r="B68">
        <f t="shared" si="9"/>
        <v>7959</v>
      </c>
      <c r="C68" t="str">
        <f>IFERROR(INDEX(Starter!B:B,MATCH(B68,Starter!A:A,0)),"")</f>
        <v>Netscheporenko, Marco</v>
      </c>
      <c r="D68" t="str">
        <f>IFERROR(INDEX(Starter!C:C,MATCH(B68,Starter!A:A,0)),"")</f>
        <v>BF Rot-Weiß Lichtenhof 69</v>
      </c>
      <c r="E68" s="102">
        <f t="shared" si="10"/>
        <v>2390</v>
      </c>
      <c r="F68">
        <f t="shared" si="11"/>
        <v>14</v>
      </c>
      <c r="G68" s="137">
        <f t="shared" si="12"/>
        <v>170.71428567028573</v>
      </c>
      <c r="L68" s="227">
        <f>INDEX(Starter!A:A,ROW()-1)</f>
        <v>38686</v>
      </c>
      <c r="M68">
        <f>INDEX(SchnittGes5!M:M,MATCH(L68,SchnittGes5!L:L,0))+INDEX(Schnitt6!M:M,MATCH(L68,Schnitt6!L:L,0))</f>
        <v>708</v>
      </c>
      <c r="N68">
        <f>INDEX(SchnittGes5!N:N,MATCH(L68,SchnittGes5!L:L,0))+INDEX(Schnitt6!N:N,MATCH(L68,Schnitt6!L:L,0))</f>
        <v>4</v>
      </c>
      <c r="O68">
        <f t="shared" si="7"/>
        <v>176.99999993200001</v>
      </c>
      <c r="P68">
        <f t="shared" si="14"/>
        <v>55</v>
      </c>
    </row>
    <row r="69" spans="1:16" x14ac:dyDescent="0.25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1192</v>
      </c>
      <c r="F69">
        <f t="shared" ref="F69:F104" si="17">IFERROR(INDEX(N:N,MATCH(A69,P:P,0)),"")</f>
        <v>7</v>
      </c>
      <c r="G69" s="137">
        <f t="shared" ref="G69:G104" si="18">IFERROR(INDEX(O:O,MATCH(A69,P:P,0)),"")</f>
        <v>170.28571426371428</v>
      </c>
      <c r="L69" s="227">
        <f>INDEX(Starter!A:A,ROW()-1)</f>
        <v>22116</v>
      </c>
      <c r="M69">
        <f>INDEX(SchnittGes5!M:M,MATCH(L69,SchnittGes5!L:L,0))+INDEX(Schnitt6!M:M,MATCH(L69,Schnitt6!L:L,0))</f>
        <v>1183</v>
      </c>
      <c r="N69">
        <f>INDEX(SchnittGes5!N:N,MATCH(L69,SchnittGes5!L:L,0))+INDEX(Schnitt6!N:N,MATCH(L69,Schnitt6!L:L,0))</f>
        <v>7</v>
      </c>
      <c r="O69">
        <f t="shared" si="7"/>
        <v>168.99999993099999</v>
      </c>
      <c r="P69">
        <f t="shared" si="14"/>
        <v>67</v>
      </c>
    </row>
    <row r="70" spans="1:16" x14ac:dyDescent="0.25">
      <c r="A70">
        <f t="shared" ref="A70:A104" si="19">IFERROR(IF(A69+1&gt;MAX(P:P)-1,"",A69+1),"")</f>
        <v>66</v>
      </c>
      <c r="B70">
        <f t="shared" si="15"/>
        <v>7344</v>
      </c>
      <c r="C70" t="str">
        <f>IFERROR(INDEX(Starter!B:B,MATCH(B70,Starter!A:A,0)),"")</f>
        <v>Kirschenbauer, Frank</v>
      </c>
      <c r="D70" t="str">
        <f>IFERROR(INDEX(Starter!C:C,MATCH(B70,Starter!A:A,0)),"")</f>
        <v>BC Schanzer Strikers</v>
      </c>
      <c r="E70" s="102">
        <f t="shared" si="16"/>
        <v>1528</v>
      </c>
      <c r="F70">
        <f t="shared" si="17"/>
        <v>9</v>
      </c>
      <c r="G70" s="137">
        <f t="shared" si="18"/>
        <v>169.77777772477776</v>
      </c>
      <c r="L70" s="227">
        <f>INDEX(Starter!A:A,ROW()-1)</f>
        <v>16965</v>
      </c>
      <c r="M70">
        <f>INDEX(SchnittGes5!M:M,MATCH(L70,SchnittGes5!L:L,0))+INDEX(Schnitt6!M:M,MATCH(L70,Schnitt6!L:L,0))</f>
        <v>1971</v>
      </c>
      <c r="N70">
        <f>INDEX(SchnittGes5!N:N,MATCH(L70,SchnittGes5!L:L,0))+INDEX(Schnitt6!N:N,MATCH(L70,Schnitt6!L:L,0))</f>
        <v>9</v>
      </c>
      <c r="O70">
        <f t="shared" si="7"/>
        <v>218.99999993</v>
      </c>
      <c r="P70">
        <f t="shared" si="14"/>
        <v>1</v>
      </c>
    </row>
    <row r="71" spans="1:16" x14ac:dyDescent="0.25">
      <c r="A71">
        <f t="shared" si="19"/>
        <v>67</v>
      </c>
      <c r="B71">
        <f t="shared" si="15"/>
        <v>22116</v>
      </c>
      <c r="C71" t="str">
        <f>IFERROR(INDEX(Starter!B:B,MATCH(B71,Starter!A:A,0)),"")</f>
        <v>Tavares, S.</v>
      </c>
      <c r="D71" t="str">
        <f>IFERROR(INDEX(Starter!C:C,MATCH(B71,Starter!A:A,0)),"")</f>
        <v>BC Highroller Rosenheim</v>
      </c>
      <c r="E71" s="102">
        <f t="shared" si="16"/>
        <v>1183</v>
      </c>
      <c r="F71">
        <f t="shared" si="17"/>
        <v>7</v>
      </c>
      <c r="G71" s="137">
        <f t="shared" si="18"/>
        <v>168.99999993099999</v>
      </c>
      <c r="L71" s="227">
        <f>INDEX(Starter!A:A,ROW()-1)</f>
        <v>39948</v>
      </c>
      <c r="M71">
        <f>INDEX(SchnittGes5!M:M,MATCH(L71,SchnittGes5!L:L,0))+INDEX(Schnitt6!M:M,MATCH(L71,Schnitt6!L:L,0))</f>
        <v>599</v>
      </c>
      <c r="N71">
        <f>INDEX(SchnittGes5!N:N,MATCH(L71,SchnittGes5!L:L,0))+INDEX(Schnitt6!N:N,MATCH(L71,Schnitt6!L:L,0))</f>
        <v>4</v>
      </c>
      <c r="O71">
        <f t="shared" si="7"/>
        <v>149.74999992900001</v>
      </c>
      <c r="P71">
        <f t="shared" si="14"/>
        <v>72</v>
      </c>
    </row>
    <row r="72" spans="1:16" x14ac:dyDescent="0.25">
      <c r="A72">
        <f t="shared" si="19"/>
        <v>68</v>
      </c>
      <c r="B72">
        <f t="shared" si="15"/>
        <v>38360</v>
      </c>
      <c r="C72" t="str">
        <f>IFERROR(INDEX(Starter!B:B,MATCH(B72,Starter!A:A,0)),"")</f>
        <v>Hutter, Sebastian</v>
      </c>
      <c r="D72" t="str">
        <f>IFERROR(INDEX(Starter!C:C,MATCH(B72,Starter!A:A,0)),"")</f>
        <v>BC Schanzer Strikers</v>
      </c>
      <c r="E72" s="102">
        <f t="shared" si="16"/>
        <v>842</v>
      </c>
      <c r="F72">
        <f t="shared" si="17"/>
        <v>5</v>
      </c>
      <c r="G72" s="137">
        <f t="shared" si="18"/>
        <v>168.399999936</v>
      </c>
      <c r="L72" s="227">
        <f>INDEX(Starter!A:A,ROW()-1)</f>
        <v>38907</v>
      </c>
      <c r="M72">
        <f>INDEX(SchnittGes5!M:M,MATCH(L72,SchnittGes5!L:L,0))+INDEX(Schnitt6!M:M,MATCH(L72,Schnitt6!L:L,0))</f>
        <v>689</v>
      </c>
      <c r="N72">
        <f>INDEX(SchnittGes5!N:N,MATCH(L72,SchnittGes5!L:L,0))+INDEX(Schnitt6!N:N,MATCH(L72,Schnitt6!L:L,0))</f>
        <v>4</v>
      </c>
      <c r="O72">
        <f t="shared" si="7"/>
        <v>172.24999992799999</v>
      </c>
      <c r="P72">
        <f t="shared" si="14"/>
        <v>63</v>
      </c>
    </row>
    <row r="73" spans="1:16" x14ac:dyDescent="0.25">
      <c r="A73">
        <f t="shared" si="19"/>
        <v>69</v>
      </c>
      <c r="B73">
        <f t="shared" si="15"/>
        <v>16245</v>
      </c>
      <c r="C73" t="str">
        <f>IFERROR(INDEX(Starter!B:B,MATCH(B73,Starter!A:A,0)),"")</f>
        <v>Fischbach, Max</v>
      </c>
      <c r="D73" t="str">
        <f>IFERROR(INDEX(Starter!C:C,MATCH(B73,Starter!A:A,0)),"")</f>
        <v>Comet</v>
      </c>
      <c r="E73" s="102">
        <f t="shared" si="16"/>
        <v>1513</v>
      </c>
      <c r="F73">
        <f t="shared" si="17"/>
        <v>9</v>
      </c>
      <c r="G73" s="137">
        <f t="shared" si="18"/>
        <v>168.11111107911111</v>
      </c>
      <c r="L73" s="227">
        <f>INDEX(Starter!A:A,ROW()-1)</f>
        <v>16469</v>
      </c>
      <c r="M73">
        <f>INDEX(SchnittGes5!M:M,MATCH(L73,SchnittGes5!L:L,0))+INDEX(Schnitt6!M:M,MATCH(L73,Schnitt6!L:L,0))</f>
        <v>1750</v>
      </c>
      <c r="N73">
        <f>INDEX(SchnittGes5!N:N,MATCH(L73,SchnittGes5!L:L,0))+INDEX(Schnitt6!N:N,MATCH(L73,Schnitt6!L:L,0))</f>
        <v>9</v>
      </c>
      <c r="O73">
        <f t="shared" si="7"/>
        <v>194.44444437144446</v>
      </c>
      <c r="P73">
        <f t="shared" si="14"/>
        <v>27</v>
      </c>
    </row>
    <row r="74" spans="1:16" x14ac:dyDescent="0.25">
      <c r="A74">
        <f t="shared" si="19"/>
        <v>70</v>
      </c>
      <c r="B74">
        <f t="shared" si="15"/>
        <v>7740</v>
      </c>
      <c r="C74" t="str">
        <f>IFERROR(INDEX(Starter!B:B,MATCH(B74,Starter!A:A,0)),"")</f>
        <v>Mesch, John</v>
      </c>
      <c r="D74" t="str">
        <f>IFERROR(INDEX(Starter!C:C,MATCH(B74,Starter!A:A,0)),"")</f>
        <v>BF Rot-Weiß Lichtenhof 69</v>
      </c>
      <c r="E74" s="102">
        <f t="shared" si="16"/>
        <v>2819</v>
      </c>
      <c r="F74">
        <f t="shared" si="17"/>
        <v>17</v>
      </c>
      <c r="G74" s="137">
        <f t="shared" si="18"/>
        <v>165.8235293497647</v>
      </c>
      <c r="L74" s="227">
        <f>INDEX(Starter!A:A,ROW()-1)</f>
        <v>38018</v>
      </c>
      <c r="M74">
        <f>INDEX(SchnittGes5!M:M,MATCH(L74,SchnittGes5!L:L,0))+INDEX(Schnitt6!M:M,MATCH(L74,Schnitt6!L:L,0))</f>
        <v>436</v>
      </c>
      <c r="N74">
        <f>INDEX(SchnittGes5!N:N,MATCH(L74,SchnittGes5!L:L,0))+INDEX(Schnitt6!N:N,MATCH(L74,Schnitt6!L:L,0))</f>
        <v>2</v>
      </c>
      <c r="O74">
        <f t="shared" si="7"/>
        <v>217.99999992599999</v>
      </c>
      <c r="P74">
        <f t="shared" si="14"/>
        <v>2</v>
      </c>
    </row>
    <row r="75" spans="1:16" x14ac:dyDescent="0.25">
      <c r="A75">
        <f t="shared" si="19"/>
        <v>71</v>
      </c>
      <c r="B75">
        <f t="shared" si="15"/>
        <v>25024</v>
      </c>
      <c r="C75" t="str">
        <f>IFERROR(INDEX(Starter!B:B,MATCH(B75,Starter!A:A,0)),"")</f>
        <v>Klapper, Michael</v>
      </c>
      <c r="D75" t="str">
        <f>IFERROR(INDEX(Starter!C:C,MATCH(B75,Starter!A:A,0)),"")</f>
        <v>BC Schanzer Strikers</v>
      </c>
      <c r="E75" s="102">
        <f t="shared" si="16"/>
        <v>1434</v>
      </c>
      <c r="F75">
        <f t="shared" si="17"/>
        <v>9</v>
      </c>
      <c r="G75" s="137">
        <f t="shared" si="18"/>
        <v>159.33333328133335</v>
      </c>
      <c r="L75" s="227">
        <f>INDEX(Starter!A:A,ROW()-1)</f>
        <v>25465</v>
      </c>
      <c r="M75">
        <f>INDEX(SchnittGes5!M:M,MATCH(L75,SchnittGes5!L:L,0))+INDEX(Schnitt6!M:M,MATCH(L75,Schnitt6!L:L,0))</f>
        <v>353</v>
      </c>
      <c r="N75">
        <f>INDEX(SchnittGes5!N:N,MATCH(L75,SchnittGes5!L:L,0))+INDEX(Schnitt6!N:N,MATCH(L75,Schnitt6!L:L,0))</f>
        <v>2</v>
      </c>
      <c r="O75">
        <f t="shared" si="7"/>
        <v>176.499999925</v>
      </c>
      <c r="P75">
        <f t="shared" si="14"/>
        <v>57</v>
      </c>
    </row>
    <row r="76" spans="1:16" x14ac:dyDescent="0.25">
      <c r="A76">
        <f t="shared" si="19"/>
        <v>72</v>
      </c>
      <c r="B76">
        <f t="shared" si="15"/>
        <v>39948</v>
      </c>
      <c r="C76" t="str">
        <f>IFERROR(INDEX(Starter!B:B,MATCH(B76,Starter!A:A,0)),"")</f>
        <v>Wieczorek Ben</v>
      </c>
      <c r="D76" t="str">
        <f>IFERROR(INDEX(Starter!C:C,MATCH(B76,Starter!A:A,0)),"")</f>
        <v>BF Rot-Weiß Lichtenhof 69</v>
      </c>
      <c r="E76" s="102">
        <f t="shared" si="16"/>
        <v>599</v>
      </c>
      <c r="F76">
        <f t="shared" si="17"/>
        <v>4</v>
      </c>
      <c r="G76" s="137">
        <f t="shared" si="18"/>
        <v>149.74999992900001</v>
      </c>
      <c r="L76" s="227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ref="O76:O104" si="20">IF(N76=0,0,M76/N76-ROW()/1000000000)</f>
        <v>0</v>
      </c>
      <c r="P76">
        <f t="shared" si="14"/>
        <v>73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73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73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73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73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73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73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73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73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73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73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73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73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73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73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73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73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73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73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73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73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73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73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73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73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73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73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73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73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topLeftCell="A54" zoomScale="115" workbookViewId="0">
      <selection activeCell="B74" sqref="B74"/>
    </sheetView>
  </sheetViews>
  <sheetFormatPr baseColWidth="10" defaultColWidth="11.44140625" defaultRowHeight="11.4" x14ac:dyDescent="0.2"/>
  <cols>
    <col min="1" max="1" width="11.44140625" style="147"/>
    <col min="2" max="2" width="23.6640625" style="146" customWidth="1"/>
    <col min="3" max="3" width="23" style="146" customWidth="1"/>
    <col min="4" max="16384" width="11.44140625" style="146"/>
  </cols>
  <sheetData>
    <row r="1" spans="1:4" ht="12" x14ac:dyDescent="0.25">
      <c r="A1" s="145">
        <v>16253</v>
      </c>
      <c r="B1" s="146" t="str">
        <f>VLOOKUP(A1,member!$A$5:$K$1300,3,FALSE)&amp;", "&amp;VLOOKUP(A1,member!$A$5:$K$1300,4,FALSE)</f>
        <v>Altenfeld, Marco</v>
      </c>
      <c r="C1" s="146" t="str">
        <f>VLOOKUP(A1,member!$A$5:$K$1300,9,FALSE)</f>
        <v>DJK Rimpar</v>
      </c>
      <c r="D1" s="146" t="str">
        <f>VLOOKUP(A1,member!$A$5:$K$1300,11,FALSE)</f>
        <v>RIM</v>
      </c>
    </row>
    <row r="2" spans="1:4" ht="12" x14ac:dyDescent="0.25">
      <c r="A2" s="145">
        <v>38687</v>
      </c>
      <c r="B2" s="146" t="str">
        <f>VLOOKUP(A2,member!$A$5:$K$1300,3,FALSE)&amp;", "&amp;VLOOKUP(A2,member!$A$5:$K$1300,4,FALSE)</f>
        <v>Gräfe, Sebastian</v>
      </c>
      <c r="C2" s="146" t="str">
        <f>VLOOKUP(A2,member!$A$5:$K$1300,9,FALSE)</f>
        <v>DJK Rimpar</v>
      </c>
      <c r="D2" s="146" t="str">
        <f>VLOOKUP(A2,member!$A$5:$K$1300,11,FALSE)</f>
        <v>RIM</v>
      </c>
    </row>
    <row r="3" spans="1:4" ht="12" x14ac:dyDescent="0.25">
      <c r="A3" s="145">
        <v>10622</v>
      </c>
      <c r="B3" s="146" t="str">
        <f>VLOOKUP(A3,member!$A$5:$K$1300,3,FALSE)&amp;", "&amp;VLOOKUP(A3,member!$A$5:$K$1300,4,FALSE)</f>
        <v>Kreß, Michael</v>
      </c>
      <c r="C3" s="146" t="str">
        <f>VLOOKUP(A3,member!$A$5:$K$1300,9,FALSE)</f>
        <v>DJK Rimpar</v>
      </c>
      <c r="D3" s="146" t="str">
        <f>VLOOKUP(A3,member!$A$5:$K$1300,11,FALSE)</f>
        <v>RIM</v>
      </c>
    </row>
    <row r="4" spans="1:4" ht="12" x14ac:dyDescent="0.25">
      <c r="A4" s="145">
        <v>16301</v>
      </c>
      <c r="B4" s="146" t="str">
        <f>VLOOKUP(A4,member!$A$5:$K$1300,3,FALSE)&amp;", "&amp;VLOOKUP(A4,member!$A$5:$K$1300,4,FALSE)</f>
        <v>Werder, Jan-Uwe</v>
      </c>
      <c r="C4" s="146" t="str">
        <f>VLOOKUP(A4,member!$A$5:$K$1300,9,FALSE)</f>
        <v>DJK Rimpar</v>
      </c>
      <c r="D4" s="146" t="str">
        <f>VLOOKUP(A4,member!$A$5:$K$1300,11,FALSE)</f>
        <v>RIM</v>
      </c>
    </row>
    <row r="5" spans="1:4" ht="12" x14ac:dyDescent="0.25">
      <c r="A5" s="145">
        <v>38411</v>
      </c>
      <c r="B5" s="146" t="str">
        <f>VLOOKUP(A5,member!$A$5:$K$1300,3,FALSE)&amp;", "&amp;VLOOKUP(A5,member!$A$5:$K$1300,4,FALSE)</f>
        <v>Hartl, Thomas</v>
      </c>
      <c r="C5" s="146" t="str">
        <f>VLOOKUP(A5,member!$A$5:$K$1300,9,FALSE)</f>
        <v>BC Schanzer Strikers</v>
      </c>
      <c r="D5" s="146" t="str">
        <f>VLOOKUP(A5,member!$A$5:$K$1300,11,FALSE)</f>
        <v>ING</v>
      </c>
    </row>
    <row r="6" spans="1:4" ht="12" x14ac:dyDescent="0.25">
      <c r="A6" s="145">
        <v>38361</v>
      </c>
      <c r="B6" s="146" t="str">
        <f>VLOOKUP(A6,member!$A$5:$K$1300,3,FALSE)&amp;", "&amp;VLOOKUP(A6,member!$A$5:$K$1300,4,FALSE)</f>
        <v>Schmied, Markus</v>
      </c>
      <c r="C6" s="146" t="str">
        <f>VLOOKUP(A6,member!$A$5:$K$1300,9,FALSE)</f>
        <v>BC Schanzer Strikers</v>
      </c>
      <c r="D6" s="146" t="str">
        <f>VLOOKUP(A6,member!$A$5:$K$1300,11,FALSE)</f>
        <v>ING</v>
      </c>
    </row>
    <row r="7" spans="1:4" ht="12" x14ac:dyDescent="0.25">
      <c r="A7" s="145">
        <v>38550</v>
      </c>
      <c r="B7" s="146" t="str">
        <f>VLOOKUP(A7,member!$A$5:$K$1300,3,FALSE)&amp;", "&amp;VLOOKUP(A7,member!$A$5:$K$1300,4,FALSE)</f>
        <v>Schütze, Oliver</v>
      </c>
      <c r="C7" s="146" t="str">
        <f>VLOOKUP(A7,member!$A$5:$K$1300,9,FALSE)</f>
        <v>BC Schanzer Strikers</v>
      </c>
      <c r="D7" s="146" t="str">
        <f>VLOOKUP(A7,member!$A$5:$K$1300,11,FALSE)</f>
        <v>ING</v>
      </c>
    </row>
    <row r="8" spans="1:4" ht="12" x14ac:dyDescent="0.25">
      <c r="A8" s="145">
        <v>7348</v>
      </c>
      <c r="B8" s="146" t="str">
        <f>VLOOKUP(A8,member!$A$5:$K$1300,3,FALSE)&amp;", "&amp;VLOOKUP(A8,member!$A$5:$K$1300,4,FALSE)</f>
        <v>Spielvogel, Jochen</v>
      </c>
      <c r="C8" s="146" t="str">
        <f>VLOOKUP(A8,member!$A$5:$K$1300,9,FALSE)</f>
        <v>BC Schanzer Strikers</v>
      </c>
      <c r="D8" s="146" t="str">
        <f>VLOOKUP(A8,member!$A$5:$K$1300,11,FALSE)</f>
        <v>ING</v>
      </c>
    </row>
    <row r="9" spans="1:4" ht="12" x14ac:dyDescent="0.25">
      <c r="A9" s="145">
        <v>16852</v>
      </c>
      <c r="B9" s="146" t="str">
        <f>VLOOKUP(A9,member!$A$5:$K$1300,3,FALSE)&amp;", "&amp;VLOOKUP(A9,member!$A$5:$K$1300,4,FALSE)</f>
        <v>Wendel, Dominik</v>
      </c>
      <c r="C9" s="146" t="str">
        <f>VLOOKUP(A9,member!$A$5:$K$1300,9,FALSE)</f>
        <v>SG Rottendorf</v>
      </c>
      <c r="D9" s="146" t="str">
        <f>VLOOKUP(A9,member!$A$5:$K$1300,11,FALSE)</f>
        <v>ROT</v>
      </c>
    </row>
    <row r="10" spans="1:4" ht="12" x14ac:dyDescent="0.25">
      <c r="A10" s="145">
        <v>16352</v>
      </c>
      <c r="B10" s="146" t="str">
        <f>VLOOKUP(A10,member!$A$5:$K$1300,3,FALSE)&amp;", "&amp;VLOOKUP(A10,member!$A$5:$K$1300,4,FALSE)</f>
        <v>Scholz, Alexander</v>
      </c>
      <c r="C10" s="146" t="str">
        <f>VLOOKUP(A10,member!$A$5:$K$1300,9,FALSE)</f>
        <v>SG Rottendorf</v>
      </c>
      <c r="D10" s="146" t="str">
        <f>VLOOKUP(A10,member!$A$5:$K$1300,11,FALSE)</f>
        <v>ROT</v>
      </c>
    </row>
    <row r="11" spans="1:4" ht="12" x14ac:dyDescent="0.25">
      <c r="A11" s="145">
        <v>16495</v>
      </c>
      <c r="B11" s="146" t="str">
        <f>VLOOKUP(A11,member!$A$5:$K$1300,3,FALSE)&amp;", "&amp;VLOOKUP(A11,member!$A$5:$K$1300,4,FALSE)</f>
        <v>Stemmler, Patrick</v>
      </c>
      <c r="C11" s="146" t="str">
        <f>VLOOKUP(A11,member!$A$5:$K$1300,9,FALSE)</f>
        <v>SG Rottendorf</v>
      </c>
      <c r="D11" s="146" t="str">
        <f>VLOOKUP(A11,member!$A$5:$K$1300,11,FALSE)</f>
        <v>ROT</v>
      </c>
    </row>
    <row r="12" spans="1:4" ht="12" x14ac:dyDescent="0.25">
      <c r="A12" s="145">
        <v>16945</v>
      </c>
      <c r="B12" s="146" t="str">
        <f>VLOOKUP(A12,member!$A$5:$K$1300,3,FALSE)&amp;", "&amp;VLOOKUP(A12,member!$A$5:$K$1300,4,FALSE)</f>
        <v>Reichardt, Stefan</v>
      </c>
      <c r="C12" s="146" t="str">
        <f>VLOOKUP(A12,member!$A$5:$K$1300,9,FALSE)</f>
        <v>SG Rottendorf</v>
      </c>
      <c r="D12" s="146" t="str">
        <f>VLOOKUP(A12,member!$A$5:$K$1300,11,FALSE)</f>
        <v>ROT</v>
      </c>
    </row>
    <row r="13" spans="1:4" ht="12" x14ac:dyDescent="0.25">
      <c r="A13" s="145">
        <v>7867</v>
      </c>
      <c r="B13" s="146" t="str">
        <f>VLOOKUP(A13,member!$A$5:$K$1300,3,FALSE)&amp;", "&amp;VLOOKUP(A13,member!$A$5:$K$1300,4,FALSE)</f>
        <v>Hinterwimmer, Georg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ht="12" x14ac:dyDescent="0.25">
      <c r="A14" s="145">
        <v>7597</v>
      </c>
      <c r="B14" s="146" t="str">
        <f>VLOOKUP(A14,member!$A$5:$K$1300,3,FALSE)&amp;", "&amp;VLOOKUP(A14,member!$A$5:$K$1300,4,FALSE)</f>
        <v>Laub, Harald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ht="12" x14ac:dyDescent="0.25">
      <c r="A15" s="145">
        <v>16912</v>
      </c>
      <c r="B15" s="146" t="str">
        <f>VLOOKUP(A15,member!$A$5:$K$1300,3,FALSE)&amp;", "&amp;VLOOKUP(A15,member!$A$5:$K$1300,4,FALSE)</f>
        <v>Hellmessen, Maximilian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ht="12" x14ac:dyDescent="0.25">
      <c r="A16" s="145">
        <v>7885</v>
      </c>
      <c r="B16" s="146" t="str">
        <f>VLOOKUP(A16,member!$A$5:$K$1300,3,FALSE)&amp;", "&amp;VLOOKUP(A16,member!$A$5:$K$1300,4,FALSE)</f>
        <v>Hinterwimmer, Sebastian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ht="12" x14ac:dyDescent="0.25">
      <c r="A17" s="145">
        <v>7408</v>
      </c>
      <c r="B17" s="146" t="str">
        <f>VLOOKUP(A17,member!$A$5:$K$1300,3,FALSE)&amp;", "&amp;VLOOKUP(A17,member!$A$5:$K$1300,4,FALSE)</f>
        <v>Glasl jun., Hans-Jürgen</v>
      </c>
      <c r="C17" s="146" t="str">
        <f>VLOOKUP(A17,member!$A$5:$K$1300,9,FALSE)</f>
        <v>BC Bajuwaren 1976 München</v>
      </c>
      <c r="D17" s="146" t="str">
        <f>VLOOKUP(A17,member!$A$5:$K$1300,11,FALSE)</f>
        <v>MKV</v>
      </c>
    </row>
    <row r="18" spans="1:4" ht="12" x14ac:dyDescent="0.25">
      <c r="A18" s="145">
        <v>16762</v>
      </c>
      <c r="B18" s="146" t="str">
        <f>VLOOKUP(A18,member!$A$5:$K$1300,3,FALSE)&amp;", "&amp;VLOOKUP(A18,member!$A$5:$K$1300,4,FALSE)</f>
        <v>Glasl sen., Hans</v>
      </c>
      <c r="C18" s="146" t="str">
        <f>VLOOKUP(A18,member!$A$5:$K$1300,9,FALSE)</f>
        <v>BC Bajuwaren 1976 München</v>
      </c>
      <c r="D18" s="146" t="str">
        <f>VLOOKUP(A18,member!$A$5:$K$1300,11,FALSE)</f>
        <v>MKV</v>
      </c>
    </row>
    <row r="19" spans="1:4" ht="12" x14ac:dyDescent="0.25">
      <c r="A19" s="145">
        <v>7600</v>
      </c>
      <c r="B19" s="146" t="str">
        <f>VLOOKUP(A19,member!$A$5:$K$1300,3,FALSE)&amp;", "&amp;VLOOKUP(A19,member!$A$5:$K$1300,4,FALSE)</f>
        <v>Lüthje, Dennis</v>
      </c>
      <c r="C19" s="146" t="str">
        <f>VLOOKUP(A19,member!$A$5:$K$1300,9,FALSE)</f>
        <v>BC Bajuwaren 1976 München</v>
      </c>
      <c r="D19" s="146" t="str">
        <f>VLOOKUP(A19,member!$A$5:$K$1300,11,FALSE)</f>
        <v>MKV</v>
      </c>
    </row>
    <row r="20" spans="1:4" ht="12" x14ac:dyDescent="0.25">
      <c r="A20" s="145">
        <v>7416</v>
      </c>
      <c r="B20" s="146" t="str">
        <f>VLOOKUP(A20,member!$A$5:$K$1300,3,FALSE)&amp;", "&amp;VLOOKUP(A20,member!$A$5:$K$1300,4,FALSE)</f>
        <v>Reichert, Ralph</v>
      </c>
      <c r="C20" s="146" t="str">
        <f>VLOOKUP(A20,member!$A$5:$K$1300,9,FALSE)</f>
        <v>BC Bajuwaren 1976 München</v>
      </c>
      <c r="D20" s="146" t="str">
        <f>VLOOKUP(A20,member!$A$5:$K$1300,11,FALSE)</f>
        <v>MKV</v>
      </c>
    </row>
    <row r="21" spans="1:4" ht="12" x14ac:dyDescent="0.25">
      <c r="A21" s="145">
        <v>7425</v>
      </c>
      <c r="B21" s="146" t="str">
        <f>VLOOKUP(A21,member!$A$5:$K$1300,3,FALSE)&amp;", "&amp;VLOOKUP(A21,member!$A$5:$K$1300,4,FALSE)</f>
        <v>Wimmer, Peter</v>
      </c>
      <c r="C21" s="146" t="str">
        <f>VLOOKUP(A21,member!$A$5:$K$1300,9,FALSE)</f>
        <v>BSC Highroller Rosenheim</v>
      </c>
      <c r="D21" s="146" t="str">
        <f>VLOOKUP(A21,member!$A$5:$K$1300,11,FALSE)</f>
        <v>HRR</v>
      </c>
    </row>
    <row r="22" spans="1:4" ht="12" x14ac:dyDescent="0.25">
      <c r="A22" s="145">
        <v>25297</v>
      </c>
      <c r="B22" s="146" t="str">
        <f>VLOOKUP(A22,member!$A$5:$K$1300,3,FALSE)&amp;", "&amp;VLOOKUP(A22,member!$A$5:$K$1300,4,FALSE)</f>
        <v>Lengen, Peter</v>
      </c>
      <c r="C22" s="146" t="str">
        <f>VLOOKUP(A22,member!$A$5:$K$1300,9,FALSE)</f>
        <v>BSC Highroller Rosenheim</v>
      </c>
      <c r="D22" s="146" t="str">
        <f>VLOOKUP(A22,member!$A$5:$K$1300,11,FALSE)</f>
        <v>HRR</v>
      </c>
    </row>
    <row r="23" spans="1:4" ht="12" x14ac:dyDescent="0.25">
      <c r="A23" s="145">
        <v>16888</v>
      </c>
      <c r="B23" s="146" t="str">
        <f>VLOOKUP(A23,member!$A$5:$K$1300,3,FALSE)&amp;", "&amp;VLOOKUP(A23,member!$A$5:$K$1300,4,FALSE)</f>
        <v>Auer, Thomas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ht="12" x14ac:dyDescent="0.25">
      <c r="A24" s="145">
        <v>38092</v>
      </c>
      <c r="B24" s="146" t="str">
        <f>VLOOKUP(A24,member!$A$5:$K$1300,3,FALSE)&amp;", "&amp;VLOOKUP(A24,member!$A$5:$K$1300,4,FALSE)</f>
        <v>Kabel, Nicolas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ht="12" x14ac:dyDescent="0.25">
      <c r="A25" s="145">
        <v>16243</v>
      </c>
      <c r="B25" s="146" t="str">
        <f>VLOOKUP(A25,member!$A$5:$K$1300,3,FALSE)&amp;", "&amp;VLOOKUP(A25,member!$A$5:$K$1300,4,FALSE)</f>
        <v>Glatzer, Daniel</v>
      </c>
      <c r="C25" s="146" t="str">
        <f>VLOOKUP(A25,member!$A$5:$K$1300,9,FALSE)</f>
        <v>Comet</v>
      </c>
      <c r="D25" s="146" t="str">
        <f>VLOOKUP(A25,member!$A$5:$K$1300,11,FALSE)</f>
        <v>BCN</v>
      </c>
    </row>
    <row r="26" spans="1:4" ht="12" x14ac:dyDescent="0.25">
      <c r="A26" s="145">
        <v>7725</v>
      </c>
      <c r="B26" s="146" t="str">
        <f>VLOOKUP(A26,member!$A$5:$K$1300,3,FALSE)&amp;", "&amp;VLOOKUP(A26,member!$A$5:$K$1300,4,FALSE)</f>
        <v>Schlundt, Michael</v>
      </c>
      <c r="C26" s="146" t="str">
        <f>VLOOKUP(A26,member!$A$5:$K$1300,9,FALSE)</f>
        <v>Comet</v>
      </c>
      <c r="D26" s="146" t="str">
        <f>VLOOKUP(A26,member!$A$5:$K$1300,11,FALSE)</f>
        <v>BCN</v>
      </c>
    </row>
    <row r="27" spans="1:4" ht="12" x14ac:dyDescent="0.25">
      <c r="A27" s="145">
        <v>7734</v>
      </c>
      <c r="B27" s="146" t="str">
        <f>VLOOKUP(A27,member!$A$5:$K$1300,3,FALSE)&amp;", "&amp;VLOOKUP(A27,member!$A$5:$K$1300,4,FALSE)</f>
        <v>Schwarz, Jan</v>
      </c>
      <c r="C27" s="146" t="str">
        <f>VLOOKUP(A27,member!$A$5:$K$1300,9,FALSE)</f>
        <v>Comet</v>
      </c>
      <c r="D27" s="146" t="str">
        <f>VLOOKUP(A27,member!$A$5:$K$1300,11,FALSE)</f>
        <v>BCN</v>
      </c>
    </row>
    <row r="28" spans="1:4" ht="12" x14ac:dyDescent="0.25">
      <c r="A28" s="145">
        <v>7724</v>
      </c>
      <c r="B28" s="146" t="str">
        <f>VLOOKUP(A28,member!$A$5:$K$1300,3,FALSE)&amp;", "&amp;VLOOKUP(A28,member!$A$5:$K$1300,4,FALSE)</f>
        <v>Schlick, Christian</v>
      </c>
      <c r="C28" s="146" t="str">
        <f>VLOOKUP(A28,member!$A$5:$K$1300,9,FALSE)</f>
        <v>Comet</v>
      </c>
      <c r="D28" s="146" t="str">
        <f>VLOOKUP(A28,member!$A$5:$K$1300,11,FALSE)</f>
        <v>BCN</v>
      </c>
    </row>
    <row r="29" spans="1:4" ht="12" x14ac:dyDescent="0.25">
      <c r="A29" s="145">
        <v>16896</v>
      </c>
      <c r="B29" s="146" t="str">
        <f>VLOOKUP(A29,member!$A$5:$K$1300,3,FALSE)&amp;", "&amp;VLOOKUP(A29,member!$A$5:$K$1300,4,FALSE)</f>
        <v>Mittelmaier, Andreas</v>
      </c>
      <c r="C29" s="146" t="str">
        <f>VLOOKUP(A29,member!$A$5:$K$1300,9,FALSE)</f>
        <v>Comet</v>
      </c>
      <c r="D29" s="146" t="str">
        <f>VLOOKUP(A29,member!$A$5:$K$1300,11,FALSE)</f>
        <v>BCN</v>
      </c>
    </row>
    <row r="30" spans="1:4" ht="12" x14ac:dyDescent="0.25">
      <c r="A30" s="145">
        <v>7102</v>
      </c>
      <c r="B30" s="146" t="str">
        <f>VLOOKUP(A30,member!$A$5:$K$1300,3,FALSE)&amp;", "&amp;VLOOKUP(A30,member!$A$5:$K$1300,4,FALSE)</f>
        <v>Schick, Andreas</v>
      </c>
      <c r="C30" s="146" t="str">
        <f>VLOOKUP(A30,member!$A$5:$K$1300,9,FALSE)</f>
        <v>Comet</v>
      </c>
      <c r="D30" s="146" t="str">
        <f>VLOOKUP(A30,member!$A$5:$K$1300,11,FALSE)</f>
        <v>BCN</v>
      </c>
    </row>
    <row r="31" spans="1:4" ht="12" x14ac:dyDescent="0.25">
      <c r="A31" s="145">
        <v>16245</v>
      </c>
      <c r="B31" s="146" t="str">
        <f>VLOOKUP(A31,member!$A$5:$K$1300,3,FALSE)&amp;", "&amp;VLOOKUP(A31,member!$A$5:$K$1300,4,FALSE)</f>
        <v>Fischbach, Max</v>
      </c>
      <c r="C31" s="146" t="str">
        <f>VLOOKUP(A31,member!$A$5:$K$1300,9,FALSE)</f>
        <v>Comet</v>
      </c>
      <c r="D31" s="146" t="str">
        <f>VLOOKUP(A31,member!$A$5:$K$1300,11,FALSE)</f>
        <v>BCN</v>
      </c>
    </row>
    <row r="32" spans="1:4" ht="12" x14ac:dyDescent="0.25">
      <c r="A32" s="145">
        <v>27134</v>
      </c>
      <c r="B32" s="146" t="str">
        <f>VLOOKUP(A32,member!$A$5:$K$1300,3,FALSE)&amp;", "&amp;VLOOKUP(A32,member!$A$5:$K$1300,4,FALSE)</f>
        <v>Lohse, Sebastian</v>
      </c>
      <c r="C32" s="146" t="str">
        <f>VLOOKUP(A32,member!$A$5:$K$1300,9,FALSE)</f>
        <v>BC EMAX</v>
      </c>
      <c r="D32" s="146" t="str">
        <f>VLOOKUP(A32,member!$A$5:$K$1300,11,FALSE)</f>
        <v>BVU</v>
      </c>
    </row>
    <row r="33" spans="1:4" ht="12" x14ac:dyDescent="0.25">
      <c r="A33" s="145">
        <v>7883</v>
      </c>
      <c r="B33" s="146" t="str">
        <f>VLOOKUP(A33,member!$A$5:$K$1300,3,FALSE)&amp;", "&amp;VLOOKUP(A33,member!$A$5:$K$1300,4,FALSE)</f>
        <v>Hofbauer, Karlheinz</v>
      </c>
      <c r="C33" s="146" t="str">
        <f>VLOOKUP(A33,member!$A$5:$K$1300,9,FALSE)</f>
        <v>BC EMAX</v>
      </c>
      <c r="D33" s="146" t="str">
        <f>VLOOKUP(A33,member!$A$5:$K$1300,11,FALSE)</f>
        <v>BVU</v>
      </c>
    </row>
    <row r="34" spans="1:4" ht="12" x14ac:dyDescent="0.25">
      <c r="A34" s="145">
        <v>7653</v>
      </c>
      <c r="B34" s="146" t="str">
        <f>VLOOKUP(A34,member!$A$5:$K$1300,3,FALSE)&amp;", "&amp;VLOOKUP(A34,member!$A$5:$K$1300,4,FALSE)</f>
        <v>Mrosek, Manuel</v>
      </c>
      <c r="C34" s="146" t="str">
        <f>VLOOKUP(A34,member!$A$5:$K$1300,9,FALSE)</f>
        <v>BC EMAX</v>
      </c>
      <c r="D34" s="146" t="str">
        <f>VLOOKUP(A34,member!$A$5:$K$1300,11,FALSE)</f>
        <v>BVU</v>
      </c>
    </row>
    <row r="35" spans="1:4" ht="12" x14ac:dyDescent="0.25">
      <c r="A35" s="145">
        <v>25554</v>
      </c>
      <c r="B35" s="146" t="str">
        <f>VLOOKUP(A35,member!$A$5:$K$1300,3,FALSE)&amp;", "&amp;VLOOKUP(A35,member!$A$5:$K$1300,4,FALSE)</f>
        <v>Blasits, Ernst</v>
      </c>
      <c r="C35" s="146" t="str">
        <f>VLOOKUP(A35,member!$A$5:$K$1300,9,FALSE)</f>
        <v>BC EMAX</v>
      </c>
      <c r="D35" s="146" t="str">
        <f>VLOOKUP(A35,member!$A$5:$K$1300,11,FALSE)</f>
        <v>BVU</v>
      </c>
    </row>
    <row r="36" spans="1:4" ht="12" x14ac:dyDescent="0.25">
      <c r="A36" s="145">
        <v>7099</v>
      </c>
      <c r="B36" s="146" t="str">
        <f>VLOOKUP(A36,member!$A$5:$K$1300,3,FALSE)&amp;", "&amp;VLOOKUP(A36,member!$A$5:$K$1300,4,FALSE)</f>
        <v>Holzinger, Sebastian</v>
      </c>
      <c r="C36" s="146" t="str">
        <f>VLOOKUP(A36,member!$A$5:$K$1300,9,FALSE)</f>
        <v>BC Bamberger Bowlinghaus</v>
      </c>
      <c r="D36" s="146" t="str">
        <f>VLOOKUP(A36,member!$A$5:$K$1300,11,FALSE)</f>
        <v>BBH</v>
      </c>
    </row>
    <row r="37" spans="1:4" ht="12" x14ac:dyDescent="0.25">
      <c r="A37" s="145">
        <v>38041</v>
      </c>
      <c r="B37" s="146" t="str">
        <f>VLOOKUP(A37,member!$A$5:$K$1300,3,FALSE)&amp;", "&amp;VLOOKUP(A37,member!$A$5:$K$1300,4,FALSE)</f>
        <v>Röhlig, Jörg</v>
      </c>
      <c r="C37" s="146" t="str">
        <f>VLOOKUP(A37,member!$A$5:$K$1300,9,FALSE)</f>
        <v>BC Bamberger Bowlinghaus</v>
      </c>
      <c r="D37" s="146" t="str">
        <f>VLOOKUP(A37,member!$A$5:$K$1300,11,FALSE)</f>
        <v>BBH</v>
      </c>
    </row>
    <row r="38" spans="1:4" ht="12" x14ac:dyDescent="0.25">
      <c r="A38" s="145">
        <v>25516</v>
      </c>
      <c r="B38" s="146" t="str">
        <f>VLOOKUP(A38,member!$A$5:$K$1300,3,FALSE)&amp;", "&amp;VLOOKUP(A38,member!$A$5:$K$1300,4,FALSE)</f>
        <v>Nikoleit, Thomas</v>
      </c>
      <c r="C38" s="146" t="str">
        <f>VLOOKUP(A38,member!$A$5:$K$1300,9,FALSE)</f>
        <v>BC Bamberger Bowlinghaus</v>
      </c>
      <c r="D38" s="146" t="str">
        <f>VLOOKUP(A38,member!$A$5:$K$1300,11,FALSE)</f>
        <v>BBH</v>
      </c>
    </row>
    <row r="39" spans="1:4" ht="12" x14ac:dyDescent="0.25">
      <c r="A39" s="145">
        <v>16873</v>
      </c>
      <c r="B39" s="146" t="str">
        <f>VLOOKUP(A39,member!$A$5:$K$1300,3,FALSE)&amp;", "&amp;VLOOKUP(A39,member!$A$5:$K$1300,4,FALSE)</f>
        <v>Nolan, Jonathan</v>
      </c>
      <c r="C39" s="146" t="str">
        <f>VLOOKUP(A39,member!$A$5:$K$1300,9,FALSE)</f>
        <v>BC Bamberger Bowlinghaus</v>
      </c>
      <c r="D39" s="146" t="str">
        <f>VLOOKUP(A39,member!$A$5:$K$1300,11,FALSE)</f>
        <v>BBH</v>
      </c>
    </row>
    <row r="40" spans="1:4" ht="12" x14ac:dyDescent="0.25">
      <c r="A40" s="145">
        <v>7937</v>
      </c>
      <c r="B40" s="146" t="str">
        <f>VLOOKUP(A40,member!$A$5:$K$1300,3,FALSE)&amp;", "&amp;VLOOKUP(A40,member!$A$5:$K$1300,4,FALSE)</f>
        <v>Birkner, Jochen</v>
      </c>
      <c r="C40" s="146" t="str">
        <f>VLOOKUP(A40,member!$A$5:$K$1300,9,FALSE)</f>
        <v>BF Rot-Weiß Lichtenhof 69</v>
      </c>
      <c r="D40" s="146" t="str">
        <f>VLOOKUP(A40,member!$A$5:$K$1300,11,FALSE)</f>
        <v>STE</v>
      </c>
    </row>
    <row r="41" spans="1:4" ht="12" x14ac:dyDescent="0.25">
      <c r="A41" s="145">
        <v>10124</v>
      </c>
      <c r="B41" s="146" t="str">
        <f>VLOOKUP(A41,member!$A$5:$K$1300,3,FALSE)&amp;", "&amp;VLOOKUP(A41,member!$A$5:$K$1300,4,FALSE)</f>
        <v>Kristof, Robert</v>
      </c>
      <c r="C41" s="146" t="str">
        <f>VLOOKUP(A41,member!$A$5:$K$1300,9,FALSE)</f>
        <v>BF Rot-Weiß Lichtenhof 69</v>
      </c>
      <c r="D41" s="146" t="str">
        <f>VLOOKUP(A41,member!$A$5:$K$1300,11,FALSE)</f>
        <v>STE</v>
      </c>
    </row>
    <row r="42" spans="1:4" ht="12" x14ac:dyDescent="0.25">
      <c r="A42" s="145">
        <v>16263</v>
      </c>
      <c r="B42" s="146" t="str">
        <f>VLOOKUP(A42,member!$A$5:$K$1300,3,FALSE)&amp;", "&amp;VLOOKUP(A42,member!$A$5:$K$1300,4,FALSE)</f>
        <v>Jackwerth, Enno</v>
      </c>
      <c r="C42" s="146" t="str">
        <f>VLOOKUP(A42,member!$A$5:$K$1300,9,FALSE)</f>
        <v>BF Rot-Weiß Lichtenhof 69</v>
      </c>
      <c r="D42" s="146" t="str">
        <f>VLOOKUP(A42,member!$A$5:$K$1300,11,FALSE)</f>
        <v>STE</v>
      </c>
    </row>
    <row r="43" spans="1:4" ht="12" x14ac:dyDescent="0.25">
      <c r="A43" s="145">
        <v>7959</v>
      </c>
      <c r="B43" s="146" t="str">
        <f>VLOOKUP(A43,member!$A$5:$K$1300,3,FALSE)&amp;", "&amp;VLOOKUP(A43,member!$A$5:$K$1300,4,FALSE)</f>
        <v>Netscheporenko, Marco</v>
      </c>
      <c r="C43" s="146" t="str">
        <f>VLOOKUP(A43,member!$A$5:$K$1300,9,FALSE)</f>
        <v>BF Rot-Weiß Lichtenhof 69</v>
      </c>
      <c r="D43" s="146" t="str">
        <f>VLOOKUP(A43,member!$A$5:$K$1300,11,FALSE)</f>
        <v>STE</v>
      </c>
    </row>
    <row r="44" spans="1:4" ht="12" x14ac:dyDescent="0.25">
      <c r="A44" s="145">
        <v>7601</v>
      </c>
      <c r="B44" s="146" t="str">
        <f>VLOOKUP(A44,member!$A$5:$K$1300,3,FALSE)&amp;", "&amp;VLOOKUP(A44,member!$A$5:$K$1300,4,FALSE)</f>
        <v>Lüthje, Volker</v>
      </c>
      <c r="C44" s="146" t="str">
        <f>VLOOKUP(A44,member!$A$5:$K$1300,9,FALSE)</f>
        <v>BC Bajuwaren 1976 München</v>
      </c>
      <c r="D44" s="146" t="str">
        <f>VLOOKUP(A44,member!$A$5:$K$1300,11,FALSE)</f>
        <v>MKV</v>
      </c>
    </row>
    <row r="45" spans="1:4" ht="12" x14ac:dyDescent="0.25">
      <c r="A45" s="145">
        <v>7593</v>
      </c>
      <c r="B45" s="146" t="str">
        <f>VLOOKUP(A45,member!$A$5:$K$1300,3,FALSE)&amp;", "&amp;VLOOKUP(A45,member!$A$5:$K$1300,4,FALSE)</f>
        <v>Börding, Peter</v>
      </c>
      <c r="C45" s="146" t="str">
        <f>VLOOKUP(A45,member!$A$5:$K$1300,9,FALSE)</f>
        <v>BK München</v>
      </c>
      <c r="D45" s="146" t="str">
        <f>VLOOKUP(A45,member!$A$5:$K$1300,11,FALSE)</f>
        <v>MKV</v>
      </c>
    </row>
    <row r="46" spans="1:4" ht="12" x14ac:dyDescent="0.25">
      <c r="A46" s="145">
        <v>7591</v>
      </c>
      <c r="B46" s="146" t="str">
        <f>VLOOKUP(A46,member!$A$5:$K$1300,3,FALSE)&amp;", "&amp;VLOOKUP(A46,member!$A$5:$K$1300,4,FALSE)</f>
        <v>Börding, Daniel</v>
      </c>
      <c r="C46" s="146" t="str">
        <f>VLOOKUP(A46,member!$A$5:$K$1300,9,FALSE)</f>
        <v>BK München</v>
      </c>
      <c r="D46" s="146" t="str">
        <f>VLOOKUP(A46,member!$A$5:$K$1300,11,FALSE)</f>
        <v>MKV</v>
      </c>
    </row>
    <row r="47" spans="1:4" ht="12" x14ac:dyDescent="0.25">
      <c r="A47" s="145">
        <v>38039</v>
      </c>
      <c r="B47" s="146" t="str">
        <f>VLOOKUP(A47,member!$A$5:$K$1300,3,FALSE)&amp;", "&amp;VLOOKUP(A47,member!$A$5:$K$1300,4,FALSE)</f>
        <v>Plaschka, Nico</v>
      </c>
      <c r="C47" s="146" t="str">
        <f>VLOOKUP(A47,member!$A$5:$K$1300,9,FALSE)</f>
        <v>DJK Rimpar</v>
      </c>
      <c r="D47" s="146" t="str">
        <f>VLOOKUP(A47,member!$A$5:$K$1300,11,FALSE)</f>
        <v>RIM</v>
      </c>
    </row>
    <row r="48" spans="1:4" ht="12" x14ac:dyDescent="0.25">
      <c r="A48" s="145">
        <v>7738</v>
      </c>
      <c r="B48" s="146" t="str">
        <f>VLOOKUP(A48,member!$A$5:$K$1300,3,FALSE)&amp;", "&amp;VLOOKUP(A48,member!$A$5:$K$1300,4,FALSE)</f>
        <v>Stöhr, Jürgen</v>
      </c>
      <c r="C48" s="146" t="str">
        <f>VLOOKUP(A48,member!$A$5:$K$1300,9,FALSE)</f>
        <v>BF Rot-Weiß Lichtenhof 69</v>
      </c>
      <c r="D48" s="146" t="str">
        <f>VLOOKUP(A48,member!$A$5:$K$1300,11,FALSE)</f>
        <v>STE</v>
      </c>
    </row>
    <row r="49" spans="1:4" ht="12" x14ac:dyDescent="0.25">
      <c r="A49" s="145">
        <v>16862</v>
      </c>
      <c r="B49" s="146" t="str">
        <f>VLOOKUP(A49,member!$A$5:$K$1300,3,FALSE)&amp;", "&amp;VLOOKUP(A49,member!$A$5:$K$1300,4,FALSE)</f>
        <v>Büttner, Christian</v>
      </c>
      <c r="C49" s="146" t="str">
        <f>VLOOKUP(A49,member!$A$5:$K$1300,9,FALSE)</f>
        <v>SG Rottendorf</v>
      </c>
      <c r="D49" s="146" t="str">
        <f>VLOOKUP(A49,member!$A$5:$K$1300,11,FALSE)</f>
        <v>ROT</v>
      </c>
    </row>
    <row r="50" spans="1:4" ht="12" x14ac:dyDescent="0.25">
      <c r="A50" s="145">
        <v>16346</v>
      </c>
      <c r="B50" s="146" t="str">
        <f>VLOOKUP(A50,member!$A$5:$K$1300,3,FALSE)&amp;", "&amp;VLOOKUP(A50,member!$A$5:$K$1300,4,FALSE)</f>
        <v>Schön, Horst</v>
      </c>
      <c r="C50" s="146" t="str">
        <f>VLOOKUP(A50,member!$A$5:$K$1300,9,FALSE)</f>
        <v>SG Rottendorf</v>
      </c>
      <c r="D50" s="146" t="str">
        <f>VLOOKUP(A50,member!$A$5:$K$1300,11,FALSE)</f>
        <v>ROT</v>
      </c>
    </row>
    <row r="51" spans="1:4" ht="12" x14ac:dyDescent="0.25">
      <c r="A51" s="145">
        <v>25024</v>
      </c>
      <c r="B51" s="146" t="str">
        <f>VLOOKUP(A51,member!$A$5:$K$1300,3,FALSE)&amp;", "&amp;VLOOKUP(A51,member!$A$5:$K$1300,4,FALSE)</f>
        <v>Klapper, Michael</v>
      </c>
      <c r="C51" s="146" t="str">
        <f>VLOOKUP(A51,member!$A$5:$K$1300,9,FALSE)</f>
        <v>BC Schanzer Strikers</v>
      </c>
      <c r="D51" s="146" t="str">
        <f>VLOOKUP(A51,member!$A$5:$K$1300,11,FALSE)</f>
        <v>ING</v>
      </c>
    </row>
    <row r="52" spans="1:4" ht="12" x14ac:dyDescent="0.25">
      <c r="A52" s="145">
        <v>7344</v>
      </c>
      <c r="B52" s="146" t="str">
        <f>VLOOKUP(A52,member!$A$5:$K$1300,3,FALSE)&amp;", "&amp;VLOOKUP(A52,member!$A$5:$K$1300,4,FALSE)</f>
        <v>Kirschenbauer, Frank</v>
      </c>
      <c r="C52" s="146" t="str">
        <f>VLOOKUP(A52,member!$A$5:$K$1300,9,FALSE)</f>
        <v>BC Schanzer Strikers</v>
      </c>
      <c r="D52" s="146" t="str">
        <f>VLOOKUP(A52,member!$A$5:$K$1300,11,FALSE)</f>
        <v>ING</v>
      </c>
    </row>
    <row r="53" spans="1:4" ht="12" x14ac:dyDescent="0.25">
      <c r="A53" s="145">
        <v>7602</v>
      </c>
      <c r="B53" s="146" t="str">
        <f>VLOOKUP(A53,member!$A$5:$K$1300,3,FALSE)&amp;", "&amp;VLOOKUP(A53,member!$A$5:$K$1300,4,FALSE)</f>
        <v>Probst, Marco</v>
      </c>
      <c r="C53" s="146" t="str">
        <f>VLOOKUP(A53,member!$A$5:$K$1300,9,FALSE)</f>
        <v>BC EMAX</v>
      </c>
      <c r="D53" s="146" t="str">
        <f>VLOOKUP(A53,member!$A$5:$K$1300,11,FALSE)</f>
        <v>BVU</v>
      </c>
    </row>
    <row r="54" spans="1:4" ht="12" x14ac:dyDescent="0.25">
      <c r="A54" s="145">
        <v>25325</v>
      </c>
      <c r="B54" s="146" t="str">
        <f>VLOOKUP(A54,member!$A$5:$K$1300,3,FALSE)&amp;", "&amp;VLOOKUP(A54,member!$A$5:$K$1300,4,FALSE)</f>
        <v>Wegenast, Robert</v>
      </c>
      <c r="C54" s="146" t="str">
        <f>VLOOKUP(A54,member!$A$5:$K$1300,9,FALSE)</f>
        <v>BC EMAX</v>
      </c>
      <c r="D54" s="146" t="str">
        <f>VLOOKUP(A54,member!$A$5:$K$1300,11,FALSE)</f>
        <v>BVU</v>
      </c>
    </row>
    <row r="55" spans="1:4" ht="12" x14ac:dyDescent="0.25">
      <c r="A55" s="145">
        <v>7428</v>
      </c>
      <c r="B55" s="146" t="str">
        <f>VLOOKUP(A55,member!$A$5:$K$1300,3,FALSE)&amp;", "&amp;VLOOKUP(A55,member!$A$5:$K$1300,4,FALSE)</f>
        <v>Pirzer, Robert</v>
      </c>
      <c r="C55" s="146" t="str">
        <f>VLOOKUP(A55,member!$A$5:$K$1300,9,FALSE)</f>
        <v>BC EMAX</v>
      </c>
      <c r="D55" s="146" t="str">
        <f>VLOOKUP(A55,member!$A$5:$K$1300,11,FALSE)</f>
        <v>BVU</v>
      </c>
    </row>
    <row r="56" spans="1:4" ht="12" x14ac:dyDescent="0.25">
      <c r="A56" s="145">
        <v>16532</v>
      </c>
      <c r="B56" s="146" t="str">
        <f>VLOOKUP(A56,member!$A$5:$K$1300,3,FALSE)&amp;", "&amp;VLOOKUP(A56,member!$A$5:$K$1300,4,FALSE)</f>
        <v>Karl, William</v>
      </c>
      <c r="C56" s="146" t="str">
        <f>VLOOKUP(A56,member!$A$5:$K$1300,9,FALSE)</f>
        <v>BC Bamberger Bowlinghaus</v>
      </c>
      <c r="D56" s="146" t="str">
        <f>VLOOKUP(A56,member!$A$5:$K$1300,11,FALSE)</f>
        <v>BBH</v>
      </c>
    </row>
    <row r="57" spans="1:4" ht="12" x14ac:dyDescent="0.25">
      <c r="A57" s="145">
        <v>38043</v>
      </c>
      <c r="B57" s="146" t="str">
        <f>VLOOKUP(A57,member!$A$5:$K$1300,3,FALSE)&amp;", "&amp;VLOOKUP(A57,member!$A$5:$K$1300,4,FALSE)</f>
        <v>Badum, Daniel</v>
      </c>
      <c r="C57" s="146" t="str">
        <f>VLOOKUP(A57,member!$A$5:$K$1300,9,FALSE)</f>
        <v>BC Bamberger Bowlinghaus</v>
      </c>
      <c r="D57" s="146" t="str">
        <f>VLOOKUP(A57,member!$A$5:$K$1300,11,FALSE)</f>
        <v>BBH</v>
      </c>
    </row>
    <row r="58" spans="1:4" ht="12" x14ac:dyDescent="0.25">
      <c r="A58" s="145">
        <v>25061</v>
      </c>
      <c r="B58" s="146" t="str">
        <f>VLOOKUP(A58,member!$A$5:$K$1300,3,FALSE)&amp;", "&amp;VLOOKUP(A58,member!$A$5:$K$1300,4,FALSE)</f>
        <v>Schwarz, Christian</v>
      </c>
      <c r="C58" s="146" t="str">
        <f>VLOOKUP(A58,member!$A$5:$K$1300,9,FALSE)</f>
        <v>BSC Highroller Rosenheim</v>
      </c>
      <c r="D58" s="146" t="str">
        <f>VLOOKUP(A58,member!$A$5:$K$1300,11,FALSE)</f>
        <v>HRR</v>
      </c>
    </row>
    <row r="59" spans="1:4" ht="12" x14ac:dyDescent="0.25">
      <c r="A59" s="145">
        <v>16519</v>
      </c>
      <c r="B59" s="146" t="str">
        <f>VLOOKUP(A59,member!$A$5:$K$1300,3,FALSE)&amp;", "&amp;VLOOKUP(A59,member!$A$5:$K$1300,4,FALSE)</f>
        <v>Tos, Sascha</v>
      </c>
      <c r="C59" s="146" t="str">
        <f>VLOOKUP(A59,member!$A$5:$K$1300,9,FALSE)</f>
        <v>BSC Highroller Rosenheim</v>
      </c>
      <c r="D59" s="146" t="str">
        <f>VLOOKUP(A59,member!$A$5:$K$1300,11,FALSE)</f>
        <v>HRR</v>
      </c>
    </row>
    <row r="60" spans="1:4" ht="12" x14ac:dyDescent="0.25">
      <c r="A60" s="145">
        <v>7485</v>
      </c>
      <c r="B60" s="146" t="str">
        <f>VLOOKUP(A60,member!$A$5:$K$1300,3,FALSE)&amp;", "&amp;VLOOKUP(A60,member!$A$5:$K$1300,4,FALSE)</f>
        <v>Singer, Michael</v>
      </c>
      <c r="C60" s="146" t="str">
        <f>VLOOKUP(A60,member!$A$5:$K$1300,9,FALSE)</f>
        <v>BK München</v>
      </c>
      <c r="D60" s="146" t="str">
        <f>VLOOKUP(A60,member!$A$5:$K$1300,11,FALSE)</f>
        <v>MKV</v>
      </c>
    </row>
    <row r="61" spans="1:4" ht="12" x14ac:dyDescent="0.25">
      <c r="A61" s="145">
        <v>7740</v>
      </c>
      <c r="B61" s="146" t="str">
        <f>VLOOKUP(A61,member!$A$5:$K$1300,3,FALSE)&amp;", "&amp;VLOOKUP(A61,member!$A$5:$K$1300,4,FALSE)</f>
        <v>Mesch, John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ht="12" x14ac:dyDescent="0.25">
      <c r="A62" s="145">
        <v>7337</v>
      </c>
      <c r="B62" s="146" t="str">
        <f>VLOOKUP(A62,member!$A$5:$K$1300,3,FALSE)&amp;", "&amp;VLOOKUP(A62,member!$A$5:$K$1300,4,FALSE)</f>
        <v>Haunschild, Thomas</v>
      </c>
      <c r="C62" s="146" t="str">
        <f>VLOOKUP(A62,member!$A$5:$K$1300,9,FALSE)</f>
        <v>BC Schanzer Strikers</v>
      </c>
      <c r="D62" s="146" t="str">
        <f>VLOOKUP(A62,member!$A$5:$K$1300,11,FALSE)</f>
        <v>ING</v>
      </c>
    </row>
    <row r="63" spans="1:4" ht="12" x14ac:dyDescent="0.25">
      <c r="A63" s="145">
        <v>38360</v>
      </c>
      <c r="B63" s="146" t="str">
        <f>VLOOKUP(A63,member!$A$5:$K$1300,3,FALSE)&amp;", "&amp;VLOOKUP(A63,member!$A$5:$K$1300,4,FALSE)</f>
        <v>Hutter, Sebastian</v>
      </c>
      <c r="C63" s="146" t="str">
        <f>VLOOKUP(A63,member!$A$5:$K$1300,9,FALSE)</f>
        <v>BC Schanzer Strikers</v>
      </c>
      <c r="D63" s="146" t="str">
        <f>VLOOKUP(A63,member!$A$5:$K$1300,11,FALSE)</f>
        <v>ING</v>
      </c>
    </row>
    <row r="64" spans="1:4" ht="12" x14ac:dyDescent="0.25">
      <c r="A64" s="145">
        <v>41008</v>
      </c>
      <c r="B64" s="146" t="str">
        <f>VLOOKUP(A64,member!$A$5:$K$1300,3,FALSE)&amp;", "&amp;VLOOKUP(A64,member!$A$5:$K$1300,4,FALSE)</f>
        <v>Richter, Benjamin</v>
      </c>
      <c r="C64" s="146" t="str">
        <f>VLOOKUP(A64,member!$A$5:$K$1300,9,FALSE)</f>
        <v>BC EMAX</v>
      </c>
      <c r="D64" s="146" t="str">
        <f>VLOOKUP(A64,member!$A$5:$K$1300,11,FALSE)</f>
        <v>BVU</v>
      </c>
    </row>
    <row r="65" spans="1:4" ht="13.8" x14ac:dyDescent="0.3">
      <c r="A65" s="191">
        <v>16398</v>
      </c>
      <c r="B65" s="146" t="str">
        <f>VLOOKUP(A65,member!$A$5:$K$1300,3,FALSE)&amp;", "&amp;VLOOKUP(A65,member!$A$5:$K$1300,4,FALSE)</f>
        <v>Denz, Günter</v>
      </c>
      <c r="C65" s="146" t="str">
        <f>VLOOKUP(A65,member!$A$5:$K$1300,9,FALSE)</f>
        <v>BC EMAX</v>
      </c>
      <c r="D65" s="146" t="str">
        <f>VLOOKUP(A65,member!$A$5:$K$1300,11,FALSE)</f>
        <v>BVU</v>
      </c>
    </row>
    <row r="66" spans="1:4" ht="12" x14ac:dyDescent="0.25">
      <c r="A66" s="145">
        <v>16251</v>
      </c>
      <c r="B66" s="146" t="s">
        <v>2563</v>
      </c>
      <c r="C66" s="146" t="s">
        <v>635</v>
      </c>
      <c r="D66" s="146" t="s">
        <v>637</v>
      </c>
    </row>
    <row r="67" spans="1:4" ht="12" x14ac:dyDescent="0.25">
      <c r="A67" s="145">
        <v>38686</v>
      </c>
      <c r="B67" s="146" t="str">
        <f>VLOOKUP(A67,member!$A$5:$K$1300,3,FALSE)&amp;", "&amp;VLOOKUP(A67,member!$A$5:$K$1300,4,FALSE)</f>
        <v>Beck, Stefan</v>
      </c>
      <c r="C67" s="146" t="str">
        <f>VLOOKUP(A67,member!$A$5:$K$1300,9,FALSE)</f>
        <v>DJK Rimpar</v>
      </c>
      <c r="D67" s="146" t="str">
        <f>VLOOKUP(A67,member!$A$5:$K$1300,11,FALSE)</f>
        <v>RIM</v>
      </c>
    </row>
    <row r="68" spans="1:4" ht="12" x14ac:dyDescent="0.25">
      <c r="A68" s="145">
        <v>22116</v>
      </c>
      <c r="B68" s="146" t="s">
        <v>2569</v>
      </c>
      <c r="C68" s="146" t="s">
        <v>2570</v>
      </c>
      <c r="D68" s="146" t="s">
        <v>743</v>
      </c>
    </row>
    <row r="69" spans="1:4" ht="12" x14ac:dyDescent="0.25">
      <c r="A69" s="145">
        <v>16965</v>
      </c>
      <c r="B69" s="146" t="str">
        <f>VLOOKUP(A69,member!$A$5:$K$1300,3,FALSE)&amp;", "&amp;VLOOKUP(A69,member!$A$5:$K$1300,4,FALSE)</f>
        <v>Michow, André</v>
      </c>
      <c r="C69" s="146" t="str">
        <f>VLOOKUP(A69,member!$A$5:$K$1300,9,FALSE)</f>
        <v>BK München</v>
      </c>
      <c r="D69" s="146" t="str">
        <f>VLOOKUP(A69,member!$A$5:$K$1300,11,FALSE)</f>
        <v>MKV</v>
      </c>
    </row>
    <row r="70" spans="1:4" ht="12" x14ac:dyDescent="0.25">
      <c r="A70" s="145">
        <v>39948</v>
      </c>
      <c r="B70" s="146" t="s">
        <v>2573</v>
      </c>
      <c r="C70" s="146" t="s">
        <v>345</v>
      </c>
      <c r="D70" s="146" t="s">
        <v>305</v>
      </c>
    </row>
    <row r="71" spans="1:4" ht="12" x14ac:dyDescent="0.25">
      <c r="A71" s="145">
        <v>38907</v>
      </c>
      <c r="B71" s="146" t="str">
        <f>VLOOKUP(A71,member!$A$5:$K$1300,3,FALSE)&amp;", "&amp;VLOOKUP(A71,member!$A$5:$K$1300,4,FALSE)</f>
        <v>Moser, Thomas</v>
      </c>
      <c r="C71" s="146" t="str">
        <f>VLOOKUP(A71,member!$A$5:$K$1300,9,FALSE)</f>
        <v>BF Rot-Weiß Lichtenhof 69</v>
      </c>
      <c r="D71" s="146" t="str">
        <f>VLOOKUP(A71,member!$A$5:$K$1300,11,FALSE)</f>
        <v>STE</v>
      </c>
    </row>
    <row r="72" spans="1:4" ht="12" x14ac:dyDescent="0.25">
      <c r="A72" s="145">
        <v>16469</v>
      </c>
      <c r="B72" s="146" t="str">
        <f>VLOOKUP(A72,member!$A$5:$K$1300,3,FALSE)&amp;", "&amp;VLOOKUP(A72,member!$A$5:$K$1300,4,FALSE)</f>
        <v>Breitenstein, Alexander Kurt</v>
      </c>
      <c r="C72" s="146" t="str">
        <f>VLOOKUP(A72,member!$A$5:$K$1300,9,FALSE)</f>
        <v>BF Rot-Weiß Lichtenhof 69</v>
      </c>
      <c r="D72" s="146" t="str">
        <f>VLOOKUP(A72,member!$A$5:$K$1300,11,FALSE)</f>
        <v>STE</v>
      </c>
    </row>
    <row r="73" spans="1:4" ht="12" x14ac:dyDescent="0.25">
      <c r="A73" s="145">
        <v>38018</v>
      </c>
      <c r="B73" s="146" t="str">
        <f>VLOOKUP(A73,member!$A$5:$K$1300,3,FALSE)&amp;", "&amp;VLOOKUP(A73,member!$A$5:$K$1300,4,FALSE)</f>
        <v>Wunderlich, Henning</v>
      </c>
      <c r="C73" s="146" t="str">
        <f>VLOOKUP(A73,member!$A$5:$K$1300,9,FALSE)</f>
        <v>DJK Rimpar</v>
      </c>
      <c r="D73" s="146" t="str">
        <f>VLOOKUP(A73,member!$A$5:$K$1300,11,FALSE)</f>
        <v>RIM</v>
      </c>
    </row>
    <row r="74" spans="1:4" ht="12" x14ac:dyDescent="0.25">
      <c r="A74" s="145">
        <v>25465</v>
      </c>
      <c r="B74" s="146" t="str">
        <f>VLOOKUP(A74,member!$A$5:$K$1300,3,FALSE)&amp;", "&amp;VLOOKUP(A74,member!$A$5:$K$1300,4,FALSE)</f>
        <v>Wahl, Norbert</v>
      </c>
      <c r="C74" s="146" t="str">
        <f>VLOOKUP(A74,member!$A$5:$K$1300,9,FALSE)</f>
        <v>BF Rot-Weiß Lichtenhof 69</v>
      </c>
      <c r="D74" s="146" t="str">
        <f>VLOOKUP(A74,member!$A$5:$K$1300,11,FALSE)</f>
        <v>STE</v>
      </c>
    </row>
    <row r="75" spans="1:4" ht="12" x14ac:dyDescent="0.25">
      <c r="A75" s="145"/>
      <c r="B75" s="146" t="e">
        <f>VLOOKUP(A75,member!$A$5:$K$1300,3,FALSE)&amp;", "&amp;VLOOKUP(A75,member!$A$5:$K$1300,4,FALSE)</f>
        <v>#N/A</v>
      </c>
      <c r="C75" s="146" t="e">
        <f>VLOOKUP(A75,member!$A$5:$K$1300,9,FALSE)</f>
        <v>#N/A</v>
      </c>
      <c r="D75" s="146" t="e">
        <f>VLOOKUP(A75,member!$A$5:$K$1300,11,FALSE)</f>
        <v>#N/A</v>
      </c>
    </row>
    <row r="76" spans="1:4" x14ac:dyDescent="0.2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2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2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2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2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2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2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2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2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2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2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2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2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2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2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2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2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2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2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2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2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2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2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2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43">
    <cfRule type="duplicateValues" dxfId="1" priority="1" stopIfTrue="1"/>
  </conditionalFormatting>
  <conditionalFormatting sqref="A44:A1048576">
    <cfRule type="duplicateValues" dxfId="0" priority="2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topLeftCell="A136" workbookViewId="0">
      <selection activeCell="AA19" sqref="AA19"/>
    </sheetView>
  </sheetViews>
  <sheetFormatPr baseColWidth="10" defaultColWidth="11.44140625" defaultRowHeight="13.8" x14ac:dyDescent="0.3"/>
  <cols>
    <col min="1" max="1" width="7.5546875" style="237" customWidth="1"/>
    <col min="2" max="2" width="8.109375" style="232" customWidth="1"/>
    <col min="3" max="3" width="17.33203125" style="233" bestFit="1" customWidth="1"/>
    <col min="4" max="4" width="14.88671875" style="234" bestFit="1" customWidth="1"/>
    <col min="5" max="5" width="4.44140625" style="234" bestFit="1" customWidth="1"/>
    <col min="6" max="6" width="4.44140625" style="236" customWidth="1"/>
    <col min="7" max="7" width="13.88671875" style="266" customWidth="1"/>
    <col min="8" max="8" width="4.109375" style="234" customWidth="1"/>
    <col min="9" max="9" width="24.109375" style="234" bestFit="1" customWidth="1"/>
    <col min="10" max="10" width="27.6640625" style="232" customWidth="1"/>
    <col min="11" max="11" width="8.88671875" style="235" customWidth="1"/>
    <col min="12" max="12" width="6.109375" style="275" customWidth="1"/>
    <col min="13" max="256" width="11.44140625" style="275"/>
    <col min="257" max="257" width="7.5546875" style="275" customWidth="1"/>
    <col min="258" max="258" width="8.109375" style="275" customWidth="1"/>
    <col min="259" max="259" width="17.33203125" style="275" bestFit="1" customWidth="1"/>
    <col min="260" max="260" width="14.88671875" style="275" bestFit="1" customWidth="1"/>
    <col min="261" max="261" width="4.44140625" style="275" bestFit="1" customWidth="1"/>
    <col min="262" max="262" width="4.44140625" style="275" customWidth="1"/>
    <col min="263" max="263" width="13.88671875" style="275" customWidth="1"/>
    <col min="264" max="264" width="4.109375" style="275" customWidth="1"/>
    <col min="265" max="265" width="24.109375" style="275" bestFit="1" customWidth="1"/>
    <col min="266" max="266" width="27.6640625" style="275" customWidth="1"/>
    <col min="267" max="267" width="8.88671875" style="275" customWidth="1"/>
    <col min="268" max="268" width="6.109375" style="275" customWidth="1"/>
    <col min="269" max="512" width="11.44140625" style="275"/>
    <col min="513" max="513" width="7.5546875" style="275" customWidth="1"/>
    <col min="514" max="514" width="8.109375" style="275" customWidth="1"/>
    <col min="515" max="515" width="17.33203125" style="275" bestFit="1" customWidth="1"/>
    <col min="516" max="516" width="14.88671875" style="275" bestFit="1" customWidth="1"/>
    <col min="517" max="517" width="4.44140625" style="275" bestFit="1" customWidth="1"/>
    <col min="518" max="518" width="4.44140625" style="275" customWidth="1"/>
    <col min="519" max="519" width="13.88671875" style="275" customWidth="1"/>
    <col min="520" max="520" width="4.109375" style="275" customWidth="1"/>
    <col min="521" max="521" width="24.109375" style="275" bestFit="1" customWidth="1"/>
    <col min="522" max="522" width="27.6640625" style="275" customWidth="1"/>
    <col min="523" max="523" width="8.88671875" style="275" customWidth="1"/>
    <col min="524" max="524" width="6.109375" style="275" customWidth="1"/>
    <col min="525" max="768" width="11.44140625" style="275"/>
    <col min="769" max="769" width="7.5546875" style="275" customWidth="1"/>
    <col min="770" max="770" width="8.109375" style="275" customWidth="1"/>
    <col min="771" max="771" width="17.33203125" style="275" bestFit="1" customWidth="1"/>
    <col min="772" max="772" width="14.88671875" style="275" bestFit="1" customWidth="1"/>
    <col min="773" max="773" width="4.44140625" style="275" bestFit="1" customWidth="1"/>
    <col min="774" max="774" width="4.44140625" style="275" customWidth="1"/>
    <col min="775" max="775" width="13.88671875" style="275" customWidth="1"/>
    <col min="776" max="776" width="4.109375" style="275" customWidth="1"/>
    <col min="777" max="777" width="24.109375" style="275" bestFit="1" customWidth="1"/>
    <col min="778" max="778" width="27.6640625" style="275" customWidth="1"/>
    <col min="779" max="779" width="8.88671875" style="275" customWidth="1"/>
    <col min="780" max="780" width="6.109375" style="275" customWidth="1"/>
    <col min="781" max="1024" width="11.44140625" style="275"/>
    <col min="1025" max="1025" width="7.5546875" style="275" customWidth="1"/>
    <col min="1026" max="1026" width="8.109375" style="275" customWidth="1"/>
    <col min="1027" max="1027" width="17.33203125" style="275" bestFit="1" customWidth="1"/>
    <col min="1028" max="1028" width="14.88671875" style="275" bestFit="1" customWidth="1"/>
    <col min="1029" max="1029" width="4.44140625" style="275" bestFit="1" customWidth="1"/>
    <col min="1030" max="1030" width="4.44140625" style="275" customWidth="1"/>
    <col min="1031" max="1031" width="13.88671875" style="275" customWidth="1"/>
    <col min="1032" max="1032" width="4.109375" style="275" customWidth="1"/>
    <col min="1033" max="1033" width="24.109375" style="275" bestFit="1" customWidth="1"/>
    <col min="1034" max="1034" width="27.6640625" style="275" customWidth="1"/>
    <col min="1035" max="1035" width="8.88671875" style="275" customWidth="1"/>
    <col min="1036" max="1036" width="6.109375" style="275" customWidth="1"/>
    <col min="1037" max="1280" width="11.44140625" style="275"/>
    <col min="1281" max="1281" width="7.5546875" style="275" customWidth="1"/>
    <col min="1282" max="1282" width="8.109375" style="275" customWidth="1"/>
    <col min="1283" max="1283" width="17.33203125" style="275" bestFit="1" customWidth="1"/>
    <col min="1284" max="1284" width="14.88671875" style="275" bestFit="1" customWidth="1"/>
    <col min="1285" max="1285" width="4.44140625" style="275" bestFit="1" customWidth="1"/>
    <col min="1286" max="1286" width="4.44140625" style="275" customWidth="1"/>
    <col min="1287" max="1287" width="13.88671875" style="275" customWidth="1"/>
    <col min="1288" max="1288" width="4.109375" style="275" customWidth="1"/>
    <col min="1289" max="1289" width="24.109375" style="275" bestFit="1" customWidth="1"/>
    <col min="1290" max="1290" width="27.6640625" style="275" customWidth="1"/>
    <col min="1291" max="1291" width="8.88671875" style="275" customWidth="1"/>
    <col min="1292" max="1292" width="6.109375" style="275" customWidth="1"/>
    <col min="1293" max="1536" width="11.44140625" style="275"/>
    <col min="1537" max="1537" width="7.5546875" style="275" customWidth="1"/>
    <col min="1538" max="1538" width="8.109375" style="275" customWidth="1"/>
    <col min="1539" max="1539" width="17.33203125" style="275" bestFit="1" customWidth="1"/>
    <col min="1540" max="1540" width="14.88671875" style="275" bestFit="1" customWidth="1"/>
    <col min="1541" max="1541" width="4.44140625" style="275" bestFit="1" customWidth="1"/>
    <col min="1542" max="1542" width="4.44140625" style="275" customWidth="1"/>
    <col min="1543" max="1543" width="13.88671875" style="275" customWidth="1"/>
    <col min="1544" max="1544" width="4.109375" style="275" customWidth="1"/>
    <col min="1545" max="1545" width="24.109375" style="275" bestFit="1" customWidth="1"/>
    <col min="1546" max="1546" width="27.6640625" style="275" customWidth="1"/>
    <col min="1547" max="1547" width="8.88671875" style="275" customWidth="1"/>
    <col min="1548" max="1548" width="6.109375" style="275" customWidth="1"/>
    <col min="1549" max="1792" width="11.44140625" style="275"/>
    <col min="1793" max="1793" width="7.5546875" style="275" customWidth="1"/>
    <col min="1794" max="1794" width="8.109375" style="275" customWidth="1"/>
    <col min="1795" max="1795" width="17.33203125" style="275" bestFit="1" customWidth="1"/>
    <col min="1796" max="1796" width="14.88671875" style="275" bestFit="1" customWidth="1"/>
    <col min="1797" max="1797" width="4.44140625" style="275" bestFit="1" customWidth="1"/>
    <col min="1798" max="1798" width="4.44140625" style="275" customWidth="1"/>
    <col min="1799" max="1799" width="13.88671875" style="275" customWidth="1"/>
    <col min="1800" max="1800" width="4.109375" style="275" customWidth="1"/>
    <col min="1801" max="1801" width="24.109375" style="275" bestFit="1" customWidth="1"/>
    <col min="1802" max="1802" width="27.6640625" style="275" customWidth="1"/>
    <col min="1803" max="1803" width="8.88671875" style="275" customWidth="1"/>
    <col min="1804" max="1804" width="6.109375" style="275" customWidth="1"/>
    <col min="1805" max="2048" width="11.44140625" style="275"/>
    <col min="2049" max="2049" width="7.5546875" style="275" customWidth="1"/>
    <col min="2050" max="2050" width="8.109375" style="275" customWidth="1"/>
    <col min="2051" max="2051" width="17.33203125" style="275" bestFit="1" customWidth="1"/>
    <col min="2052" max="2052" width="14.88671875" style="275" bestFit="1" customWidth="1"/>
    <col min="2053" max="2053" width="4.44140625" style="275" bestFit="1" customWidth="1"/>
    <col min="2054" max="2054" width="4.44140625" style="275" customWidth="1"/>
    <col min="2055" max="2055" width="13.88671875" style="275" customWidth="1"/>
    <col min="2056" max="2056" width="4.109375" style="275" customWidth="1"/>
    <col min="2057" max="2057" width="24.109375" style="275" bestFit="1" customWidth="1"/>
    <col min="2058" max="2058" width="27.6640625" style="275" customWidth="1"/>
    <col min="2059" max="2059" width="8.88671875" style="275" customWidth="1"/>
    <col min="2060" max="2060" width="6.109375" style="275" customWidth="1"/>
    <col min="2061" max="2304" width="11.44140625" style="275"/>
    <col min="2305" max="2305" width="7.5546875" style="275" customWidth="1"/>
    <col min="2306" max="2306" width="8.109375" style="275" customWidth="1"/>
    <col min="2307" max="2307" width="17.33203125" style="275" bestFit="1" customWidth="1"/>
    <col min="2308" max="2308" width="14.88671875" style="275" bestFit="1" customWidth="1"/>
    <col min="2309" max="2309" width="4.44140625" style="275" bestFit="1" customWidth="1"/>
    <col min="2310" max="2310" width="4.44140625" style="275" customWidth="1"/>
    <col min="2311" max="2311" width="13.88671875" style="275" customWidth="1"/>
    <col min="2312" max="2312" width="4.109375" style="275" customWidth="1"/>
    <col min="2313" max="2313" width="24.109375" style="275" bestFit="1" customWidth="1"/>
    <col min="2314" max="2314" width="27.6640625" style="275" customWidth="1"/>
    <col min="2315" max="2315" width="8.88671875" style="275" customWidth="1"/>
    <col min="2316" max="2316" width="6.109375" style="275" customWidth="1"/>
    <col min="2317" max="2560" width="11.44140625" style="275"/>
    <col min="2561" max="2561" width="7.5546875" style="275" customWidth="1"/>
    <col min="2562" max="2562" width="8.109375" style="275" customWidth="1"/>
    <col min="2563" max="2563" width="17.33203125" style="275" bestFit="1" customWidth="1"/>
    <col min="2564" max="2564" width="14.88671875" style="275" bestFit="1" customWidth="1"/>
    <col min="2565" max="2565" width="4.44140625" style="275" bestFit="1" customWidth="1"/>
    <col min="2566" max="2566" width="4.44140625" style="275" customWidth="1"/>
    <col min="2567" max="2567" width="13.88671875" style="275" customWidth="1"/>
    <col min="2568" max="2568" width="4.109375" style="275" customWidth="1"/>
    <col min="2569" max="2569" width="24.109375" style="275" bestFit="1" customWidth="1"/>
    <col min="2570" max="2570" width="27.6640625" style="275" customWidth="1"/>
    <col min="2571" max="2571" width="8.88671875" style="275" customWidth="1"/>
    <col min="2572" max="2572" width="6.109375" style="275" customWidth="1"/>
    <col min="2573" max="2816" width="11.44140625" style="275"/>
    <col min="2817" max="2817" width="7.5546875" style="275" customWidth="1"/>
    <col min="2818" max="2818" width="8.109375" style="275" customWidth="1"/>
    <col min="2819" max="2819" width="17.33203125" style="275" bestFit="1" customWidth="1"/>
    <col min="2820" max="2820" width="14.88671875" style="275" bestFit="1" customWidth="1"/>
    <col min="2821" max="2821" width="4.44140625" style="275" bestFit="1" customWidth="1"/>
    <col min="2822" max="2822" width="4.44140625" style="275" customWidth="1"/>
    <col min="2823" max="2823" width="13.88671875" style="275" customWidth="1"/>
    <col min="2824" max="2824" width="4.109375" style="275" customWidth="1"/>
    <col min="2825" max="2825" width="24.109375" style="275" bestFit="1" customWidth="1"/>
    <col min="2826" max="2826" width="27.6640625" style="275" customWidth="1"/>
    <col min="2827" max="2827" width="8.88671875" style="275" customWidth="1"/>
    <col min="2828" max="2828" width="6.109375" style="275" customWidth="1"/>
    <col min="2829" max="3072" width="11.44140625" style="275"/>
    <col min="3073" max="3073" width="7.5546875" style="275" customWidth="1"/>
    <col min="3074" max="3074" width="8.109375" style="275" customWidth="1"/>
    <col min="3075" max="3075" width="17.33203125" style="275" bestFit="1" customWidth="1"/>
    <col min="3076" max="3076" width="14.88671875" style="275" bestFit="1" customWidth="1"/>
    <col min="3077" max="3077" width="4.44140625" style="275" bestFit="1" customWidth="1"/>
    <col min="3078" max="3078" width="4.44140625" style="275" customWidth="1"/>
    <col min="3079" max="3079" width="13.88671875" style="275" customWidth="1"/>
    <col min="3080" max="3080" width="4.109375" style="275" customWidth="1"/>
    <col min="3081" max="3081" width="24.109375" style="275" bestFit="1" customWidth="1"/>
    <col min="3082" max="3082" width="27.6640625" style="275" customWidth="1"/>
    <col min="3083" max="3083" width="8.88671875" style="275" customWidth="1"/>
    <col min="3084" max="3084" width="6.109375" style="275" customWidth="1"/>
    <col min="3085" max="3328" width="11.44140625" style="275"/>
    <col min="3329" max="3329" width="7.5546875" style="275" customWidth="1"/>
    <col min="3330" max="3330" width="8.109375" style="275" customWidth="1"/>
    <col min="3331" max="3331" width="17.33203125" style="275" bestFit="1" customWidth="1"/>
    <col min="3332" max="3332" width="14.88671875" style="275" bestFit="1" customWidth="1"/>
    <col min="3333" max="3333" width="4.44140625" style="275" bestFit="1" customWidth="1"/>
    <col min="3334" max="3334" width="4.44140625" style="275" customWidth="1"/>
    <col min="3335" max="3335" width="13.88671875" style="275" customWidth="1"/>
    <col min="3336" max="3336" width="4.109375" style="275" customWidth="1"/>
    <col min="3337" max="3337" width="24.109375" style="275" bestFit="1" customWidth="1"/>
    <col min="3338" max="3338" width="27.6640625" style="275" customWidth="1"/>
    <col min="3339" max="3339" width="8.88671875" style="275" customWidth="1"/>
    <col min="3340" max="3340" width="6.109375" style="275" customWidth="1"/>
    <col min="3341" max="3584" width="11.44140625" style="275"/>
    <col min="3585" max="3585" width="7.5546875" style="275" customWidth="1"/>
    <col min="3586" max="3586" width="8.109375" style="275" customWidth="1"/>
    <col min="3587" max="3587" width="17.33203125" style="275" bestFit="1" customWidth="1"/>
    <col min="3588" max="3588" width="14.88671875" style="275" bestFit="1" customWidth="1"/>
    <col min="3589" max="3589" width="4.44140625" style="275" bestFit="1" customWidth="1"/>
    <col min="3590" max="3590" width="4.44140625" style="275" customWidth="1"/>
    <col min="3591" max="3591" width="13.88671875" style="275" customWidth="1"/>
    <col min="3592" max="3592" width="4.109375" style="275" customWidth="1"/>
    <col min="3593" max="3593" width="24.109375" style="275" bestFit="1" customWidth="1"/>
    <col min="3594" max="3594" width="27.6640625" style="275" customWidth="1"/>
    <col min="3595" max="3595" width="8.88671875" style="275" customWidth="1"/>
    <col min="3596" max="3596" width="6.109375" style="275" customWidth="1"/>
    <col min="3597" max="3840" width="11.44140625" style="275"/>
    <col min="3841" max="3841" width="7.5546875" style="275" customWidth="1"/>
    <col min="3842" max="3842" width="8.109375" style="275" customWidth="1"/>
    <col min="3843" max="3843" width="17.33203125" style="275" bestFit="1" customWidth="1"/>
    <col min="3844" max="3844" width="14.88671875" style="275" bestFit="1" customWidth="1"/>
    <col min="3845" max="3845" width="4.44140625" style="275" bestFit="1" customWidth="1"/>
    <col min="3846" max="3846" width="4.44140625" style="275" customWidth="1"/>
    <col min="3847" max="3847" width="13.88671875" style="275" customWidth="1"/>
    <col min="3848" max="3848" width="4.109375" style="275" customWidth="1"/>
    <col min="3849" max="3849" width="24.109375" style="275" bestFit="1" customWidth="1"/>
    <col min="3850" max="3850" width="27.6640625" style="275" customWidth="1"/>
    <col min="3851" max="3851" width="8.88671875" style="275" customWidth="1"/>
    <col min="3852" max="3852" width="6.109375" style="275" customWidth="1"/>
    <col min="3853" max="4096" width="11.44140625" style="275"/>
    <col min="4097" max="4097" width="7.5546875" style="275" customWidth="1"/>
    <col min="4098" max="4098" width="8.109375" style="275" customWidth="1"/>
    <col min="4099" max="4099" width="17.33203125" style="275" bestFit="1" customWidth="1"/>
    <col min="4100" max="4100" width="14.88671875" style="275" bestFit="1" customWidth="1"/>
    <col min="4101" max="4101" width="4.44140625" style="275" bestFit="1" customWidth="1"/>
    <col min="4102" max="4102" width="4.44140625" style="275" customWidth="1"/>
    <col min="4103" max="4103" width="13.88671875" style="275" customWidth="1"/>
    <col min="4104" max="4104" width="4.109375" style="275" customWidth="1"/>
    <col min="4105" max="4105" width="24.109375" style="275" bestFit="1" customWidth="1"/>
    <col min="4106" max="4106" width="27.6640625" style="275" customWidth="1"/>
    <col min="4107" max="4107" width="8.88671875" style="275" customWidth="1"/>
    <col min="4108" max="4108" width="6.109375" style="275" customWidth="1"/>
    <col min="4109" max="4352" width="11.44140625" style="275"/>
    <col min="4353" max="4353" width="7.5546875" style="275" customWidth="1"/>
    <col min="4354" max="4354" width="8.109375" style="275" customWidth="1"/>
    <col min="4355" max="4355" width="17.33203125" style="275" bestFit="1" customWidth="1"/>
    <col min="4356" max="4356" width="14.88671875" style="275" bestFit="1" customWidth="1"/>
    <col min="4357" max="4357" width="4.44140625" style="275" bestFit="1" customWidth="1"/>
    <col min="4358" max="4358" width="4.44140625" style="275" customWidth="1"/>
    <col min="4359" max="4359" width="13.88671875" style="275" customWidth="1"/>
    <col min="4360" max="4360" width="4.109375" style="275" customWidth="1"/>
    <col min="4361" max="4361" width="24.109375" style="275" bestFit="1" customWidth="1"/>
    <col min="4362" max="4362" width="27.6640625" style="275" customWidth="1"/>
    <col min="4363" max="4363" width="8.88671875" style="275" customWidth="1"/>
    <col min="4364" max="4364" width="6.109375" style="275" customWidth="1"/>
    <col min="4365" max="4608" width="11.44140625" style="275"/>
    <col min="4609" max="4609" width="7.5546875" style="275" customWidth="1"/>
    <col min="4610" max="4610" width="8.109375" style="275" customWidth="1"/>
    <col min="4611" max="4611" width="17.33203125" style="275" bestFit="1" customWidth="1"/>
    <col min="4612" max="4612" width="14.88671875" style="275" bestFit="1" customWidth="1"/>
    <col min="4613" max="4613" width="4.44140625" style="275" bestFit="1" customWidth="1"/>
    <col min="4614" max="4614" width="4.44140625" style="275" customWidth="1"/>
    <col min="4615" max="4615" width="13.88671875" style="275" customWidth="1"/>
    <col min="4616" max="4616" width="4.109375" style="275" customWidth="1"/>
    <col min="4617" max="4617" width="24.109375" style="275" bestFit="1" customWidth="1"/>
    <col min="4618" max="4618" width="27.6640625" style="275" customWidth="1"/>
    <col min="4619" max="4619" width="8.88671875" style="275" customWidth="1"/>
    <col min="4620" max="4620" width="6.109375" style="275" customWidth="1"/>
    <col min="4621" max="4864" width="11.44140625" style="275"/>
    <col min="4865" max="4865" width="7.5546875" style="275" customWidth="1"/>
    <col min="4866" max="4866" width="8.109375" style="275" customWidth="1"/>
    <col min="4867" max="4867" width="17.33203125" style="275" bestFit="1" customWidth="1"/>
    <col min="4868" max="4868" width="14.88671875" style="275" bestFit="1" customWidth="1"/>
    <col min="4869" max="4869" width="4.44140625" style="275" bestFit="1" customWidth="1"/>
    <col min="4870" max="4870" width="4.44140625" style="275" customWidth="1"/>
    <col min="4871" max="4871" width="13.88671875" style="275" customWidth="1"/>
    <col min="4872" max="4872" width="4.109375" style="275" customWidth="1"/>
    <col min="4873" max="4873" width="24.109375" style="275" bestFit="1" customWidth="1"/>
    <col min="4874" max="4874" width="27.6640625" style="275" customWidth="1"/>
    <col min="4875" max="4875" width="8.88671875" style="275" customWidth="1"/>
    <col min="4876" max="4876" width="6.109375" style="275" customWidth="1"/>
    <col min="4877" max="5120" width="11.44140625" style="275"/>
    <col min="5121" max="5121" width="7.5546875" style="275" customWidth="1"/>
    <col min="5122" max="5122" width="8.109375" style="275" customWidth="1"/>
    <col min="5123" max="5123" width="17.33203125" style="275" bestFit="1" customWidth="1"/>
    <col min="5124" max="5124" width="14.88671875" style="275" bestFit="1" customWidth="1"/>
    <col min="5125" max="5125" width="4.44140625" style="275" bestFit="1" customWidth="1"/>
    <col min="5126" max="5126" width="4.44140625" style="275" customWidth="1"/>
    <col min="5127" max="5127" width="13.88671875" style="275" customWidth="1"/>
    <col min="5128" max="5128" width="4.109375" style="275" customWidth="1"/>
    <col min="5129" max="5129" width="24.109375" style="275" bestFit="1" customWidth="1"/>
    <col min="5130" max="5130" width="27.6640625" style="275" customWidth="1"/>
    <col min="5131" max="5131" width="8.88671875" style="275" customWidth="1"/>
    <col min="5132" max="5132" width="6.109375" style="275" customWidth="1"/>
    <col min="5133" max="5376" width="11.44140625" style="275"/>
    <col min="5377" max="5377" width="7.5546875" style="275" customWidth="1"/>
    <col min="5378" max="5378" width="8.109375" style="275" customWidth="1"/>
    <col min="5379" max="5379" width="17.33203125" style="275" bestFit="1" customWidth="1"/>
    <col min="5380" max="5380" width="14.88671875" style="275" bestFit="1" customWidth="1"/>
    <col min="5381" max="5381" width="4.44140625" style="275" bestFit="1" customWidth="1"/>
    <col min="5382" max="5382" width="4.44140625" style="275" customWidth="1"/>
    <col min="5383" max="5383" width="13.88671875" style="275" customWidth="1"/>
    <col min="5384" max="5384" width="4.109375" style="275" customWidth="1"/>
    <col min="5385" max="5385" width="24.109375" style="275" bestFit="1" customWidth="1"/>
    <col min="5386" max="5386" width="27.6640625" style="275" customWidth="1"/>
    <col min="5387" max="5387" width="8.88671875" style="275" customWidth="1"/>
    <col min="5388" max="5388" width="6.109375" style="275" customWidth="1"/>
    <col min="5389" max="5632" width="11.44140625" style="275"/>
    <col min="5633" max="5633" width="7.5546875" style="275" customWidth="1"/>
    <col min="5634" max="5634" width="8.109375" style="275" customWidth="1"/>
    <col min="5635" max="5635" width="17.33203125" style="275" bestFit="1" customWidth="1"/>
    <col min="5636" max="5636" width="14.88671875" style="275" bestFit="1" customWidth="1"/>
    <col min="5637" max="5637" width="4.44140625" style="275" bestFit="1" customWidth="1"/>
    <col min="5638" max="5638" width="4.44140625" style="275" customWidth="1"/>
    <col min="5639" max="5639" width="13.88671875" style="275" customWidth="1"/>
    <col min="5640" max="5640" width="4.109375" style="275" customWidth="1"/>
    <col min="5641" max="5641" width="24.109375" style="275" bestFit="1" customWidth="1"/>
    <col min="5642" max="5642" width="27.6640625" style="275" customWidth="1"/>
    <col min="5643" max="5643" width="8.88671875" style="275" customWidth="1"/>
    <col min="5644" max="5644" width="6.109375" style="275" customWidth="1"/>
    <col min="5645" max="5888" width="11.44140625" style="275"/>
    <col min="5889" max="5889" width="7.5546875" style="275" customWidth="1"/>
    <col min="5890" max="5890" width="8.109375" style="275" customWidth="1"/>
    <col min="5891" max="5891" width="17.33203125" style="275" bestFit="1" customWidth="1"/>
    <col min="5892" max="5892" width="14.88671875" style="275" bestFit="1" customWidth="1"/>
    <col min="5893" max="5893" width="4.44140625" style="275" bestFit="1" customWidth="1"/>
    <col min="5894" max="5894" width="4.44140625" style="275" customWidth="1"/>
    <col min="5895" max="5895" width="13.88671875" style="275" customWidth="1"/>
    <col min="5896" max="5896" width="4.109375" style="275" customWidth="1"/>
    <col min="5897" max="5897" width="24.109375" style="275" bestFit="1" customWidth="1"/>
    <col min="5898" max="5898" width="27.6640625" style="275" customWidth="1"/>
    <col min="5899" max="5899" width="8.88671875" style="275" customWidth="1"/>
    <col min="5900" max="5900" width="6.109375" style="275" customWidth="1"/>
    <col min="5901" max="6144" width="11.44140625" style="275"/>
    <col min="6145" max="6145" width="7.5546875" style="275" customWidth="1"/>
    <col min="6146" max="6146" width="8.109375" style="275" customWidth="1"/>
    <col min="6147" max="6147" width="17.33203125" style="275" bestFit="1" customWidth="1"/>
    <col min="6148" max="6148" width="14.88671875" style="275" bestFit="1" customWidth="1"/>
    <col min="6149" max="6149" width="4.44140625" style="275" bestFit="1" customWidth="1"/>
    <col min="6150" max="6150" width="4.44140625" style="275" customWidth="1"/>
    <col min="6151" max="6151" width="13.88671875" style="275" customWidth="1"/>
    <col min="6152" max="6152" width="4.109375" style="275" customWidth="1"/>
    <col min="6153" max="6153" width="24.109375" style="275" bestFit="1" customWidth="1"/>
    <col min="6154" max="6154" width="27.6640625" style="275" customWidth="1"/>
    <col min="6155" max="6155" width="8.88671875" style="275" customWidth="1"/>
    <col min="6156" max="6156" width="6.109375" style="275" customWidth="1"/>
    <col min="6157" max="6400" width="11.44140625" style="275"/>
    <col min="6401" max="6401" width="7.5546875" style="275" customWidth="1"/>
    <col min="6402" max="6402" width="8.109375" style="275" customWidth="1"/>
    <col min="6403" max="6403" width="17.33203125" style="275" bestFit="1" customWidth="1"/>
    <col min="6404" max="6404" width="14.88671875" style="275" bestFit="1" customWidth="1"/>
    <col min="6405" max="6405" width="4.44140625" style="275" bestFit="1" customWidth="1"/>
    <col min="6406" max="6406" width="4.44140625" style="275" customWidth="1"/>
    <col min="6407" max="6407" width="13.88671875" style="275" customWidth="1"/>
    <col min="6408" max="6408" width="4.109375" style="275" customWidth="1"/>
    <col min="6409" max="6409" width="24.109375" style="275" bestFit="1" customWidth="1"/>
    <col min="6410" max="6410" width="27.6640625" style="275" customWidth="1"/>
    <col min="6411" max="6411" width="8.88671875" style="275" customWidth="1"/>
    <col min="6412" max="6412" width="6.109375" style="275" customWidth="1"/>
    <col min="6413" max="6656" width="11.44140625" style="275"/>
    <col min="6657" max="6657" width="7.5546875" style="275" customWidth="1"/>
    <col min="6658" max="6658" width="8.109375" style="275" customWidth="1"/>
    <col min="6659" max="6659" width="17.33203125" style="275" bestFit="1" customWidth="1"/>
    <col min="6660" max="6660" width="14.88671875" style="275" bestFit="1" customWidth="1"/>
    <col min="6661" max="6661" width="4.44140625" style="275" bestFit="1" customWidth="1"/>
    <col min="6662" max="6662" width="4.44140625" style="275" customWidth="1"/>
    <col min="6663" max="6663" width="13.88671875" style="275" customWidth="1"/>
    <col min="6664" max="6664" width="4.109375" style="275" customWidth="1"/>
    <col min="6665" max="6665" width="24.109375" style="275" bestFit="1" customWidth="1"/>
    <col min="6666" max="6666" width="27.6640625" style="275" customWidth="1"/>
    <col min="6667" max="6667" width="8.88671875" style="275" customWidth="1"/>
    <col min="6668" max="6668" width="6.109375" style="275" customWidth="1"/>
    <col min="6669" max="6912" width="11.44140625" style="275"/>
    <col min="6913" max="6913" width="7.5546875" style="275" customWidth="1"/>
    <col min="6914" max="6914" width="8.109375" style="275" customWidth="1"/>
    <col min="6915" max="6915" width="17.33203125" style="275" bestFit="1" customWidth="1"/>
    <col min="6916" max="6916" width="14.88671875" style="275" bestFit="1" customWidth="1"/>
    <col min="6917" max="6917" width="4.44140625" style="275" bestFit="1" customWidth="1"/>
    <col min="6918" max="6918" width="4.44140625" style="275" customWidth="1"/>
    <col min="6919" max="6919" width="13.88671875" style="275" customWidth="1"/>
    <col min="6920" max="6920" width="4.109375" style="275" customWidth="1"/>
    <col min="6921" max="6921" width="24.109375" style="275" bestFit="1" customWidth="1"/>
    <col min="6922" max="6922" width="27.6640625" style="275" customWidth="1"/>
    <col min="6923" max="6923" width="8.88671875" style="275" customWidth="1"/>
    <col min="6924" max="6924" width="6.109375" style="275" customWidth="1"/>
    <col min="6925" max="7168" width="11.44140625" style="275"/>
    <col min="7169" max="7169" width="7.5546875" style="275" customWidth="1"/>
    <col min="7170" max="7170" width="8.109375" style="275" customWidth="1"/>
    <col min="7171" max="7171" width="17.33203125" style="275" bestFit="1" customWidth="1"/>
    <col min="7172" max="7172" width="14.88671875" style="275" bestFit="1" customWidth="1"/>
    <col min="7173" max="7173" width="4.44140625" style="275" bestFit="1" customWidth="1"/>
    <col min="7174" max="7174" width="4.44140625" style="275" customWidth="1"/>
    <col min="7175" max="7175" width="13.88671875" style="275" customWidth="1"/>
    <col min="7176" max="7176" width="4.109375" style="275" customWidth="1"/>
    <col min="7177" max="7177" width="24.109375" style="275" bestFit="1" customWidth="1"/>
    <col min="7178" max="7178" width="27.6640625" style="275" customWidth="1"/>
    <col min="7179" max="7179" width="8.88671875" style="275" customWidth="1"/>
    <col min="7180" max="7180" width="6.109375" style="275" customWidth="1"/>
    <col min="7181" max="7424" width="11.44140625" style="275"/>
    <col min="7425" max="7425" width="7.5546875" style="275" customWidth="1"/>
    <col min="7426" max="7426" width="8.109375" style="275" customWidth="1"/>
    <col min="7427" max="7427" width="17.33203125" style="275" bestFit="1" customWidth="1"/>
    <col min="7428" max="7428" width="14.88671875" style="275" bestFit="1" customWidth="1"/>
    <col min="7429" max="7429" width="4.44140625" style="275" bestFit="1" customWidth="1"/>
    <col min="7430" max="7430" width="4.44140625" style="275" customWidth="1"/>
    <col min="7431" max="7431" width="13.88671875" style="275" customWidth="1"/>
    <col min="7432" max="7432" width="4.109375" style="275" customWidth="1"/>
    <col min="7433" max="7433" width="24.109375" style="275" bestFit="1" customWidth="1"/>
    <col min="7434" max="7434" width="27.6640625" style="275" customWidth="1"/>
    <col min="7435" max="7435" width="8.88671875" style="275" customWidth="1"/>
    <col min="7436" max="7436" width="6.109375" style="275" customWidth="1"/>
    <col min="7437" max="7680" width="11.44140625" style="275"/>
    <col min="7681" max="7681" width="7.5546875" style="275" customWidth="1"/>
    <col min="7682" max="7682" width="8.109375" style="275" customWidth="1"/>
    <col min="7683" max="7683" width="17.33203125" style="275" bestFit="1" customWidth="1"/>
    <col min="7684" max="7684" width="14.88671875" style="275" bestFit="1" customWidth="1"/>
    <col min="7685" max="7685" width="4.44140625" style="275" bestFit="1" customWidth="1"/>
    <col min="7686" max="7686" width="4.44140625" style="275" customWidth="1"/>
    <col min="7687" max="7687" width="13.88671875" style="275" customWidth="1"/>
    <col min="7688" max="7688" width="4.109375" style="275" customWidth="1"/>
    <col min="7689" max="7689" width="24.109375" style="275" bestFit="1" customWidth="1"/>
    <col min="7690" max="7690" width="27.6640625" style="275" customWidth="1"/>
    <col min="7691" max="7691" width="8.88671875" style="275" customWidth="1"/>
    <col min="7692" max="7692" width="6.109375" style="275" customWidth="1"/>
    <col min="7693" max="7936" width="11.44140625" style="275"/>
    <col min="7937" max="7937" width="7.5546875" style="275" customWidth="1"/>
    <col min="7938" max="7938" width="8.109375" style="275" customWidth="1"/>
    <col min="7939" max="7939" width="17.33203125" style="275" bestFit="1" customWidth="1"/>
    <col min="7940" max="7940" width="14.88671875" style="275" bestFit="1" customWidth="1"/>
    <col min="7941" max="7941" width="4.44140625" style="275" bestFit="1" customWidth="1"/>
    <col min="7942" max="7942" width="4.44140625" style="275" customWidth="1"/>
    <col min="7943" max="7943" width="13.88671875" style="275" customWidth="1"/>
    <col min="7944" max="7944" width="4.109375" style="275" customWidth="1"/>
    <col min="7945" max="7945" width="24.109375" style="275" bestFit="1" customWidth="1"/>
    <col min="7946" max="7946" width="27.6640625" style="275" customWidth="1"/>
    <col min="7947" max="7947" width="8.88671875" style="275" customWidth="1"/>
    <col min="7948" max="7948" width="6.109375" style="275" customWidth="1"/>
    <col min="7949" max="8192" width="11.44140625" style="275"/>
    <col min="8193" max="8193" width="7.5546875" style="275" customWidth="1"/>
    <col min="8194" max="8194" width="8.109375" style="275" customWidth="1"/>
    <col min="8195" max="8195" width="17.33203125" style="275" bestFit="1" customWidth="1"/>
    <col min="8196" max="8196" width="14.88671875" style="275" bestFit="1" customWidth="1"/>
    <col min="8197" max="8197" width="4.44140625" style="275" bestFit="1" customWidth="1"/>
    <col min="8198" max="8198" width="4.44140625" style="275" customWidth="1"/>
    <col min="8199" max="8199" width="13.88671875" style="275" customWidth="1"/>
    <col min="8200" max="8200" width="4.109375" style="275" customWidth="1"/>
    <col min="8201" max="8201" width="24.109375" style="275" bestFit="1" customWidth="1"/>
    <col min="8202" max="8202" width="27.6640625" style="275" customWidth="1"/>
    <col min="8203" max="8203" width="8.88671875" style="275" customWidth="1"/>
    <col min="8204" max="8204" width="6.109375" style="275" customWidth="1"/>
    <col min="8205" max="8448" width="11.44140625" style="275"/>
    <col min="8449" max="8449" width="7.5546875" style="275" customWidth="1"/>
    <col min="8450" max="8450" width="8.109375" style="275" customWidth="1"/>
    <col min="8451" max="8451" width="17.33203125" style="275" bestFit="1" customWidth="1"/>
    <col min="8452" max="8452" width="14.88671875" style="275" bestFit="1" customWidth="1"/>
    <col min="8453" max="8453" width="4.44140625" style="275" bestFit="1" customWidth="1"/>
    <col min="8454" max="8454" width="4.44140625" style="275" customWidth="1"/>
    <col min="8455" max="8455" width="13.88671875" style="275" customWidth="1"/>
    <col min="8456" max="8456" width="4.109375" style="275" customWidth="1"/>
    <col min="8457" max="8457" width="24.109375" style="275" bestFit="1" customWidth="1"/>
    <col min="8458" max="8458" width="27.6640625" style="275" customWidth="1"/>
    <col min="8459" max="8459" width="8.88671875" style="275" customWidth="1"/>
    <col min="8460" max="8460" width="6.109375" style="275" customWidth="1"/>
    <col min="8461" max="8704" width="11.44140625" style="275"/>
    <col min="8705" max="8705" width="7.5546875" style="275" customWidth="1"/>
    <col min="8706" max="8706" width="8.109375" style="275" customWidth="1"/>
    <col min="8707" max="8707" width="17.33203125" style="275" bestFit="1" customWidth="1"/>
    <col min="8708" max="8708" width="14.88671875" style="275" bestFit="1" customWidth="1"/>
    <col min="8709" max="8709" width="4.44140625" style="275" bestFit="1" customWidth="1"/>
    <col min="8710" max="8710" width="4.44140625" style="275" customWidth="1"/>
    <col min="8711" max="8711" width="13.88671875" style="275" customWidth="1"/>
    <col min="8712" max="8712" width="4.109375" style="275" customWidth="1"/>
    <col min="8713" max="8713" width="24.109375" style="275" bestFit="1" customWidth="1"/>
    <col min="8714" max="8714" width="27.6640625" style="275" customWidth="1"/>
    <col min="8715" max="8715" width="8.88671875" style="275" customWidth="1"/>
    <col min="8716" max="8716" width="6.109375" style="275" customWidth="1"/>
    <col min="8717" max="8960" width="11.44140625" style="275"/>
    <col min="8961" max="8961" width="7.5546875" style="275" customWidth="1"/>
    <col min="8962" max="8962" width="8.109375" style="275" customWidth="1"/>
    <col min="8963" max="8963" width="17.33203125" style="275" bestFit="1" customWidth="1"/>
    <col min="8964" max="8964" width="14.88671875" style="275" bestFit="1" customWidth="1"/>
    <col min="8965" max="8965" width="4.44140625" style="275" bestFit="1" customWidth="1"/>
    <col min="8966" max="8966" width="4.44140625" style="275" customWidth="1"/>
    <col min="8967" max="8967" width="13.88671875" style="275" customWidth="1"/>
    <col min="8968" max="8968" width="4.109375" style="275" customWidth="1"/>
    <col min="8969" max="8969" width="24.109375" style="275" bestFit="1" customWidth="1"/>
    <col min="8970" max="8970" width="27.6640625" style="275" customWidth="1"/>
    <col min="8971" max="8971" width="8.88671875" style="275" customWidth="1"/>
    <col min="8972" max="8972" width="6.109375" style="275" customWidth="1"/>
    <col min="8973" max="9216" width="11.44140625" style="275"/>
    <col min="9217" max="9217" width="7.5546875" style="275" customWidth="1"/>
    <col min="9218" max="9218" width="8.109375" style="275" customWidth="1"/>
    <col min="9219" max="9219" width="17.33203125" style="275" bestFit="1" customWidth="1"/>
    <col min="9220" max="9220" width="14.88671875" style="275" bestFit="1" customWidth="1"/>
    <col min="9221" max="9221" width="4.44140625" style="275" bestFit="1" customWidth="1"/>
    <col min="9222" max="9222" width="4.44140625" style="275" customWidth="1"/>
    <col min="9223" max="9223" width="13.88671875" style="275" customWidth="1"/>
    <col min="9224" max="9224" width="4.109375" style="275" customWidth="1"/>
    <col min="9225" max="9225" width="24.109375" style="275" bestFit="1" customWidth="1"/>
    <col min="9226" max="9226" width="27.6640625" style="275" customWidth="1"/>
    <col min="9227" max="9227" width="8.88671875" style="275" customWidth="1"/>
    <col min="9228" max="9228" width="6.109375" style="275" customWidth="1"/>
    <col min="9229" max="9472" width="11.44140625" style="275"/>
    <col min="9473" max="9473" width="7.5546875" style="275" customWidth="1"/>
    <col min="9474" max="9474" width="8.109375" style="275" customWidth="1"/>
    <col min="9475" max="9475" width="17.33203125" style="275" bestFit="1" customWidth="1"/>
    <col min="9476" max="9476" width="14.88671875" style="275" bestFit="1" customWidth="1"/>
    <col min="9477" max="9477" width="4.44140625" style="275" bestFit="1" customWidth="1"/>
    <col min="9478" max="9478" width="4.44140625" style="275" customWidth="1"/>
    <col min="9479" max="9479" width="13.88671875" style="275" customWidth="1"/>
    <col min="9480" max="9480" width="4.109375" style="275" customWidth="1"/>
    <col min="9481" max="9481" width="24.109375" style="275" bestFit="1" customWidth="1"/>
    <col min="9482" max="9482" width="27.6640625" style="275" customWidth="1"/>
    <col min="9483" max="9483" width="8.88671875" style="275" customWidth="1"/>
    <col min="9484" max="9484" width="6.109375" style="275" customWidth="1"/>
    <col min="9485" max="9728" width="11.44140625" style="275"/>
    <col min="9729" max="9729" width="7.5546875" style="275" customWidth="1"/>
    <col min="9730" max="9730" width="8.109375" style="275" customWidth="1"/>
    <col min="9731" max="9731" width="17.33203125" style="275" bestFit="1" customWidth="1"/>
    <col min="9732" max="9732" width="14.88671875" style="275" bestFit="1" customWidth="1"/>
    <col min="9733" max="9733" width="4.44140625" style="275" bestFit="1" customWidth="1"/>
    <col min="9734" max="9734" width="4.44140625" style="275" customWidth="1"/>
    <col min="9735" max="9735" width="13.88671875" style="275" customWidth="1"/>
    <col min="9736" max="9736" width="4.109375" style="275" customWidth="1"/>
    <col min="9737" max="9737" width="24.109375" style="275" bestFit="1" customWidth="1"/>
    <col min="9738" max="9738" width="27.6640625" style="275" customWidth="1"/>
    <col min="9739" max="9739" width="8.88671875" style="275" customWidth="1"/>
    <col min="9740" max="9740" width="6.109375" style="275" customWidth="1"/>
    <col min="9741" max="9984" width="11.44140625" style="275"/>
    <col min="9985" max="9985" width="7.5546875" style="275" customWidth="1"/>
    <col min="9986" max="9986" width="8.109375" style="275" customWidth="1"/>
    <col min="9987" max="9987" width="17.33203125" style="275" bestFit="1" customWidth="1"/>
    <col min="9988" max="9988" width="14.88671875" style="275" bestFit="1" customWidth="1"/>
    <col min="9989" max="9989" width="4.44140625" style="275" bestFit="1" customWidth="1"/>
    <col min="9990" max="9990" width="4.44140625" style="275" customWidth="1"/>
    <col min="9991" max="9991" width="13.88671875" style="275" customWidth="1"/>
    <col min="9992" max="9992" width="4.109375" style="275" customWidth="1"/>
    <col min="9993" max="9993" width="24.109375" style="275" bestFit="1" customWidth="1"/>
    <col min="9994" max="9994" width="27.6640625" style="275" customWidth="1"/>
    <col min="9995" max="9995" width="8.88671875" style="275" customWidth="1"/>
    <col min="9996" max="9996" width="6.109375" style="275" customWidth="1"/>
    <col min="9997" max="10240" width="11.44140625" style="275"/>
    <col min="10241" max="10241" width="7.5546875" style="275" customWidth="1"/>
    <col min="10242" max="10242" width="8.109375" style="275" customWidth="1"/>
    <col min="10243" max="10243" width="17.33203125" style="275" bestFit="1" customWidth="1"/>
    <col min="10244" max="10244" width="14.88671875" style="275" bestFit="1" customWidth="1"/>
    <col min="10245" max="10245" width="4.44140625" style="275" bestFit="1" customWidth="1"/>
    <col min="10246" max="10246" width="4.44140625" style="275" customWidth="1"/>
    <col min="10247" max="10247" width="13.88671875" style="275" customWidth="1"/>
    <col min="10248" max="10248" width="4.109375" style="275" customWidth="1"/>
    <col min="10249" max="10249" width="24.109375" style="275" bestFit="1" customWidth="1"/>
    <col min="10250" max="10250" width="27.6640625" style="275" customWidth="1"/>
    <col min="10251" max="10251" width="8.88671875" style="275" customWidth="1"/>
    <col min="10252" max="10252" width="6.109375" style="275" customWidth="1"/>
    <col min="10253" max="10496" width="11.44140625" style="275"/>
    <col min="10497" max="10497" width="7.5546875" style="275" customWidth="1"/>
    <col min="10498" max="10498" width="8.109375" style="275" customWidth="1"/>
    <col min="10499" max="10499" width="17.33203125" style="275" bestFit="1" customWidth="1"/>
    <col min="10500" max="10500" width="14.88671875" style="275" bestFit="1" customWidth="1"/>
    <col min="10501" max="10501" width="4.44140625" style="275" bestFit="1" customWidth="1"/>
    <col min="10502" max="10502" width="4.44140625" style="275" customWidth="1"/>
    <col min="10503" max="10503" width="13.88671875" style="275" customWidth="1"/>
    <col min="10504" max="10504" width="4.109375" style="275" customWidth="1"/>
    <col min="10505" max="10505" width="24.109375" style="275" bestFit="1" customWidth="1"/>
    <col min="10506" max="10506" width="27.6640625" style="275" customWidth="1"/>
    <col min="10507" max="10507" width="8.88671875" style="275" customWidth="1"/>
    <col min="10508" max="10508" width="6.109375" style="275" customWidth="1"/>
    <col min="10509" max="10752" width="11.44140625" style="275"/>
    <col min="10753" max="10753" width="7.5546875" style="275" customWidth="1"/>
    <col min="10754" max="10754" width="8.109375" style="275" customWidth="1"/>
    <col min="10755" max="10755" width="17.33203125" style="275" bestFit="1" customWidth="1"/>
    <col min="10756" max="10756" width="14.88671875" style="275" bestFit="1" customWidth="1"/>
    <col min="10757" max="10757" width="4.44140625" style="275" bestFit="1" customWidth="1"/>
    <col min="10758" max="10758" width="4.44140625" style="275" customWidth="1"/>
    <col min="10759" max="10759" width="13.88671875" style="275" customWidth="1"/>
    <col min="10760" max="10760" width="4.109375" style="275" customWidth="1"/>
    <col min="10761" max="10761" width="24.109375" style="275" bestFit="1" customWidth="1"/>
    <col min="10762" max="10762" width="27.6640625" style="275" customWidth="1"/>
    <col min="10763" max="10763" width="8.88671875" style="275" customWidth="1"/>
    <col min="10764" max="10764" width="6.109375" style="275" customWidth="1"/>
    <col min="10765" max="11008" width="11.44140625" style="275"/>
    <col min="11009" max="11009" width="7.5546875" style="275" customWidth="1"/>
    <col min="11010" max="11010" width="8.109375" style="275" customWidth="1"/>
    <col min="11011" max="11011" width="17.33203125" style="275" bestFit="1" customWidth="1"/>
    <col min="11012" max="11012" width="14.88671875" style="275" bestFit="1" customWidth="1"/>
    <col min="11013" max="11013" width="4.44140625" style="275" bestFit="1" customWidth="1"/>
    <col min="11014" max="11014" width="4.44140625" style="275" customWidth="1"/>
    <col min="11015" max="11015" width="13.88671875" style="275" customWidth="1"/>
    <col min="11016" max="11016" width="4.109375" style="275" customWidth="1"/>
    <col min="11017" max="11017" width="24.109375" style="275" bestFit="1" customWidth="1"/>
    <col min="11018" max="11018" width="27.6640625" style="275" customWidth="1"/>
    <col min="11019" max="11019" width="8.88671875" style="275" customWidth="1"/>
    <col min="11020" max="11020" width="6.109375" style="275" customWidth="1"/>
    <col min="11021" max="11264" width="11.44140625" style="275"/>
    <col min="11265" max="11265" width="7.5546875" style="275" customWidth="1"/>
    <col min="11266" max="11266" width="8.109375" style="275" customWidth="1"/>
    <col min="11267" max="11267" width="17.33203125" style="275" bestFit="1" customWidth="1"/>
    <col min="11268" max="11268" width="14.88671875" style="275" bestFit="1" customWidth="1"/>
    <col min="11269" max="11269" width="4.44140625" style="275" bestFit="1" customWidth="1"/>
    <col min="11270" max="11270" width="4.44140625" style="275" customWidth="1"/>
    <col min="11271" max="11271" width="13.88671875" style="275" customWidth="1"/>
    <col min="11272" max="11272" width="4.109375" style="275" customWidth="1"/>
    <col min="11273" max="11273" width="24.109375" style="275" bestFit="1" customWidth="1"/>
    <col min="11274" max="11274" width="27.6640625" style="275" customWidth="1"/>
    <col min="11275" max="11275" width="8.88671875" style="275" customWidth="1"/>
    <col min="11276" max="11276" width="6.109375" style="275" customWidth="1"/>
    <col min="11277" max="11520" width="11.44140625" style="275"/>
    <col min="11521" max="11521" width="7.5546875" style="275" customWidth="1"/>
    <col min="11522" max="11522" width="8.109375" style="275" customWidth="1"/>
    <col min="11523" max="11523" width="17.33203125" style="275" bestFit="1" customWidth="1"/>
    <col min="11524" max="11524" width="14.88671875" style="275" bestFit="1" customWidth="1"/>
    <col min="11525" max="11525" width="4.44140625" style="275" bestFit="1" customWidth="1"/>
    <col min="11526" max="11526" width="4.44140625" style="275" customWidth="1"/>
    <col min="11527" max="11527" width="13.88671875" style="275" customWidth="1"/>
    <col min="11528" max="11528" width="4.109375" style="275" customWidth="1"/>
    <col min="11529" max="11529" width="24.109375" style="275" bestFit="1" customWidth="1"/>
    <col min="11530" max="11530" width="27.6640625" style="275" customWidth="1"/>
    <col min="11531" max="11531" width="8.88671875" style="275" customWidth="1"/>
    <col min="11532" max="11532" width="6.109375" style="275" customWidth="1"/>
    <col min="11533" max="11776" width="11.44140625" style="275"/>
    <col min="11777" max="11777" width="7.5546875" style="275" customWidth="1"/>
    <col min="11778" max="11778" width="8.109375" style="275" customWidth="1"/>
    <col min="11779" max="11779" width="17.33203125" style="275" bestFit="1" customWidth="1"/>
    <col min="11780" max="11780" width="14.88671875" style="275" bestFit="1" customWidth="1"/>
    <col min="11781" max="11781" width="4.44140625" style="275" bestFit="1" customWidth="1"/>
    <col min="11782" max="11782" width="4.44140625" style="275" customWidth="1"/>
    <col min="11783" max="11783" width="13.88671875" style="275" customWidth="1"/>
    <col min="11784" max="11784" width="4.109375" style="275" customWidth="1"/>
    <col min="11785" max="11785" width="24.109375" style="275" bestFit="1" customWidth="1"/>
    <col min="11786" max="11786" width="27.6640625" style="275" customWidth="1"/>
    <col min="11787" max="11787" width="8.88671875" style="275" customWidth="1"/>
    <col min="11788" max="11788" width="6.109375" style="275" customWidth="1"/>
    <col min="11789" max="12032" width="11.44140625" style="275"/>
    <col min="12033" max="12033" width="7.5546875" style="275" customWidth="1"/>
    <col min="12034" max="12034" width="8.109375" style="275" customWidth="1"/>
    <col min="12035" max="12035" width="17.33203125" style="275" bestFit="1" customWidth="1"/>
    <col min="12036" max="12036" width="14.88671875" style="275" bestFit="1" customWidth="1"/>
    <col min="12037" max="12037" width="4.44140625" style="275" bestFit="1" customWidth="1"/>
    <col min="12038" max="12038" width="4.44140625" style="275" customWidth="1"/>
    <col min="12039" max="12039" width="13.88671875" style="275" customWidth="1"/>
    <col min="12040" max="12040" width="4.109375" style="275" customWidth="1"/>
    <col min="12041" max="12041" width="24.109375" style="275" bestFit="1" customWidth="1"/>
    <col min="12042" max="12042" width="27.6640625" style="275" customWidth="1"/>
    <col min="12043" max="12043" width="8.88671875" style="275" customWidth="1"/>
    <col min="12044" max="12044" width="6.109375" style="275" customWidth="1"/>
    <col min="12045" max="12288" width="11.44140625" style="275"/>
    <col min="12289" max="12289" width="7.5546875" style="275" customWidth="1"/>
    <col min="12290" max="12290" width="8.109375" style="275" customWidth="1"/>
    <col min="12291" max="12291" width="17.33203125" style="275" bestFit="1" customWidth="1"/>
    <col min="12292" max="12292" width="14.88671875" style="275" bestFit="1" customWidth="1"/>
    <col min="12293" max="12293" width="4.44140625" style="275" bestFit="1" customWidth="1"/>
    <col min="12294" max="12294" width="4.44140625" style="275" customWidth="1"/>
    <col min="12295" max="12295" width="13.88671875" style="275" customWidth="1"/>
    <col min="12296" max="12296" width="4.109375" style="275" customWidth="1"/>
    <col min="12297" max="12297" width="24.109375" style="275" bestFit="1" customWidth="1"/>
    <col min="12298" max="12298" width="27.6640625" style="275" customWidth="1"/>
    <col min="12299" max="12299" width="8.88671875" style="275" customWidth="1"/>
    <col min="12300" max="12300" width="6.109375" style="275" customWidth="1"/>
    <col min="12301" max="12544" width="11.44140625" style="275"/>
    <col min="12545" max="12545" width="7.5546875" style="275" customWidth="1"/>
    <col min="12546" max="12546" width="8.109375" style="275" customWidth="1"/>
    <col min="12547" max="12547" width="17.33203125" style="275" bestFit="1" customWidth="1"/>
    <col min="12548" max="12548" width="14.88671875" style="275" bestFit="1" customWidth="1"/>
    <col min="12549" max="12549" width="4.44140625" style="275" bestFit="1" customWidth="1"/>
    <col min="12550" max="12550" width="4.44140625" style="275" customWidth="1"/>
    <col min="12551" max="12551" width="13.88671875" style="275" customWidth="1"/>
    <col min="12552" max="12552" width="4.109375" style="275" customWidth="1"/>
    <col min="12553" max="12553" width="24.109375" style="275" bestFit="1" customWidth="1"/>
    <col min="12554" max="12554" width="27.6640625" style="275" customWidth="1"/>
    <col min="12555" max="12555" width="8.88671875" style="275" customWidth="1"/>
    <col min="12556" max="12556" width="6.109375" style="275" customWidth="1"/>
    <col min="12557" max="12800" width="11.44140625" style="275"/>
    <col min="12801" max="12801" width="7.5546875" style="275" customWidth="1"/>
    <col min="12802" max="12802" width="8.109375" style="275" customWidth="1"/>
    <col min="12803" max="12803" width="17.33203125" style="275" bestFit="1" customWidth="1"/>
    <col min="12804" max="12804" width="14.88671875" style="275" bestFit="1" customWidth="1"/>
    <col min="12805" max="12805" width="4.44140625" style="275" bestFit="1" customWidth="1"/>
    <col min="12806" max="12806" width="4.44140625" style="275" customWidth="1"/>
    <col min="12807" max="12807" width="13.88671875" style="275" customWidth="1"/>
    <col min="12808" max="12808" width="4.109375" style="275" customWidth="1"/>
    <col min="12809" max="12809" width="24.109375" style="275" bestFit="1" customWidth="1"/>
    <col min="12810" max="12810" width="27.6640625" style="275" customWidth="1"/>
    <col min="12811" max="12811" width="8.88671875" style="275" customWidth="1"/>
    <col min="12812" max="12812" width="6.109375" style="275" customWidth="1"/>
    <col min="12813" max="13056" width="11.44140625" style="275"/>
    <col min="13057" max="13057" width="7.5546875" style="275" customWidth="1"/>
    <col min="13058" max="13058" width="8.109375" style="275" customWidth="1"/>
    <col min="13059" max="13059" width="17.33203125" style="275" bestFit="1" customWidth="1"/>
    <col min="13060" max="13060" width="14.88671875" style="275" bestFit="1" customWidth="1"/>
    <col min="13061" max="13061" width="4.44140625" style="275" bestFit="1" customWidth="1"/>
    <col min="13062" max="13062" width="4.44140625" style="275" customWidth="1"/>
    <col min="13063" max="13063" width="13.88671875" style="275" customWidth="1"/>
    <col min="13064" max="13064" width="4.109375" style="275" customWidth="1"/>
    <col min="13065" max="13065" width="24.109375" style="275" bestFit="1" customWidth="1"/>
    <col min="13066" max="13066" width="27.6640625" style="275" customWidth="1"/>
    <col min="13067" max="13067" width="8.88671875" style="275" customWidth="1"/>
    <col min="13068" max="13068" width="6.109375" style="275" customWidth="1"/>
    <col min="13069" max="13312" width="11.44140625" style="275"/>
    <col min="13313" max="13313" width="7.5546875" style="275" customWidth="1"/>
    <col min="13314" max="13314" width="8.109375" style="275" customWidth="1"/>
    <col min="13315" max="13315" width="17.33203125" style="275" bestFit="1" customWidth="1"/>
    <col min="13316" max="13316" width="14.88671875" style="275" bestFit="1" customWidth="1"/>
    <col min="13317" max="13317" width="4.44140625" style="275" bestFit="1" customWidth="1"/>
    <col min="13318" max="13318" width="4.44140625" style="275" customWidth="1"/>
    <col min="13319" max="13319" width="13.88671875" style="275" customWidth="1"/>
    <col min="13320" max="13320" width="4.109375" style="275" customWidth="1"/>
    <col min="13321" max="13321" width="24.109375" style="275" bestFit="1" customWidth="1"/>
    <col min="13322" max="13322" width="27.6640625" style="275" customWidth="1"/>
    <col min="13323" max="13323" width="8.88671875" style="275" customWidth="1"/>
    <col min="13324" max="13324" width="6.109375" style="275" customWidth="1"/>
    <col min="13325" max="13568" width="11.44140625" style="275"/>
    <col min="13569" max="13569" width="7.5546875" style="275" customWidth="1"/>
    <col min="13570" max="13570" width="8.109375" style="275" customWidth="1"/>
    <col min="13571" max="13571" width="17.33203125" style="275" bestFit="1" customWidth="1"/>
    <col min="13572" max="13572" width="14.88671875" style="275" bestFit="1" customWidth="1"/>
    <col min="13573" max="13573" width="4.44140625" style="275" bestFit="1" customWidth="1"/>
    <col min="13574" max="13574" width="4.44140625" style="275" customWidth="1"/>
    <col min="13575" max="13575" width="13.88671875" style="275" customWidth="1"/>
    <col min="13576" max="13576" width="4.109375" style="275" customWidth="1"/>
    <col min="13577" max="13577" width="24.109375" style="275" bestFit="1" customWidth="1"/>
    <col min="13578" max="13578" width="27.6640625" style="275" customWidth="1"/>
    <col min="13579" max="13579" width="8.88671875" style="275" customWidth="1"/>
    <col min="13580" max="13580" width="6.109375" style="275" customWidth="1"/>
    <col min="13581" max="13824" width="11.44140625" style="275"/>
    <col min="13825" max="13825" width="7.5546875" style="275" customWidth="1"/>
    <col min="13826" max="13826" width="8.109375" style="275" customWidth="1"/>
    <col min="13827" max="13827" width="17.33203125" style="275" bestFit="1" customWidth="1"/>
    <col min="13828" max="13828" width="14.88671875" style="275" bestFit="1" customWidth="1"/>
    <col min="13829" max="13829" width="4.44140625" style="275" bestFit="1" customWidth="1"/>
    <col min="13830" max="13830" width="4.44140625" style="275" customWidth="1"/>
    <col min="13831" max="13831" width="13.88671875" style="275" customWidth="1"/>
    <col min="13832" max="13832" width="4.109375" style="275" customWidth="1"/>
    <col min="13833" max="13833" width="24.109375" style="275" bestFit="1" customWidth="1"/>
    <col min="13834" max="13834" width="27.6640625" style="275" customWidth="1"/>
    <col min="13835" max="13835" width="8.88671875" style="275" customWidth="1"/>
    <col min="13836" max="13836" width="6.109375" style="275" customWidth="1"/>
    <col min="13837" max="14080" width="11.44140625" style="275"/>
    <col min="14081" max="14081" width="7.5546875" style="275" customWidth="1"/>
    <col min="14082" max="14082" width="8.109375" style="275" customWidth="1"/>
    <col min="14083" max="14083" width="17.33203125" style="275" bestFit="1" customWidth="1"/>
    <col min="14084" max="14084" width="14.88671875" style="275" bestFit="1" customWidth="1"/>
    <col min="14085" max="14085" width="4.44140625" style="275" bestFit="1" customWidth="1"/>
    <col min="14086" max="14086" width="4.44140625" style="275" customWidth="1"/>
    <col min="14087" max="14087" width="13.88671875" style="275" customWidth="1"/>
    <col min="14088" max="14088" width="4.109375" style="275" customWidth="1"/>
    <col min="14089" max="14089" width="24.109375" style="275" bestFit="1" customWidth="1"/>
    <col min="14090" max="14090" width="27.6640625" style="275" customWidth="1"/>
    <col min="14091" max="14091" width="8.88671875" style="275" customWidth="1"/>
    <col min="14092" max="14092" width="6.109375" style="275" customWidth="1"/>
    <col min="14093" max="14336" width="11.44140625" style="275"/>
    <col min="14337" max="14337" width="7.5546875" style="275" customWidth="1"/>
    <col min="14338" max="14338" width="8.109375" style="275" customWidth="1"/>
    <col min="14339" max="14339" width="17.33203125" style="275" bestFit="1" customWidth="1"/>
    <col min="14340" max="14340" width="14.88671875" style="275" bestFit="1" customWidth="1"/>
    <col min="14341" max="14341" width="4.44140625" style="275" bestFit="1" customWidth="1"/>
    <col min="14342" max="14342" width="4.44140625" style="275" customWidth="1"/>
    <col min="14343" max="14343" width="13.88671875" style="275" customWidth="1"/>
    <col min="14344" max="14344" width="4.109375" style="275" customWidth="1"/>
    <col min="14345" max="14345" width="24.109375" style="275" bestFit="1" customWidth="1"/>
    <col min="14346" max="14346" width="27.6640625" style="275" customWidth="1"/>
    <col min="14347" max="14347" width="8.88671875" style="275" customWidth="1"/>
    <col min="14348" max="14348" width="6.109375" style="275" customWidth="1"/>
    <col min="14349" max="14592" width="11.44140625" style="275"/>
    <col min="14593" max="14593" width="7.5546875" style="275" customWidth="1"/>
    <col min="14594" max="14594" width="8.109375" style="275" customWidth="1"/>
    <col min="14595" max="14595" width="17.33203125" style="275" bestFit="1" customWidth="1"/>
    <col min="14596" max="14596" width="14.88671875" style="275" bestFit="1" customWidth="1"/>
    <col min="14597" max="14597" width="4.44140625" style="275" bestFit="1" customWidth="1"/>
    <col min="14598" max="14598" width="4.44140625" style="275" customWidth="1"/>
    <col min="14599" max="14599" width="13.88671875" style="275" customWidth="1"/>
    <col min="14600" max="14600" width="4.109375" style="275" customWidth="1"/>
    <col min="14601" max="14601" width="24.109375" style="275" bestFit="1" customWidth="1"/>
    <col min="14602" max="14602" width="27.6640625" style="275" customWidth="1"/>
    <col min="14603" max="14603" width="8.88671875" style="275" customWidth="1"/>
    <col min="14604" max="14604" width="6.109375" style="275" customWidth="1"/>
    <col min="14605" max="14848" width="11.44140625" style="275"/>
    <col min="14849" max="14849" width="7.5546875" style="275" customWidth="1"/>
    <col min="14850" max="14850" width="8.109375" style="275" customWidth="1"/>
    <col min="14851" max="14851" width="17.33203125" style="275" bestFit="1" customWidth="1"/>
    <col min="14852" max="14852" width="14.88671875" style="275" bestFit="1" customWidth="1"/>
    <col min="14853" max="14853" width="4.44140625" style="275" bestFit="1" customWidth="1"/>
    <col min="14854" max="14854" width="4.44140625" style="275" customWidth="1"/>
    <col min="14855" max="14855" width="13.88671875" style="275" customWidth="1"/>
    <col min="14856" max="14856" width="4.109375" style="275" customWidth="1"/>
    <col min="14857" max="14857" width="24.109375" style="275" bestFit="1" customWidth="1"/>
    <col min="14858" max="14858" width="27.6640625" style="275" customWidth="1"/>
    <col min="14859" max="14859" width="8.88671875" style="275" customWidth="1"/>
    <col min="14860" max="14860" width="6.109375" style="275" customWidth="1"/>
    <col min="14861" max="15104" width="11.44140625" style="275"/>
    <col min="15105" max="15105" width="7.5546875" style="275" customWidth="1"/>
    <col min="15106" max="15106" width="8.109375" style="275" customWidth="1"/>
    <col min="15107" max="15107" width="17.33203125" style="275" bestFit="1" customWidth="1"/>
    <col min="15108" max="15108" width="14.88671875" style="275" bestFit="1" customWidth="1"/>
    <col min="15109" max="15109" width="4.44140625" style="275" bestFit="1" customWidth="1"/>
    <col min="15110" max="15110" width="4.44140625" style="275" customWidth="1"/>
    <col min="15111" max="15111" width="13.88671875" style="275" customWidth="1"/>
    <col min="15112" max="15112" width="4.109375" style="275" customWidth="1"/>
    <col min="15113" max="15113" width="24.109375" style="275" bestFit="1" customWidth="1"/>
    <col min="15114" max="15114" width="27.6640625" style="275" customWidth="1"/>
    <col min="15115" max="15115" width="8.88671875" style="275" customWidth="1"/>
    <col min="15116" max="15116" width="6.109375" style="275" customWidth="1"/>
    <col min="15117" max="15360" width="11.44140625" style="275"/>
    <col min="15361" max="15361" width="7.5546875" style="275" customWidth="1"/>
    <col min="15362" max="15362" width="8.109375" style="275" customWidth="1"/>
    <col min="15363" max="15363" width="17.33203125" style="275" bestFit="1" customWidth="1"/>
    <col min="15364" max="15364" width="14.88671875" style="275" bestFit="1" customWidth="1"/>
    <col min="15365" max="15365" width="4.44140625" style="275" bestFit="1" customWidth="1"/>
    <col min="15366" max="15366" width="4.44140625" style="275" customWidth="1"/>
    <col min="15367" max="15367" width="13.88671875" style="275" customWidth="1"/>
    <col min="15368" max="15368" width="4.109375" style="275" customWidth="1"/>
    <col min="15369" max="15369" width="24.109375" style="275" bestFit="1" customWidth="1"/>
    <col min="15370" max="15370" width="27.6640625" style="275" customWidth="1"/>
    <col min="15371" max="15371" width="8.88671875" style="275" customWidth="1"/>
    <col min="15372" max="15372" width="6.109375" style="275" customWidth="1"/>
    <col min="15373" max="15616" width="11.44140625" style="275"/>
    <col min="15617" max="15617" width="7.5546875" style="275" customWidth="1"/>
    <col min="15618" max="15618" width="8.109375" style="275" customWidth="1"/>
    <col min="15619" max="15619" width="17.33203125" style="275" bestFit="1" customWidth="1"/>
    <col min="15620" max="15620" width="14.88671875" style="275" bestFit="1" customWidth="1"/>
    <col min="15621" max="15621" width="4.44140625" style="275" bestFit="1" customWidth="1"/>
    <col min="15622" max="15622" width="4.44140625" style="275" customWidth="1"/>
    <col min="15623" max="15623" width="13.88671875" style="275" customWidth="1"/>
    <col min="15624" max="15624" width="4.109375" style="275" customWidth="1"/>
    <col min="15625" max="15625" width="24.109375" style="275" bestFit="1" customWidth="1"/>
    <col min="15626" max="15626" width="27.6640625" style="275" customWidth="1"/>
    <col min="15627" max="15627" width="8.88671875" style="275" customWidth="1"/>
    <col min="15628" max="15628" width="6.109375" style="275" customWidth="1"/>
    <col min="15629" max="15872" width="11.44140625" style="275"/>
    <col min="15873" max="15873" width="7.5546875" style="275" customWidth="1"/>
    <col min="15874" max="15874" width="8.109375" style="275" customWidth="1"/>
    <col min="15875" max="15875" width="17.33203125" style="275" bestFit="1" customWidth="1"/>
    <col min="15876" max="15876" width="14.88671875" style="275" bestFit="1" customWidth="1"/>
    <col min="15877" max="15877" width="4.44140625" style="275" bestFit="1" customWidth="1"/>
    <col min="15878" max="15878" width="4.44140625" style="275" customWidth="1"/>
    <col min="15879" max="15879" width="13.88671875" style="275" customWidth="1"/>
    <col min="15880" max="15880" width="4.109375" style="275" customWidth="1"/>
    <col min="15881" max="15881" width="24.109375" style="275" bestFit="1" customWidth="1"/>
    <col min="15882" max="15882" width="27.6640625" style="275" customWidth="1"/>
    <col min="15883" max="15883" width="8.88671875" style="275" customWidth="1"/>
    <col min="15884" max="15884" width="6.109375" style="275" customWidth="1"/>
    <col min="15885" max="16128" width="11.44140625" style="275"/>
    <col min="16129" max="16129" width="7.5546875" style="275" customWidth="1"/>
    <col min="16130" max="16130" width="8.109375" style="275" customWidth="1"/>
    <col min="16131" max="16131" width="17.33203125" style="275" bestFit="1" customWidth="1"/>
    <col min="16132" max="16132" width="14.88671875" style="275" bestFit="1" customWidth="1"/>
    <col min="16133" max="16133" width="4.44140625" style="275" bestFit="1" customWidth="1"/>
    <col min="16134" max="16134" width="4.44140625" style="275" customWidth="1"/>
    <col min="16135" max="16135" width="13.88671875" style="275" customWidth="1"/>
    <col min="16136" max="16136" width="4.109375" style="275" customWidth="1"/>
    <col min="16137" max="16137" width="24.109375" style="275" bestFit="1" customWidth="1"/>
    <col min="16138" max="16138" width="27.6640625" style="275" customWidth="1"/>
    <col min="16139" max="16139" width="8.88671875" style="275" customWidth="1"/>
    <col min="16140" max="16140" width="6.109375" style="275" customWidth="1"/>
    <col min="16141" max="16384" width="11.44140625" style="275"/>
  </cols>
  <sheetData>
    <row r="1" spans="1:17" s="270" customFormat="1" ht="22.5" customHeight="1" x14ac:dyDescent="0.3">
      <c r="A1" s="231" t="s">
        <v>2443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71" customFormat="1" ht="21" customHeight="1" x14ac:dyDescent="0.3">
      <c r="A2" s="237" t="s">
        <v>2444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71" customFormat="1" ht="21" customHeight="1" x14ac:dyDescent="0.3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40.799999999999997" x14ac:dyDescent="0.3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2367</v>
      </c>
      <c r="L4" s="272"/>
      <c r="M4" s="273"/>
      <c r="N4" s="274"/>
      <c r="Q4" s="276"/>
    </row>
    <row r="5" spans="1:17" ht="12.75" customHeight="1" x14ac:dyDescent="0.25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7" t="s">
        <v>44</v>
      </c>
      <c r="H5" s="278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25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2368</v>
      </c>
      <c r="F6" s="244" t="s">
        <v>43</v>
      </c>
      <c r="G6" s="277" t="s">
        <v>44</v>
      </c>
      <c r="H6" s="278" t="s">
        <v>180</v>
      </c>
      <c r="I6" s="249" t="s">
        <v>46</v>
      </c>
      <c r="J6" s="249" t="s">
        <v>47</v>
      </c>
      <c r="K6" s="247" t="s">
        <v>48</v>
      </c>
      <c r="M6" s="279" t="s">
        <v>2445</v>
      </c>
      <c r="N6" s="279"/>
    </row>
    <row r="7" spans="1:17" ht="12.75" customHeight="1" x14ac:dyDescent="0.25">
      <c r="A7" s="241">
        <v>3175</v>
      </c>
      <c r="B7" s="242" t="s">
        <v>2446</v>
      </c>
      <c r="C7" s="242" t="s">
        <v>2447</v>
      </c>
      <c r="D7" s="242" t="s">
        <v>117</v>
      </c>
      <c r="E7" s="248"/>
      <c r="F7" s="244" t="s">
        <v>43</v>
      </c>
      <c r="G7" s="277" t="s">
        <v>67</v>
      </c>
      <c r="H7" s="278"/>
      <c r="I7" s="243" t="s">
        <v>46</v>
      </c>
      <c r="J7" s="243" t="s">
        <v>47</v>
      </c>
      <c r="K7" s="247" t="s">
        <v>48</v>
      </c>
    </row>
    <row r="8" spans="1:17" ht="12.75" customHeight="1" x14ac:dyDescent="0.25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7" t="s">
        <v>50</v>
      </c>
      <c r="H8" s="278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25">
      <c r="A9" s="241">
        <v>38591</v>
      </c>
      <c r="B9" s="242" t="s">
        <v>2321</v>
      </c>
      <c r="C9" s="243" t="s">
        <v>60</v>
      </c>
      <c r="D9" s="243" t="s">
        <v>61</v>
      </c>
      <c r="E9" s="243"/>
      <c r="F9" s="244" t="s">
        <v>43</v>
      </c>
      <c r="G9" s="277" t="s">
        <v>44</v>
      </c>
      <c r="H9" s="278"/>
      <c r="I9" s="243" t="s">
        <v>46</v>
      </c>
      <c r="J9" s="243" t="s">
        <v>47</v>
      </c>
      <c r="K9" s="247" t="s">
        <v>48</v>
      </c>
    </row>
    <row r="10" spans="1:17" ht="12.75" customHeight="1" x14ac:dyDescent="0.25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7" t="s">
        <v>44</v>
      </c>
      <c r="H10" s="278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25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7" t="s">
        <v>58</v>
      </c>
      <c r="H11" s="278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25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7" t="s">
        <v>228</v>
      </c>
      <c r="H12" s="278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25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7" t="s">
        <v>44</v>
      </c>
      <c r="H13" s="278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25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7" t="s">
        <v>58</v>
      </c>
      <c r="H14" s="278" t="s">
        <v>45</v>
      </c>
      <c r="I14" s="243" t="s">
        <v>46</v>
      </c>
      <c r="J14" s="243" t="s">
        <v>47</v>
      </c>
      <c r="K14" s="247" t="s">
        <v>48</v>
      </c>
      <c r="L14" s="274"/>
      <c r="M14" s="274"/>
      <c r="N14" s="274"/>
      <c r="Q14" s="276"/>
    </row>
    <row r="15" spans="1:17" ht="12.75" customHeight="1" x14ac:dyDescent="0.25">
      <c r="A15" s="241">
        <v>29170</v>
      </c>
      <c r="B15" s="242" t="s">
        <v>2369</v>
      </c>
      <c r="C15" s="249" t="s">
        <v>74</v>
      </c>
      <c r="D15" s="249" t="s">
        <v>75</v>
      </c>
      <c r="E15" s="249" t="s">
        <v>2368</v>
      </c>
      <c r="F15" s="244" t="s">
        <v>43</v>
      </c>
      <c r="G15" s="277" t="s">
        <v>52</v>
      </c>
      <c r="H15" s="278"/>
      <c r="I15" s="249" t="s">
        <v>46</v>
      </c>
      <c r="J15" s="249" t="s">
        <v>47</v>
      </c>
      <c r="K15" s="247" t="s">
        <v>48</v>
      </c>
      <c r="L15" s="274"/>
      <c r="M15" s="274"/>
      <c r="N15" s="274"/>
      <c r="Q15" s="276"/>
    </row>
    <row r="16" spans="1:17" ht="12.75" customHeight="1" x14ac:dyDescent="0.25">
      <c r="A16" s="241">
        <v>38592</v>
      </c>
      <c r="B16" s="242" t="s">
        <v>2322</v>
      </c>
      <c r="C16" s="243" t="s">
        <v>2323</v>
      </c>
      <c r="D16" s="243" t="s">
        <v>78</v>
      </c>
      <c r="E16" s="243"/>
      <c r="F16" s="244" t="s">
        <v>49</v>
      </c>
      <c r="G16" s="277" t="s">
        <v>79</v>
      </c>
      <c r="H16" s="278"/>
      <c r="I16" s="243" t="s">
        <v>46</v>
      </c>
      <c r="J16" s="243" t="s">
        <v>47</v>
      </c>
      <c r="K16" s="247" t="s">
        <v>48</v>
      </c>
      <c r="L16" s="274"/>
      <c r="M16" s="274"/>
      <c r="N16" s="274"/>
      <c r="Q16" s="276"/>
    </row>
    <row r="17" spans="1:17" ht="12.75" customHeight="1" x14ac:dyDescent="0.25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7" t="s">
        <v>94</v>
      </c>
      <c r="H17" s="278" t="s">
        <v>45</v>
      </c>
      <c r="I17" s="243" t="s">
        <v>83</v>
      </c>
      <c r="J17" s="243" t="s">
        <v>84</v>
      </c>
      <c r="K17" s="247" t="s">
        <v>85</v>
      </c>
      <c r="L17" s="274"/>
      <c r="M17" s="274"/>
      <c r="N17" s="274"/>
      <c r="Q17" s="276"/>
    </row>
    <row r="18" spans="1:17" ht="12.75" customHeight="1" x14ac:dyDescent="0.25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7" t="s">
        <v>362</v>
      </c>
      <c r="H18" s="278" t="s">
        <v>104</v>
      </c>
      <c r="I18" s="243" t="s">
        <v>83</v>
      </c>
      <c r="J18" s="243" t="s">
        <v>84</v>
      </c>
      <c r="K18" s="247" t="s">
        <v>85</v>
      </c>
      <c r="L18" s="274"/>
      <c r="M18" s="274"/>
      <c r="N18" s="274"/>
      <c r="Q18" s="276"/>
    </row>
    <row r="19" spans="1:17" ht="12.75" customHeight="1" x14ac:dyDescent="0.25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7" t="s">
        <v>44</v>
      </c>
      <c r="H19" s="278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25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7" t="s">
        <v>44</v>
      </c>
      <c r="H20" s="278"/>
      <c r="I20" s="243" t="s">
        <v>83</v>
      </c>
      <c r="J20" s="243" t="s">
        <v>84</v>
      </c>
      <c r="K20" s="247" t="s">
        <v>85</v>
      </c>
    </row>
    <row r="21" spans="1:17" ht="12.75" customHeight="1" x14ac:dyDescent="0.25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7" t="s">
        <v>94</v>
      </c>
      <c r="H21" s="278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25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2368</v>
      </c>
      <c r="F22" s="244" t="s">
        <v>43</v>
      </c>
      <c r="G22" s="277" t="s">
        <v>44</v>
      </c>
      <c r="H22" s="278" t="s">
        <v>180</v>
      </c>
      <c r="I22" s="249" t="s">
        <v>83</v>
      </c>
      <c r="J22" s="249" t="s">
        <v>84</v>
      </c>
      <c r="K22" s="247" t="s">
        <v>85</v>
      </c>
    </row>
    <row r="23" spans="1:17" s="271" customFormat="1" ht="12.75" customHeight="1" x14ac:dyDescent="0.3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7" t="s">
        <v>67</v>
      </c>
      <c r="H23" s="278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25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7" t="s">
        <v>89</v>
      </c>
      <c r="H24" s="278" t="s">
        <v>51</v>
      </c>
      <c r="I24" s="243" t="s">
        <v>83</v>
      </c>
      <c r="J24" s="243" t="s">
        <v>84</v>
      </c>
      <c r="K24" s="247" t="s">
        <v>85</v>
      </c>
      <c r="L24" s="274"/>
      <c r="M24" s="274"/>
      <c r="N24" s="274"/>
      <c r="Q24" s="276"/>
    </row>
    <row r="25" spans="1:17" ht="12.75" customHeight="1" x14ac:dyDescent="0.25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7" t="s">
        <v>775</v>
      </c>
      <c r="H25" s="278" t="s">
        <v>104</v>
      </c>
      <c r="I25" s="243" t="s">
        <v>83</v>
      </c>
      <c r="J25" s="243" t="s">
        <v>84</v>
      </c>
      <c r="K25" s="247" t="s">
        <v>85</v>
      </c>
      <c r="L25" s="274"/>
      <c r="M25" s="274"/>
      <c r="N25" s="274"/>
      <c r="Q25" s="276"/>
    </row>
    <row r="26" spans="1:17" ht="12.75" customHeight="1" x14ac:dyDescent="0.25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7" t="s">
        <v>362</v>
      </c>
      <c r="H26" s="278" t="s">
        <v>45</v>
      </c>
      <c r="I26" s="243" t="s">
        <v>83</v>
      </c>
      <c r="J26" s="243" t="s">
        <v>84</v>
      </c>
      <c r="K26" s="247" t="s">
        <v>85</v>
      </c>
      <c r="L26" s="274"/>
      <c r="M26" s="274"/>
      <c r="N26" s="274"/>
      <c r="Q26" s="276"/>
    </row>
    <row r="27" spans="1:17" ht="12.75" customHeight="1" x14ac:dyDescent="0.25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7" t="s">
        <v>67</v>
      </c>
      <c r="H27" s="278" t="s">
        <v>45</v>
      </c>
      <c r="I27" s="243" t="s">
        <v>83</v>
      </c>
      <c r="J27" s="243" t="s">
        <v>84</v>
      </c>
      <c r="K27" s="247" t="s">
        <v>85</v>
      </c>
      <c r="L27" s="274"/>
      <c r="M27" s="274"/>
      <c r="N27" s="274"/>
      <c r="Q27" s="276"/>
    </row>
    <row r="28" spans="1:17" ht="12.75" customHeight="1" x14ac:dyDescent="0.25">
      <c r="A28" s="241">
        <v>38902</v>
      </c>
      <c r="B28" s="242" t="s">
        <v>2370</v>
      </c>
      <c r="C28" s="243" t="s">
        <v>2371</v>
      </c>
      <c r="D28" s="243" t="s">
        <v>1380</v>
      </c>
      <c r="E28" s="243"/>
      <c r="F28" s="244" t="s">
        <v>43</v>
      </c>
      <c r="G28" s="277" t="s">
        <v>44</v>
      </c>
      <c r="H28" s="278"/>
      <c r="I28" s="243" t="s">
        <v>83</v>
      </c>
      <c r="J28" s="243" t="s">
        <v>84</v>
      </c>
      <c r="K28" s="247" t="s">
        <v>85</v>
      </c>
      <c r="L28" s="274"/>
      <c r="M28" s="274"/>
      <c r="N28" s="274"/>
      <c r="Q28" s="276"/>
    </row>
    <row r="29" spans="1:17" ht="12.75" customHeight="1" x14ac:dyDescent="0.25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7" t="s">
        <v>44</v>
      </c>
      <c r="H29" s="278" t="s">
        <v>239</v>
      </c>
      <c r="I29" s="243" t="s">
        <v>83</v>
      </c>
      <c r="J29" s="243" t="s">
        <v>84</v>
      </c>
      <c r="K29" s="247" t="s">
        <v>85</v>
      </c>
      <c r="L29" s="274"/>
      <c r="M29" s="274"/>
      <c r="N29" s="274"/>
      <c r="Q29" s="276"/>
    </row>
    <row r="30" spans="1:17" ht="12.75" customHeight="1" x14ac:dyDescent="0.25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7" t="s">
        <v>67</v>
      </c>
      <c r="H30" s="278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25">
      <c r="A31" s="241">
        <v>38893</v>
      </c>
      <c r="B31" s="242" t="s">
        <v>2372</v>
      </c>
      <c r="C31" s="243" t="s">
        <v>2373</v>
      </c>
      <c r="D31" s="243" t="s">
        <v>2374</v>
      </c>
      <c r="E31" s="243"/>
      <c r="F31" s="244" t="s">
        <v>43</v>
      </c>
      <c r="G31" s="277" t="s">
        <v>2061</v>
      </c>
      <c r="H31" s="278"/>
      <c r="I31" s="243" t="s">
        <v>83</v>
      </c>
      <c r="J31" s="243" t="s">
        <v>84</v>
      </c>
      <c r="K31" s="247" t="s">
        <v>85</v>
      </c>
      <c r="L31" s="274"/>
      <c r="M31" s="274"/>
      <c r="N31" s="274"/>
      <c r="Q31" s="276"/>
    </row>
    <row r="32" spans="1:17" ht="12.75" customHeight="1" x14ac:dyDescent="0.25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7" t="s">
        <v>67</v>
      </c>
      <c r="H32" s="278" t="s">
        <v>66</v>
      </c>
      <c r="I32" s="243" t="s">
        <v>83</v>
      </c>
      <c r="J32" s="243" t="s">
        <v>84</v>
      </c>
      <c r="K32" s="247" t="s">
        <v>85</v>
      </c>
      <c r="L32" s="274"/>
      <c r="M32" s="274"/>
      <c r="N32" s="274"/>
      <c r="Q32" s="276"/>
    </row>
    <row r="33" spans="1:17" ht="12.75" customHeight="1" x14ac:dyDescent="0.25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7" t="s">
        <v>44</v>
      </c>
      <c r="H33" s="278" t="s">
        <v>180</v>
      </c>
      <c r="I33" s="243" t="s">
        <v>83</v>
      </c>
      <c r="J33" s="243" t="s">
        <v>84</v>
      </c>
      <c r="K33" s="247" t="s">
        <v>85</v>
      </c>
      <c r="L33" s="274"/>
      <c r="M33" s="274"/>
      <c r="N33" s="274"/>
      <c r="Q33" s="276"/>
    </row>
    <row r="34" spans="1:17" ht="12.75" customHeight="1" x14ac:dyDescent="0.25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7" t="s">
        <v>52</v>
      </c>
      <c r="H34" s="278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25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7" t="s">
        <v>362</v>
      </c>
      <c r="H35" s="278" t="s">
        <v>104</v>
      </c>
      <c r="I35" s="243" t="s">
        <v>83</v>
      </c>
      <c r="J35" s="243" t="s">
        <v>84</v>
      </c>
      <c r="K35" s="247" t="s">
        <v>85</v>
      </c>
      <c r="L35" s="274"/>
      <c r="M35" s="274"/>
      <c r="N35" s="274"/>
      <c r="Q35" s="276"/>
    </row>
    <row r="36" spans="1:17" ht="12.75" customHeight="1" x14ac:dyDescent="0.25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7" t="s">
        <v>44</v>
      </c>
      <c r="H36" s="278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25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7" t="s">
        <v>67</v>
      </c>
      <c r="H37" s="278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25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25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7" t="s">
        <v>44</v>
      </c>
      <c r="H39" s="278"/>
      <c r="I39" s="243" t="s">
        <v>126</v>
      </c>
      <c r="J39" s="243" t="s">
        <v>127</v>
      </c>
      <c r="K39" s="247" t="s">
        <v>128</v>
      </c>
    </row>
    <row r="40" spans="1:17" ht="12.75" customHeight="1" x14ac:dyDescent="0.25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7" t="s">
        <v>79</v>
      </c>
      <c r="H40" s="278"/>
      <c r="I40" s="243" t="s">
        <v>126</v>
      </c>
      <c r="J40" s="243" t="s">
        <v>127</v>
      </c>
      <c r="K40" s="247" t="s">
        <v>128</v>
      </c>
      <c r="L40" s="274"/>
      <c r="M40" s="274"/>
      <c r="N40" s="274"/>
      <c r="Q40" s="276"/>
    </row>
    <row r="41" spans="1:17" ht="12.75" customHeight="1" x14ac:dyDescent="0.25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25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7" t="s">
        <v>50</v>
      </c>
      <c r="H42" s="278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25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7" t="s">
        <v>52</v>
      </c>
      <c r="H43" s="278" t="s">
        <v>104</v>
      </c>
      <c r="I43" s="243" t="s">
        <v>126</v>
      </c>
      <c r="J43" s="243" t="s">
        <v>127</v>
      </c>
      <c r="K43" s="247" t="s">
        <v>128</v>
      </c>
      <c r="L43" s="274"/>
      <c r="M43" s="274"/>
      <c r="N43" s="274"/>
      <c r="Q43" s="276"/>
    </row>
    <row r="44" spans="1:17" ht="12.75" customHeight="1" x14ac:dyDescent="0.25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2368</v>
      </c>
      <c r="F44" s="244" t="s">
        <v>43</v>
      </c>
      <c r="G44" s="277" t="s">
        <v>52</v>
      </c>
      <c r="H44" s="278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25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7" t="s">
        <v>228</v>
      </c>
      <c r="H45" s="278"/>
      <c r="I45" s="243" t="s">
        <v>126</v>
      </c>
      <c r="J45" s="243" t="s">
        <v>127</v>
      </c>
      <c r="K45" s="247" t="s">
        <v>128</v>
      </c>
    </row>
    <row r="46" spans="1:17" ht="12.75" customHeight="1" x14ac:dyDescent="0.25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7" t="s">
        <v>44</v>
      </c>
      <c r="H46" s="278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25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7" t="s">
        <v>79</v>
      </c>
      <c r="H47" s="278"/>
      <c r="I47" s="243" t="s">
        <v>154</v>
      </c>
      <c r="J47" s="243" t="s">
        <v>155</v>
      </c>
      <c r="K47" s="247" t="s">
        <v>156</v>
      </c>
    </row>
    <row r="48" spans="1:17" ht="12.75" customHeight="1" x14ac:dyDescent="0.25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2368</v>
      </c>
      <c r="F48" s="244" t="s">
        <v>49</v>
      </c>
      <c r="G48" s="277" t="s">
        <v>139</v>
      </c>
      <c r="H48" s="278" t="s">
        <v>104</v>
      </c>
      <c r="I48" s="249" t="s">
        <v>154</v>
      </c>
      <c r="J48" s="249" t="s">
        <v>155</v>
      </c>
      <c r="K48" s="247" t="s">
        <v>156</v>
      </c>
      <c r="L48" s="274"/>
      <c r="M48" s="274"/>
      <c r="N48" s="274"/>
      <c r="Q48" s="276"/>
    </row>
    <row r="49" spans="1:17" ht="12.75" customHeight="1" x14ac:dyDescent="0.25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7" t="s">
        <v>52</v>
      </c>
      <c r="H49" s="278" t="s">
        <v>45</v>
      </c>
      <c r="I49" s="243" t="s">
        <v>154</v>
      </c>
      <c r="J49" s="243" t="s">
        <v>155</v>
      </c>
      <c r="K49" s="247" t="s">
        <v>156</v>
      </c>
      <c r="L49" s="274"/>
      <c r="M49" s="274"/>
      <c r="N49" s="274"/>
      <c r="Q49" s="276"/>
    </row>
    <row r="50" spans="1:17" ht="12.75" customHeight="1" x14ac:dyDescent="0.25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7" t="s">
        <v>139</v>
      </c>
      <c r="H50" s="278" t="s">
        <v>45</v>
      </c>
      <c r="I50" s="243" t="s">
        <v>154</v>
      </c>
      <c r="J50" s="243" t="s">
        <v>155</v>
      </c>
      <c r="K50" s="247" t="s">
        <v>156</v>
      </c>
      <c r="L50" s="274"/>
      <c r="M50" s="274"/>
      <c r="N50" s="274"/>
      <c r="Q50" s="276"/>
    </row>
    <row r="51" spans="1:17" ht="12.75" customHeight="1" x14ac:dyDescent="0.25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2368</v>
      </c>
      <c r="F51" s="244" t="s">
        <v>43</v>
      </c>
      <c r="G51" s="277" t="s">
        <v>67</v>
      </c>
      <c r="H51" s="278" t="s">
        <v>45</v>
      </c>
      <c r="I51" s="249" t="s">
        <v>154</v>
      </c>
      <c r="J51" s="249" t="s">
        <v>155</v>
      </c>
      <c r="K51" s="247" t="s">
        <v>156</v>
      </c>
      <c r="L51" s="274"/>
      <c r="M51" s="274"/>
      <c r="N51" s="274"/>
      <c r="Q51" s="276"/>
    </row>
    <row r="52" spans="1:17" ht="12.75" customHeight="1" x14ac:dyDescent="0.25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2368</v>
      </c>
      <c r="F52" s="244" t="s">
        <v>43</v>
      </c>
      <c r="G52" s="277" t="s">
        <v>44</v>
      </c>
      <c r="H52" s="278" t="s">
        <v>66</v>
      </c>
      <c r="I52" s="249" t="s">
        <v>154</v>
      </c>
      <c r="J52" s="249" t="s">
        <v>155</v>
      </c>
      <c r="K52" s="247" t="s">
        <v>156</v>
      </c>
      <c r="L52" s="274"/>
      <c r="M52" s="274"/>
      <c r="N52" s="274"/>
      <c r="Q52" s="276"/>
    </row>
    <row r="53" spans="1:17" ht="12.75" customHeight="1" x14ac:dyDescent="0.25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7" t="s">
        <v>52</v>
      </c>
      <c r="H53" s="278" t="s">
        <v>51</v>
      </c>
      <c r="I53" s="243" t="s">
        <v>154</v>
      </c>
      <c r="J53" s="243" t="s">
        <v>155</v>
      </c>
      <c r="K53" s="247" t="s">
        <v>156</v>
      </c>
      <c r="L53" s="274"/>
      <c r="M53" s="274"/>
      <c r="N53" s="274"/>
      <c r="Q53" s="276"/>
    </row>
    <row r="54" spans="1:17" ht="12.75" customHeight="1" x14ac:dyDescent="0.25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7" t="s">
        <v>52</v>
      </c>
      <c r="H54" s="278" t="s">
        <v>45</v>
      </c>
      <c r="I54" s="243" t="s">
        <v>154</v>
      </c>
      <c r="J54" s="243" t="s">
        <v>155</v>
      </c>
      <c r="K54" s="247" t="s">
        <v>156</v>
      </c>
      <c r="L54" s="274"/>
      <c r="M54" s="274"/>
      <c r="N54" s="274"/>
      <c r="Q54" s="276"/>
    </row>
    <row r="55" spans="1:17" ht="12.75" customHeight="1" x14ac:dyDescent="0.25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7" t="s">
        <v>52</v>
      </c>
      <c r="H55" s="278" t="s">
        <v>51</v>
      </c>
      <c r="I55" s="243" t="s">
        <v>154</v>
      </c>
      <c r="J55" s="243" t="s">
        <v>155</v>
      </c>
      <c r="K55" s="247" t="s">
        <v>156</v>
      </c>
      <c r="L55" s="274"/>
      <c r="M55" s="274"/>
      <c r="N55" s="274"/>
      <c r="Q55" s="276"/>
    </row>
    <row r="56" spans="1:17" ht="12.75" customHeight="1" x14ac:dyDescent="0.25">
      <c r="A56" s="241">
        <v>38930</v>
      </c>
      <c r="B56" s="242" t="s">
        <v>2448</v>
      </c>
      <c r="C56" s="243" t="s">
        <v>2449</v>
      </c>
      <c r="D56" s="243" t="s">
        <v>266</v>
      </c>
      <c r="E56" s="243"/>
      <c r="F56" s="244" t="s">
        <v>43</v>
      </c>
      <c r="G56" s="277" t="s">
        <v>67</v>
      </c>
      <c r="H56" s="278">
        <v>0</v>
      </c>
      <c r="I56" s="243" t="s">
        <v>154</v>
      </c>
      <c r="J56" s="243" t="s">
        <v>155</v>
      </c>
      <c r="K56" s="247" t="s">
        <v>156</v>
      </c>
      <c r="L56" s="274"/>
      <c r="M56" s="274"/>
      <c r="N56" s="274"/>
      <c r="Q56" s="276"/>
    </row>
    <row r="57" spans="1:17" ht="12.75" customHeight="1" x14ac:dyDescent="0.25">
      <c r="A57" s="241">
        <v>38886</v>
      </c>
      <c r="B57" s="242" t="s">
        <v>2324</v>
      </c>
      <c r="C57" s="243" t="s">
        <v>153</v>
      </c>
      <c r="D57" s="243" t="s">
        <v>150</v>
      </c>
      <c r="E57" s="243"/>
      <c r="F57" s="244" t="s">
        <v>43</v>
      </c>
      <c r="G57" s="277" t="s">
        <v>94</v>
      </c>
      <c r="H57" s="278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25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7" t="s">
        <v>44</v>
      </c>
      <c r="H58" s="278" t="s">
        <v>66</v>
      </c>
      <c r="I58" s="243" t="s">
        <v>177</v>
      </c>
      <c r="J58" s="243" t="s">
        <v>155</v>
      </c>
      <c r="K58" s="247" t="s">
        <v>156</v>
      </c>
      <c r="L58" s="274"/>
      <c r="M58" s="274"/>
      <c r="N58" s="274"/>
      <c r="Q58" s="276"/>
    </row>
    <row r="59" spans="1:17" ht="12.75" customHeight="1" x14ac:dyDescent="0.25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7" t="s">
        <v>44</v>
      </c>
      <c r="H59" s="278" t="s">
        <v>45</v>
      </c>
      <c r="I59" s="243" t="s">
        <v>177</v>
      </c>
      <c r="J59" s="243" t="s">
        <v>155</v>
      </c>
      <c r="K59" s="247" t="s">
        <v>156</v>
      </c>
      <c r="L59" s="274"/>
      <c r="M59" s="274"/>
      <c r="N59" s="274"/>
      <c r="Q59" s="276"/>
    </row>
    <row r="60" spans="1:17" ht="12.75" customHeight="1" x14ac:dyDescent="0.25">
      <c r="A60" s="241">
        <v>38885</v>
      </c>
      <c r="B60" s="242" t="s">
        <v>2325</v>
      </c>
      <c r="C60" s="243" t="s">
        <v>2326</v>
      </c>
      <c r="D60" s="243" t="s">
        <v>132</v>
      </c>
      <c r="E60" s="243"/>
      <c r="F60" s="244" t="s">
        <v>43</v>
      </c>
      <c r="G60" s="277" t="s">
        <v>44</v>
      </c>
      <c r="H60" s="278"/>
      <c r="I60" s="243" t="s">
        <v>177</v>
      </c>
      <c r="J60" s="243" t="s">
        <v>155</v>
      </c>
      <c r="K60" s="247" t="s">
        <v>156</v>
      </c>
      <c r="L60" s="274"/>
      <c r="M60" s="274"/>
      <c r="N60" s="274"/>
      <c r="Q60" s="276"/>
    </row>
    <row r="61" spans="1:17" ht="12.75" customHeight="1" x14ac:dyDescent="0.25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7" t="s">
        <v>44</v>
      </c>
      <c r="H61" s="278" t="s">
        <v>66</v>
      </c>
      <c r="I61" s="243" t="s">
        <v>177</v>
      </c>
      <c r="J61" s="243" t="s">
        <v>155</v>
      </c>
      <c r="K61" s="247" t="s">
        <v>156</v>
      </c>
      <c r="L61" s="274"/>
      <c r="M61" s="274"/>
      <c r="N61" s="274"/>
      <c r="Q61" s="276"/>
    </row>
    <row r="62" spans="1:17" ht="12.75" customHeight="1" x14ac:dyDescent="0.25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7" t="s">
        <v>67</v>
      </c>
      <c r="H62" s="278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25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7" t="s">
        <v>67</v>
      </c>
      <c r="H63" s="278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25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7" t="s">
        <v>44</v>
      </c>
      <c r="H64" s="278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25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7" t="s">
        <v>44</v>
      </c>
      <c r="H65" s="278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25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2368</v>
      </c>
      <c r="F66" s="244" t="s">
        <v>43</v>
      </c>
      <c r="G66" s="277" t="s">
        <v>44</v>
      </c>
      <c r="H66" s="278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25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7" t="s">
        <v>44</v>
      </c>
      <c r="H67" s="278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25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7" t="s">
        <v>58</v>
      </c>
      <c r="H68" s="278"/>
      <c r="I68" s="243" t="s">
        <v>177</v>
      </c>
      <c r="J68" s="243" t="s">
        <v>155</v>
      </c>
      <c r="K68" s="247" t="s">
        <v>156</v>
      </c>
    </row>
    <row r="69" spans="1:11" ht="12.75" customHeight="1" x14ac:dyDescent="0.25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7" t="s">
        <v>67</v>
      </c>
      <c r="H69" s="278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25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7" t="s">
        <v>67</v>
      </c>
      <c r="H70" s="278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25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2368</v>
      </c>
      <c r="F71" s="244" t="s">
        <v>43</v>
      </c>
      <c r="G71" s="277" t="s">
        <v>52</v>
      </c>
      <c r="H71" s="278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25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7" t="s">
        <v>44</v>
      </c>
      <c r="H72" s="278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25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7" t="s">
        <v>58</v>
      </c>
      <c r="H73" s="278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25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7" t="s">
        <v>139</v>
      </c>
      <c r="H74" s="278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25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7" t="s">
        <v>50</v>
      </c>
      <c r="H75" s="278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25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7" t="s">
        <v>50</v>
      </c>
      <c r="H76" s="278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25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7" t="s">
        <v>139</v>
      </c>
      <c r="H77" s="278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25">
      <c r="A78" s="241">
        <v>7019</v>
      </c>
      <c r="B78" s="242" t="s">
        <v>2450</v>
      </c>
      <c r="C78" s="243" t="s">
        <v>227</v>
      </c>
      <c r="D78" s="243" t="s">
        <v>2451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25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2368</v>
      </c>
      <c r="F79" s="244" t="s">
        <v>49</v>
      </c>
      <c r="G79" s="277" t="s">
        <v>79</v>
      </c>
      <c r="H79" s="278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25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25">
      <c r="A81" s="241">
        <v>16245</v>
      </c>
      <c r="B81" s="242" t="s">
        <v>2452</v>
      </c>
      <c r="C81" s="243" t="s">
        <v>2453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25">
      <c r="A82" s="241">
        <v>16243</v>
      </c>
      <c r="B82" s="242" t="s">
        <v>2375</v>
      </c>
      <c r="C82" s="243" t="s">
        <v>237</v>
      </c>
      <c r="D82" s="243" t="s">
        <v>238</v>
      </c>
      <c r="E82" s="243"/>
      <c r="F82" s="244" t="s">
        <v>43</v>
      </c>
      <c r="G82" s="277" t="s">
        <v>44</v>
      </c>
      <c r="H82" s="278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25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2368</v>
      </c>
      <c r="F83" s="244" t="s">
        <v>43</v>
      </c>
      <c r="G83" s="277" t="s">
        <v>44</v>
      </c>
      <c r="H83" s="278" t="s">
        <v>239</v>
      </c>
      <c r="I83" s="249" t="s">
        <v>232</v>
      </c>
      <c r="J83" s="249" t="s">
        <v>204</v>
      </c>
      <c r="K83" s="247" t="s">
        <v>205</v>
      </c>
      <c r="L83" s="274"/>
      <c r="M83" s="274"/>
      <c r="N83" s="274"/>
      <c r="Q83" s="276"/>
    </row>
    <row r="84" spans="1:17" ht="12.75" customHeight="1" x14ac:dyDescent="0.25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7" t="s">
        <v>44</v>
      </c>
      <c r="H84" s="278" t="s">
        <v>180</v>
      </c>
      <c r="I84" s="243" t="s">
        <v>232</v>
      </c>
      <c r="J84" s="243" t="s">
        <v>204</v>
      </c>
      <c r="K84" s="247" t="s">
        <v>205</v>
      </c>
      <c r="L84" s="274"/>
      <c r="M84" s="274"/>
      <c r="N84" s="274"/>
      <c r="Q84" s="276"/>
    </row>
    <row r="85" spans="1:17" ht="12.75" customHeight="1" x14ac:dyDescent="0.25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7" t="s">
        <v>44</v>
      </c>
      <c r="H85" s="278" t="s">
        <v>180</v>
      </c>
      <c r="I85" s="243" t="s">
        <v>232</v>
      </c>
      <c r="J85" s="243" t="s">
        <v>204</v>
      </c>
      <c r="K85" s="247" t="s">
        <v>205</v>
      </c>
      <c r="L85" s="274"/>
      <c r="M85" s="274"/>
      <c r="N85" s="274"/>
      <c r="Q85" s="276"/>
    </row>
    <row r="86" spans="1:17" ht="12.75" customHeight="1" x14ac:dyDescent="0.25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7" t="s">
        <v>44</v>
      </c>
      <c r="H86" s="278" t="s">
        <v>180</v>
      </c>
      <c r="I86" s="243" t="s">
        <v>232</v>
      </c>
      <c r="J86" s="243" t="s">
        <v>204</v>
      </c>
      <c r="K86" s="247" t="s">
        <v>205</v>
      </c>
      <c r="L86" s="274"/>
      <c r="M86" s="274"/>
      <c r="N86" s="274"/>
      <c r="Q86" s="276"/>
    </row>
    <row r="87" spans="1:17" ht="12.75" customHeight="1" x14ac:dyDescent="0.25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7" t="s">
        <v>44</v>
      </c>
      <c r="H87" s="278" t="s">
        <v>239</v>
      </c>
      <c r="I87" s="243" t="s">
        <v>232</v>
      </c>
      <c r="J87" s="243" t="s">
        <v>204</v>
      </c>
      <c r="K87" s="247" t="s">
        <v>205</v>
      </c>
      <c r="L87" s="274"/>
      <c r="M87" s="274"/>
      <c r="N87" s="274"/>
      <c r="Q87" s="276"/>
    </row>
    <row r="88" spans="1:17" ht="12.75" customHeight="1" x14ac:dyDescent="0.25">
      <c r="A88" s="241">
        <v>38906</v>
      </c>
      <c r="B88" s="242" t="s">
        <v>2454</v>
      </c>
      <c r="C88" s="243" t="s">
        <v>2455</v>
      </c>
      <c r="D88" s="243" t="s">
        <v>547</v>
      </c>
      <c r="E88" s="243"/>
      <c r="F88" s="244" t="s">
        <v>49</v>
      </c>
      <c r="G88" s="277" t="s">
        <v>79</v>
      </c>
      <c r="H88" s="278"/>
      <c r="I88" s="243" t="s">
        <v>255</v>
      </c>
      <c r="J88" s="243" t="s">
        <v>204</v>
      </c>
      <c r="K88" s="247" t="s">
        <v>205</v>
      </c>
      <c r="L88" s="274"/>
      <c r="M88" s="274"/>
      <c r="N88" s="274"/>
      <c r="Q88" s="276"/>
    </row>
    <row r="89" spans="1:17" ht="12.75" customHeight="1" x14ac:dyDescent="0.25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4"/>
      <c r="M89" s="274"/>
      <c r="N89" s="274"/>
      <c r="Q89" s="276"/>
    </row>
    <row r="90" spans="1:17" ht="12.75" customHeight="1" x14ac:dyDescent="0.25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4"/>
      <c r="M90" s="274"/>
      <c r="N90" s="274"/>
      <c r="Q90" s="276"/>
    </row>
    <row r="91" spans="1:17" ht="12.75" customHeight="1" x14ac:dyDescent="0.25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7" t="s">
        <v>58</v>
      </c>
      <c r="H91" s="278" t="s">
        <v>51</v>
      </c>
      <c r="I91" s="243" t="s">
        <v>255</v>
      </c>
      <c r="J91" s="243" t="s">
        <v>204</v>
      </c>
      <c r="K91" s="247" t="s">
        <v>205</v>
      </c>
      <c r="L91" s="274"/>
      <c r="M91" s="274"/>
      <c r="N91" s="274"/>
      <c r="Q91" s="276"/>
    </row>
    <row r="92" spans="1:17" ht="12.75" customHeight="1" x14ac:dyDescent="0.25">
      <c r="A92" s="241">
        <v>38931</v>
      </c>
      <c r="B92" s="242" t="s">
        <v>2456</v>
      </c>
      <c r="C92" s="243" t="s">
        <v>630</v>
      </c>
      <c r="D92" s="243" t="s">
        <v>2457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4"/>
      <c r="M92" s="274"/>
      <c r="N92" s="274"/>
      <c r="Q92" s="276"/>
    </row>
    <row r="93" spans="1:17" ht="12.75" customHeight="1" x14ac:dyDescent="0.25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7" t="s">
        <v>58</v>
      </c>
      <c r="H93" s="278" t="s">
        <v>66</v>
      </c>
      <c r="I93" s="243" t="s">
        <v>258</v>
      </c>
      <c r="J93" s="243" t="s">
        <v>259</v>
      </c>
      <c r="K93" s="247" t="s">
        <v>29</v>
      </c>
      <c r="L93" s="274"/>
      <c r="M93" s="274"/>
      <c r="N93" s="274"/>
      <c r="Q93" s="276"/>
    </row>
    <row r="94" spans="1:17" ht="12.75" customHeight="1" x14ac:dyDescent="0.25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7" t="s">
        <v>67</v>
      </c>
      <c r="H94" s="278" t="s">
        <v>104</v>
      </c>
      <c r="I94" s="243" t="s">
        <v>258</v>
      </c>
      <c r="J94" s="243" t="s">
        <v>259</v>
      </c>
      <c r="K94" s="247" t="s">
        <v>29</v>
      </c>
      <c r="L94" s="274"/>
      <c r="M94" s="274"/>
      <c r="N94" s="274"/>
      <c r="Q94" s="276"/>
    </row>
    <row r="95" spans="1:17" ht="12.75" customHeight="1" x14ac:dyDescent="0.25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7" t="s">
        <v>52</v>
      </c>
      <c r="H95" s="278" t="s">
        <v>51</v>
      </c>
      <c r="I95" s="249" t="s">
        <v>258</v>
      </c>
      <c r="J95" s="243" t="s">
        <v>259</v>
      </c>
      <c r="K95" s="247" t="s">
        <v>29</v>
      </c>
      <c r="L95" s="274"/>
      <c r="M95" s="274"/>
      <c r="N95" s="274"/>
      <c r="Q95" s="276"/>
    </row>
    <row r="96" spans="1:17" ht="12.75" customHeight="1" x14ac:dyDescent="0.25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7" t="s">
        <v>44</v>
      </c>
      <c r="H96" s="278" t="s">
        <v>180</v>
      </c>
      <c r="I96" s="243" t="s">
        <v>258</v>
      </c>
      <c r="J96" s="243" t="s">
        <v>259</v>
      </c>
      <c r="K96" s="247" t="s">
        <v>29</v>
      </c>
      <c r="L96" s="274"/>
      <c r="M96" s="274"/>
      <c r="N96" s="274"/>
      <c r="Q96" s="276"/>
    </row>
    <row r="97" spans="1:17" ht="12.75" customHeight="1" x14ac:dyDescent="0.25">
      <c r="A97" s="241">
        <v>38909</v>
      </c>
      <c r="B97" s="242" t="s">
        <v>2458</v>
      </c>
      <c r="C97" s="243" t="s">
        <v>265</v>
      </c>
      <c r="D97" s="243" t="s">
        <v>994</v>
      </c>
      <c r="E97" s="243"/>
      <c r="F97" s="244" t="s">
        <v>43</v>
      </c>
      <c r="G97" s="277" t="s">
        <v>94</v>
      </c>
      <c r="H97" s="278"/>
      <c r="I97" s="243" t="s">
        <v>258</v>
      </c>
      <c r="J97" s="243" t="s">
        <v>259</v>
      </c>
      <c r="K97" s="247" t="s">
        <v>29</v>
      </c>
      <c r="L97" s="274"/>
      <c r="M97" s="274"/>
      <c r="N97" s="274"/>
      <c r="Q97" s="276"/>
    </row>
    <row r="98" spans="1:17" ht="12.75" customHeight="1" x14ac:dyDescent="0.25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7" t="s">
        <v>228</v>
      </c>
      <c r="H98" s="278" t="s">
        <v>51</v>
      </c>
      <c r="I98" s="243" t="s">
        <v>258</v>
      </c>
      <c r="J98" s="243" t="s">
        <v>259</v>
      </c>
      <c r="K98" s="247" t="s">
        <v>29</v>
      </c>
      <c r="L98" s="274"/>
      <c r="M98" s="274"/>
      <c r="N98" s="274"/>
      <c r="Q98" s="276"/>
    </row>
    <row r="99" spans="1:17" ht="12.75" customHeight="1" x14ac:dyDescent="0.25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7" t="s">
        <v>44</v>
      </c>
      <c r="H99" s="278" t="s">
        <v>45</v>
      </c>
      <c r="I99" s="243" t="s">
        <v>258</v>
      </c>
      <c r="J99" s="243" t="s">
        <v>259</v>
      </c>
      <c r="K99" s="247" t="s">
        <v>29</v>
      </c>
      <c r="L99" s="274"/>
      <c r="M99" s="274"/>
      <c r="N99" s="274"/>
      <c r="Q99" s="276"/>
    </row>
    <row r="100" spans="1:17" ht="12.75" customHeight="1" x14ac:dyDescent="0.25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7" t="s">
        <v>58</v>
      </c>
      <c r="H100" s="278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25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7" t="s">
        <v>44</v>
      </c>
      <c r="H101" s="278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25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7" t="s">
        <v>44</v>
      </c>
      <c r="H102" s="278" t="s">
        <v>45</v>
      </c>
      <c r="I102" s="243" t="s">
        <v>258</v>
      </c>
      <c r="J102" s="243" t="s">
        <v>259</v>
      </c>
      <c r="K102" s="247" t="s">
        <v>29</v>
      </c>
      <c r="L102" s="274"/>
      <c r="M102" s="274"/>
      <c r="N102" s="274"/>
      <c r="Q102" s="276"/>
    </row>
    <row r="103" spans="1:17" ht="12.75" customHeight="1" x14ac:dyDescent="0.25">
      <c r="A103" s="241">
        <v>16999</v>
      </c>
      <c r="B103" s="242" t="s">
        <v>2376</v>
      </c>
      <c r="C103" s="243" t="s">
        <v>274</v>
      </c>
      <c r="D103" s="243" t="s">
        <v>120</v>
      </c>
      <c r="E103" s="243"/>
      <c r="F103" s="244" t="s">
        <v>43</v>
      </c>
      <c r="G103" s="277" t="s">
        <v>58</v>
      </c>
      <c r="H103" s="278"/>
      <c r="I103" s="243" t="s">
        <v>275</v>
      </c>
      <c r="J103" s="243" t="s">
        <v>276</v>
      </c>
      <c r="K103" s="247" t="s">
        <v>277</v>
      </c>
      <c r="L103" s="274"/>
      <c r="M103" s="274"/>
      <c r="N103" s="274"/>
      <c r="Q103" s="276"/>
    </row>
    <row r="104" spans="1:17" ht="12.75" customHeight="1" x14ac:dyDescent="0.25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7" t="s">
        <v>52</v>
      </c>
      <c r="H104" s="278" t="s">
        <v>45</v>
      </c>
      <c r="I104" s="243" t="s">
        <v>275</v>
      </c>
      <c r="J104" s="243" t="s">
        <v>276</v>
      </c>
      <c r="K104" s="247" t="s">
        <v>277</v>
      </c>
      <c r="L104" s="274"/>
      <c r="M104" s="274"/>
      <c r="N104" s="274"/>
      <c r="Q104" s="276"/>
    </row>
    <row r="105" spans="1:17" ht="12.75" customHeight="1" x14ac:dyDescent="0.25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7" t="s">
        <v>44</v>
      </c>
      <c r="H105" s="278" t="s">
        <v>66</v>
      </c>
      <c r="I105" s="243" t="s">
        <v>275</v>
      </c>
      <c r="J105" s="243" t="s">
        <v>276</v>
      </c>
      <c r="K105" s="247" t="s">
        <v>277</v>
      </c>
      <c r="L105" s="274"/>
      <c r="M105" s="274"/>
      <c r="N105" s="274"/>
      <c r="Q105" s="276"/>
    </row>
    <row r="106" spans="1:17" ht="12.75" customHeight="1" x14ac:dyDescent="0.25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7" t="s">
        <v>44</v>
      </c>
      <c r="H106" s="278" t="s">
        <v>66</v>
      </c>
      <c r="I106" s="243" t="s">
        <v>275</v>
      </c>
      <c r="J106" s="243" t="s">
        <v>276</v>
      </c>
      <c r="K106" s="247" t="s">
        <v>277</v>
      </c>
      <c r="L106" s="274"/>
      <c r="M106" s="274"/>
      <c r="N106" s="274"/>
      <c r="Q106" s="276"/>
    </row>
    <row r="107" spans="1:17" ht="12.75" customHeight="1" x14ac:dyDescent="0.25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7" t="s">
        <v>44</v>
      </c>
      <c r="H107" s="278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25">
      <c r="A108" s="241">
        <v>38565</v>
      </c>
      <c r="B108" s="242" t="s">
        <v>2459</v>
      </c>
      <c r="C108" s="243" t="s">
        <v>2460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25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7" t="s">
        <v>44</v>
      </c>
      <c r="H109" s="278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25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7" t="s">
        <v>58</v>
      </c>
      <c r="H110" s="278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25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7" t="s">
        <v>44</v>
      </c>
      <c r="H111" s="278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25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7" t="s">
        <v>44</v>
      </c>
      <c r="H112" s="278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25">
      <c r="A113" s="241">
        <v>38898</v>
      </c>
      <c r="B113" s="242" t="s">
        <v>2377</v>
      </c>
      <c r="C113" s="243" t="s">
        <v>2378</v>
      </c>
      <c r="D113" s="243" t="s">
        <v>600</v>
      </c>
      <c r="E113" s="243"/>
      <c r="F113" s="244" t="s">
        <v>43</v>
      </c>
      <c r="G113" s="277" t="s">
        <v>44</v>
      </c>
      <c r="H113" s="278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25">
      <c r="A114" s="241">
        <v>38899</v>
      </c>
      <c r="B114" s="242" t="s">
        <v>2379</v>
      </c>
      <c r="C114" s="243" t="s">
        <v>2380</v>
      </c>
      <c r="D114" s="243" t="s">
        <v>2381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71" customFormat="1" ht="12.75" customHeight="1" x14ac:dyDescent="0.3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7" t="s">
        <v>79</v>
      </c>
      <c r="H115" s="278" t="s">
        <v>104</v>
      </c>
      <c r="I115" s="243" t="s">
        <v>275</v>
      </c>
      <c r="J115" s="243" t="s">
        <v>276</v>
      </c>
      <c r="K115" s="247" t="s">
        <v>277</v>
      </c>
      <c r="L115" s="280"/>
      <c r="M115" s="280"/>
      <c r="N115" s="280"/>
      <c r="Q115" s="281"/>
    </row>
    <row r="116" spans="1:17" ht="12.75" customHeight="1" x14ac:dyDescent="0.25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7" t="s">
        <v>44</v>
      </c>
      <c r="H116" s="278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25">
      <c r="A117" s="241">
        <v>38926</v>
      </c>
      <c r="B117" s="242" t="s">
        <v>2461</v>
      </c>
      <c r="C117" s="243" t="s">
        <v>292</v>
      </c>
      <c r="D117" s="243" t="s">
        <v>73</v>
      </c>
      <c r="E117" s="243"/>
      <c r="F117" s="244" t="s">
        <v>43</v>
      </c>
      <c r="G117" s="277" t="s">
        <v>52</v>
      </c>
      <c r="H117" s="278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25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7" t="s">
        <v>94</v>
      </c>
      <c r="H118" s="278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25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7" t="s">
        <v>44</v>
      </c>
      <c r="H119" s="278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25">
      <c r="A120" s="241">
        <v>38631</v>
      </c>
      <c r="B120" s="242" t="s">
        <v>2462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25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7" t="s">
        <v>79</v>
      </c>
      <c r="H121" s="278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25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7" t="s">
        <v>44</v>
      </c>
      <c r="H122" s="278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25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7" t="s">
        <v>52</v>
      </c>
      <c r="H123" s="278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25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7" t="s">
        <v>44</v>
      </c>
      <c r="H124" s="278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25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7" t="s">
        <v>50</v>
      </c>
      <c r="H125" s="278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25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7" t="s">
        <v>52</v>
      </c>
      <c r="H126" s="278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25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2368</v>
      </c>
      <c r="F127" s="244" t="s">
        <v>43</v>
      </c>
      <c r="G127" s="277" t="s">
        <v>44</v>
      </c>
      <c r="H127" s="278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25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25">
      <c r="A129" s="241">
        <v>38882</v>
      </c>
      <c r="B129" s="242" t="s">
        <v>2327</v>
      </c>
      <c r="C129" s="243" t="s">
        <v>2328</v>
      </c>
      <c r="D129" s="243" t="s">
        <v>231</v>
      </c>
      <c r="E129" s="243"/>
      <c r="F129" s="244" t="s">
        <v>43</v>
      </c>
      <c r="G129" s="277" t="s">
        <v>67</v>
      </c>
      <c r="H129" s="278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25">
      <c r="A130" s="241">
        <v>38881</v>
      </c>
      <c r="B130" s="242" t="s">
        <v>2329</v>
      </c>
      <c r="C130" s="243" t="s">
        <v>2328</v>
      </c>
      <c r="D130" s="243" t="s">
        <v>2330</v>
      </c>
      <c r="E130" s="243"/>
      <c r="F130" s="244" t="s">
        <v>43</v>
      </c>
      <c r="G130" s="277" t="s">
        <v>44</v>
      </c>
      <c r="H130" s="278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25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7" t="s">
        <v>139</v>
      </c>
      <c r="H131" s="278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25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7" t="s">
        <v>228</v>
      </c>
      <c r="H132" s="278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25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7" t="s">
        <v>50</v>
      </c>
      <c r="H133" s="278" t="s">
        <v>51</v>
      </c>
      <c r="I133" s="243" t="s">
        <v>321</v>
      </c>
      <c r="J133" s="243" t="s">
        <v>304</v>
      </c>
      <c r="K133" s="247" t="s">
        <v>305</v>
      </c>
    </row>
    <row r="134" spans="1:11" s="271" customFormat="1" ht="12.75" customHeight="1" x14ac:dyDescent="0.3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7" t="s">
        <v>52</v>
      </c>
      <c r="H134" s="278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25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7" t="s">
        <v>228</v>
      </c>
      <c r="H135" s="278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25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2368</v>
      </c>
      <c r="F136" s="244" t="s">
        <v>43</v>
      </c>
      <c r="G136" s="277" t="s">
        <v>44</v>
      </c>
      <c r="H136" s="278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25">
      <c r="A137" s="241">
        <v>38879</v>
      </c>
      <c r="B137" s="242" t="s">
        <v>2331</v>
      </c>
      <c r="C137" s="243" t="s">
        <v>2096</v>
      </c>
      <c r="D137" s="243" t="s">
        <v>493</v>
      </c>
      <c r="E137" s="243"/>
      <c r="F137" s="244" t="s">
        <v>43</v>
      </c>
      <c r="G137" s="277" t="s">
        <v>362</v>
      </c>
      <c r="H137" s="278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25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7" t="s">
        <v>139</v>
      </c>
      <c r="H138" s="278"/>
      <c r="I138" s="243" t="s">
        <v>321</v>
      </c>
      <c r="J138" s="243" t="s">
        <v>304</v>
      </c>
      <c r="K138" s="247" t="s">
        <v>305</v>
      </c>
    </row>
    <row r="139" spans="1:11" s="271" customFormat="1" ht="12.75" customHeight="1" x14ac:dyDescent="0.3">
      <c r="A139" s="241">
        <v>38880</v>
      </c>
      <c r="B139" s="242" t="s">
        <v>2332</v>
      </c>
      <c r="C139" s="243" t="s">
        <v>2098</v>
      </c>
      <c r="D139" s="243" t="s">
        <v>99</v>
      </c>
      <c r="E139" s="243"/>
      <c r="F139" s="244" t="s">
        <v>43</v>
      </c>
      <c r="G139" s="277" t="s">
        <v>67</v>
      </c>
      <c r="H139" s="278" t="s">
        <v>51</v>
      </c>
      <c r="I139" s="243" t="s">
        <v>321</v>
      </c>
      <c r="J139" s="243" t="s">
        <v>304</v>
      </c>
      <c r="K139" s="247" t="s">
        <v>305</v>
      </c>
    </row>
    <row r="140" spans="1:11" s="271" customFormat="1" ht="12.75" customHeight="1" x14ac:dyDescent="0.3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7" t="s">
        <v>228</v>
      </c>
      <c r="H140" s="278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25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7" t="s">
        <v>52</v>
      </c>
      <c r="H141" s="278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25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2368</v>
      </c>
      <c r="F142" s="244" t="s">
        <v>43</v>
      </c>
      <c r="G142" s="277" t="s">
        <v>52</v>
      </c>
      <c r="H142" s="278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25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7" t="s">
        <v>44</v>
      </c>
      <c r="H143" s="278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25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7" t="s">
        <v>67</v>
      </c>
      <c r="H144" s="278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25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7" t="s">
        <v>139</v>
      </c>
      <c r="H145" s="278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25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7" t="s">
        <v>67</v>
      </c>
      <c r="H146" s="278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25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2368</v>
      </c>
      <c r="F147" s="244" t="s">
        <v>43</v>
      </c>
      <c r="G147" s="277" t="s">
        <v>67</v>
      </c>
      <c r="H147" s="278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25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7" t="s">
        <v>58</v>
      </c>
      <c r="H148" s="278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25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7" t="s">
        <v>67</v>
      </c>
      <c r="H149" s="278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25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7" t="s">
        <v>94</v>
      </c>
      <c r="H150" s="278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25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7" t="s">
        <v>67</v>
      </c>
      <c r="H151" s="278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25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7" t="s">
        <v>79</v>
      </c>
      <c r="H152" s="278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25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7" t="s">
        <v>67</v>
      </c>
      <c r="H153" s="278" t="s">
        <v>45</v>
      </c>
      <c r="I153" s="243" t="s">
        <v>345</v>
      </c>
      <c r="J153" s="243" t="s">
        <v>304</v>
      </c>
      <c r="K153" s="247" t="s">
        <v>305</v>
      </c>
    </row>
    <row r="154" spans="1:11" s="271" customFormat="1" ht="12.75" customHeight="1" x14ac:dyDescent="0.3">
      <c r="A154" s="241">
        <v>38671</v>
      </c>
      <c r="B154" s="242" t="s">
        <v>430</v>
      </c>
      <c r="C154" s="249" t="s">
        <v>2463</v>
      </c>
      <c r="D154" s="249" t="s">
        <v>290</v>
      </c>
      <c r="E154" s="249" t="s">
        <v>2368</v>
      </c>
      <c r="F154" s="244" t="s">
        <v>43</v>
      </c>
      <c r="G154" s="277" t="s">
        <v>44</v>
      </c>
      <c r="H154" s="278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25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2368</v>
      </c>
      <c r="F155" s="244" t="s">
        <v>43</v>
      </c>
      <c r="G155" s="277" t="s">
        <v>44</v>
      </c>
      <c r="H155" s="278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25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7" t="s">
        <v>58</v>
      </c>
      <c r="H156" s="278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25">
      <c r="A157" s="241">
        <v>7972</v>
      </c>
      <c r="B157" s="242" t="s">
        <v>2333</v>
      </c>
      <c r="C157" s="243" t="s">
        <v>374</v>
      </c>
      <c r="D157" s="243" t="s">
        <v>226</v>
      </c>
      <c r="E157" s="243"/>
      <c r="F157" s="244" t="s">
        <v>49</v>
      </c>
      <c r="G157" s="277" t="s">
        <v>50</v>
      </c>
      <c r="H157" s="278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25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7" t="s">
        <v>58</v>
      </c>
      <c r="H158" s="278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25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7" t="s">
        <v>52</v>
      </c>
      <c r="H159" s="278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25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7" t="s">
        <v>52</v>
      </c>
      <c r="H160" s="278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25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7" t="s">
        <v>44</v>
      </c>
      <c r="H161" s="278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25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2368</v>
      </c>
      <c r="F162" s="244" t="s">
        <v>49</v>
      </c>
      <c r="G162" s="277" t="s">
        <v>50</v>
      </c>
      <c r="H162" s="278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25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7" t="s">
        <v>79</v>
      </c>
      <c r="H163" s="278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25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2368</v>
      </c>
      <c r="F164" s="244" t="s">
        <v>43</v>
      </c>
      <c r="G164" s="277" t="s">
        <v>52</v>
      </c>
      <c r="H164" s="278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25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7" t="s">
        <v>50</v>
      </c>
      <c r="H165" s="278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25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7" t="s">
        <v>139</v>
      </c>
      <c r="H166" s="278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25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7" t="s">
        <v>44</v>
      </c>
      <c r="H167" s="278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25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7" t="s">
        <v>52</v>
      </c>
      <c r="H168" s="278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25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7" t="s">
        <v>52</v>
      </c>
      <c r="H169" s="278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25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2368</v>
      </c>
      <c r="F170" s="244" t="s">
        <v>43</v>
      </c>
      <c r="G170" s="277" t="s">
        <v>44</v>
      </c>
      <c r="H170" s="278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25">
      <c r="A171" s="241">
        <v>38907</v>
      </c>
      <c r="B171" s="242" t="s">
        <v>2464</v>
      </c>
      <c r="C171" s="249" t="s">
        <v>2465</v>
      </c>
      <c r="D171" s="249" t="s">
        <v>143</v>
      </c>
      <c r="E171" s="249" t="s">
        <v>2368</v>
      </c>
      <c r="F171" s="244" t="s">
        <v>43</v>
      </c>
      <c r="G171" s="277" t="s">
        <v>44</v>
      </c>
      <c r="H171" s="278"/>
      <c r="I171" s="249" t="s">
        <v>345</v>
      </c>
      <c r="J171" s="249" t="s">
        <v>304</v>
      </c>
      <c r="K171" s="247" t="s">
        <v>305</v>
      </c>
      <c r="L171" s="274"/>
      <c r="M171" s="274"/>
      <c r="N171" s="274"/>
      <c r="Q171" s="276"/>
    </row>
    <row r="172" spans="1:17" ht="12.75" customHeight="1" x14ac:dyDescent="0.25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2368</v>
      </c>
      <c r="F172" s="244" t="s">
        <v>43</v>
      </c>
      <c r="G172" s="277" t="s">
        <v>44</v>
      </c>
      <c r="H172" s="278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25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7" t="s">
        <v>139</v>
      </c>
      <c r="H173" s="278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25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2368</v>
      </c>
      <c r="F174" s="244" t="s">
        <v>43</v>
      </c>
      <c r="G174" s="277" t="s">
        <v>44</v>
      </c>
      <c r="H174" s="278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25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7" t="s">
        <v>67</v>
      </c>
      <c r="H175" s="278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25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7" t="s">
        <v>79</v>
      </c>
      <c r="H176" s="278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25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7" t="s">
        <v>79</v>
      </c>
      <c r="H177" s="278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25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7" t="s">
        <v>50</v>
      </c>
      <c r="H178" s="278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25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7" t="s">
        <v>58</v>
      </c>
      <c r="H179" s="278" t="s">
        <v>66</v>
      </c>
      <c r="I179" s="243" t="s">
        <v>345</v>
      </c>
      <c r="J179" s="243" t="s">
        <v>304</v>
      </c>
      <c r="K179" s="247" t="s">
        <v>305</v>
      </c>
      <c r="L179" s="274"/>
      <c r="M179" s="274"/>
      <c r="N179" s="274"/>
      <c r="Q179" s="276"/>
    </row>
    <row r="180" spans="1:17" ht="12.75" customHeight="1" x14ac:dyDescent="0.25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7" t="s">
        <v>44</v>
      </c>
      <c r="H180" s="278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25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7" t="s">
        <v>228</v>
      </c>
      <c r="H181" s="278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25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7" t="s">
        <v>52</v>
      </c>
      <c r="H182" s="278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25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2368</v>
      </c>
      <c r="F183" s="244" t="s">
        <v>49</v>
      </c>
      <c r="G183" s="277" t="s">
        <v>79</v>
      </c>
      <c r="H183" s="278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25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7" t="s">
        <v>52</v>
      </c>
      <c r="H184" s="278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25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7" t="s">
        <v>79</v>
      </c>
      <c r="H185" s="278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25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7" t="s">
        <v>79</v>
      </c>
      <c r="H186" s="278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25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7" t="s">
        <v>44</v>
      </c>
      <c r="H187" s="278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25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2368</v>
      </c>
      <c r="F188" s="244" t="s">
        <v>43</v>
      </c>
      <c r="G188" s="277" t="s">
        <v>67</v>
      </c>
      <c r="H188" s="278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25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7" t="s">
        <v>79</v>
      </c>
      <c r="H189" s="278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25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25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7" t="s">
        <v>139</v>
      </c>
      <c r="H191" s="278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25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7" t="s">
        <v>44</v>
      </c>
      <c r="H192" s="278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25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7" t="s">
        <v>44</v>
      </c>
      <c r="H193" s="278" t="s">
        <v>180</v>
      </c>
      <c r="I193" s="243" t="s">
        <v>441</v>
      </c>
      <c r="J193" s="243" t="s">
        <v>442</v>
      </c>
      <c r="K193" s="247" t="s">
        <v>443</v>
      </c>
      <c r="L193" s="274"/>
      <c r="M193" s="274"/>
      <c r="N193" s="274"/>
      <c r="Q193" s="276"/>
    </row>
    <row r="194" spans="1:17" ht="12.75" customHeight="1" x14ac:dyDescent="0.25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7" t="s">
        <v>58</v>
      </c>
      <c r="H194" s="278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25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7" t="s">
        <v>50</v>
      </c>
      <c r="H195" s="278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25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7" t="s">
        <v>44</v>
      </c>
      <c r="H196" s="278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25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7" t="s">
        <v>44</v>
      </c>
      <c r="H197" s="278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25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7" t="s">
        <v>52</v>
      </c>
      <c r="H198" s="278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25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7" t="s">
        <v>67</v>
      </c>
      <c r="H199" s="278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25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7" t="s">
        <v>44</v>
      </c>
      <c r="H200" s="278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25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7" t="s">
        <v>44</v>
      </c>
      <c r="H201" s="278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25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7" t="s">
        <v>52</v>
      </c>
      <c r="H202" s="278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25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25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7" t="s">
        <v>44</v>
      </c>
      <c r="H204" s="278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25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7" t="s">
        <v>44</v>
      </c>
      <c r="H205" s="278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25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7" t="s">
        <v>228</v>
      </c>
      <c r="H206" s="278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25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7" t="s">
        <v>79</v>
      </c>
      <c r="H207" s="278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25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7" t="s">
        <v>44</v>
      </c>
      <c r="H208" s="278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25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7" t="s">
        <v>52</v>
      </c>
      <c r="H209" s="278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25">
      <c r="A210" s="241">
        <v>38911</v>
      </c>
      <c r="B210" s="242" t="s">
        <v>2466</v>
      </c>
      <c r="C210" s="243" t="s">
        <v>2467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25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7" t="s">
        <v>44</v>
      </c>
      <c r="H211" s="278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25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7" t="s">
        <v>44</v>
      </c>
      <c r="H212" s="278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25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7" t="s">
        <v>44</v>
      </c>
      <c r="H213" s="278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25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7" t="s">
        <v>44</v>
      </c>
      <c r="H214" s="278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25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7" t="s">
        <v>44</v>
      </c>
      <c r="H215" s="278" t="s">
        <v>66</v>
      </c>
      <c r="I215" s="243" t="s">
        <v>488</v>
      </c>
      <c r="J215" s="243" t="s">
        <v>442</v>
      </c>
      <c r="K215" s="247" t="s">
        <v>443</v>
      </c>
      <c r="L215" s="274"/>
      <c r="M215" s="274"/>
      <c r="N215" s="274"/>
      <c r="Q215" s="276"/>
    </row>
    <row r="216" spans="1:17" ht="12.75" customHeight="1" x14ac:dyDescent="0.25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7" t="s">
        <v>44</v>
      </c>
      <c r="H216" s="278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25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7" t="s">
        <v>44</v>
      </c>
      <c r="H217" s="278"/>
      <c r="I217" s="243" t="s">
        <v>488</v>
      </c>
      <c r="J217" s="243" t="s">
        <v>442</v>
      </c>
      <c r="K217" s="247" t="s">
        <v>443</v>
      </c>
      <c r="L217" s="274"/>
      <c r="M217" s="274"/>
      <c r="N217" s="274"/>
      <c r="Q217" s="276"/>
    </row>
    <row r="218" spans="1:17" ht="12.75" customHeight="1" x14ac:dyDescent="0.25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7" t="s">
        <v>67</v>
      </c>
      <c r="H218" s="278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25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4"/>
      <c r="M219" s="274"/>
      <c r="N219" s="274"/>
      <c r="Q219" s="276"/>
    </row>
    <row r="220" spans="1:17" ht="12.75" customHeight="1" x14ac:dyDescent="0.25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7" t="s">
        <v>79</v>
      </c>
      <c r="H220" s="278" t="s">
        <v>51</v>
      </c>
      <c r="I220" s="243" t="s">
        <v>510</v>
      </c>
      <c r="J220" s="243" t="s">
        <v>511</v>
      </c>
      <c r="K220" s="247" t="s">
        <v>512</v>
      </c>
      <c r="L220" s="274"/>
      <c r="M220" s="274"/>
      <c r="N220" s="274"/>
      <c r="Q220" s="276"/>
    </row>
    <row r="221" spans="1:17" ht="12.75" customHeight="1" x14ac:dyDescent="0.25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4"/>
      <c r="M221" s="274"/>
      <c r="N221" s="274"/>
      <c r="Q221" s="276"/>
    </row>
    <row r="222" spans="1:17" ht="12.75" customHeight="1" x14ac:dyDescent="0.25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4"/>
      <c r="M222" s="274"/>
      <c r="N222" s="274"/>
      <c r="Q222" s="276"/>
    </row>
    <row r="223" spans="1:17" ht="12.75" customHeight="1" x14ac:dyDescent="0.25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4"/>
      <c r="M223" s="274"/>
      <c r="N223" s="274"/>
      <c r="Q223" s="276"/>
    </row>
    <row r="224" spans="1:17" ht="12.75" customHeight="1" x14ac:dyDescent="0.25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7" t="s">
        <v>67</v>
      </c>
      <c r="H224" s="278" t="s">
        <v>45</v>
      </c>
      <c r="I224" s="243" t="s">
        <v>510</v>
      </c>
      <c r="J224" s="243" t="s">
        <v>511</v>
      </c>
      <c r="K224" s="247" t="s">
        <v>512</v>
      </c>
      <c r="L224" s="274"/>
      <c r="M224" s="274"/>
      <c r="N224" s="274"/>
      <c r="Q224" s="276"/>
    </row>
    <row r="225" spans="1:17" ht="12.75" customHeight="1" x14ac:dyDescent="0.25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2368</v>
      </c>
      <c r="F225" s="244" t="s">
        <v>43</v>
      </c>
      <c r="G225" s="277" t="s">
        <v>52</v>
      </c>
      <c r="H225" s="278" t="s">
        <v>45</v>
      </c>
      <c r="I225" s="249" t="s">
        <v>510</v>
      </c>
      <c r="J225" s="249" t="s">
        <v>511</v>
      </c>
      <c r="K225" s="247" t="s">
        <v>512</v>
      </c>
      <c r="L225" s="274"/>
      <c r="M225" s="274"/>
      <c r="N225" s="274"/>
      <c r="Q225" s="276"/>
    </row>
    <row r="226" spans="1:17" ht="12.75" customHeight="1" x14ac:dyDescent="0.25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4"/>
      <c r="M226" s="274"/>
      <c r="N226" s="274"/>
      <c r="Q226" s="276"/>
    </row>
    <row r="227" spans="1:17" ht="12.75" customHeight="1" x14ac:dyDescent="0.25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4"/>
      <c r="M227" s="274"/>
      <c r="N227" s="274"/>
      <c r="Q227" s="276"/>
    </row>
    <row r="228" spans="1:17" ht="12.75" customHeight="1" x14ac:dyDescent="0.25">
      <c r="A228" s="241">
        <v>38892</v>
      </c>
      <c r="B228" s="242" t="s">
        <v>2382</v>
      </c>
      <c r="C228" s="243" t="s">
        <v>2383</v>
      </c>
      <c r="D228" s="243" t="s">
        <v>669</v>
      </c>
      <c r="E228" s="243"/>
      <c r="F228" s="244" t="s">
        <v>43</v>
      </c>
      <c r="G228" s="277" t="s">
        <v>94</v>
      </c>
      <c r="H228" s="278" t="s">
        <v>51</v>
      </c>
      <c r="I228" s="243" t="s">
        <v>510</v>
      </c>
      <c r="J228" s="243" t="s">
        <v>511</v>
      </c>
      <c r="K228" s="247" t="s">
        <v>512</v>
      </c>
      <c r="L228" s="274"/>
      <c r="M228" s="274"/>
      <c r="N228" s="274"/>
      <c r="Q228" s="276"/>
    </row>
    <row r="229" spans="1:17" ht="12.75" customHeight="1" x14ac:dyDescent="0.25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7" t="s">
        <v>52</v>
      </c>
      <c r="H229" s="278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25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7" t="s">
        <v>79</v>
      </c>
      <c r="H230" s="278" t="s">
        <v>180</v>
      </c>
      <c r="I230" s="243" t="s">
        <v>510</v>
      </c>
      <c r="J230" s="243" t="s">
        <v>511</v>
      </c>
      <c r="K230" s="247" t="s">
        <v>512</v>
      </c>
      <c r="L230" s="274"/>
      <c r="M230" s="274"/>
      <c r="N230" s="274"/>
      <c r="Q230" s="276"/>
    </row>
    <row r="231" spans="1:17" ht="12.75" customHeight="1" x14ac:dyDescent="0.25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7" t="s">
        <v>79</v>
      </c>
      <c r="H231" s="278"/>
      <c r="I231" s="243" t="s">
        <v>510</v>
      </c>
      <c r="J231" s="243" t="s">
        <v>511</v>
      </c>
      <c r="K231" s="247" t="s">
        <v>512</v>
      </c>
      <c r="L231" s="274"/>
      <c r="M231" s="274"/>
      <c r="N231" s="274"/>
      <c r="Q231" s="276"/>
    </row>
    <row r="232" spans="1:17" ht="12.75" customHeight="1" x14ac:dyDescent="0.25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7" t="s">
        <v>52</v>
      </c>
      <c r="H232" s="278" t="s">
        <v>45</v>
      </c>
      <c r="I232" s="243" t="s">
        <v>510</v>
      </c>
      <c r="J232" s="243" t="s">
        <v>511</v>
      </c>
      <c r="K232" s="247" t="s">
        <v>512</v>
      </c>
      <c r="L232" s="274"/>
      <c r="M232" s="274"/>
      <c r="N232" s="274"/>
      <c r="Q232" s="276"/>
    </row>
    <row r="233" spans="1:17" ht="12.75" customHeight="1" x14ac:dyDescent="0.25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7" t="s">
        <v>79</v>
      </c>
      <c r="H233" s="278" t="s">
        <v>66</v>
      </c>
      <c r="I233" s="243" t="s">
        <v>510</v>
      </c>
      <c r="J233" s="243" t="s">
        <v>511</v>
      </c>
      <c r="K233" s="247" t="s">
        <v>512</v>
      </c>
      <c r="L233" s="274"/>
      <c r="M233" s="274"/>
      <c r="N233" s="274"/>
      <c r="Q233" s="276"/>
    </row>
    <row r="234" spans="1:17" ht="12.75" customHeight="1" x14ac:dyDescent="0.25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2368</v>
      </c>
      <c r="F234" s="244" t="s">
        <v>49</v>
      </c>
      <c r="G234" s="277" t="s">
        <v>139</v>
      </c>
      <c r="H234" s="278" t="s">
        <v>51</v>
      </c>
      <c r="I234" s="249" t="s">
        <v>510</v>
      </c>
      <c r="J234" s="249" t="s">
        <v>511</v>
      </c>
      <c r="K234" s="247" t="s">
        <v>512</v>
      </c>
      <c r="L234" s="274"/>
      <c r="M234" s="274"/>
      <c r="N234" s="274"/>
      <c r="Q234" s="276"/>
    </row>
    <row r="235" spans="1:17" ht="12.75" customHeight="1" x14ac:dyDescent="0.25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7" t="s">
        <v>44</v>
      </c>
      <c r="H235" s="278" t="s">
        <v>45</v>
      </c>
      <c r="I235" s="243" t="s">
        <v>510</v>
      </c>
      <c r="J235" s="243" t="s">
        <v>511</v>
      </c>
      <c r="K235" s="247" t="s">
        <v>512</v>
      </c>
      <c r="L235" s="274"/>
      <c r="M235" s="274"/>
      <c r="N235" s="274"/>
      <c r="Q235" s="276"/>
    </row>
    <row r="236" spans="1:17" ht="12.75" customHeight="1" x14ac:dyDescent="0.25">
      <c r="A236" s="241">
        <v>38908</v>
      </c>
      <c r="B236" s="242" t="s">
        <v>2468</v>
      </c>
      <c r="C236" s="243" t="s">
        <v>2173</v>
      </c>
      <c r="D236" s="243" t="s">
        <v>125</v>
      </c>
      <c r="E236" s="243"/>
      <c r="F236" s="244" t="s">
        <v>43</v>
      </c>
      <c r="G236" s="277" t="s">
        <v>94</v>
      </c>
      <c r="H236" s="278"/>
      <c r="I236" s="243" t="s">
        <v>510</v>
      </c>
      <c r="J236" s="243" t="s">
        <v>511</v>
      </c>
      <c r="K236" s="247" t="s">
        <v>512</v>
      </c>
      <c r="L236" s="274"/>
      <c r="M236" s="274"/>
      <c r="N236" s="274"/>
      <c r="Q236" s="276"/>
    </row>
    <row r="237" spans="1:17" ht="12.75" customHeight="1" x14ac:dyDescent="0.25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7" t="s">
        <v>50</v>
      </c>
      <c r="H237" s="278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25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7" t="s">
        <v>52</v>
      </c>
      <c r="H238" s="278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25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4"/>
      <c r="M239" s="274"/>
      <c r="N239" s="274"/>
      <c r="Q239" s="276"/>
    </row>
    <row r="240" spans="1:17" ht="12.75" customHeight="1" x14ac:dyDescent="0.25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4"/>
      <c r="M240" s="274"/>
      <c r="N240" s="274"/>
      <c r="Q240" s="276"/>
    </row>
    <row r="241" spans="1:11" ht="12.75" customHeight="1" x14ac:dyDescent="0.25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7" t="s">
        <v>67</v>
      </c>
      <c r="H241" s="278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25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7" t="s">
        <v>67</v>
      </c>
      <c r="H242" s="278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25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7" t="s">
        <v>44</v>
      </c>
      <c r="H243" s="278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25">
      <c r="A244" s="241">
        <v>10662</v>
      </c>
      <c r="B244" s="242" t="s">
        <v>2469</v>
      </c>
      <c r="C244" s="243" t="s">
        <v>2470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25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2368</v>
      </c>
      <c r="F245" s="244" t="s">
        <v>43</v>
      </c>
      <c r="G245" s="277" t="s">
        <v>58</v>
      </c>
      <c r="H245" s="278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25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7" t="s">
        <v>50</v>
      </c>
      <c r="H246" s="278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25">
      <c r="A247" s="241">
        <v>25911</v>
      </c>
      <c r="B247" s="242" t="s">
        <v>2471</v>
      </c>
      <c r="C247" s="243" t="s">
        <v>575</v>
      </c>
      <c r="D247" s="243" t="s">
        <v>117</v>
      </c>
      <c r="E247" s="243"/>
      <c r="F247" s="244" t="s">
        <v>43</v>
      </c>
      <c r="G247" s="277" t="s">
        <v>52</v>
      </c>
      <c r="H247" s="278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25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7" t="s">
        <v>67</v>
      </c>
      <c r="H248" s="278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25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7" t="s">
        <v>50</v>
      </c>
      <c r="H249" s="278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25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7" t="s">
        <v>58</v>
      </c>
      <c r="H250" s="278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25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7" t="s">
        <v>52</v>
      </c>
      <c r="H251" s="278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25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7" t="s">
        <v>94</v>
      </c>
      <c r="H252" s="278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25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2368</v>
      </c>
      <c r="F253" s="244" t="s">
        <v>43</v>
      </c>
      <c r="G253" s="277" t="s">
        <v>67</v>
      </c>
      <c r="H253" s="278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25">
      <c r="A254" s="241">
        <v>29466</v>
      </c>
      <c r="B254" s="242" t="s">
        <v>2334</v>
      </c>
      <c r="C254" s="243" t="s">
        <v>2335</v>
      </c>
      <c r="D254" s="243" t="s">
        <v>143</v>
      </c>
      <c r="E254" s="243"/>
      <c r="F254" s="244" t="s">
        <v>43</v>
      </c>
      <c r="G254" s="277" t="s">
        <v>67</v>
      </c>
      <c r="H254" s="278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25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7" t="s">
        <v>44</v>
      </c>
      <c r="H255" s="278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25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7" t="s">
        <v>58</v>
      </c>
      <c r="H256" s="278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25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7" t="s">
        <v>52</v>
      </c>
      <c r="H257" s="278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25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7" t="s">
        <v>52</v>
      </c>
      <c r="H258" s="278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25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7" t="s">
        <v>44</v>
      </c>
      <c r="H259" s="278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25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7" t="s">
        <v>362</v>
      </c>
      <c r="H260" s="278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25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7" t="s">
        <v>44</v>
      </c>
      <c r="H261" s="278" t="s">
        <v>51</v>
      </c>
      <c r="I261" s="243" t="s">
        <v>563</v>
      </c>
      <c r="J261" s="243" t="s">
        <v>564</v>
      </c>
      <c r="K261" s="247" t="s">
        <v>24</v>
      </c>
      <c r="L261" s="274"/>
      <c r="M261" s="274"/>
      <c r="N261" s="274"/>
      <c r="Q261" s="276"/>
    </row>
    <row r="262" spans="1:17" ht="12.75" customHeight="1" x14ac:dyDescent="0.25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7" t="s">
        <v>44</v>
      </c>
      <c r="H262" s="278" t="s">
        <v>180</v>
      </c>
      <c r="I262" s="243" t="s">
        <v>563</v>
      </c>
      <c r="J262" s="243" t="s">
        <v>564</v>
      </c>
      <c r="K262" s="247" t="s">
        <v>24</v>
      </c>
      <c r="L262" s="274"/>
      <c r="M262" s="274"/>
      <c r="N262" s="274"/>
      <c r="Q262" s="276"/>
    </row>
    <row r="263" spans="1:17" ht="12.75" customHeight="1" x14ac:dyDescent="0.25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7" t="s">
        <v>44</v>
      </c>
      <c r="H263" s="278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25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25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7" t="s">
        <v>67</v>
      </c>
      <c r="H265" s="278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25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7" t="s">
        <v>44</v>
      </c>
      <c r="H266" s="278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25">
      <c r="A267" s="241">
        <v>16722</v>
      </c>
      <c r="B267" s="242" t="s">
        <v>2472</v>
      </c>
      <c r="C267" s="243" t="s">
        <v>2473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25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7" t="s">
        <v>44</v>
      </c>
      <c r="H268" s="278" t="s">
        <v>180</v>
      </c>
      <c r="I268" s="243" t="s">
        <v>635</v>
      </c>
      <c r="J268" s="243" t="s">
        <v>636</v>
      </c>
      <c r="K268" s="247" t="s">
        <v>637</v>
      </c>
      <c r="L268" s="274"/>
      <c r="M268" s="274"/>
      <c r="N268" s="274"/>
      <c r="Q268" s="276"/>
    </row>
    <row r="269" spans="1:17" ht="12.75" customHeight="1" x14ac:dyDescent="0.25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7" t="s">
        <v>67</v>
      </c>
      <c r="H269" s="278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25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7" t="s">
        <v>44</v>
      </c>
      <c r="H270" s="278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25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7" t="s">
        <v>44</v>
      </c>
      <c r="H271" s="278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25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7" t="s">
        <v>44</v>
      </c>
      <c r="H272" s="278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25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7" t="s">
        <v>58</v>
      </c>
      <c r="H273" s="278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25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7" t="s">
        <v>67</v>
      </c>
      <c r="H274" s="278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25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7" t="s">
        <v>52</v>
      </c>
      <c r="H275" s="278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25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7" t="s">
        <v>67</v>
      </c>
      <c r="H276" s="278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25">
      <c r="A277" s="241">
        <v>25516</v>
      </c>
      <c r="B277" s="242" t="s">
        <v>2384</v>
      </c>
      <c r="C277" s="243" t="s">
        <v>2385</v>
      </c>
      <c r="D277" s="243" t="s">
        <v>143</v>
      </c>
      <c r="E277" s="243"/>
      <c r="F277" s="244" t="s">
        <v>43</v>
      </c>
      <c r="G277" s="277" t="s">
        <v>44</v>
      </c>
      <c r="H277" s="278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25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7" t="s">
        <v>52</v>
      </c>
      <c r="H278" s="278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25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7" t="s">
        <v>44</v>
      </c>
      <c r="H279" s="278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25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2368</v>
      </c>
      <c r="F280" s="244" t="s">
        <v>43</v>
      </c>
      <c r="G280" s="277" t="s">
        <v>44</v>
      </c>
      <c r="H280" s="278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25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7" t="s">
        <v>52</v>
      </c>
      <c r="H281" s="278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25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7" t="s">
        <v>52</v>
      </c>
      <c r="H282" s="278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25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7" t="s">
        <v>52</v>
      </c>
      <c r="H283" s="278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25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7" t="s">
        <v>50</v>
      </c>
      <c r="H284" s="278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25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7" t="s">
        <v>44</v>
      </c>
      <c r="H285" s="278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25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7" t="s">
        <v>44</v>
      </c>
      <c r="H286" s="278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25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7" t="s">
        <v>67</v>
      </c>
      <c r="H287" s="278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25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25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7" t="s">
        <v>44</v>
      </c>
      <c r="H289" s="278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25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7" t="s">
        <v>52</v>
      </c>
      <c r="H290" s="278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25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7" t="s">
        <v>44</v>
      </c>
      <c r="H291" s="278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25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7" t="s">
        <v>44</v>
      </c>
      <c r="H292" s="278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25">
      <c r="A293" s="241">
        <v>38927</v>
      </c>
      <c r="B293" s="242" t="s">
        <v>2474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25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2368</v>
      </c>
      <c r="F294" s="244" t="s">
        <v>43</v>
      </c>
      <c r="G294" s="277" t="s">
        <v>89</v>
      </c>
      <c r="H294" s="278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25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7" t="s">
        <v>362</v>
      </c>
      <c r="H295" s="278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25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2368</v>
      </c>
      <c r="F296" s="244" t="s">
        <v>43</v>
      </c>
      <c r="G296" s="277" t="s">
        <v>89</v>
      </c>
      <c r="H296" s="278" t="s">
        <v>104</v>
      </c>
      <c r="I296" s="249" t="s">
        <v>674</v>
      </c>
      <c r="J296" s="249" t="s">
        <v>675</v>
      </c>
      <c r="K296" s="247" t="s">
        <v>676</v>
      </c>
      <c r="L296" s="274"/>
      <c r="M296" s="274"/>
      <c r="N296" s="274"/>
      <c r="Q296" s="276"/>
    </row>
    <row r="297" spans="1:17" ht="12.75" customHeight="1" x14ac:dyDescent="0.25">
      <c r="A297" s="241">
        <v>38894</v>
      </c>
      <c r="B297" s="242" t="s">
        <v>2386</v>
      </c>
      <c r="C297" s="243" t="s">
        <v>2387</v>
      </c>
      <c r="D297" s="243" t="s">
        <v>1380</v>
      </c>
      <c r="E297" s="243"/>
      <c r="F297" s="244" t="s">
        <v>43</v>
      </c>
      <c r="G297" s="277" t="s">
        <v>89</v>
      </c>
      <c r="H297" s="278" t="s">
        <v>104</v>
      </c>
      <c r="I297" s="243" t="s">
        <v>674</v>
      </c>
      <c r="J297" s="243" t="s">
        <v>675</v>
      </c>
      <c r="K297" s="247" t="s">
        <v>676</v>
      </c>
      <c r="L297" s="274"/>
      <c r="M297" s="274"/>
      <c r="N297" s="274"/>
      <c r="Q297" s="276"/>
    </row>
    <row r="298" spans="1:17" ht="12.75" customHeight="1" x14ac:dyDescent="0.25">
      <c r="A298" s="241">
        <v>38915</v>
      </c>
      <c r="B298" s="242" t="s">
        <v>2475</v>
      </c>
      <c r="C298" s="243" t="s">
        <v>2476</v>
      </c>
      <c r="D298" s="243" t="s">
        <v>2477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25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2368</v>
      </c>
      <c r="F299" s="244" t="s">
        <v>43</v>
      </c>
      <c r="G299" s="277" t="s">
        <v>362</v>
      </c>
      <c r="H299" s="278" t="s">
        <v>104</v>
      </c>
      <c r="I299" s="249" t="s">
        <v>674</v>
      </c>
      <c r="J299" s="249" t="s">
        <v>675</v>
      </c>
      <c r="K299" s="247" t="s">
        <v>676</v>
      </c>
      <c r="L299" s="274"/>
      <c r="M299" s="274"/>
      <c r="N299" s="274"/>
      <c r="Q299" s="276"/>
    </row>
    <row r="300" spans="1:17" ht="12.75" customHeight="1" x14ac:dyDescent="0.25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7" t="s">
        <v>50</v>
      </c>
      <c r="H300" s="278" t="s">
        <v>180</v>
      </c>
      <c r="I300" s="243" t="s">
        <v>682</v>
      </c>
      <c r="J300" s="243" t="s">
        <v>679</v>
      </c>
      <c r="K300" s="247" t="s">
        <v>680</v>
      </c>
      <c r="L300" s="274"/>
      <c r="M300" s="274"/>
      <c r="N300" s="274"/>
      <c r="Q300" s="276"/>
    </row>
    <row r="301" spans="1:17" ht="12.75" customHeight="1" x14ac:dyDescent="0.25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7" t="s">
        <v>44</v>
      </c>
      <c r="H301" s="278" t="s">
        <v>66</v>
      </c>
      <c r="I301" s="243" t="s">
        <v>682</v>
      </c>
      <c r="J301" s="243" t="s">
        <v>679</v>
      </c>
      <c r="K301" s="247" t="s">
        <v>680</v>
      </c>
      <c r="L301" s="274"/>
      <c r="M301" s="274"/>
      <c r="N301" s="274"/>
      <c r="Q301" s="276"/>
    </row>
    <row r="302" spans="1:17" ht="12.75" customHeight="1" x14ac:dyDescent="0.25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7" t="s">
        <v>67</v>
      </c>
      <c r="H302" s="278" t="s">
        <v>180</v>
      </c>
      <c r="I302" s="243" t="s">
        <v>682</v>
      </c>
      <c r="J302" s="243" t="s">
        <v>679</v>
      </c>
      <c r="K302" s="247" t="s">
        <v>680</v>
      </c>
      <c r="L302" s="274"/>
      <c r="M302" s="274"/>
      <c r="N302" s="274"/>
      <c r="Q302" s="276"/>
    </row>
    <row r="303" spans="1:17" ht="12.75" customHeight="1" x14ac:dyDescent="0.25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7" t="s">
        <v>58</v>
      </c>
      <c r="H303" s="278" t="s">
        <v>45</v>
      </c>
      <c r="I303" s="243" t="s">
        <v>682</v>
      </c>
      <c r="J303" s="243" t="s">
        <v>679</v>
      </c>
      <c r="K303" s="247" t="s">
        <v>680</v>
      </c>
      <c r="L303" s="274"/>
      <c r="M303" s="274"/>
      <c r="N303" s="274"/>
      <c r="Q303" s="276"/>
    </row>
    <row r="304" spans="1:17" ht="12.75" customHeight="1" x14ac:dyDescent="0.25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7" t="s">
        <v>52</v>
      </c>
      <c r="H304" s="278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25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7" t="s">
        <v>67</v>
      </c>
      <c r="H305" s="278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25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7" t="s">
        <v>44</v>
      </c>
      <c r="H306" s="278"/>
      <c r="I306" s="243" t="s">
        <v>682</v>
      </c>
      <c r="J306" s="243" t="s">
        <v>679</v>
      </c>
      <c r="K306" s="247" t="s">
        <v>680</v>
      </c>
      <c r="L306" s="274"/>
      <c r="M306" s="274"/>
      <c r="N306" s="274"/>
      <c r="Q306" s="276"/>
    </row>
    <row r="307" spans="1:17" ht="12.75" customHeight="1" x14ac:dyDescent="0.25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7" t="s">
        <v>44</v>
      </c>
      <c r="H307" s="278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25">
      <c r="A308" s="241">
        <v>38735</v>
      </c>
      <c r="B308" s="242" t="s">
        <v>2478</v>
      </c>
      <c r="C308" s="243" t="s">
        <v>1911</v>
      </c>
      <c r="D308" s="243" t="s">
        <v>2479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25">
      <c r="A309" s="241">
        <v>38900</v>
      </c>
      <c r="B309" s="242" t="s">
        <v>2388</v>
      </c>
      <c r="C309" s="256" t="s">
        <v>2389</v>
      </c>
      <c r="D309" s="249" t="s">
        <v>132</v>
      </c>
      <c r="E309" s="249" t="s">
        <v>2368</v>
      </c>
      <c r="F309" s="244" t="s">
        <v>43</v>
      </c>
      <c r="G309" s="277" t="s">
        <v>44</v>
      </c>
      <c r="H309" s="278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25">
      <c r="A310" s="241">
        <v>38901</v>
      </c>
      <c r="B310" s="242" t="s">
        <v>2390</v>
      </c>
      <c r="C310" s="256" t="s">
        <v>887</v>
      </c>
      <c r="D310" s="249" t="s">
        <v>845</v>
      </c>
      <c r="E310" s="249" t="s">
        <v>2368</v>
      </c>
      <c r="F310" s="244" t="s">
        <v>43</v>
      </c>
      <c r="G310" s="277" t="s">
        <v>94</v>
      </c>
      <c r="H310" s="278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25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7" t="s">
        <v>58</v>
      </c>
      <c r="H311" s="278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25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7" t="s">
        <v>79</v>
      </c>
      <c r="H312" s="278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25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7" t="s">
        <v>139</v>
      </c>
      <c r="H313" s="278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25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2368</v>
      </c>
      <c r="F314" s="244" t="s">
        <v>43</v>
      </c>
      <c r="G314" s="277" t="s">
        <v>44</v>
      </c>
      <c r="H314" s="278"/>
      <c r="I314" s="249" t="s">
        <v>682</v>
      </c>
      <c r="J314" s="249" t="s">
        <v>679</v>
      </c>
      <c r="K314" s="247" t="s">
        <v>680</v>
      </c>
      <c r="L314" s="274"/>
      <c r="M314" s="274"/>
      <c r="N314" s="274"/>
      <c r="Q314" s="276"/>
    </row>
    <row r="315" spans="1:17" ht="12.75" customHeight="1" x14ac:dyDescent="0.25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7" t="s">
        <v>52</v>
      </c>
      <c r="H315" s="278" t="s">
        <v>66</v>
      </c>
      <c r="I315" s="243" t="s">
        <v>682</v>
      </c>
      <c r="J315" s="243" t="s">
        <v>679</v>
      </c>
      <c r="K315" s="247" t="s">
        <v>680</v>
      </c>
      <c r="L315" s="274"/>
      <c r="M315" s="274"/>
      <c r="N315" s="274"/>
      <c r="Q315" s="276"/>
    </row>
    <row r="316" spans="1:17" ht="12.75" customHeight="1" x14ac:dyDescent="0.25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7" t="s">
        <v>139</v>
      </c>
      <c r="H316" s="278" t="s">
        <v>180</v>
      </c>
      <c r="I316" s="243" t="s">
        <v>682</v>
      </c>
      <c r="J316" s="243" t="s">
        <v>679</v>
      </c>
      <c r="K316" s="247" t="s">
        <v>680</v>
      </c>
      <c r="L316" s="274"/>
      <c r="M316" s="274"/>
      <c r="N316" s="274"/>
      <c r="Q316" s="276"/>
    </row>
    <row r="317" spans="1:17" ht="12.75" customHeight="1" x14ac:dyDescent="0.25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7" t="s">
        <v>94</v>
      </c>
      <c r="H317" s="278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25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7" t="s">
        <v>44</v>
      </c>
      <c r="H318" s="278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25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7" t="s">
        <v>44</v>
      </c>
      <c r="H319" s="278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25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7" t="s">
        <v>52</v>
      </c>
      <c r="H320" s="278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25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7" t="s">
        <v>94</v>
      </c>
      <c r="H321" s="278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25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7" t="s">
        <v>52</v>
      </c>
      <c r="H322" s="278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25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2368</v>
      </c>
      <c r="F323" s="244" t="s">
        <v>43</v>
      </c>
      <c r="G323" s="277" t="s">
        <v>94</v>
      </c>
      <c r="H323" s="278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25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2368</v>
      </c>
      <c r="F324" s="244" t="s">
        <v>43</v>
      </c>
      <c r="G324" s="277" t="s">
        <v>44</v>
      </c>
      <c r="H324" s="278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25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7" t="s">
        <v>44</v>
      </c>
      <c r="H325" s="278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25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7" t="s">
        <v>67</v>
      </c>
      <c r="H326" s="278"/>
      <c r="I326" s="243" t="s">
        <v>703</v>
      </c>
      <c r="J326" s="243" t="s">
        <v>679</v>
      </c>
      <c r="K326" s="247" t="s">
        <v>680</v>
      </c>
      <c r="L326" s="274"/>
      <c r="M326" s="274"/>
      <c r="N326" s="274"/>
      <c r="Q326" s="276"/>
    </row>
    <row r="327" spans="1:17" ht="12.75" customHeight="1" x14ac:dyDescent="0.25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7" t="s">
        <v>44</v>
      </c>
      <c r="H327" s="278"/>
      <c r="I327" s="243" t="s">
        <v>703</v>
      </c>
      <c r="J327" s="243" t="s">
        <v>679</v>
      </c>
      <c r="K327" s="247" t="s">
        <v>680</v>
      </c>
      <c r="L327" s="274"/>
      <c r="M327" s="274"/>
      <c r="N327" s="274"/>
      <c r="Q327" s="276"/>
    </row>
    <row r="328" spans="1:17" ht="12.75" customHeight="1" x14ac:dyDescent="0.25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7" t="s">
        <v>79</v>
      </c>
      <c r="H328" s="278"/>
      <c r="I328" s="243" t="s">
        <v>703</v>
      </c>
      <c r="J328" s="243" t="s">
        <v>679</v>
      </c>
      <c r="K328" s="247" t="s">
        <v>680</v>
      </c>
      <c r="L328" s="274"/>
      <c r="M328" s="274"/>
      <c r="N328" s="274"/>
      <c r="Q328" s="276"/>
    </row>
    <row r="329" spans="1:17" ht="12.75" customHeight="1" x14ac:dyDescent="0.25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2368</v>
      </c>
      <c r="F329" s="244" t="s">
        <v>43</v>
      </c>
      <c r="G329" s="277" t="s">
        <v>52</v>
      </c>
      <c r="H329" s="278"/>
      <c r="I329" s="249" t="s">
        <v>703</v>
      </c>
      <c r="J329" s="249" t="s">
        <v>679</v>
      </c>
      <c r="K329" s="247" t="s">
        <v>680</v>
      </c>
      <c r="L329" s="274"/>
      <c r="M329" s="274"/>
      <c r="N329" s="274"/>
      <c r="Q329" s="276"/>
    </row>
    <row r="330" spans="1:17" ht="12.75" customHeight="1" x14ac:dyDescent="0.25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7" t="s">
        <v>79</v>
      </c>
      <c r="H330" s="278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25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2368</v>
      </c>
      <c r="F331" s="244" t="s">
        <v>43</v>
      </c>
      <c r="G331" s="277" t="s">
        <v>52</v>
      </c>
      <c r="H331" s="278" t="s">
        <v>51</v>
      </c>
      <c r="I331" s="249" t="s">
        <v>703</v>
      </c>
      <c r="J331" s="249" t="s">
        <v>679</v>
      </c>
      <c r="K331" s="247" t="s">
        <v>680</v>
      </c>
      <c r="L331" s="274"/>
      <c r="M331" s="274"/>
      <c r="N331" s="274"/>
      <c r="Q331" s="276"/>
    </row>
    <row r="332" spans="1:17" ht="12.75" customHeight="1" x14ac:dyDescent="0.25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7" t="s">
        <v>52</v>
      </c>
      <c r="H332" s="278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25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7" t="s">
        <v>67</v>
      </c>
      <c r="H333" s="278" t="s">
        <v>45</v>
      </c>
      <c r="I333" s="243" t="s">
        <v>703</v>
      </c>
      <c r="J333" s="243" t="s">
        <v>679</v>
      </c>
      <c r="K333" s="247" t="s">
        <v>680</v>
      </c>
      <c r="L333" s="274"/>
      <c r="M333" s="274"/>
      <c r="N333" s="274"/>
      <c r="Q333" s="276"/>
    </row>
    <row r="334" spans="1:17" ht="12.75" customHeight="1" x14ac:dyDescent="0.25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7" t="s">
        <v>67</v>
      </c>
      <c r="H334" s="278" t="s">
        <v>45</v>
      </c>
      <c r="I334" s="243" t="s">
        <v>703</v>
      </c>
      <c r="J334" s="243" t="s">
        <v>679</v>
      </c>
      <c r="K334" s="247" t="s">
        <v>680</v>
      </c>
      <c r="L334" s="274"/>
      <c r="M334" s="274"/>
      <c r="N334" s="274"/>
      <c r="Q334" s="276"/>
    </row>
    <row r="335" spans="1:17" ht="12.75" customHeight="1" x14ac:dyDescent="0.25">
      <c r="A335" s="241">
        <v>25479</v>
      </c>
      <c r="B335" s="242" t="s">
        <v>2391</v>
      </c>
      <c r="C335" s="243" t="s">
        <v>696</v>
      </c>
      <c r="D335" s="243" t="s">
        <v>125</v>
      </c>
      <c r="E335" s="243"/>
      <c r="F335" s="244" t="s">
        <v>43</v>
      </c>
      <c r="G335" s="277" t="s">
        <v>67</v>
      </c>
      <c r="H335" s="278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25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7" t="s">
        <v>67</v>
      </c>
      <c r="H336" s="278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25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2368</v>
      </c>
      <c r="F337" s="244" t="s">
        <v>43</v>
      </c>
      <c r="G337" s="277" t="s">
        <v>67</v>
      </c>
      <c r="H337" s="278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25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2368</v>
      </c>
      <c r="F338" s="244" t="s">
        <v>49</v>
      </c>
      <c r="G338" s="277" t="s">
        <v>775</v>
      </c>
      <c r="H338" s="278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25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2368</v>
      </c>
      <c r="F339" s="244" t="s">
        <v>43</v>
      </c>
      <c r="G339" s="277" t="s">
        <v>44</v>
      </c>
      <c r="H339" s="278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25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7" t="s">
        <v>79</v>
      </c>
      <c r="H340" s="278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25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2368</v>
      </c>
      <c r="F341" s="244" t="s">
        <v>43</v>
      </c>
      <c r="G341" s="277" t="s">
        <v>44</v>
      </c>
      <c r="H341" s="278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25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25">
      <c r="A343" s="241">
        <v>38912</v>
      </c>
      <c r="B343" s="242" t="s">
        <v>2480</v>
      </c>
      <c r="C343" s="256" t="s">
        <v>1959</v>
      </c>
      <c r="D343" s="249" t="s">
        <v>2481</v>
      </c>
      <c r="E343" s="249" t="s">
        <v>2368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25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2368</v>
      </c>
      <c r="F344" s="244" t="s">
        <v>43</v>
      </c>
      <c r="G344" s="277" t="s">
        <v>89</v>
      </c>
      <c r="H344" s="278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25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2368</v>
      </c>
      <c r="F345" s="244" t="s">
        <v>49</v>
      </c>
      <c r="G345" s="277" t="s">
        <v>79</v>
      </c>
      <c r="H345" s="278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25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2368</v>
      </c>
      <c r="F346" s="244" t="s">
        <v>43</v>
      </c>
      <c r="G346" s="277" t="s">
        <v>67</v>
      </c>
      <c r="H346" s="278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25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2368</v>
      </c>
      <c r="F347" s="244" t="s">
        <v>43</v>
      </c>
      <c r="G347" s="277" t="s">
        <v>44</v>
      </c>
      <c r="H347" s="278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25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7" t="s">
        <v>139</v>
      </c>
      <c r="H348" s="278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25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2368</v>
      </c>
      <c r="F349" s="244" t="s">
        <v>43</v>
      </c>
      <c r="G349" s="277" t="s">
        <v>58</v>
      </c>
      <c r="H349" s="278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25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2368</v>
      </c>
      <c r="F350" s="244" t="s">
        <v>49</v>
      </c>
      <c r="G350" s="277" t="s">
        <v>228</v>
      </c>
      <c r="H350" s="278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25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7" t="s">
        <v>228</v>
      </c>
      <c r="H351" s="278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25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7" t="s">
        <v>52</v>
      </c>
      <c r="H352" s="278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25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7" t="s">
        <v>52</v>
      </c>
      <c r="H353" s="278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25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7" t="s">
        <v>44</v>
      </c>
      <c r="H354" s="278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25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7" t="s">
        <v>67</v>
      </c>
      <c r="H355" s="278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25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7" t="s">
        <v>44</v>
      </c>
      <c r="H356" s="278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25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2368</v>
      </c>
      <c r="F357" s="244" t="s">
        <v>43</v>
      </c>
      <c r="G357" s="277" t="s">
        <v>44</v>
      </c>
      <c r="H357" s="278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25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7" t="s">
        <v>44</v>
      </c>
      <c r="H358" s="278"/>
      <c r="I358" s="243" t="s">
        <v>741</v>
      </c>
      <c r="J358" s="243" t="s">
        <v>742</v>
      </c>
      <c r="K358" s="247" t="s">
        <v>743</v>
      </c>
      <c r="L358" s="274"/>
      <c r="M358" s="274"/>
      <c r="N358" s="274"/>
      <c r="Q358" s="276"/>
    </row>
    <row r="359" spans="1:17" ht="12.75" customHeight="1" x14ac:dyDescent="0.25">
      <c r="A359" s="241">
        <v>38925</v>
      </c>
      <c r="B359" s="242" t="s">
        <v>2482</v>
      </c>
      <c r="C359" s="256" t="s">
        <v>2483</v>
      </c>
      <c r="D359" s="249" t="s">
        <v>810</v>
      </c>
      <c r="E359" s="249" t="s">
        <v>2368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4"/>
      <c r="M359" s="274"/>
      <c r="N359" s="274"/>
      <c r="Q359" s="276"/>
    </row>
    <row r="360" spans="1:17" ht="12.75" customHeight="1" x14ac:dyDescent="0.25">
      <c r="A360" s="241">
        <v>38924</v>
      </c>
      <c r="B360" s="242" t="s">
        <v>2484</v>
      </c>
      <c r="C360" s="256" t="s">
        <v>2483</v>
      </c>
      <c r="D360" s="249" t="s">
        <v>2485</v>
      </c>
      <c r="E360" s="249" t="s">
        <v>2368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25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7" t="s">
        <v>44</v>
      </c>
      <c r="H361" s="278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25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7" t="s">
        <v>79</v>
      </c>
      <c r="H362" s="278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25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7" t="s">
        <v>79</v>
      </c>
      <c r="H363" s="278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25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2368</v>
      </c>
      <c r="F364" s="244" t="s">
        <v>43</v>
      </c>
      <c r="G364" s="277" t="s">
        <v>44</v>
      </c>
      <c r="H364" s="278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25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2368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25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2368</v>
      </c>
      <c r="F366" s="244" t="s">
        <v>49</v>
      </c>
      <c r="G366" s="277" t="s">
        <v>775</v>
      </c>
      <c r="H366" s="278" t="s">
        <v>104</v>
      </c>
      <c r="I366" s="249" t="s">
        <v>741</v>
      </c>
      <c r="J366" s="249" t="s">
        <v>742</v>
      </c>
      <c r="K366" s="247" t="s">
        <v>743</v>
      </c>
      <c r="L366" s="274"/>
      <c r="M366" s="274"/>
      <c r="N366" s="274"/>
      <c r="Q366" s="276"/>
    </row>
    <row r="367" spans="1:17" ht="12.75" customHeight="1" x14ac:dyDescent="0.25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2368</v>
      </c>
      <c r="F367" s="244" t="s">
        <v>49</v>
      </c>
      <c r="G367" s="277" t="s">
        <v>775</v>
      </c>
      <c r="H367" s="278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25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2368</v>
      </c>
      <c r="F368" s="244" t="s">
        <v>43</v>
      </c>
      <c r="G368" s="277" t="s">
        <v>52</v>
      </c>
      <c r="H368" s="278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25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2368</v>
      </c>
      <c r="F369" s="244" t="s">
        <v>43</v>
      </c>
      <c r="G369" s="277" t="s">
        <v>67</v>
      </c>
      <c r="H369" s="278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25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2368</v>
      </c>
      <c r="F370" s="244" t="s">
        <v>43</v>
      </c>
      <c r="G370" s="277" t="s">
        <v>44</v>
      </c>
      <c r="H370" s="278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25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2368</v>
      </c>
      <c r="F371" s="244" t="s">
        <v>43</v>
      </c>
      <c r="G371" s="277" t="s">
        <v>44</v>
      </c>
      <c r="H371" s="278" t="s">
        <v>45</v>
      </c>
      <c r="I371" s="249" t="s">
        <v>741</v>
      </c>
      <c r="J371" s="249" t="s">
        <v>742</v>
      </c>
      <c r="K371" s="247" t="s">
        <v>743</v>
      </c>
      <c r="L371" s="274"/>
      <c r="M371" s="274"/>
      <c r="N371" s="274"/>
      <c r="Q371" s="276"/>
    </row>
    <row r="372" spans="1:17" ht="12.75" customHeight="1" x14ac:dyDescent="0.25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2368</v>
      </c>
      <c r="F372" s="244" t="s">
        <v>43</v>
      </c>
      <c r="G372" s="277" t="s">
        <v>44</v>
      </c>
      <c r="H372" s="278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25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2368</v>
      </c>
      <c r="F373" s="244" t="s">
        <v>43</v>
      </c>
      <c r="G373" s="277" t="s">
        <v>362</v>
      </c>
      <c r="H373" s="278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25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7" t="s">
        <v>44</v>
      </c>
      <c r="H374" s="278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25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2368</v>
      </c>
      <c r="F375" s="244" t="s">
        <v>49</v>
      </c>
      <c r="G375" s="277" t="s">
        <v>79</v>
      </c>
      <c r="H375" s="278" t="s">
        <v>104</v>
      </c>
      <c r="I375" s="249" t="s">
        <v>741</v>
      </c>
      <c r="J375" s="249" t="s">
        <v>742</v>
      </c>
      <c r="K375" s="247" t="s">
        <v>743</v>
      </c>
      <c r="L375" s="274"/>
      <c r="M375" s="274"/>
      <c r="N375" s="274"/>
      <c r="Q375" s="276"/>
    </row>
    <row r="376" spans="1:17" ht="12.75" customHeight="1" x14ac:dyDescent="0.25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2368</v>
      </c>
      <c r="F376" s="244" t="s">
        <v>49</v>
      </c>
      <c r="G376" s="277" t="s">
        <v>79</v>
      </c>
      <c r="H376" s="278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25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2368</v>
      </c>
      <c r="F377" s="244" t="s">
        <v>43</v>
      </c>
      <c r="G377" s="277" t="s">
        <v>362</v>
      </c>
      <c r="H377" s="278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25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7" t="s">
        <v>67</v>
      </c>
      <c r="H378" s="278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25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25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2368</v>
      </c>
      <c r="F380" s="244" t="s">
        <v>49</v>
      </c>
      <c r="G380" s="277" t="s">
        <v>79</v>
      </c>
      <c r="H380" s="278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25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7" t="s">
        <v>44</v>
      </c>
      <c r="H381" s="278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25">
      <c r="A382" s="241">
        <v>38896</v>
      </c>
      <c r="B382" s="242" t="s">
        <v>2392</v>
      </c>
      <c r="C382" s="256" t="s">
        <v>2393</v>
      </c>
      <c r="D382" s="249" t="s">
        <v>420</v>
      </c>
      <c r="E382" s="249" t="s">
        <v>2368</v>
      </c>
      <c r="F382" s="244" t="s">
        <v>49</v>
      </c>
      <c r="G382" s="277" t="s">
        <v>50</v>
      </c>
      <c r="H382" s="278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25">
      <c r="A383" s="241">
        <v>38922</v>
      </c>
      <c r="B383" s="242" t="s">
        <v>2486</v>
      </c>
      <c r="C383" s="256" t="s">
        <v>2487</v>
      </c>
      <c r="D383" s="249" t="s">
        <v>2488</v>
      </c>
      <c r="E383" s="249" t="s">
        <v>2368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25">
      <c r="A384" s="241">
        <v>38921</v>
      </c>
      <c r="B384" s="242" t="s">
        <v>2489</v>
      </c>
      <c r="C384" s="256" t="s">
        <v>2487</v>
      </c>
      <c r="D384" s="249" t="s">
        <v>2490</v>
      </c>
      <c r="E384" s="249" t="s">
        <v>2368</v>
      </c>
      <c r="F384" s="244" t="s">
        <v>49</v>
      </c>
      <c r="G384" s="245" t="s">
        <v>2491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25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7" t="s">
        <v>44</v>
      </c>
      <c r="H385" s="278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25">
      <c r="A386" s="241">
        <v>38920</v>
      </c>
      <c r="B386" s="242" t="s">
        <v>2492</v>
      </c>
      <c r="C386" s="256" t="s">
        <v>2493</v>
      </c>
      <c r="D386" s="249" t="s">
        <v>381</v>
      </c>
      <c r="E386" s="249" t="s">
        <v>2368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71" customFormat="1" ht="12.75" customHeight="1" x14ac:dyDescent="0.3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2368</v>
      </c>
      <c r="F387" s="244" t="s">
        <v>43</v>
      </c>
      <c r="G387" s="277" t="s">
        <v>44</v>
      </c>
      <c r="H387" s="278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25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7" t="s">
        <v>50</v>
      </c>
      <c r="H388" s="278"/>
      <c r="I388" s="243" t="s">
        <v>741</v>
      </c>
      <c r="J388" s="243" t="s">
        <v>742</v>
      </c>
      <c r="K388" s="247" t="s">
        <v>743</v>
      </c>
    </row>
    <row r="389" spans="1:17" s="271" customFormat="1" ht="12.75" customHeight="1" x14ac:dyDescent="0.3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2368</v>
      </c>
      <c r="F389" s="244" t="s">
        <v>49</v>
      </c>
      <c r="G389" s="277" t="s">
        <v>775</v>
      </c>
      <c r="H389" s="278" t="s">
        <v>104</v>
      </c>
      <c r="I389" s="249" t="s">
        <v>741</v>
      </c>
      <c r="J389" s="249" t="s">
        <v>742</v>
      </c>
      <c r="K389" s="247" t="s">
        <v>743</v>
      </c>
    </row>
    <row r="390" spans="1:17" s="271" customFormat="1" ht="12.75" customHeight="1" x14ac:dyDescent="0.3">
      <c r="A390" s="241">
        <v>38871</v>
      </c>
      <c r="B390" s="242" t="s">
        <v>2494</v>
      </c>
      <c r="C390" s="256" t="s">
        <v>2140</v>
      </c>
      <c r="D390" s="249" t="s">
        <v>53</v>
      </c>
      <c r="E390" s="249" t="s">
        <v>2368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80"/>
      <c r="M390" s="280"/>
      <c r="N390" s="280"/>
      <c r="Q390" s="281"/>
    </row>
    <row r="391" spans="1:17" s="271" customFormat="1" ht="12.75" customHeight="1" x14ac:dyDescent="0.3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2368</v>
      </c>
      <c r="F391" s="244" t="s">
        <v>49</v>
      </c>
      <c r="G391" s="277" t="s">
        <v>775</v>
      </c>
      <c r="H391" s="278"/>
      <c r="I391" s="249" t="s">
        <v>741</v>
      </c>
      <c r="J391" s="249" t="s">
        <v>742</v>
      </c>
      <c r="K391" s="247" t="s">
        <v>743</v>
      </c>
    </row>
    <row r="392" spans="1:17" s="271" customFormat="1" ht="12.75" customHeight="1" x14ac:dyDescent="0.3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7" t="s">
        <v>44</v>
      </c>
      <c r="H392" s="278" t="s">
        <v>239</v>
      </c>
      <c r="I392" s="243" t="s">
        <v>741</v>
      </c>
      <c r="J392" s="243" t="s">
        <v>742</v>
      </c>
      <c r="K392" s="247" t="s">
        <v>743</v>
      </c>
    </row>
    <row r="393" spans="1:17" s="271" customFormat="1" ht="12.75" customHeight="1" x14ac:dyDescent="0.3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2368</v>
      </c>
      <c r="F393" s="244" t="s">
        <v>43</v>
      </c>
      <c r="G393" s="277" t="s">
        <v>89</v>
      </c>
      <c r="H393" s="278" t="s">
        <v>104</v>
      </c>
      <c r="I393" s="249" t="s">
        <v>741</v>
      </c>
      <c r="J393" s="249" t="s">
        <v>742</v>
      </c>
      <c r="K393" s="247" t="s">
        <v>743</v>
      </c>
      <c r="L393" s="280"/>
      <c r="M393" s="280"/>
      <c r="N393" s="280"/>
      <c r="Q393" s="281"/>
    </row>
    <row r="394" spans="1:17" s="271" customFormat="1" ht="12.75" customHeight="1" x14ac:dyDescent="0.3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2368</v>
      </c>
      <c r="F394" s="244" t="s">
        <v>43</v>
      </c>
      <c r="G394" s="277" t="s">
        <v>44</v>
      </c>
      <c r="H394" s="278"/>
      <c r="I394" s="249" t="s">
        <v>741</v>
      </c>
      <c r="J394" s="249" t="s">
        <v>742</v>
      </c>
      <c r="K394" s="247" t="s">
        <v>743</v>
      </c>
      <c r="L394" s="280"/>
      <c r="M394" s="280"/>
      <c r="N394" s="280"/>
      <c r="Q394" s="281"/>
    </row>
    <row r="395" spans="1:17" s="271" customFormat="1" ht="12.75" customHeight="1" x14ac:dyDescent="0.3">
      <c r="A395" s="241">
        <v>38923</v>
      </c>
      <c r="B395" s="242" t="s">
        <v>2495</v>
      </c>
      <c r="C395" s="256" t="s">
        <v>2496</v>
      </c>
      <c r="D395" s="249" t="s">
        <v>2090</v>
      </c>
      <c r="E395" s="249" t="s">
        <v>2368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25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2368</v>
      </c>
      <c r="F396" s="244" t="s">
        <v>49</v>
      </c>
      <c r="G396" s="277" t="s">
        <v>775</v>
      </c>
      <c r="H396" s="278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25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7" t="s">
        <v>52</v>
      </c>
      <c r="H397" s="278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25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7" t="s">
        <v>67</v>
      </c>
      <c r="H398" s="278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25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2368</v>
      </c>
      <c r="F399" s="244" t="s">
        <v>43</v>
      </c>
      <c r="G399" s="277" t="s">
        <v>67</v>
      </c>
      <c r="H399" s="278"/>
      <c r="I399" s="243" t="s">
        <v>805</v>
      </c>
      <c r="J399" s="243" t="s">
        <v>18</v>
      </c>
      <c r="K399" s="247" t="s">
        <v>22</v>
      </c>
    </row>
    <row r="400" spans="1:17" ht="12.75" customHeight="1" x14ac:dyDescent="0.25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2368</v>
      </c>
      <c r="F400" s="244" t="s">
        <v>43</v>
      </c>
      <c r="G400" s="277" t="s">
        <v>44</v>
      </c>
      <c r="H400" s="278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25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2368</v>
      </c>
      <c r="F401" s="244" t="s">
        <v>43</v>
      </c>
      <c r="G401" s="277" t="s">
        <v>44</v>
      </c>
      <c r="H401" s="278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25">
      <c r="A402" s="241">
        <v>25614</v>
      </c>
      <c r="B402" s="242" t="s">
        <v>2394</v>
      </c>
      <c r="C402" s="249" t="s">
        <v>813</v>
      </c>
      <c r="D402" s="249" t="s">
        <v>117</v>
      </c>
      <c r="E402" s="249" t="s">
        <v>2368</v>
      </c>
      <c r="F402" s="244" t="s">
        <v>43</v>
      </c>
      <c r="G402" s="277" t="s">
        <v>52</v>
      </c>
      <c r="H402" s="278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25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7" t="s">
        <v>67</v>
      </c>
      <c r="H403" s="278"/>
      <c r="I403" s="243" t="s">
        <v>805</v>
      </c>
      <c r="J403" s="243" t="s">
        <v>18</v>
      </c>
      <c r="K403" s="247" t="s">
        <v>22</v>
      </c>
    </row>
    <row r="404" spans="1:17" ht="12.75" customHeight="1" x14ac:dyDescent="0.25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7" t="s">
        <v>94</v>
      </c>
      <c r="H404" s="278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25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7" t="s">
        <v>44</v>
      </c>
      <c r="H405" s="278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25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7" t="s">
        <v>79</v>
      </c>
      <c r="H406" s="278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25">
      <c r="A407" s="241">
        <v>25615</v>
      </c>
      <c r="B407" s="242" t="s">
        <v>2395</v>
      </c>
      <c r="C407" s="249" t="s">
        <v>817</v>
      </c>
      <c r="D407" s="249" t="s">
        <v>143</v>
      </c>
      <c r="E407" s="249" t="s">
        <v>2368</v>
      </c>
      <c r="F407" s="244" t="s">
        <v>43</v>
      </c>
      <c r="G407" s="277" t="s">
        <v>67</v>
      </c>
      <c r="H407" s="278" t="s">
        <v>66</v>
      </c>
      <c r="I407" s="249" t="s">
        <v>805</v>
      </c>
      <c r="J407" s="249" t="s">
        <v>18</v>
      </c>
      <c r="K407" s="247" t="s">
        <v>22</v>
      </c>
      <c r="L407" s="274"/>
      <c r="M407" s="274"/>
      <c r="N407" s="274"/>
      <c r="Q407" s="276"/>
    </row>
    <row r="408" spans="1:17" ht="12.75" customHeight="1" x14ac:dyDescent="0.25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7" t="s">
        <v>58</v>
      </c>
      <c r="H408" s="278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25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7" t="s">
        <v>52</v>
      </c>
      <c r="H409" s="278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25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7" t="s">
        <v>44</v>
      </c>
      <c r="H410" s="278" t="s">
        <v>180</v>
      </c>
      <c r="I410" s="243" t="s">
        <v>805</v>
      </c>
      <c r="J410" s="243" t="s">
        <v>18</v>
      </c>
      <c r="K410" s="247" t="s">
        <v>22</v>
      </c>
      <c r="L410" s="274"/>
      <c r="M410" s="274"/>
      <c r="N410" s="274"/>
      <c r="Q410" s="276"/>
    </row>
    <row r="411" spans="1:17" ht="12.75" customHeight="1" x14ac:dyDescent="0.25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7" t="s">
        <v>52</v>
      </c>
      <c r="H411" s="278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25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7" t="s">
        <v>52</v>
      </c>
      <c r="H412" s="278"/>
      <c r="I412" s="243" t="s">
        <v>805</v>
      </c>
      <c r="J412" s="243" t="s">
        <v>18</v>
      </c>
      <c r="K412" s="247" t="s">
        <v>22</v>
      </c>
    </row>
    <row r="413" spans="1:17" ht="12.75" customHeight="1" x14ac:dyDescent="0.25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7" t="s">
        <v>44</v>
      </c>
      <c r="H413" s="278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25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7" t="s">
        <v>44</v>
      </c>
      <c r="H414" s="278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25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7" t="s">
        <v>44</v>
      </c>
      <c r="H415" s="278"/>
      <c r="I415" s="243" t="s">
        <v>805</v>
      </c>
      <c r="J415" s="243" t="s">
        <v>18</v>
      </c>
      <c r="K415" s="247" t="s">
        <v>22</v>
      </c>
    </row>
    <row r="416" spans="1:17" ht="12.75" customHeight="1" x14ac:dyDescent="0.25">
      <c r="A416" s="241">
        <v>38878</v>
      </c>
      <c r="B416" s="242" t="s">
        <v>2497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25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7" t="s">
        <v>44</v>
      </c>
      <c r="H417" s="278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25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7" t="s">
        <v>44</v>
      </c>
      <c r="H418" s="278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25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7" t="s">
        <v>67</v>
      </c>
      <c r="H419" s="278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25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25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7" t="s">
        <v>44</v>
      </c>
      <c r="H421" s="278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25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7" t="s">
        <v>44</v>
      </c>
      <c r="H422" s="278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25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7" t="s">
        <v>44</v>
      </c>
      <c r="H423" s="278" t="s">
        <v>45</v>
      </c>
      <c r="I423" s="243" t="s">
        <v>805</v>
      </c>
      <c r="J423" s="243" t="s">
        <v>18</v>
      </c>
      <c r="K423" s="247" t="s">
        <v>22</v>
      </c>
      <c r="L423" s="274"/>
      <c r="M423" s="274"/>
      <c r="N423" s="274"/>
      <c r="Q423" s="276"/>
    </row>
    <row r="424" spans="1:17" ht="12.75" customHeight="1" x14ac:dyDescent="0.25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2368</v>
      </c>
      <c r="F424" s="244" t="s">
        <v>43</v>
      </c>
      <c r="G424" s="277" t="s">
        <v>52</v>
      </c>
      <c r="H424" s="278" t="s">
        <v>66</v>
      </c>
      <c r="I424" s="249" t="s">
        <v>2498</v>
      </c>
      <c r="J424" s="249" t="s">
        <v>18</v>
      </c>
      <c r="K424" s="247" t="s">
        <v>22</v>
      </c>
    </row>
    <row r="425" spans="1:17" ht="12.75" customHeight="1" x14ac:dyDescent="0.25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7" t="s">
        <v>94</v>
      </c>
      <c r="H425" s="278" t="s">
        <v>51</v>
      </c>
      <c r="I425" s="249" t="s">
        <v>2498</v>
      </c>
      <c r="J425" s="243" t="s">
        <v>18</v>
      </c>
      <c r="K425" s="247" t="s">
        <v>22</v>
      </c>
    </row>
    <row r="426" spans="1:17" ht="12.75" customHeight="1" x14ac:dyDescent="0.25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2368</v>
      </c>
      <c r="F426" s="244" t="s">
        <v>43</v>
      </c>
      <c r="G426" s="277" t="s">
        <v>67</v>
      </c>
      <c r="H426" s="278" t="s">
        <v>45</v>
      </c>
      <c r="I426" s="249" t="s">
        <v>2498</v>
      </c>
      <c r="J426" s="249" t="s">
        <v>18</v>
      </c>
      <c r="K426" s="247" t="s">
        <v>22</v>
      </c>
    </row>
    <row r="427" spans="1:17" ht="12.75" customHeight="1" x14ac:dyDescent="0.25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7" t="s">
        <v>44</v>
      </c>
      <c r="H427" s="278"/>
      <c r="I427" s="249" t="s">
        <v>2498</v>
      </c>
      <c r="J427" s="243" t="s">
        <v>18</v>
      </c>
      <c r="K427" s="247" t="s">
        <v>22</v>
      </c>
      <c r="L427" s="274"/>
      <c r="M427" s="274"/>
      <c r="N427" s="274"/>
      <c r="Q427" s="276"/>
    </row>
    <row r="428" spans="1:17" ht="12.75" customHeight="1" x14ac:dyDescent="0.25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7" t="s">
        <v>94</v>
      </c>
      <c r="H428" s="278" t="s">
        <v>45</v>
      </c>
      <c r="I428" s="249" t="s">
        <v>2498</v>
      </c>
      <c r="J428" s="243" t="s">
        <v>18</v>
      </c>
      <c r="K428" s="247" t="s">
        <v>22</v>
      </c>
    </row>
    <row r="429" spans="1:17" ht="12.75" customHeight="1" x14ac:dyDescent="0.25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7" t="s">
        <v>44</v>
      </c>
      <c r="H429" s="278" t="s">
        <v>180</v>
      </c>
      <c r="I429" s="249" t="s">
        <v>2498</v>
      </c>
      <c r="J429" s="243" t="s">
        <v>18</v>
      </c>
      <c r="K429" s="247" t="s">
        <v>22</v>
      </c>
    </row>
    <row r="430" spans="1:17" ht="12.75" customHeight="1" x14ac:dyDescent="0.25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7" t="s">
        <v>44</v>
      </c>
      <c r="H430" s="278" t="s">
        <v>180</v>
      </c>
      <c r="I430" s="249" t="s">
        <v>2498</v>
      </c>
      <c r="J430" s="243" t="s">
        <v>18</v>
      </c>
      <c r="K430" s="247" t="s">
        <v>22</v>
      </c>
    </row>
    <row r="431" spans="1:17" ht="12.75" customHeight="1" x14ac:dyDescent="0.25">
      <c r="A431" s="241">
        <v>38913</v>
      </c>
      <c r="B431" s="242" t="s">
        <v>2499</v>
      </c>
      <c r="C431" s="243" t="s">
        <v>2500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2498</v>
      </c>
      <c r="J431" s="243" t="s">
        <v>18</v>
      </c>
      <c r="K431" s="247" t="s">
        <v>22</v>
      </c>
      <c r="L431" s="274"/>
      <c r="M431" s="274"/>
      <c r="N431" s="274"/>
      <c r="Q431" s="276"/>
    </row>
    <row r="432" spans="1:17" ht="12.75" customHeight="1" x14ac:dyDescent="0.25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7" t="s">
        <v>94</v>
      </c>
      <c r="H432" s="278" t="s">
        <v>45</v>
      </c>
      <c r="I432" s="249" t="s">
        <v>2498</v>
      </c>
      <c r="J432" s="243" t="s">
        <v>18</v>
      </c>
      <c r="K432" s="247" t="s">
        <v>22</v>
      </c>
    </row>
    <row r="433" spans="1:17" ht="12.75" customHeight="1" x14ac:dyDescent="0.25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7" t="s">
        <v>52</v>
      </c>
      <c r="H433" s="278" t="s">
        <v>66</v>
      </c>
      <c r="I433" s="249" t="s">
        <v>2498</v>
      </c>
      <c r="J433" s="243" t="s">
        <v>18</v>
      </c>
      <c r="K433" s="247" t="s">
        <v>22</v>
      </c>
    </row>
    <row r="434" spans="1:17" ht="12.75" customHeight="1" x14ac:dyDescent="0.25">
      <c r="A434" s="241" t="s">
        <v>2501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7" t="s">
        <v>67</v>
      </c>
      <c r="H434" s="278" t="s">
        <v>66</v>
      </c>
      <c r="I434" s="249" t="s">
        <v>2498</v>
      </c>
      <c r="J434" s="243" t="s">
        <v>18</v>
      </c>
      <c r="K434" s="247" t="s">
        <v>22</v>
      </c>
    </row>
    <row r="435" spans="1:17" ht="12.75" customHeight="1" x14ac:dyDescent="0.25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7" t="s">
        <v>44</v>
      </c>
      <c r="H435" s="278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25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7" t="s">
        <v>139</v>
      </c>
      <c r="H436" s="278" t="s">
        <v>104</v>
      </c>
      <c r="I436" s="243" t="s">
        <v>850</v>
      </c>
      <c r="J436" s="243" t="s">
        <v>18</v>
      </c>
      <c r="K436" s="247" t="s">
        <v>22</v>
      </c>
      <c r="L436" s="274"/>
      <c r="M436" s="274"/>
      <c r="N436" s="274"/>
      <c r="Q436" s="276"/>
    </row>
    <row r="437" spans="1:17" ht="12.75" customHeight="1" x14ac:dyDescent="0.25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7" t="s">
        <v>52</v>
      </c>
      <c r="H437" s="278"/>
      <c r="I437" s="243" t="s">
        <v>850</v>
      </c>
      <c r="J437" s="243" t="s">
        <v>18</v>
      </c>
      <c r="K437" s="247" t="s">
        <v>22</v>
      </c>
      <c r="L437" s="274"/>
      <c r="M437" s="274"/>
      <c r="N437" s="274"/>
      <c r="Q437" s="276"/>
    </row>
    <row r="438" spans="1:17" ht="12.75" customHeight="1" x14ac:dyDescent="0.25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7" t="s">
        <v>67</v>
      </c>
      <c r="H438" s="278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25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7" t="s">
        <v>50</v>
      </c>
      <c r="H439" s="278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25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2368</v>
      </c>
      <c r="F440" s="244" t="s">
        <v>49</v>
      </c>
      <c r="G440" s="277" t="s">
        <v>139</v>
      </c>
      <c r="H440" s="278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25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7" t="s">
        <v>52</v>
      </c>
      <c r="H441" s="278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25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7" t="s">
        <v>79</v>
      </c>
      <c r="H442" s="278"/>
      <c r="I442" s="243" t="s">
        <v>850</v>
      </c>
      <c r="J442" s="243" t="s">
        <v>18</v>
      </c>
      <c r="K442" s="247" t="s">
        <v>22</v>
      </c>
      <c r="L442" s="274"/>
      <c r="M442" s="274"/>
      <c r="N442" s="274"/>
      <c r="Q442" s="276"/>
    </row>
    <row r="443" spans="1:17" ht="12.75" customHeight="1" x14ac:dyDescent="0.25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7" t="s">
        <v>67</v>
      </c>
      <c r="H443" s="278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25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7" t="s">
        <v>139</v>
      </c>
      <c r="H444" s="278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25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7" t="s">
        <v>67</v>
      </c>
      <c r="H445" s="278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25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7" t="s">
        <v>44</v>
      </c>
      <c r="H446" s="278"/>
      <c r="I446" s="243" t="s">
        <v>850</v>
      </c>
      <c r="J446" s="243" t="s">
        <v>18</v>
      </c>
      <c r="K446" s="247" t="s">
        <v>22</v>
      </c>
      <c r="L446" s="274"/>
      <c r="M446" s="274"/>
      <c r="N446" s="274"/>
      <c r="Q446" s="276"/>
    </row>
    <row r="447" spans="1:17" ht="12.75" customHeight="1" x14ac:dyDescent="0.25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7" t="s">
        <v>79</v>
      </c>
      <c r="H447" s="278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25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7" t="s">
        <v>139</v>
      </c>
      <c r="H448" s="278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25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7" t="s">
        <v>67</v>
      </c>
      <c r="H449" s="278" t="s">
        <v>66</v>
      </c>
      <c r="I449" s="249" t="s">
        <v>850</v>
      </c>
      <c r="J449" s="243" t="s">
        <v>18</v>
      </c>
      <c r="K449" s="247" t="s">
        <v>22</v>
      </c>
      <c r="L449" s="274"/>
      <c r="M449" s="274"/>
      <c r="N449" s="274"/>
      <c r="Q449" s="276"/>
    </row>
    <row r="450" spans="1:17" ht="12.75" customHeight="1" x14ac:dyDescent="0.25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7" t="s">
        <v>52</v>
      </c>
      <c r="H450" s="278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25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2368</v>
      </c>
      <c r="F451" s="244" t="s">
        <v>43</v>
      </c>
      <c r="G451" s="277" t="s">
        <v>67</v>
      </c>
      <c r="H451" s="278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25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2368</v>
      </c>
      <c r="F452" s="244" t="s">
        <v>49</v>
      </c>
      <c r="G452" s="277" t="s">
        <v>50</v>
      </c>
      <c r="H452" s="278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25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7" t="s">
        <v>52</v>
      </c>
      <c r="H453" s="278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25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7" t="s">
        <v>50</v>
      </c>
      <c r="H454" s="278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25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7" t="s">
        <v>79</v>
      </c>
      <c r="H455" s="278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25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7" t="s">
        <v>44</v>
      </c>
      <c r="H456" s="278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25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7" t="s">
        <v>44</v>
      </c>
      <c r="H457" s="278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25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7" t="s">
        <v>44</v>
      </c>
      <c r="H458" s="278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25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7" t="s">
        <v>67</v>
      </c>
      <c r="H459" s="278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25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7" t="s">
        <v>44</v>
      </c>
      <c r="H460" s="278" t="s">
        <v>180</v>
      </c>
      <c r="I460" s="243" t="s">
        <v>897</v>
      </c>
      <c r="J460" s="243" t="s">
        <v>18</v>
      </c>
      <c r="K460" s="247" t="s">
        <v>22</v>
      </c>
      <c r="L460" s="274"/>
      <c r="M460" s="274"/>
      <c r="N460" s="274"/>
      <c r="Q460" s="276"/>
    </row>
    <row r="461" spans="1:17" ht="12.75" customHeight="1" x14ac:dyDescent="0.25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7" t="s">
        <v>44</v>
      </c>
      <c r="H461" s="278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25">
      <c r="A462" s="241">
        <v>38884</v>
      </c>
      <c r="B462" s="242" t="s">
        <v>2336</v>
      </c>
      <c r="C462" s="243" t="s">
        <v>2337</v>
      </c>
      <c r="D462" s="243" t="s">
        <v>2338</v>
      </c>
      <c r="E462" s="243"/>
      <c r="F462" s="244" t="s">
        <v>43</v>
      </c>
      <c r="G462" s="277" t="s">
        <v>44</v>
      </c>
      <c r="H462" s="278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25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2368</v>
      </c>
      <c r="F463" s="244" t="s">
        <v>43</v>
      </c>
      <c r="G463" s="277" t="s">
        <v>44</v>
      </c>
      <c r="H463" s="278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25">
      <c r="A464" s="241">
        <v>38914</v>
      </c>
      <c r="B464" s="242" t="s">
        <v>2502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25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2368</v>
      </c>
      <c r="F465" s="244" t="s">
        <v>43</v>
      </c>
      <c r="G465" s="277" t="s">
        <v>44</v>
      </c>
      <c r="H465" s="278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25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7" t="s">
        <v>67</v>
      </c>
      <c r="H466" s="278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25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2368</v>
      </c>
      <c r="F467" s="244" t="s">
        <v>43</v>
      </c>
      <c r="G467" s="277" t="s">
        <v>67</v>
      </c>
      <c r="H467" s="278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25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2368</v>
      </c>
      <c r="F468" s="244" t="s">
        <v>43</v>
      </c>
      <c r="G468" s="277" t="s">
        <v>67</v>
      </c>
      <c r="H468" s="278"/>
      <c r="I468" s="249" t="s">
        <v>897</v>
      </c>
      <c r="J468" s="249" t="s">
        <v>18</v>
      </c>
      <c r="K468" s="247" t="s">
        <v>22</v>
      </c>
    </row>
    <row r="469" spans="1:17" ht="12.75" customHeight="1" x14ac:dyDescent="0.25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7" t="s">
        <v>67</v>
      </c>
      <c r="H469" s="278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25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7" t="s">
        <v>79</v>
      </c>
      <c r="H470" s="278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25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25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7" t="s">
        <v>58</v>
      </c>
      <c r="H472" s="278" t="s">
        <v>66</v>
      </c>
      <c r="I472" s="243" t="s">
        <v>914</v>
      </c>
      <c r="J472" s="243" t="s">
        <v>20</v>
      </c>
      <c r="K472" s="247" t="s">
        <v>23</v>
      </c>
      <c r="L472" s="274"/>
      <c r="M472" s="274"/>
      <c r="N472" s="274"/>
      <c r="Q472" s="276"/>
    </row>
    <row r="473" spans="1:17" ht="12.75" customHeight="1" x14ac:dyDescent="0.25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7" t="s">
        <v>58</v>
      </c>
      <c r="H473" s="278" t="s">
        <v>45</v>
      </c>
      <c r="I473" s="243" t="s">
        <v>914</v>
      </c>
      <c r="J473" s="243" t="s">
        <v>20</v>
      </c>
      <c r="K473" s="247" t="s">
        <v>23</v>
      </c>
      <c r="L473" s="274"/>
      <c r="M473" s="274"/>
      <c r="N473" s="274"/>
      <c r="Q473" s="276"/>
    </row>
    <row r="474" spans="1:17" ht="12.75" customHeight="1" x14ac:dyDescent="0.25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7" t="s">
        <v>52</v>
      </c>
      <c r="H474" s="278" t="s">
        <v>66</v>
      </c>
      <c r="I474" s="243" t="s">
        <v>914</v>
      </c>
      <c r="J474" s="243" t="s">
        <v>20</v>
      </c>
      <c r="K474" s="247" t="s">
        <v>23</v>
      </c>
      <c r="L474" s="274"/>
      <c r="M474" s="274"/>
      <c r="N474" s="274"/>
      <c r="Q474" s="276"/>
    </row>
    <row r="475" spans="1:17" ht="12.75" customHeight="1" x14ac:dyDescent="0.25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2368</v>
      </c>
      <c r="F475" s="244" t="s">
        <v>43</v>
      </c>
      <c r="G475" s="277" t="s">
        <v>52</v>
      </c>
      <c r="H475" s="278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25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7" t="s">
        <v>52</v>
      </c>
      <c r="H476" s="278"/>
      <c r="I476" s="243" t="s">
        <v>914</v>
      </c>
      <c r="J476" s="243" t="s">
        <v>20</v>
      </c>
      <c r="K476" s="247" t="s">
        <v>23</v>
      </c>
    </row>
    <row r="477" spans="1:17" ht="12.75" customHeight="1" x14ac:dyDescent="0.25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7" t="s">
        <v>67</v>
      </c>
      <c r="H477" s="278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25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7" t="s">
        <v>139</v>
      </c>
      <c r="H478" s="278"/>
      <c r="I478" s="243" t="s">
        <v>914</v>
      </c>
      <c r="J478" s="243" t="s">
        <v>20</v>
      </c>
      <c r="K478" s="247" t="s">
        <v>23</v>
      </c>
    </row>
    <row r="479" spans="1:17" ht="12.75" customHeight="1" x14ac:dyDescent="0.25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7" t="s">
        <v>67</v>
      </c>
      <c r="H479" s="278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25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7" t="s">
        <v>52</v>
      </c>
      <c r="H480" s="278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25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7" t="s">
        <v>52</v>
      </c>
      <c r="H481" s="278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25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7" t="s">
        <v>228</v>
      </c>
      <c r="H482" s="278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25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7" t="s">
        <v>58</v>
      </c>
      <c r="H483" s="278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25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7" t="s">
        <v>58</v>
      </c>
      <c r="H484" s="278"/>
      <c r="I484" s="243" t="s">
        <v>914</v>
      </c>
      <c r="J484" s="243" t="s">
        <v>20</v>
      </c>
      <c r="K484" s="247" t="s">
        <v>23</v>
      </c>
      <c r="L484" s="274"/>
      <c r="M484" s="274"/>
      <c r="N484" s="274"/>
      <c r="Q484" s="276"/>
    </row>
    <row r="485" spans="1:17" ht="12.75" customHeight="1" x14ac:dyDescent="0.25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7" t="s">
        <v>67</v>
      </c>
      <c r="H485" s="278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25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7" t="s">
        <v>58</v>
      </c>
      <c r="H486" s="278"/>
      <c r="I486" s="243" t="s">
        <v>970</v>
      </c>
      <c r="J486" s="243" t="s">
        <v>971</v>
      </c>
      <c r="K486" s="247" t="s">
        <v>972</v>
      </c>
      <c r="L486" s="274"/>
      <c r="M486" s="274"/>
      <c r="N486" s="274"/>
      <c r="Q486" s="276"/>
    </row>
    <row r="487" spans="1:17" ht="12.75" customHeight="1" x14ac:dyDescent="0.25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7" t="s">
        <v>89</v>
      </c>
      <c r="H487" s="278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25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4"/>
      <c r="M488" s="274"/>
      <c r="N488" s="274"/>
      <c r="Q488" s="276"/>
    </row>
    <row r="489" spans="1:17" ht="12.75" customHeight="1" x14ac:dyDescent="0.25">
      <c r="A489" s="241">
        <v>38310</v>
      </c>
      <c r="B489" s="242" t="s">
        <v>2339</v>
      </c>
      <c r="C489" s="243" t="s">
        <v>2340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4"/>
      <c r="M489" s="274"/>
      <c r="N489" s="274"/>
      <c r="Q489" s="276"/>
    </row>
    <row r="490" spans="1:17" ht="12.75" customHeight="1" x14ac:dyDescent="0.25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7" t="s">
        <v>362</v>
      </c>
      <c r="H490" s="278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25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7" t="s">
        <v>362</v>
      </c>
      <c r="H491" s="278"/>
      <c r="I491" s="243" t="s">
        <v>970</v>
      </c>
      <c r="J491" s="243" t="s">
        <v>971</v>
      </c>
      <c r="K491" s="247" t="s">
        <v>972</v>
      </c>
      <c r="L491" s="274"/>
      <c r="M491" s="274"/>
      <c r="N491" s="274"/>
      <c r="Q491" s="276"/>
    </row>
    <row r="492" spans="1:17" ht="12.75" customHeight="1" x14ac:dyDescent="0.25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7" t="s">
        <v>89</v>
      </c>
      <c r="H492" s="278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25">
      <c r="A493" s="241">
        <v>38889</v>
      </c>
      <c r="B493" s="242" t="s">
        <v>2341</v>
      </c>
      <c r="C493" s="243" t="s">
        <v>974</v>
      </c>
      <c r="D493" s="243" t="s">
        <v>1282</v>
      </c>
      <c r="E493" s="243"/>
      <c r="F493" s="244" t="s">
        <v>49</v>
      </c>
      <c r="G493" s="277" t="s">
        <v>139</v>
      </c>
      <c r="H493" s="278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25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7" t="s">
        <v>362</v>
      </c>
      <c r="H494" s="278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25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7" t="s">
        <v>67</v>
      </c>
      <c r="H495" s="278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25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7" t="s">
        <v>775</v>
      </c>
      <c r="H496" s="278"/>
      <c r="I496" s="243" t="s">
        <v>970</v>
      </c>
      <c r="J496" s="243" t="s">
        <v>971</v>
      </c>
      <c r="K496" s="247" t="s">
        <v>972</v>
      </c>
      <c r="L496" s="274"/>
      <c r="M496" s="274"/>
      <c r="N496" s="274"/>
      <c r="Q496" s="276"/>
    </row>
    <row r="497" spans="1:17" ht="12.75" customHeight="1" x14ac:dyDescent="0.25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7" t="s">
        <v>775</v>
      </c>
      <c r="H497" s="278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25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7" t="s">
        <v>52</v>
      </c>
      <c r="H498" s="278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25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25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7" t="s">
        <v>44</v>
      </c>
      <c r="H500" s="278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25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7" t="s">
        <v>52</v>
      </c>
      <c r="H501" s="278"/>
      <c r="I501" s="243" t="s">
        <v>970</v>
      </c>
      <c r="J501" s="243" t="s">
        <v>971</v>
      </c>
      <c r="K501" s="247" t="s">
        <v>972</v>
      </c>
      <c r="L501" s="274"/>
      <c r="M501" s="274"/>
      <c r="N501" s="274"/>
      <c r="Q501" s="276"/>
    </row>
    <row r="502" spans="1:17" ht="12.75" customHeight="1" x14ac:dyDescent="0.25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7" t="s">
        <v>52</v>
      </c>
      <c r="H502" s="278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25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7" t="s">
        <v>94</v>
      </c>
      <c r="H503" s="278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25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7" t="s">
        <v>342</v>
      </c>
      <c r="H504" s="278" t="s">
        <v>104</v>
      </c>
      <c r="I504" s="243" t="s">
        <v>970</v>
      </c>
      <c r="J504" s="243" t="s">
        <v>971</v>
      </c>
      <c r="K504" s="247" t="s">
        <v>972</v>
      </c>
      <c r="L504" s="274"/>
      <c r="M504" s="274"/>
      <c r="N504" s="274"/>
      <c r="Q504" s="276"/>
    </row>
    <row r="505" spans="1:17" ht="12.75" customHeight="1" x14ac:dyDescent="0.25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7" t="s">
        <v>44</v>
      </c>
      <c r="H505" s="278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25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7" t="s">
        <v>67</v>
      </c>
      <c r="H506" s="278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25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7" t="s">
        <v>94</v>
      </c>
      <c r="H507" s="278" t="s">
        <v>66</v>
      </c>
      <c r="I507" s="243" t="s">
        <v>970</v>
      </c>
      <c r="J507" s="243" t="s">
        <v>971</v>
      </c>
      <c r="K507" s="247" t="s">
        <v>972</v>
      </c>
      <c r="L507" s="274"/>
      <c r="M507" s="274"/>
      <c r="N507" s="274"/>
      <c r="Q507" s="276"/>
    </row>
    <row r="508" spans="1:17" ht="12.75" customHeight="1" x14ac:dyDescent="0.25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7" t="s">
        <v>89</v>
      </c>
      <c r="H508" s="278" t="s">
        <v>104</v>
      </c>
      <c r="I508" s="243" t="s">
        <v>970</v>
      </c>
      <c r="J508" s="243" t="s">
        <v>971</v>
      </c>
      <c r="K508" s="247" t="s">
        <v>972</v>
      </c>
      <c r="L508" s="274"/>
      <c r="M508" s="274"/>
      <c r="N508" s="274"/>
      <c r="Q508" s="276"/>
    </row>
    <row r="509" spans="1:17" ht="12.75" customHeight="1" x14ac:dyDescent="0.25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7" t="s">
        <v>52</v>
      </c>
      <c r="H509" s="278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25">
      <c r="A510" s="241">
        <v>38905</v>
      </c>
      <c r="B510" s="242" t="s">
        <v>2503</v>
      </c>
      <c r="C510" s="243" t="s">
        <v>2504</v>
      </c>
      <c r="D510" s="243" t="s">
        <v>2505</v>
      </c>
      <c r="E510" s="243"/>
      <c r="F510" s="244" t="s">
        <v>49</v>
      </c>
      <c r="G510" s="277" t="s">
        <v>775</v>
      </c>
      <c r="H510" s="278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25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7" t="s">
        <v>44</v>
      </c>
      <c r="H511" s="278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25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7" t="s">
        <v>2061</v>
      </c>
      <c r="H512" s="278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25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7" t="s">
        <v>94</v>
      </c>
      <c r="H513" s="278" t="s">
        <v>66</v>
      </c>
      <c r="I513" s="243" t="s">
        <v>970</v>
      </c>
      <c r="J513" s="243" t="s">
        <v>971</v>
      </c>
      <c r="K513" s="247" t="s">
        <v>972</v>
      </c>
      <c r="L513" s="274"/>
      <c r="M513" s="274"/>
      <c r="N513" s="274"/>
      <c r="Q513" s="276"/>
    </row>
    <row r="514" spans="1:17" ht="12.75" customHeight="1" x14ac:dyDescent="0.25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7" t="s">
        <v>94</v>
      </c>
      <c r="H514" s="278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25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7" t="s">
        <v>362</v>
      </c>
      <c r="H515" s="278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25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7" t="s">
        <v>50</v>
      </c>
      <c r="H516" s="278" t="s">
        <v>66</v>
      </c>
      <c r="I516" s="243" t="s">
        <v>1001</v>
      </c>
      <c r="J516" s="243" t="s">
        <v>15</v>
      </c>
      <c r="K516" s="247" t="s">
        <v>26</v>
      </c>
      <c r="L516" s="274"/>
      <c r="M516" s="274"/>
      <c r="N516" s="274"/>
      <c r="Q516" s="276"/>
    </row>
    <row r="517" spans="1:17" ht="12.75" customHeight="1" x14ac:dyDescent="0.25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7" t="s">
        <v>44</v>
      </c>
      <c r="H517" s="278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25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7" t="s">
        <v>58</v>
      </c>
      <c r="H518" s="278" t="s">
        <v>66</v>
      </c>
      <c r="I518" s="243" t="s">
        <v>1001</v>
      </c>
      <c r="J518" s="243" t="s">
        <v>15</v>
      </c>
      <c r="K518" s="247" t="s">
        <v>26</v>
      </c>
      <c r="L518" s="274"/>
      <c r="M518" s="274"/>
      <c r="N518" s="274"/>
      <c r="Q518" s="276"/>
    </row>
    <row r="519" spans="1:17" ht="12.75" customHeight="1" x14ac:dyDescent="0.25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7" t="s">
        <v>58</v>
      </c>
      <c r="H519" s="278" t="s">
        <v>51</v>
      </c>
      <c r="I519" s="243" t="s">
        <v>1001</v>
      </c>
      <c r="J519" s="243" t="s">
        <v>15</v>
      </c>
      <c r="K519" s="247" t="s">
        <v>26</v>
      </c>
      <c r="L519" s="274"/>
      <c r="M519" s="274"/>
      <c r="N519" s="274"/>
      <c r="Q519" s="276"/>
    </row>
    <row r="520" spans="1:17" ht="12.75" customHeight="1" x14ac:dyDescent="0.25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7" t="s">
        <v>52</v>
      </c>
      <c r="H520" s="278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25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7" t="s">
        <v>67</v>
      </c>
      <c r="H521" s="278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25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7" t="s">
        <v>52</v>
      </c>
      <c r="H522" s="278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25">
      <c r="A523" s="241">
        <v>38917</v>
      </c>
      <c r="B523" s="242" t="s">
        <v>2506</v>
      </c>
      <c r="C523" s="243" t="s">
        <v>1011</v>
      </c>
      <c r="D523" s="243" t="s">
        <v>1653</v>
      </c>
      <c r="E523" s="243"/>
      <c r="F523" s="244" t="s">
        <v>43</v>
      </c>
      <c r="G523" s="277" t="s">
        <v>94</v>
      </c>
      <c r="H523" s="278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25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7" t="s">
        <v>67</v>
      </c>
      <c r="H524" s="278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25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7" t="s">
        <v>44</v>
      </c>
      <c r="H525" s="278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25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7" t="s">
        <v>44</v>
      </c>
      <c r="H526" s="278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25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7" t="s">
        <v>52</v>
      </c>
      <c r="H527" s="278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25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7" t="s">
        <v>52</v>
      </c>
      <c r="H528" s="278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25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7" t="s">
        <v>67</v>
      </c>
      <c r="H529" s="278" t="s">
        <v>66</v>
      </c>
      <c r="I529" s="243" t="s">
        <v>1021</v>
      </c>
      <c r="J529" s="243" t="s">
        <v>16</v>
      </c>
      <c r="K529" s="247" t="s">
        <v>1022</v>
      </c>
      <c r="L529" s="274"/>
      <c r="M529" s="274"/>
      <c r="N529" s="274"/>
      <c r="Q529" s="276"/>
    </row>
    <row r="530" spans="1:17" ht="12.75" customHeight="1" x14ac:dyDescent="0.25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7" t="s">
        <v>52</v>
      </c>
      <c r="H530" s="278" t="s">
        <v>45</v>
      </c>
      <c r="I530" s="243" t="s">
        <v>1021</v>
      </c>
      <c r="J530" s="243" t="s">
        <v>16</v>
      </c>
      <c r="K530" s="247" t="s">
        <v>1022</v>
      </c>
      <c r="L530" s="274"/>
      <c r="M530" s="274"/>
      <c r="N530" s="274"/>
      <c r="Q530" s="276"/>
    </row>
    <row r="531" spans="1:17" ht="12.75" customHeight="1" x14ac:dyDescent="0.25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7" t="s">
        <v>44</v>
      </c>
      <c r="H531" s="278" t="s">
        <v>180</v>
      </c>
      <c r="I531" s="243" t="s">
        <v>1021</v>
      </c>
      <c r="J531" s="243" t="s">
        <v>16</v>
      </c>
      <c r="K531" s="247" t="s">
        <v>1022</v>
      </c>
      <c r="L531" s="274"/>
      <c r="M531" s="274"/>
      <c r="N531" s="274"/>
      <c r="Q531" s="276"/>
    </row>
    <row r="532" spans="1:17" ht="12.75" customHeight="1" x14ac:dyDescent="0.25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4"/>
      <c r="M532" s="274"/>
      <c r="N532" s="274"/>
      <c r="Q532" s="276"/>
    </row>
    <row r="533" spans="1:17" ht="12.75" customHeight="1" x14ac:dyDescent="0.25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7" t="s">
        <v>67</v>
      </c>
      <c r="H533" s="278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25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7" t="s">
        <v>44</v>
      </c>
      <c r="H534" s="278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25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7" t="s">
        <v>52</v>
      </c>
      <c r="H535" s="278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25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2368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25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7" t="s">
        <v>44</v>
      </c>
      <c r="H537" s="278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25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7" t="s">
        <v>67</v>
      </c>
      <c r="H538" s="278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25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7" t="s">
        <v>52</v>
      </c>
      <c r="H539" s="278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25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7" t="s">
        <v>44</v>
      </c>
      <c r="H540" s="278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25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7" t="s">
        <v>44</v>
      </c>
      <c r="H541" s="278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25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7" t="s">
        <v>44</v>
      </c>
      <c r="H542" s="278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25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25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7" t="s">
        <v>52</v>
      </c>
      <c r="H544" s="278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25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7" t="s">
        <v>44</v>
      </c>
      <c r="H545" s="278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25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7" t="s">
        <v>44</v>
      </c>
      <c r="H546" s="278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25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7" t="s">
        <v>52</v>
      </c>
      <c r="H547" s="278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25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7" t="s">
        <v>44</v>
      </c>
      <c r="H548" s="278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25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7" t="s">
        <v>67</v>
      </c>
      <c r="H549" s="278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25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7" t="s">
        <v>44</v>
      </c>
      <c r="H550" s="278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25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7" t="s">
        <v>67</v>
      </c>
      <c r="H551" s="278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25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7" t="s">
        <v>52</v>
      </c>
      <c r="H552" s="278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25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7" t="s">
        <v>44</v>
      </c>
      <c r="H553" s="278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25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7" t="s">
        <v>44</v>
      </c>
      <c r="H554" s="278" t="s">
        <v>239</v>
      </c>
      <c r="I554" s="243" t="s">
        <v>1041</v>
      </c>
      <c r="J554" s="243" t="s">
        <v>1042</v>
      </c>
      <c r="K554" s="247" t="s">
        <v>1043</v>
      </c>
      <c r="L554" s="274"/>
      <c r="M554" s="274"/>
      <c r="N554" s="274"/>
      <c r="Q554" s="276"/>
    </row>
    <row r="555" spans="1:17" ht="12.75" customHeight="1" x14ac:dyDescent="0.25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4"/>
      <c r="M555" s="274"/>
      <c r="N555" s="274"/>
      <c r="Q555" s="276"/>
    </row>
    <row r="556" spans="1:17" ht="12.75" customHeight="1" x14ac:dyDescent="0.25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7" t="s">
        <v>67</v>
      </c>
      <c r="H556" s="278"/>
      <c r="I556" s="243" t="s">
        <v>1041</v>
      </c>
      <c r="J556" s="243" t="s">
        <v>1042</v>
      </c>
      <c r="K556" s="247" t="s">
        <v>1043</v>
      </c>
      <c r="L556" s="274"/>
      <c r="M556" s="274"/>
      <c r="N556" s="274"/>
      <c r="Q556" s="276"/>
    </row>
    <row r="557" spans="1:17" ht="12.75" customHeight="1" x14ac:dyDescent="0.25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7" t="s">
        <v>52</v>
      </c>
      <c r="H557" s="278" t="s">
        <v>239</v>
      </c>
      <c r="I557" s="243" t="s">
        <v>1041</v>
      </c>
      <c r="J557" s="243" t="s">
        <v>1042</v>
      </c>
      <c r="K557" s="247" t="s">
        <v>1043</v>
      </c>
      <c r="L557" s="274"/>
      <c r="M557" s="274"/>
      <c r="N557" s="274"/>
      <c r="Q557" s="276"/>
    </row>
    <row r="558" spans="1:17" ht="12.75" customHeight="1" x14ac:dyDescent="0.25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7" t="s">
        <v>139</v>
      </c>
      <c r="H558" s="278"/>
      <c r="I558" s="243" t="s">
        <v>1041</v>
      </c>
      <c r="J558" s="243" t="s">
        <v>1042</v>
      </c>
      <c r="K558" s="247" t="s">
        <v>1043</v>
      </c>
      <c r="L558" s="274"/>
      <c r="M558" s="274"/>
      <c r="N558" s="274"/>
      <c r="Q558" s="276"/>
    </row>
    <row r="559" spans="1:17" ht="12.75" customHeight="1" x14ac:dyDescent="0.25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7" t="s">
        <v>44</v>
      </c>
      <c r="H559" s="278" t="s">
        <v>66</v>
      </c>
      <c r="I559" s="243" t="s">
        <v>1041</v>
      </c>
      <c r="J559" s="243" t="s">
        <v>1042</v>
      </c>
      <c r="K559" s="247" t="s">
        <v>1043</v>
      </c>
      <c r="L559" s="274"/>
      <c r="M559" s="274"/>
      <c r="N559" s="274"/>
      <c r="Q559" s="276"/>
    </row>
    <row r="560" spans="1:17" ht="12.75" customHeight="1" x14ac:dyDescent="0.25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7" t="s">
        <v>67</v>
      </c>
      <c r="H560" s="278" t="s">
        <v>180</v>
      </c>
      <c r="I560" s="249" t="s">
        <v>1041</v>
      </c>
      <c r="J560" s="243" t="s">
        <v>1042</v>
      </c>
      <c r="K560" s="247" t="s">
        <v>1043</v>
      </c>
      <c r="L560" s="274"/>
      <c r="M560" s="274"/>
      <c r="N560" s="274"/>
      <c r="Q560" s="276"/>
    </row>
    <row r="561" spans="1:17" ht="12.75" customHeight="1" x14ac:dyDescent="0.25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7" t="s">
        <v>67</v>
      </c>
      <c r="H561" s="278" t="s">
        <v>45</v>
      </c>
      <c r="I561" s="243" t="s">
        <v>1041</v>
      </c>
      <c r="J561" s="243" t="s">
        <v>1042</v>
      </c>
      <c r="K561" s="247" t="s">
        <v>1043</v>
      </c>
      <c r="L561" s="274"/>
      <c r="M561" s="274"/>
      <c r="N561" s="274"/>
      <c r="Q561" s="276"/>
    </row>
    <row r="562" spans="1:17" s="271" customFormat="1" ht="12.75" customHeight="1" x14ac:dyDescent="0.3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7" t="s">
        <v>67</v>
      </c>
      <c r="H562" s="278" t="s">
        <v>180</v>
      </c>
      <c r="I562" s="243" t="s">
        <v>1041</v>
      </c>
      <c r="J562" s="243" t="s">
        <v>1042</v>
      </c>
      <c r="K562" s="247" t="s">
        <v>1043</v>
      </c>
      <c r="L562" s="280"/>
      <c r="M562" s="280"/>
      <c r="N562" s="280"/>
      <c r="Q562" s="281"/>
    </row>
    <row r="563" spans="1:17" ht="12.75" customHeight="1" x14ac:dyDescent="0.25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7" t="s">
        <v>52</v>
      </c>
      <c r="H563" s="278" t="s">
        <v>180</v>
      </c>
      <c r="I563" s="243" t="s">
        <v>1041</v>
      </c>
      <c r="J563" s="243" t="s">
        <v>1042</v>
      </c>
      <c r="K563" s="247" t="s">
        <v>1043</v>
      </c>
      <c r="L563" s="274"/>
      <c r="M563" s="274"/>
      <c r="N563" s="274"/>
      <c r="Q563" s="276"/>
    </row>
    <row r="564" spans="1:17" ht="12.75" customHeight="1" x14ac:dyDescent="0.25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7" t="s">
        <v>44</v>
      </c>
      <c r="H564" s="278" t="s">
        <v>45</v>
      </c>
      <c r="I564" s="243" t="s">
        <v>1041</v>
      </c>
      <c r="J564" s="243" t="s">
        <v>1042</v>
      </c>
      <c r="K564" s="247" t="s">
        <v>1043</v>
      </c>
      <c r="L564" s="274"/>
      <c r="M564" s="274"/>
      <c r="N564" s="274"/>
      <c r="Q564" s="276"/>
    </row>
    <row r="565" spans="1:17" ht="12.75" customHeight="1" x14ac:dyDescent="0.25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4"/>
      <c r="M565" s="274"/>
      <c r="N565" s="274"/>
      <c r="Q565" s="276"/>
    </row>
    <row r="566" spans="1:17" ht="12.75" customHeight="1" x14ac:dyDescent="0.25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7" t="s">
        <v>44</v>
      </c>
      <c r="H566" s="278" t="s">
        <v>180</v>
      </c>
      <c r="I566" s="243" t="s">
        <v>1072</v>
      </c>
      <c r="J566" s="243" t="s">
        <v>1042</v>
      </c>
      <c r="K566" s="247" t="s">
        <v>1043</v>
      </c>
      <c r="L566" s="274"/>
      <c r="M566" s="274"/>
      <c r="N566" s="274"/>
      <c r="Q566" s="276"/>
    </row>
    <row r="567" spans="1:17" ht="12.75" customHeight="1" x14ac:dyDescent="0.25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7" t="s">
        <v>52</v>
      </c>
      <c r="H567" s="278" t="s">
        <v>45</v>
      </c>
      <c r="I567" s="243" t="s">
        <v>1072</v>
      </c>
      <c r="J567" s="243" t="s">
        <v>1042</v>
      </c>
      <c r="K567" s="247" t="s">
        <v>1043</v>
      </c>
      <c r="L567" s="274"/>
      <c r="M567" s="274"/>
      <c r="N567" s="274"/>
      <c r="Q567" s="276"/>
    </row>
    <row r="568" spans="1:17" ht="12.75" customHeight="1" x14ac:dyDescent="0.25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7" t="s">
        <v>67</v>
      </c>
      <c r="H568" s="278" t="s">
        <v>180</v>
      </c>
      <c r="I568" s="243" t="s">
        <v>1072</v>
      </c>
      <c r="J568" s="243" t="s">
        <v>1042</v>
      </c>
      <c r="K568" s="247" t="s">
        <v>1043</v>
      </c>
      <c r="L568" s="274"/>
      <c r="M568" s="274"/>
      <c r="N568" s="274"/>
      <c r="Q568" s="276"/>
    </row>
    <row r="569" spans="1:17" ht="12.75" customHeight="1" x14ac:dyDescent="0.25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7" t="s">
        <v>52</v>
      </c>
      <c r="H569" s="278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25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7" t="s">
        <v>44</v>
      </c>
      <c r="H570" s="278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25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7" t="s">
        <v>67</v>
      </c>
      <c r="H571" s="278" t="s">
        <v>239</v>
      </c>
      <c r="I571" s="243" t="s">
        <v>1072</v>
      </c>
      <c r="J571" s="243" t="s">
        <v>1042</v>
      </c>
      <c r="K571" s="247" t="s">
        <v>1043</v>
      </c>
      <c r="L571" s="274"/>
      <c r="M571" s="274"/>
      <c r="N571" s="274"/>
      <c r="Q571" s="276"/>
    </row>
    <row r="572" spans="1:17" ht="12.75" customHeight="1" x14ac:dyDescent="0.25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7" t="s">
        <v>44</v>
      </c>
      <c r="H572" s="278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25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2368</v>
      </c>
      <c r="F573" s="244" t="s">
        <v>43</v>
      </c>
      <c r="G573" s="277" t="s">
        <v>67</v>
      </c>
      <c r="H573" s="278"/>
      <c r="I573" s="249" t="s">
        <v>1072</v>
      </c>
      <c r="J573" s="249" t="s">
        <v>1042</v>
      </c>
      <c r="K573" s="247" t="s">
        <v>1043</v>
      </c>
      <c r="L573" s="274"/>
      <c r="M573" s="274"/>
      <c r="N573" s="274"/>
      <c r="Q573" s="276"/>
    </row>
    <row r="574" spans="1:17" ht="12.75" customHeight="1" x14ac:dyDescent="0.25">
      <c r="A574" s="241">
        <v>38883</v>
      </c>
      <c r="B574" s="242" t="s">
        <v>2342</v>
      </c>
      <c r="C574" s="243" t="s">
        <v>2343</v>
      </c>
      <c r="D574" s="243" t="s">
        <v>2344</v>
      </c>
      <c r="E574" s="243"/>
      <c r="F574" s="244" t="s">
        <v>43</v>
      </c>
      <c r="G574" s="277" t="s">
        <v>44</v>
      </c>
      <c r="H574" s="278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25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7" t="s">
        <v>94</v>
      </c>
      <c r="H575" s="278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25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25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25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7" t="s">
        <v>44</v>
      </c>
      <c r="H578" s="278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25">
      <c r="A579" s="241">
        <v>25604</v>
      </c>
      <c r="B579" s="242" t="s">
        <v>2345</v>
      </c>
      <c r="C579" s="243" t="s">
        <v>2346</v>
      </c>
      <c r="D579" s="243" t="s">
        <v>689</v>
      </c>
      <c r="E579" s="243"/>
      <c r="F579" s="244" t="s">
        <v>43</v>
      </c>
      <c r="G579" s="277" t="s">
        <v>44</v>
      </c>
      <c r="H579" s="278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25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25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7" t="s">
        <v>52</v>
      </c>
      <c r="H581" s="278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25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7" t="s">
        <v>44</v>
      </c>
      <c r="H582" s="278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25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7" t="s">
        <v>139</v>
      </c>
      <c r="H583" s="278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25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7" t="s">
        <v>139</v>
      </c>
      <c r="H584" s="278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25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2368</v>
      </c>
      <c r="F585" s="244" t="s">
        <v>49</v>
      </c>
      <c r="G585" s="277" t="s">
        <v>79</v>
      </c>
      <c r="H585" s="278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25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2368</v>
      </c>
      <c r="F586" s="244" t="s">
        <v>49</v>
      </c>
      <c r="G586" s="277" t="s">
        <v>139</v>
      </c>
      <c r="H586" s="278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25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7" t="s">
        <v>79</v>
      </c>
      <c r="H587" s="278" t="s">
        <v>180</v>
      </c>
      <c r="I587" s="243" t="s">
        <v>1097</v>
      </c>
      <c r="J587" s="243" t="s">
        <v>1042</v>
      </c>
      <c r="K587" s="247" t="s">
        <v>1043</v>
      </c>
      <c r="L587" s="274"/>
      <c r="M587" s="274"/>
      <c r="N587" s="274"/>
      <c r="Q587" s="276"/>
    </row>
    <row r="588" spans="1:17" ht="12.75" customHeight="1" x14ac:dyDescent="0.25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2368</v>
      </c>
      <c r="F588" s="244" t="s">
        <v>49</v>
      </c>
      <c r="G588" s="277" t="s">
        <v>50</v>
      </c>
      <c r="H588" s="278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25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7" t="s">
        <v>52</v>
      </c>
      <c r="H589" s="278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25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7" t="s">
        <v>342</v>
      </c>
      <c r="H590" s="278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25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7" t="s">
        <v>139</v>
      </c>
      <c r="H591" s="278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25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7" t="s">
        <v>79</v>
      </c>
      <c r="H592" s="278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25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7" t="s">
        <v>79</v>
      </c>
      <c r="H593" s="278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25">
      <c r="A594" s="241">
        <v>8843</v>
      </c>
      <c r="B594" s="242" t="s">
        <v>2507</v>
      </c>
      <c r="C594" s="243" t="s">
        <v>2508</v>
      </c>
      <c r="D594" s="243" t="s">
        <v>2509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4"/>
      <c r="M594" s="274"/>
      <c r="N594" s="274"/>
      <c r="Q594" s="276"/>
    </row>
    <row r="595" spans="1:17" ht="12.75" customHeight="1" x14ac:dyDescent="0.25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25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7" t="s">
        <v>79</v>
      </c>
      <c r="H596" s="278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25">
      <c r="A597" s="241">
        <v>27004</v>
      </c>
      <c r="B597" s="242" t="s">
        <v>2510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25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7" t="s">
        <v>44</v>
      </c>
      <c r="H598" s="278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25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7" t="s">
        <v>94</v>
      </c>
      <c r="H599" s="278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25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2368</v>
      </c>
      <c r="F600" s="244" t="s">
        <v>43</v>
      </c>
      <c r="G600" s="277" t="s">
        <v>94</v>
      </c>
      <c r="H600" s="278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25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7" t="s">
        <v>44</v>
      </c>
      <c r="H601" s="278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25">
      <c r="A602" s="241">
        <v>7868</v>
      </c>
      <c r="B602" s="242" t="s">
        <v>2511</v>
      </c>
      <c r="C602" s="243" t="s">
        <v>2512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25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7" t="s">
        <v>44</v>
      </c>
      <c r="H603" s="278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25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7" t="s">
        <v>67</v>
      </c>
      <c r="H604" s="278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25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7" t="s">
        <v>44</v>
      </c>
      <c r="H605" s="278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25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7" t="s">
        <v>52</v>
      </c>
      <c r="H606" s="278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25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7" t="s">
        <v>58</v>
      </c>
      <c r="H607" s="278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25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7" t="s">
        <v>94</v>
      </c>
      <c r="H608" s="278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25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7" t="s">
        <v>52</v>
      </c>
      <c r="H609" s="278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25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7" t="s">
        <v>58</v>
      </c>
      <c r="H610" s="278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25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2368</v>
      </c>
      <c r="F611" s="244" t="s">
        <v>43</v>
      </c>
      <c r="G611" s="277" t="s">
        <v>67</v>
      </c>
      <c r="H611" s="278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25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7" t="s">
        <v>139</v>
      </c>
      <c r="H612" s="278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25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7" t="s">
        <v>50</v>
      </c>
      <c r="H613" s="278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25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2368</v>
      </c>
      <c r="F614" s="244" t="s">
        <v>49</v>
      </c>
      <c r="G614" s="277" t="s">
        <v>79</v>
      </c>
      <c r="H614" s="278" t="s">
        <v>180</v>
      </c>
      <c r="I614" s="249" t="s">
        <v>1529</v>
      </c>
      <c r="J614" s="249" t="s">
        <v>1966</v>
      </c>
      <c r="K614" s="247" t="s">
        <v>1967</v>
      </c>
      <c r="L614" s="274"/>
      <c r="M614" s="274"/>
      <c r="N614" s="274"/>
      <c r="Q614" s="276"/>
    </row>
    <row r="615" spans="1:17" ht="12.75" customHeight="1" x14ac:dyDescent="0.25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2368</v>
      </c>
      <c r="F615" s="244" t="s">
        <v>49</v>
      </c>
      <c r="G615" s="277" t="s">
        <v>342</v>
      </c>
      <c r="H615" s="278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25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7" t="s">
        <v>52</v>
      </c>
      <c r="H616" s="278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25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7" t="s">
        <v>67</v>
      </c>
      <c r="H617" s="278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25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7" t="s">
        <v>79</v>
      </c>
      <c r="H618" s="278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25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7" t="s">
        <v>44</v>
      </c>
      <c r="H619" s="278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25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7" t="s">
        <v>139</v>
      </c>
      <c r="H620" s="278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25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7" t="s">
        <v>67</v>
      </c>
      <c r="H621" s="278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25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2368</v>
      </c>
      <c r="F622" s="244" t="s">
        <v>43</v>
      </c>
      <c r="G622" s="277" t="s">
        <v>44</v>
      </c>
      <c r="H622" s="278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25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7" t="s">
        <v>79</v>
      </c>
      <c r="H623" s="278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25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2368</v>
      </c>
      <c r="F624" s="244" t="s">
        <v>43</v>
      </c>
      <c r="G624" s="277" t="s">
        <v>94</v>
      </c>
      <c r="H624" s="278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25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7" t="s">
        <v>50</v>
      </c>
      <c r="H625" s="278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25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7" t="s">
        <v>44</v>
      </c>
      <c r="H626" s="278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25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7" t="s">
        <v>67</v>
      </c>
      <c r="H627" s="278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25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7" t="s">
        <v>58</v>
      </c>
      <c r="H628" s="278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25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2368</v>
      </c>
      <c r="F629" s="244" t="s">
        <v>43</v>
      </c>
      <c r="G629" s="277" t="s">
        <v>52</v>
      </c>
      <c r="H629" s="278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25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7" t="s">
        <v>44</v>
      </c>
      <c r="H630" s="278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25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7" t="s">
        <v>139</v>
      </c>
      <c r="H631" s="278" t="s">
        <v>45</v>
      </c>
      <c r="I631" s="243" t="s">
        <v>1529</v>
      </c>
      <c r="J631" s="243" t="s">
        <v>1966</v>
      </c>
      <c r="K631" s="247" t="s">
        <v>1967</v>
      </c>
      <c r="L631" s="274"/>
      <c r="M631" s="274"/>
      <c r="N631" s="274"/>
      <c r="Q631" s="276"/>
    </row>
    <row r="632" spans="1:17" ht="12.75" customHeight="1" x14ac:dyDescent="0.25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7" t="s">
        <v>52</v>
      </c>
      <c r="H632" s="278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25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7" t="s">
        <v>52</v>
      </c>
      <c r="H633" s="278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25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7" t="s">
        <v>50</v>
      </c>
      <c r="H634" s="278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25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7" t="s">
        <v>52</v>
      </c>
      <c r="H635" s="278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25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7" t="s">
        <v>50</v>
      </c>
      <c r="H636" s="278" t="s">
        <v>45</v>
      </c>
      <c r="I636" s="243" t="s">
        <v>1529</v>
      </c>
      <c r="J636" s="243" t="s">
        <v>1966</v>
      </c>
      <c r="K636" s="247" t="s">
        <v>1967</v>
      </c>
      <c r="L636" s="274"/>
      <c r="M636" s="274"/>
      <c r="N636" s="274"/>
      <c r="Q636" s="276"/>
    </row>
    <row r="637" spans="1:17" ht="12.75" customHeight="1" x14ac:dyDescent="0.25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7" t="s">
        <v>52</v>
      </c>
      <c r="H637" s="278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25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7" t="s">
        <v>52</v>
      </c>
      <c r="H638" s="278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25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2368</v>
      </c>
      <c r="F639" s="244" t="s">
        <v>43</v>
      </c>
      <c r="G639" s="277" t="s">
        <v>67</v>
      </c>
      <c r="H639" s="278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25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7" t="s">
        <v>67</v>
      </c>
      <c r="H640" s="278" t="s">
        <v>51</v>
      </c>
      <c r="I640" s="243" t="s">
        <v>1154</v>
      </c>
      <c r="J640" s="243" t="s">
        <v>1155</v>
      </c>
      <c r="K640" s="247" t="s">
        <v>1156</v>
      </c>
    </row>
    <row r="641" spans="1:17" s="271" customFormat="1" ht="12.75" customHeight="1" x14ac:dyDescent="0.3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7" t="s">
        <v>67</v>
      </c>
      <c r="H641" s="278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25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2368</v>
      </c>
      <c r="F642" s="244" t="s">
        <v>43</v>
      </c>
      <c r="G642" s="277" t="s">
        <v>52</v>
      </c>
      <c r="H642" s="278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25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2368</v>
      </c>
      <c r="F643" s="244" t="s">
        <v>43</v>
      </c>
      <c r="G643" s="277" t="s">
        <v>52</v>
      </c>
      <c r="H643" s="278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25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7" t="s">
        <v>52</v>
      </c>
      <c r="H644" s="278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25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7" t="s">
        <v>52</v>
      </c>
      <c r="H645" s="278" t="s">
        <v>51</v>
      </c>
      <c r="I645" s="243" t="s">
        <v>1154</v>
      </c>
      <c r="J645" s="243" t="s">
        <v>1155</v>
      </c>
      <c r="K645" s="247" t="s">
        <v>1156</v>
      </c>
    </row>
    <row r="646" spans="1:17" s="271" customFormat="1" ht="12.75" customHeight="1" x14ac:dyDescent="0.3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7" t="s">
        <v>52</v>
      </c>
      <c r="H646" s="278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25">
      <c r="A647" s="241">
        <v>38916</v>
      </c>
      <c r="B647" s="242" t="s">
        <v>2513</v>
      </c>
      <c r="C647" s="243" t="s">
        <v>602</v>
      </c>
      <c r="D647" s="243" t="s">
        <v>2514</v>
      </c>
      <c r="E647" s="243"/>
      <c r="F647" s="244" t="s">
        <v>43</v>
      </c>
      <c r="G647" s="277" t="s">
        <v>67</v>
      </c>
      <c r="H647" s="278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25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7" t="s">
        <v>94</v>
      </c>
      <c r="H648" s="278"/>
      <c r="I648" s="243" t="s">
        <v>1154</v>
      </c>
      <c r="J648" s="243" t="s">
        <v>1155</v>
      </c>
      <c r="K648" s="247" t="s">
        <v>1156</v>
      </c>
      <c r="L648" s="274"/>
      <c r="M648" s="274"/>
      <c r="N648" s="274"/>
      <c r="Q648" s="276"/>
    </row>
    <row r="649" spans="1:17" ht="12.75" customHeight="1" x14ac:dyDescent="0.25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7" t="s">
        <v>44</v>
      </c>
      <c r="H649" s="278" t="s">
        <v>45</v>
      </c>
      <c r="I649" s="243" t="s">
        <v>1154</v>
      </c>
      <c r="J649" s="243" t="s">
        <v>1155</v>
      </c>
      <c r="K649" s="247" t="s">
        <v>1156</v>
      </c>
      <c r="L649" s="274"/>
      <c r="M649" s="274"/>
      <c r="N649" s="274"/>
      <c r="Q649" s="276"/>
    </row>
    <row r="650" spans="1:17" ht="12.75" customHeight="1" x14ac:dyDescent="0.25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7" t="s">
        <v>52</v>
      </c>
      <c r="H650" s="278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25">
      <c r="A651" s="241">
        <v>25684</v>
      </c>
      <c r="B651" s="242" t="s">
        <v>2347</v>
      </c>
      <c r="C651" s="243" t="s">
        <v>1185</v>
      </c>
      <c r="D651" s="243" t="s">
        <v>831</v>
      </c>
      <c r="E651" s="243"/>
      <c r="F651" s="244" t="s">
        <v>43</v>
      </c>
      <c r="G651" s="277" t="s">
        <v>44</v>
      </c>
      <c r="H651" s="278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25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7" t="s">
        <v>52</v>
      </c>
      <c r="H652" s="278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25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2368</v>
      </c>
      <c r="F653" s="244" t="s">
        <v>43</v>
      </c>
      <c r="G653" s="277" t="s">
        <v>94</v>
      </c>
      <c r="H653" s="278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25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2368</v>
      </c>
      <c r="F654" s="244" t="s">
        <v>43</v>
      </c>
      <c r="G654" s="277" t="s">
        <v>58</v>
      </c>
      <c r="H654" s="278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25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2368</v>
      </c>
      <c r="F655" s="244" t="s">
        <v>43</v>
      </c>
      <c r="G655" s="277" t="s">
        <v>44</v>
      </c>
      <c r="H655" s="278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25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7" t="s">
        <v>44</v>
      </c>
      <c r="H656" s="278" t="s">
        <v>66</v>
      </c>
      <c r="I656" s="243" t="s">
        <v>1178</v>
      </c>
      <c r="J656" s="243" t="s">
        <v>1179</v>
      </c>
      <c r="K656" s="247" t="s">
        <v>1180</v>
      </c>
      <c r="L656" s="274"/>
      <c r="M656" s="274"/>
      <c r="N656" s="274"/>
      <c r="Q656" s="276"/>
    </row>
    <row r="657" spans="1:11" ht="12.75" customHeight="1" x14ac:dyDescent="0.25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7" t="s">
        <v>44</v>
      </c>
      <c r="H657" s="278" t="s">
        <v>45</v>
      </c>
      <c r="I657" s="243" t="s">
        <v>1178</v>
      </c>
      <c r="J657" s="243" t="s">
        <v>1179</v>
      </c>
      <c r="K657" s="247" t="s">
        <v>1180</v>
      </c>
    </row>
    <row r="658" spans="1:11" s="271" customFormat="1" ht="12.75" customHeight="1" x14ac:dyDescent="0.3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2368</v>
      </c>
      <c r="F658" s="244" t="s">
        <v>43</v>
      </c>
      <c r="G658" s="277" t="s">
        <v>44</v>
      </c>
      <c r="H658" s="278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25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7" t="s">
        <v>58</v>
      </c>
      <c r="H659" s="278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25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2368</v>
      </c>
      <c r="F660" s="244" t="s">
        <v>43</v>
      </c>
      <c r="G660" s="277" t="s">
        <v>67</v>
      </c>
      <c r="H660" s="278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25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7" t="s">
        <v>44</v>
      </c>
      <c r="H661" s="278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25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7" t="s">
        <v>52</v>
      </c>
      <c r="H662" s="278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25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7" t="s">
        <v>44</v>
      </c>
      <c r="H663" s="278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25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2368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25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2368</v>
      </c>
      <c r="F665" s="244" t="s">
        <v>43</v>
      </c>
      <c r="G665" s="277" t="s">
        <v>58</v>
      </c>
      <c r="H665" s="278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25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2368</v>
      </c>
      <c r="F666" s="244" t="s">
        <v>43</v>
      </c>
      <c r="G666" s="277" t="s">
        <v>52</v>
      </c>
      <c r="H666" s="278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25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7" t="s">
        <v>58</v>
      </c>
      <c r="H667" s="278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25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2368</v>
      </c>
      <c r="F668" s="244" t="s">
        <v>43</v>
      </c>
      <c r="G668" s="277" t="s">
        <v>44</v>
      </c>
      <c r="H668" s="278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25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7" t="s">
        <v>58</v>
      </c>
      <c r="H669" s="278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25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7" t="s">
        <v>52</v>
      </c>
      <c r="H670" s="278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25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2368</v>
      </c>
      <c r="F671" s="244" t="s">
        <v>43</v>
      </c>
      <c r="G671" s="277" t="s">
        <v>89</v>
      </c>
      <c r="H671" s="278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25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7" t="s">
        <v>67</v>
      </c>
      <c r="H672" s="278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25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7" t="s">
        <v>67</v>
      </c>
      <c r="H673" s="278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25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7" t="s">
        <v>94</v>
      </c>
      <c r="H674" s="278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25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25">
      <c r="A676" s="241">
        <v>38918</v>
      </c>
      <c r="B676" s="242" t="s">
        <v>2515</v>
      </c>
      <c r="C676" s="243" t="s">
        <v>2516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25">
      <c r="A677" s="241">
        <v>38910</v>
      </c>
      <c r="B677" s="242" t="s">
        <v>2517</v>
      </c>
      <c r="C677" s="243" t="s">
        <v>2516</v>
      </c>
      <c r="D677" s="243" t="s">
        <v>2518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25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7" t="s">
        <v>44</v>
      </c>
      <c r="H678" s="278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25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7" t="s">
        <v>67</v>
      </c>
      <c r="H679" s="278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25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2368</v>
      </c>
      <c r="F680" s="244" t="s">
        <v>43</v>
      </c>
      <c r="G680" s="277" t="s">
        <v>44</v>
      </c>
      <c r="H680" s="278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25">
      <c r="A681" s="241">
        <v>38890</v>
      </c>
      <c r="B681" s="242" t="s">
        <v>2348</v>
      </c>
      <c r="C681" s="243" t="s">
        <v>2349</v>
      </c>
      <c r="D681" s="243" t="s">
        <v>138</v>
      </c>
      <c r="E681" s="243"/>
      <c r="F681" s="244" t="s">
        <v>49</v>
      </c>
      <c r="G681" s="277" t="s">
        <v>775</v>
      </c>
      <c r="H681" s="278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25">
      <c r="A682" s="241">
        <v>25675</v>
      </c>
      <c r="B682" s="242" t="s">
        <v>2358</v>
      </c>
      <c r="C682" s="243" t="s">
        <v>1377</v>
      </c>
      <c r="D682" s="243" t="s">
        <v>78</v>
      </c>
      <c r="E682" s="243"/>
      <c r="F682" s="244" t="s">
        <v>49</v>
      </c>
      <c r="G682" s="277" t="s">
        <v>139</v>
      </c>
      <c r="H682" s="278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25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7" t="s">
        <v>67</v>
      </c>
      <c r="H683" s="278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25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7" t="s">
        <v>44</v>
      </c>
      <c r="H684" s="278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25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7" t="s">
        <v>342</v>
      </c>
      <c r="H685" s="278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25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2368</v>
      </c>
      <c r="F686" s="244" t="s">
        <v>43</v>
      </c>
      <c r="G686" s="277" t="s">
        <v>44</v>
      </c>
      <c r="H686" s="278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25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7" t="s">
        <v>362</v>
      </c>
      <c r="H687" s="278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25">
      <c r="A688" s="241">
        <v>27134</v>
      </c>
      <c r="B688" s="242" t="s">
        <v>2396</v>
      </c>
      <c r="C688" s="243" t="s">
        <v>1975</v>
      </c>
      <c r="D688" s="243" t="s">
        <v>82</v>
      </c>
      <c r="E688" s="243"/>
      <c r="F688" s="244" t="s">
        <v>43</v>
      </c>
      <c r="G688" s="277" t="s">
        <v>44</v>
      </c>
      <c r="H688" s="278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25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7" t="s">
        <v>44</v>
      </c>
      <c r="H689" s="278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25">
      <c r="A690" s="241">
        <v>25839</v>
      </c>
      <c r="B690" s="242" t="s">
        <v>2397</v>
      </c>
      <c r="C690" s="249" t="s">
        <v>1233</v>
      </c>
      <c r="D690" s="249" t="s">
        <v>65</v>
      </c>
      <c r="E690" s="249" t="s">
        <v>2368</v>
      </c>
      <c r="F690" s="244" t="s">
        <v>43</v>
      </c>
      <c r="G690" s="277" t="s">
        <v>52</v>
      </c>
      <c r="H690" s="278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25">
      <c r="A691" s="241">
        <v>25778</v>
      </c>
      <c r="B691" s="242" t="s">
        <v>2519</v>
      </c>
      <c r="C691" s="243" t="s">
        <v>1698</v>
      </c>
      <c r="D691" s="243" t="s">
        <v>107</v>
      </c>
      <c r="E691" s="243"/>
      <c r="F691" s="244" t="s">
        <v>43</v>
      </c>
      <c r="G691" s="277" t="s">
        <v>67</v>
      </c>
      <c r="H691" s="278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25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2368</v>
      </c>
      <c r="F692" s="244" t="s">
        <v>43</v>
      </c>
      <c r="G692" s="277" t="s">
        <v>67</v>
      </c>
      <c r="H692" s="278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25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7" t="s">
        <v>94</v>
      </c>
      <c r="H693" s="278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25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7" t="s">
        <v>775</v>
      </c>
      <c r="H694" s="278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25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7" t="s">
        <v>79</v>
      </c>
      <c r="H695" s="278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25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7" t="s">
        <v>44</v>
      </c>
      <c r="H696" s="278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25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7" t="s">
        <v>362</v>
      </c>
      <c r="H697" s="278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25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7" t="s">
        <v>362</v>
      </c>
      <c r="H698" s="278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25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7" t="s">
        <v>44</v>
      </c>
      <c r="H699" s="278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25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7" t="s">
        <v>44</v>
      </c>
      <c r="H700" s="278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25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25">
      <c r="A702" s="241">
        <v>7602</v>
      </c>
      <c r="B702" s="242" t="s">
        <v>2398</v>
      </c>
      <c r="C702" s="243" t="s">
        <v>1238</v>
      </c>
      <c r="D702" s="243" t="s">
        <v>405</v>
      </c>
      <c r="E702" s="243"/>
      <c r="F702" s="244" t="s">
        <v>43</v>
      </c>
      <c r="G702" s="277" t="s">
        <v>44</v>
      </c>
      <c r="H702" s="278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25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2368</v>
      </c>
      <c r="F703" s="244" t="s">
        <v>49</v>
      </c>
      <c r="G703" s="277" t="s">
        <v>139</v>
      </c>
      <c r="H703" s="278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25">
      <c r="A704" s="241">
        <v>41008</v>
      </c>
      <c r="B704" s="242" t="s">
        <v>2520</v>
      </c>
      <c r="C704" s="243" t="s">
        <v>2521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25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7" t="s">
        <v>44</v>
      </c>
      <c r="H705" s="278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25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25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2368</v>
      </c>
      <c r="F707" s="244" t="s">
        <v>49</v>
      </c>
      <c r="G707" s="277" t="s">
        <v>79</v>
      </c>
      <c r="H707" s="278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25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7" t="s">
        <v>89</v>
      </c>
      <c r="H708" s="278" t="s">
        <v>51</v>
      </c>
      <c r="I708" s="243" t="s">
        <v>1210</v>
      </c>
      <c r="J708" s="243" t="s">
        <v>1179</v>
      </c>
      <c r="K708" s="247" t="s">
        <v>1180</v>
      </c>
      <c r="L708" s="274"/>
      <c r="M708" s="274"/>
      <c r="N708" s="274"/>
      <c r="Q708" s="276"/>
    </row>
    <row r="709" spans="1:17" ht="12.75" customHeight="1" x14ac:dyDescent="0.25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7" t="s">
        <v>44</v>
      </c>
      <c r="H709" s="278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25">
      <c r="A710" s="241">
        <v>38904</v>
      </c>
      <c r="B710" s="242" t="s">
        <v>2522</v>
      </c>
      <c r="C710" s="243" t="s">
        <v>503</v>
      </c>
      <c r="D710" s="243" t="s">
        <v>2523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4"/>
      <c r="M710" s="274"/>
      <c r="N710" s="274"/>
      <c r="Q710" s="276"/>
    </row>
    <row r="711" spans="1:17" ht="12.75" customHeight="1" x14ac:dyDescent="0.25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7" t="s">
        <v>44</v>
      </c>
      <c r="H711" s="278" t="s">
        <v>66</v>
      </c>
      <c r="I711" s="243" t="s">
        <v>1210</v>
      </c>
      <c r="J711" s="243" t="s">
        <v>1179</v>
      </c>
      <c r="K711" s="247" t="s">
        <v>1180</v>
      </c>
      <c r="L711" s="274"/>
      <c r="M711" s="274"/>
      <c r="N711" s="274"/>
      <c r="Q711" s="276"/>
    </row>
    <row r="712" spans="1:17" ht="12.75" customHeight="1" x14ac:dyDescent="0.25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7" t="s">
        <v>44</v>
      </c>
      <c r="H712" s="278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25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7" t="s">
        <v>94</v>
      </c>
      <c r="H713" s="278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25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7" t="s">
        <v>67</v>
      </c>
      <c r="H714" s="278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25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2368</v>
      </c>
      <c r="F715" s="244" t="s">
        <v>43</v>
      </c>
      <c r="G715" s="277" t="s">
        <v>44</v>
      </c>
      <c r="H715" s="278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25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7" t="s">
        <v>44</v>
      </c>
      <c r="H716" s="278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25">
      <c r="A717" s="241">
        <v>38787</v>
      </c>
      <c r="B717" s="242" t="s">
        <v>2524</v>
      </c>
      <c r="C717" s="243" t="s">
        <v>2525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25">
      <c r="A718" s="241">
        <v>7087</v>
      </c>
      <c r="B718" s="242" t="s">
        <v>2526</v>
      </c>
      <c r="C718" s="243" t="s">
        <v>912</v>
      </c>
      <c r="D718" s="243" t="s">
        <v>1260</v>
      </c>
      <c r="E718" s="243"/>
      <c r="F718" s="244" t="s">
        <v>49</v>
      </c>
      <c r="G718" s="277" t="s">
        <v>50</v>
      </c>
      <c r="H718" s="278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25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7" t="s">
        <v>139</v>
      </c>
      <c r="H719" s="278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25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2368</v>
      </c>
      <c r="F720" s="244" t="s">
        <v>49</v>
      </c>
      <c r="G720" s="277" t="s">
        <v>139</v>
      </c>
      <c r="H720" s="278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25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2368</v>
      </c>
      <c r="F721" s="244" t="s">
        <v>49</v>
      </c>
      <c r="G721" s="277" t="s">
        <v>50</v>
      </c>
      <c r="H721" s="278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25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2368</v>
      </c>
      <c r="F722" s="244" t="s">
        <v>49</v>
      </c>
      <c r="G722" s="277" t="s">
        <v>228</v>
      </c>
      <c r="H722" s="278"/>
      <c r="I722" s="249" t="s">
        <v>1261</v>
      </c>
      <c r="J722" s="249" t="s">
        <v>1179</v>
      </c>
      <c r="K722" s="247" t="s">
        <v>1180</v>
      </c>
      <c r="L722" s="274"/>
      <c r="M722" s="274"/>
      <c r="N722" s="274"/>
      <c r="Q722" s="276"/>
    </row>
    <row r="723" spans="1:17" ht="12.75" customHeight="1" x14ac:dyDescent="0.25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7" t="s">
        <v>139</v>
      </c>
      <c r="H723" s="278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25">
      <c r="A724" s="241">
        <v>7546</v>
      </c>
      <c r="B724" s="242" t="s">
        <v>2527</v>
      </c>
      <c r="C724" s="243" t="s">
        <v>1275</v>
      </c>
      <c r="D724" s="243" t="s">
        <v>1276</v>
      </c>
      <c r="E724" s="243"/>
      <c r="F724" s="244" t="s">
        <v>49</v>
      </c>
      <c r="G724" s="277" t="s">
        <v>228</v>
      </c>
      <c r="H724" s="278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25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2368</v>
      </c>
      <c r="F725" s="244" t="s">
        <v>49</v>
      </c>
      <c r="G725" s="277" t="s">
        <v>79</v>
      </c>
      <c r="H725" s="278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25">
      <c r="A726" s="241">
        <v>21185</v>
      </c>
      <c r="B726" s="242" t="s">
        <v>2528</v>
      </c>
      <c r="C726" s="243" t="s">
        <v>2521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25">
      <c r="A727" s="241">
        <v>7551</v>
      </c>
      <c r="B727" s="242" t="s">
        <v>2529</v>
      </c>
      <c r="C727" s="243" t="s">
        <v>1283</v>
      </c>
      <c r="D727" s="243" t="s">
        <v>320</v>
      </c>
      <c r="E727" s="243"/>
      <c r="F727" s="244" t="s">
        <v>49</v>
      </c>
      <c r="G727" s="277" t="s">
        <v>50</v>
      </c>
      <c r="H727" s="278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25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7" t="s">
        <v>58</v>
      </c>
      <c r="H728" s="278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25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7" t="s">
        <v>44</v>
      </c>
      <c r="H729" s="278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25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7" t="s">
        <v>58</v>
      </c>
      <c r="H730" s="278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25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7" t="s">
        <v>58</v>
      </c>
      <c r="H731" s="278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25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7" t="s">
        <v>44</v>
      </c>
      <c r="H732" s="278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25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7" t="s">
        <v>52</v>
      </c>
      <c r="H733" s="278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25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2368</v>
      </c>
      <c r="F734" s="244" t="s">
        <v>43</v>
      </c>
      <c r="G734" s="277" t="s">
        <v>44</v>
      </c>
      <c r="H734" s="278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25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25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7" t="s">
        <v>44</v>
      </c>
      <c r="H736" s="278" t="s">
        <v>66</v>
      </c>
      <c r="I736" s="243" t="s">
        <v>1296</v>
      </c>
      <c r="J736" s="243" t="s">
        <v>1297</v>
      </c>
      <c r="K736" s="247" t="s">
        <v>1298</v>
      </c>
      <c r="L736" s="274"/>
      <c r="M736" s="274"/>
      <c r="N736" s="274"/>
      <c r="Q736" s="276"/>
    </row>
    <row r="737" spans="1:17" ht="12.75" customHeight="1" x14ac:dyDescent="0.25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7" t="s">
        <v>44</v>
      </c>
      <c r="H737" s="278"/>
      <c r="I737" s="243" t="s">
        <v>1296</v>
      </c>
      <c r="J737" s="243" t="s">
        <v>1297</v>
      </c>
      <c r="K737" s="247" t="s">
        <v>1298</v>
      </c>
      <c r="L737" s="274"/>
      <c r="M737" s="274"/>
      <c r="N737" s="274"/>
      <c r="Q737" s="276"/>
    </row>
    <row r="738" spans="1:17" ht="12.75" customHeight="1" x14ac:dyDescent="0.25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7" t="s">
        <v>44</v>
      </c>
      <c r="H738" s="278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25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7" t="s">
        <v>67</v>
      </c>
      <c r="H739" s="278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25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7" t="s">
        <v>44</v>
      </c>
      <c r="H740" s="278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25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7" t="s">
        <v>67</v>
      </c>
      <c r="H741" s="278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25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7" t="s">
        <v>94</v>
      </c>
      <c r="H742" s="278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25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7" t="s">
        <v>139</v>
      </c>
      <c r="H743" s="278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25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25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2368</v>
      </c>
      <c r="F745" s="244" t="s">
        <v>43</v>
      </c>
      <c r="G745" s="277" t="s">
        <v>44</v>
      </c>
      <c r="H745" s="278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25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7" t="s">
        <v>67</v>
      </c>
      <c r="H746" s="278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25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7" t="s">
        <v>52</v>
      </c>
      <c r="H747" s="278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25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25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7" t="s">
        <v>52</v>
      </c>
      <c r="H749" s="278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25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7" t="s">
        <v>44</v>
      </c>
      <c r="H750" s="278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25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25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25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25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7" t="s">
        <v>67</v>
      </c>
      <c r="H754" s="278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25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25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7" t="s">
        <v>79</v>
      </c>
      <c r="H756" s="278" t="s">
        <v>45</v>
      </c>
      <c r="I756" s="249" t="s">
        <v>1331</v>
      </c>
      <c r="J756" s="249" t="s">
        <v>1332</v>
      </c>
      <c r="K756" s="247" t="s">
        <v>1333</v>
      </c>
      <c r="L756" s="274"/>
      <c r="M756" s="274"/>
      <c r="N756" s="274"/>
      <c r="Q756" s="276"/>
    </row>
    <row r="757" spans="1:17" ht="12.75" customHeight="1" x14ac:dyDescent="0.25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7" t="s">
        <v>52</v>
      </c>
      <c r="H757" s="278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25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2368</v>
      </c>
      <c r="F758" s="244" t="s">
        <v>43</v>
      </c>
      <c r="G758" s="277" t="s">
        <v>44</v>
      </c>
      <c r="H758" s="278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25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7" t="s">
        <v>44</v>
      </c>
      <c r="H759" s="278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25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7" t="s">
        <v>79</v>
      </c>
      <c r="H760" s="278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25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7" t="s">
        <v>44</v>
      </c>
      <c r="H761" s="278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25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7" t="s">
        <v>44</v>
      </c>
      <c r="H762" s="278" t="s">
        <v>45</v>
      </c>
      <c r="I762" s="243" t="s">
        <v>1331</v>
      </c>
      <c r="J762" s="243" t="s">
        <v>1332</v>
      </c>
      <c r="K762" s="247" t="s">
        <v>1333</v>
      </c>
      <c r="L762" s="274"/>
      <c r="M762" s="274"/>
      <c r="N762" s="274"/>
      <c r="Q762" s="276"/>
    </row>
    <row r="763" spans="1:17" ht="12.75" customHeight="1" x14ac:dyDescent="0.25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2368</v>
      </c>
      <c r="F763" s="244" t="s">
        <v>49</v>
      </c>
      <c r="G763" s="277" t="s">
        <v>775</v>
      </c>
      <c r="H763" s="278" t="s">
        <v>104</v>
      </c>
      <c r="I763" s="249" t="s">
        <v>1331</v>
      </c>
      <c r="J763" s="249" t="s">
        <v>1332</v>
      </c>
      <c r="K763" s="247" t="s">
        <v>1333</v>
      </c>
      <c r="L763" s="274"/>
      <c r="M763" s="274"/>
      <c r="N763" s="274"/>
      <c r="Q763" s="276"/>
    </row>
    <row r="764" spans="1:17" ht="12.75" customHeight="1" x14ac:dyDescent="0.25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7" t="s">
        <v>52</v>
      </c>
      <c r="H764" s="278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25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2368</v>
      </c>
      <c r="F765" s="244" t="s">
        <v>49</v>
      </c>
      <c r="G765" s="277" t="s">
        <v>1125</v>
      </c>
      <c r="H765" s="278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25">
      <c r="A766" s="241">
        <v>38887</v>
      </c>
      <c r="B766" s="242" t="s">
        <v>2350</v>
      </c>
      <c r="C766" s="249" t="s">
        <v>2351</v>
      </c>
      <c r="D766" s="249" t="s">
        <v>179</v>
      </c>
      <c r="E766" s="249" t="s">
        <v>2368</v>
      </c>
      <c r="F766" s="244" t="s">
        <v>43</v>
      </c>
      <c r="G766" s="277" t="s">
        <v>67</v>
      </c>
      <c r="H766" s="278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25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7" t="s">
        <v>52</v>
      </c>
      <c r="H767" s="278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25">
      <c r="A768" s="241">
        <v>38903</v>
      </c>
      <c r="B768" s="242" t="s">
        <v>2530</v>
      </c>
      <c r="C768" s="249" t="s">
        <v>2531</v>
      </c>
      <c r="D768" s="249" t="s">
        <v>536</v>
      </c>
      <c r="E768" s="249" t="s">
        <v>2368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25">
      <c r="A769" s="241">
        <v>25833</v>
      </c>
      <c r="B769" s="242" t="s">
        <v>2532</v>
      </c>
      <c r="C769" s="243" t="s">
        <v>2531</v>
      </c>
      <c r="D769" s="243" t="s">
        <v>531</v>
      </c>
      <c r="E769" s="243"/>
      <c r="F769" s="244" t="s">
        <v>43</v>
      </c>
      <c r="G769" s="277" t="s">
        <v>67</v>
      </c>
      <c r="H769" s="278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25">
      <c r="A770" s="241">
        <v>25466</v>
      </c>
      <c r="B770" s="242" t="s">
        <v>2533</v>
      </c>
      <c r="C770" s="249" t="s">
        <v>2531</v>
      </c>
      <c r="D770" s="249" t="s">
        <v>911</v>
      </c>
      <c r="E770" s="249" t="s">
        <v>2368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4"/>
      <c r="M770" s="274"/>
      <c r="N770" s="274"/>
      <c r="Q770" s="276"/>
    </row>
    <row r="771" spans="1:17" ht="12.75" customHeight="1" x14ac:dyDescent="0.25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7" t="s">
        <v>79</v>
      </c>
      <c r="H771" s="278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25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2368</v>
      </c>
      <c r="F772" s="244" t="s">
        <v>43</v>
      </c>
      <c r="G772" s="277" t="s">
        <v>67</v>
      </c>
      <c r="H772" s="278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25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7" t="s">
        <v>139</v>
      </c>
      <c r="H773" s="278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25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7" t="s">
        <v>50</v>
      </c>
      <c r="H774" s="278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25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7" t="s">
        <v>67</v>
      </c>
      <c r="H775" s="278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25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2368</v>
      </c>
      <c r="F776" s="244" t="s">
        <v>43</v>
      </c>
      <c r="G776" s="277" t="s">
        <v>44</v>
      </c>
      <c r="H776" s="278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25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2368</v>
      </c>
      <c r="F777" s="244" t="s">
        <v>49</v>
      </c>
      <c r="G777" s="277" t="s">
        <v>139</v>
      </c>
      <c r="H777" s="278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25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2368</v>
      </c>
      <c r="F778" s="244" t="s">
        <v>49</v>
      </c>
      <c r="G778" s="277" t="s">
        <v>50</v>
      </c>
      <c r="H778" s="278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25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7" t="s">
        <v>44</v>
      </c>
      <c r="H779" s="278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25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7" t="s">
        <v>67</v>
      </c>
      <c r="H780" s="278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25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2368</v>
      </c>
      <c r="F781" s="244" t="s">
        <v>49</v>
      </c>
      <c r="G781" s="277" t="s">
        <v>50</v>
      </c>
      <c r="H781" s="278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25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7" t="s">
        <v>67</v>
      </c>
      <c r="H782" s="278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25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2368</v>
      </c>
      <c r="F783" s="244" t="s">
        <v>43</v>
      </c>
      <c r="G783" s="277" t="s">
        <v>52</v>
      </c>
      <c r="H783" s="278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25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2368</v>
      </c>
      <c r="F784" s="244" t="s">
        <v>49</v>
      </c>
      <c r="G784" s="277" t="s">
        <v>50</v>
      </c>
      <c r="H784" s="278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25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2368</v>
      </c>
      <c r="F785" s="244" t="s">
        <v>43</v>
      </c>
      <c r="G785" s="277" t="s">
        <v>52</v>
      </c>
      <c r="H785" s="278" t="s">
        <v>45</v>
      </c>
      <c r="I785" s="249" t="s">
        <v>1362</v>
      </c>
      <c r="J785" s="249" t="s">
        <v>1363</v>
      </c>
      <c r="K785" s="247" t="s">
        <v>27</v>
      </c>
      <c r="L785" s="274"/>
      <c r="M785" s="274"/>
      <c r="N785" s="274"/>
      <c r="Q785" s="276"/>
    </row>
    <row r="786" spans="1:17" ht="12.75" customHeight="1" x14ac:dyDescent="0.25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2368</v>
      </c>
      <c r="F786" s="244" t="s">
        <v>49</v>
      </c>
      <c r="G786" s="277" t="s">
        <v>50</v>
      </c>
      <c r="H786" s="278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25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2368</v>
      </c>
      <c r="F787" s="244" t="s">
        <v>43</v>
      </c>
      <c r="G787" s="277" t="s">
        <v>52</v>
      </c>
      <c r="H787" s="278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25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2368</v>
      </c>
      <c r="F788" s="244" t="s">
        <v>49</v>
      </c>
      <c r="G788" s="277" t="s">
        <v>79</v>
      </c>
      <c r="H788" s="278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25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2368</v>
      </c>
      <c r="F789" s="244" t="s">
        <v>43</v>
      </c>
      <c r="G789" s="277" t="s">
        <v>44</v>
      </c>
      <c r="H789" s="278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25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2368</v>
      </c>
      <c r="F790" s="244" t="s">
        <v>43</v>
      </c>
      <c r="G790" s="277" t="s">
        <v>44</v>
      </c>
      <c r="H790" s="278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25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7" t="s">
        <v>58</v>
      </c>
      <c r="H791" s="278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25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2368</v>
      </c>
      <c r="F792" s="244" t="s">
        <v>49</v>
      </c>
      <c r="G792" s="277" t="s">
        <v>139</v>
      </c>
      <c r="H792" s="278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25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7" t="s">
        <v>52</v>
      </c>
      <c r="H793" s="278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25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2368</v>
      </c>
      <c r="F794" s="244" t="s">
        <v>43</v>
      </c>
      <c r="G794" s="277" t="s">
        <v>67</v>
      </c>
      <c r="H794" s="278" t="s">
        <v>45</v>
      </c>
      <c r="I794" s="249" t="s">
        <v>1362</v>
      </c>
      <c r="J794" s="249" t="s">
        <v>1363</v>
      </c>
      <c r="K794" s="247" t="s">
        <v>27</v>
      </c>
      <c r="L794" s="274"/>
      <c r="M794" s="274"/>
      <c r="N794" s="274"/>
      <c r="Q794" s="276"/>
    </row>
    <row r="795" spans="1:17" ht="12.75" customHeight="1" x14ac:dyDescent="0.25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2368</v>
      </c>
      <c r="F795" s="244" t="s">
        <v>49</v>
      </c>
      <c r="G795" s="277" t="s">
        <v>79</v>
      </c>
      <c r="H795" s="278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25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2368</v>
      </c>
      <c r="F796" s="244" t="s">
        <v>43</v>
      </c>
      <c r="G796" s="277" t="s">
        <v>52</v>
      </c>
      <c r="H796" s="278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25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2368</v>
      </c>
      <c r="F797" s="244" t="s">
        <v>43</v>
      </c>
      <c r="G797" s="277" t="s">
        <v>44</v>
      </c>
      <c r="H797" s="278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25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2368</v>
      </c>
      <c r="F798" s="244" t="s">
        <v>43</v>
      </c>
      <c r="G798" s="277" t="s">
        <v>52</v>
      </c>
      <c r="H798" s="278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25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7" t="s">
        <v>50</v>
      </c>
      <c r="H799" s="278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25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7" t="s">
        <v>58</v>
      </c>
      <c r="H800" s="278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25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7" t="s">
        <v>52</v>
      </c>
      <c r="H801" s="278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25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2368</v>
      </c>
      <c r="F802" s="244" t="s">
        <v>43</v>
      </c>
      <c r="G802" s="277" t="s">
        <v>67</v>
      </c>
      <c r="H802" s="278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25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2368</v>
      </c>
      <c r="F803" s="244" t="s">
        <v>43</v>
      </c>
      <c r="G803" s="277" t="s">
        <v>94</v>
      </c>
      <c r="H803" s="278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25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2368</v>
      </c>
      <c r="F804" s="244" t="s">
        <v>43</v>
      </c>
      <c r="G804" s="277" t="s">
        <v>44</v>
      </c>
      <c r="H804" s="278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25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7" t="s">
        <v>44</v>
      </c>
      <c r="H805" s="278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25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7" t="s">
        <v>44</v>
      </c>
      <c r="H806" s="278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25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2368</v>
      </c>
      <c r="F807" s="244" t="s">
        <v>43</v>
      </c>
      <c r="G807" s="277" t="s">
        <v>44</v>
      </c>
      <c r="H807" s="278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25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7" t="s">
        <v>79</v>
      </c>
      <c r="H808" s="278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25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7" t="s">
        <v>44</v>
      </c>
      <c r="H809" s="278"/>
      <c r="I809" s="243" t="s">
        <v>1415</v>
      </c>
      <c r="J809" s="243" t="s">
        <v>1363</v>
      </c>
      <c r="K809" s="247" t="s">
        <v>27</v>
      </c>
      <c r="L809" s="274"/>
      <c r="M809" s="274"/>
      <c r="N809" s="274"/>
      <c r="Q809" s="276"/>
    </row>
    <row r="810" spans="1:17" ht="12.75" customHeight="1" x14ac:dyDescent="0.25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7" t="s">
        <v>79</v>
      </c>
      <c r="H810" s="278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25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2368</v>
      </c>
      <c r="F811" s="244" t="s">
        <v>49</v>
      </c>
      <c r="G811" s="277" t="s">
        <v>50</v>
      </c>
      <c r="H811" s="278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25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7" t="s">
        <v>44</v>
      </c>
      <c r="H812" s="278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25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7" t="s">
        <v>52</v>
      </c>
      <c r="H813" s="278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25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7" t="s">
        <v>79</v>
      </c>
      <c r="H814" s="278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25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7" t="s">
        <v>44</v>
      </c>
      <c r="H815" s="278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25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7" t="s">
        <v>52</v>
      </c>
      <c r="H816" s="278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25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7" t="s">
        <v>52</v>
      </c>
      <c r="H817" s="278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25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7" t="s">
        <v>139</v>
      </c>
      <c r="H818" s="278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25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7" t="s">
        <v>44</v>
      </c>
      <c r="H819" s="278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25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2368</v>
      </c>
      <c r="F820" s="244" t="s">
        <v>43</v>
      </c>
      <c r="G820" s="277" t="s">
        <v>52</v>
      </c>
      <c r="H820" s="278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25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7" t="s">
        <v>52</v>
      </c>
      <c r="H821" s="278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25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7" t="s">
        <v>139</v>
      </c>
      <c r="H822" s="278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25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7" t="s">
        <v>52</v>
      </c>
      <c r="H823" s="278" t="s">
        <v>66</v>
      </c>
      <c r="I823" s="243" t="s">
        <v>1415</v>
      </c>
      <c r="J823" s="243" t="s">
        <v>1363</v>
      </c>
      <c r="K823" s="247" t="s">
        <v>27</v>
      </c>
      <c r="L823" s="274"/>
      <c r="M823" s="274"/>
      <c r="N823" s="274"/>
      <c r="Q823" s="276"/>
    </row>
    <row r="824" spans="1:17" ht="12.75" customHeight="1" x14ac:dyDescent="0.25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2368</v>
      </c>
      <c r="F824" s="244" t="s">
        <v>43</v>
      </c>
      <c r="G824" s="277" t="s">
        <v>44</v>
      </c>
      <c r="H824" s="278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25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2368</v>
      </c>
      <c r="F825" s="244" t="s">
        <v>49</v>
      </c>
      <c r="G825" s="277" t="s">
        <v>139</v>
      </c>
      <c r="H825" s="278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25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2368</v>
      </c>
      <c r="F826" s="244" t="s">
        <v>43</v>
      </c>
      <c r="G826" s="277" t="s">
        <v>44</v>
      </c>
      <c r="H826" s="278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25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2368</v>
      </c>
      <c r="F827" s="244" t="s">
        <v>49</v>
      </c>
      <c r="G827" s="277" t="s">
        <v>139</v>
      </c>
      <c r="H827" s="278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25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7" t="s">
        <v>228</v>
      </c>
      <c r="H828" s="278" t="s">
        <v>104</v>
      </c>
      <c r="I828" s="243" t="s">
        <v>1449</v>
      </c>
      <c r="J828" s="243" t="s">
        <v>1363</v>
      </c>
      <c r="K828" s="247" t="s">
        <v>27</v>
      </c>
      <c r="L828" s="274"/>
      <c r="M828" s="274"/>
      <c r="N828" s="274"/>
      <c r="Q828" s="276"/>
    </row>
    <row r="829" spans="1:17" ht="12.75" customHeight="1" x14ac:dyDescent="0.25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7" t="s">
        <v>58</v>
      </c>
      <c r="H829" s="278" t="s">
        <v>104</v>
      </c>
      <c r="I829" s="243" t="s">
        <v>1449</v>
      </c>
      <c r="J829" s="243" t="s">
        <v>1363</v>
      </c>
      <c r="K829" s="247" t="s">
        <v>27</v>
      </c>
      <c r="L829" s="274"/>
      <c r="M829" s="274"/>
      <c r="N829" s="274"/>
      <c r="Q829" s="276"/>
    </row>
    <row r="830" spans="1:17" ht="12.75" customHeight="1" x14ac:dyDescent="0.25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2368</v>
      </c>
      <c r="F830" s="244" t="s">
        <v>43</v>
      </c>
      <c r="G830" s="277" t="s">
        <v>44</v>
      </c>
      <c r="H830" s="278" t="s">
        <v>66</v>
      </c>
      <c r="I830" s="249" t="s">
        <v>1449</v>
      </c>
      <c r="J830" s="249" t="s">
        <v>1363</v>
      </c>
      <c r="K830" s="247" t="s">
        <v>27</v>
      </c>
      <c r="L830" s="274"/>
      <c r="M830" s="274"/>
      <c r="N830" s="274"/>
      <c r="Q830" s="276"/>
    </row>
    <row r="831" spans="1:17" ht="12.75" customHeight="1" x14ac:dyDescent="0.25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2368</v>
      </c>
      <c r="F831" s="244" t="s">
        <v>49</v>
      </c>
      <c r="G831" s="277" t="s">
        <v>79</v>
      </c>
      <c r="H831" s="278"/>
      <c r="I831" s="249" t="s">
        <v>1449</v>
      </c>
      <c r="J831" s="249" t="s">
        <v>1363</v>
      </c>
      <c r="K831" s="247" t="s">
        <v>27</v>
      </c>
    </row>
    <row r="832" spans="1:17" s="271" customFormat="1" ht="12.75" customHeight="1" x14ac:dyDescent="0.3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7" t="s">
        <v>52</v>
      </c>
      <c r="H832" s="278" t="s">
        <v>45</v>
      </c>
      <c r="I832" s="243" t="s">
        <v>1449</v>
      </c>
      <c r="J832" s="243" t="s">
        <v>1363</v>
      </c>
      <c r="K832" s="247" t="s">
        <v>27</v>
      </c>
    </row>
    <row r="833" spans="1:17" s="271" customFormat="1" ht="12.75" customHeight="1" x14ac:dyDescent="0.3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7" t="s">
        <v>44</v>
      </c>
      <c r="H833" s="278" t="s">
        <v>239</v>
      </c>
      <c r="I833" s="243" t="s">
        <v>1449</v>
      </c>
      <c r="J833" s="243" t="s">
        <v>1363</v>
      </c>
      <c r="K833" s="247" t="s">
        <v>27</v>
      </c>
    </row>
    <row r="834" spans="1:17" s="271" customFormat="1" ht="12.75" customHeight="1" x14ac:dyDescent="0.3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7" t="s">
        <v>44</v>
      </c>
      <c r="H834" s="278" t="s">
        <v>66</v>
      </c>
      <c r="I834" s="243" t="s">
        <v>1449</v>
      </c>
      <c r="J834" s="243" t="s">
        <v>1363</v>
      </c>
      <c r="K834" s="247" t="s">
        <v>27</v>
      </c>
    </row>
    <row r="835" spans="1:17" s="271" customFormat="1" ht="12.75" customHeight="1" x14ac:dyDescent="0.3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2368</v>
      </c>
      <c r="F835" s="244" t="s">
        <v>43</v>
      </c>
      <c r="G835" s="277" t="s">
        <v>44</v>
      </c>
      <c r="H835" s="278" t="s">
        <v>66</v>
      </c>
      <c r="I835" s="249" t="s">
        <v>1449</v>
      </c>
      <c r="J835" s="249" t="s">
        <v>1363</v>
      </c>
      <c r="K835" s="247" t="s">
        <v>27</v>
      </c>
    </row>
    <row r="836" spans="1:17" s="271" customFormat="1" ht="12.75" customHeight="1" x14ac:dyDescent="0.3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2368</v>
      </c>
      <c r="F836" s="244" t="s">
        <v>43</v>
      </c>
      <c r="G836" s="277" t="s">
        <v>52</v>
      </c>
      <c r="H836" s="278" t="s">
        <v>66</v>
      </c>
      <c r="I836" s="249" t="s">
        <v>1449</v>
      </c>
      <c r="J836" s="249" t="s">
        <v>1363</v>
      </c>
      <c r="K836" s="247" t="s">
        <v>27</v>
      </c>
    </row>
    <row r="837" spans="1:17" s="282" customFormat="1" ht="12.75" customHeight="1" x14ac:dyDescent="0.25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7" t="s">
        <v>67</v>
      </c>
      <c r="H837" s="278"/>
      <c r="I837" s="243" t="s">
        <v>1449</v>
      </c>
      <c r="J837" s="243" t="s">
        <v>1363</v>
      </c>
      <c r="K837" s="260" t="s">
        <v>27</v>
      </c>
    </row>
    <row r="838" spans="1:17" s="271" customFormat="1" ht="12.75" customHeight="1" x14ac:dyDescent="0.3">
      <c r="A838" s="241">
        <v>38627</v>
      </c>
      <c r="B838" s="242" t="s">
        <v>2352</v>
      </c>
      <c r="C838" s="249" t="s">
        <v>2353</v>
      </c>
      <c r="D838" s="249" t="s">
        <v>1114</v>
      </c>
      <c r="E838" s="249" t="s">
        <v>2368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25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25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7" t="s">
        <v>79</v>
      </c>
      <c r="H840" s="278" t="s">
        <v>45</v>
      </c>
      <c r="I840" s="243" t="s">
        <v>1449</v>
      </c>
      <c r="J840" s="243" t="s">
        <v>1363</v>
      </c>
      <c r="K840" s="247" t="s">
        <v>27</v>
      </c>
      <c r="L840" s="274"/>
      <c r="M840" s="274"/>
      <c r="N840" s="274"/>
      <c r="Q840" s="276"/>
    </row>
    <row r="841" spans="1:17" ht="12.75" customHeight="1" x14ac:dyDescent="0.25">
      <c r="A841" s="241">
        <v>3234</v>
      </c>
      <c r="B841" s="242" t="s">
        <v>2534</v>
      </c>
      <c r="C841" s="249" t="s">
        <v>69</v>
      </c>
      <c r="D841" s="249" t="s">
        <v>238</v>
      </c>
      <c r="E841" s="249" t="s">
        <v>2368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25">
      <c r="A842" s="241">
        <v>3233</v>
      </c>
      <c r="B842" s="242" t="s">
        <v>2535</v>
      </c>
      <c r="C842" s="249" t="s">
        <v>69</v>
      </c>
      <c r="D842" s="249" t="s">
        <v>1445</v>
      </c>
      <c r="E842" s="249" t="s">
        <v>2368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25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2368</v>
      </c>
      <c r="F843" s="244" t="s">
        <v>43</v>
      </c>
      <c r="G843" s="277" t="s">
        <v>67</v>
      </c>
      <c r="H843" s="278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25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7" t="s">
        <v>44</v>
      </c>
      <c r="H844" s="278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25">
      <c r="A845" s="241">
        <v>38743</v>
      </c>
      <c r="B845" s="242" t="s">
        <v>2536</v>
      </c>
      <c r="C845" s="249" t="s">
        <v>297</v>
      </c>
      <c r="D845" s="249" t="s">
        <v>2537</v>
      </c>
      <c r="E845" s="249" t="s">
        <v>2368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25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7" t="s">
        <v>58</v>
      </c>
      <c r="H846" s="278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25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7" t="s">
        <v>79</v>
      </c>
      <c r="H847" s="278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25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7" t="s">
        <v>50</v>
      </c>
      <c r="H848" s="278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25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7" t="s">
        <v>52</v>
      </c>
      <c r="H849" s="278" t="s">
        <v>45</v>
      </c>
      <c r="I849" s="243" t="s">
        <v>1467</v>
      </c>
      <c r="J849" s="243" t="s">
        <v>1363</v>
      </c>
      <c r="K849" s="247" t="s">
        <v>27</v>
      </c>
      <c r="L849" s="274"/>
      <c r="M849" s="274"/>
      <c r="N849" s="274"/>
      <c r="Q849" s="276"/>
    </row>
    <row r="850" spans="1:17" ht="12.75" customHeight="1" x14ac:dyDescent="0.25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7" t="s">
        <v>139</v>
      </c>
      <c r="H850" s="278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25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7" t="s">
        <v>44</v>
      </c>
      <c r="H851" s="278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25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7" t="s">
        <v>228</v>
      </c>
      <c r="H852" s="278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25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7" t="s">
        <v>52</v>
      </c>
      <c r="H853" s="278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25">
      <c r="A854" s="241">
        <v>16270</v>
      </c>
      <c r="B854" s="242" t="s">
        <v>2538</v>
      </c>
      <c r="C854" s="243" t="s">
        <v>2539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4"/>
      <c r="M854" s="274"/>
      <c r="N854" s="274"/>
      <c r="Q854" s="276"/>
    </row>
    <row r="855" spans="1:17" ht="12.75" customHeight="1" x14ac:dyDescent="0.25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7" t="s">
        <v>58</v>
      </c>
      <c r="H855" s="278" t="s">
        <v>45</v>
      </c>
      <c r="I855" s="243" t="s">
        <v>1467</v>
      </c>
      <c r="J855" s="243" t="s">
        <v>1363</v>
      </c>
      <c r="K855" s="247" t="s">
        <v>27</v>
      </c>
      <c r="L855" s="274"/>
      <c r="M855" s="274"/>
      <c r="N855" s="274"/>
      <c r="Q855" s="276"/>
    </row>
    <row r="856" spans="1:17" ht="12.75" customHeight="1" x14ac:dyDescent="0.25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25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7" t="s">
        <v>52</v>
      </c>
      <c r="H857" s="278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25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2368</v>
      </c>
      <c r="F858" s="244" t="s">
        <v>43</v>
      </c>
      <c r="G858" s="277" t="s">
        <v>58</v>
      </c>
      <c r="H858" s="278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25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7" t="s">
        <v>79</v>
      </c>
      <c r="H859" s="278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25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7" t="s">
        <v>44</v>
      </c>
      <c r="H860" s="278" t="s">
        <v>66</v>
      </c>
      <c r="I860" s="243" t="s">
        <v>1467</v>
      </c>
      <c r="J860" s="243" t="s">
        <v>1363</v>
      </c>
      <c r="K860" s="247" t="s">
        <v>27</v>
      </c>
      <c r="L860" s="274"/>
      <c r="M860" s="274"/>
      <c r="N860" s="274"/>
      <c r="Q860" s="276"/>
    </row>
    <row r="861" spans="1:17" ht="12.75" customHeight="1" x14ac:dyDescent="0.25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7" t="s">
        <v>50</v>
      </c>
      <c r="H861" s="278" t="s">
        <v>180</v>
      </c>
      <c r="I861" s="243" t="s">
        <v>1467</v>
      </c>
      <c r="J861" s="243" t="s">
        <v>1363</v>
      </c>
      <c r="K861" s="247" t="s">
        <v>27</v>
      </c>
      <c r="L861" s="274"/>
      <c r="M861" s="274"/>
      <c r="N861" s="274"/>
      <c r="Q861" s="276"/>
    </row>
    <row r="862" spans="1:17" ht="12.75" customHeight="1" x14ac:dyDescent="0.25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7" t="s">
        <v>67</v>
      </c>
      <c r="H862" s="278" t="s">
        <v>51</v>
      </c>
      <c r="I862" s="243" t="s">
        <v>1467</v>
      </c>
      <c r="J862" s="243" t="s">
        <v>1363</v>
      </c>
      <c r="K862" s="247" t="s">
        <v>27</v>
      </c>
      <c r="L862" s="274"/>
      <c r="M862" s="274"/>
      <c r="N862" s="274"/>
      <c r="Q862" s="276"/>
    </row>
    <row r="863" spans="1:17" ht="12.75" customHeight="1" x14ac:dyDescent="0.25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7" t="s">
        <v>228</v>
      </c>
      <c r="H863" s="278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25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7" t="s">
        <v>58</v>
      </c>
      <c r="H864" s="278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25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7" t="s">
        <v>139</v>
      </c>
      <c r="H865" s="278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25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7" t="s">
        <v>67</v>
      </c>
      <c r="H866" s="278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25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7" t="s">
        <v>52</v>
      </c>
      <c r="H867" s="278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25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7" t="s">
        <v>50</v>
      </c>
      <c r="H868" s="278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25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7" t="s">
        <v>67</v>
      </c>
      <c r="H869" s="278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25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7" t="s">
        <v>50</v>
      </c>
      <c r="H870" s="278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25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25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7" t="s">
        <v>79</v>
      </c>
      <c r="H872" s="278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25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7" t="s">
        <v>58</v>
      </c>
      <c r="H873" s="278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25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7" t="s">
        <v>44</v>
      </c>
      <c r="H874" s="278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25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2368</v>
      </c>
      <c r="F875" s="244" t="s">
        <v>49</v>
      </c>
      <c r="G875" s="277" t="s">
        <v>228</v>
      </c>
      <c r="H875" s="278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25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2368</v>
      </c>
      <c r="F876" s="244" t="s">
        <v>49</v>
      </c>
      <c r="G876" s="277" t="s">
        <v>79</v>
      </c>
      <c r="H876" s="278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25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7" t="s">
        <v>228</v>
      </c>
      <c r="H877" s="278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25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7" t="s">
        <v>52</v>
      </c>
      <c r="H878" s="278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25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3">
      <c r="A880" s="283">
        <v>7502</v>
      </c>
      <c r="B880" s="284" t="s">
        <v>2540</v>
      </c>
      <c r="C880" s="285" t="s">
        <v>2541</v>
      </c>
      <c r="D880" s="285" t="s">
        <v>99</v>
      </c>
      <c r="E880" s="285"/>
      <c r="F880" s="286" t="s">
        <v>43</v>
      </c>
      <c r="G880" s="277" t="s">
        <v>67</v>
      </c>
      <c r="H880" s="287">
        <v>0</v>
      </c>
      <c r="I880" s="285" t="s">
        <v>1512</v>
      </c>
      <c r="J880" s="285" t="s">
        <v>1363</v>
      </c>
      <c r="K880" s="247" t="s">
        <v>27</v>
      </c>
    </row>
    <row r="881" spans="1:17" ht="12.75" customHeight="1" x14ac:dyDescent="0.25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7" t="s">
        <v>58</v>
      </c>
      <c r="H881" s="278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25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2368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25">
      <c r="A883" s="241">
        <v>38897</v>
      </c>
      <c r="B883" s="242" t="s">
        <v>2399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25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7" t="s">
        <v>52</v>
      </c>
      <c r="H884" s="278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25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25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7" t="s">
        <v>58</v>
      </c>
      <c r="H886" s="278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25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2368</v>
      </c>
      <c r="F887" s="244" t="s">
        <v>43</v>
      </c>
      <c r="G887" s="277" t="s">
        <v>52</v>
      </c>
      <c r="H887" s="278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25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2368</v>
      </c>
      <c r="F888" s="244" t="s">
        <v>43</v>
      </c>
      <c r="G888" s="277" t="s">
        <v>67</v>
      </c>
      <c r="H888" s="278" t="s">
        <v>66</v>
      </c>
      <c r="I888" s="249" t="s">
        <v>1512</v>
      </c>
      <c r="J888" s="249" t="s">
        <v>1363</v>
      </c>
      <c r="K888" s="247" t="s">
        <v>27</v>
      </c>
      <c r="L888" s="274"/>
      <c r="M888" s="274"/>
      <c r="N888" s="274"/>
      <c r="Q888" s="276"/>
    </row>
    <row r="889" spans="1:17" ht="12.75" customHeight="1" x14ac:dyDescent="0.25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4"/>
      <c r="M889" s="274"/>
      <c r="N889" s="274"/>
      <c r="Q889" s="276"/>
    </row>
    <row r="890" spans="1:17" ht="12.75" customHeight="1" x14ac:dyDescent="0.25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2368</v>
      </c>
      <c r="F890" s="244" t="s">
        <v>43</v>
      </c>
      <c r="G890" s="277" t="s">
        <v>58</v>
      </c>
      <c r="H890" s="278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25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7" t="s">
        <v>67</v>
      </c>
      <c r="H891" s="278" t="s">
        <v>180</v>
      </c>
      <c r="I891" s="243" t="s">
        <v>1575</v>
      </c>
      <c r="J891" s="243" t="s">
        <v>1363</v>
      </c>
      <c r="K891" s="247" t="s">
        <v>27</v>
      </c>
      <c r="L891" s="274"/>
      <c r="M891" s="274"/>
      <c r="N891" s="274"/>
      <c r="Q891" s="276"/>
    </row>
    <row r="892" spans="1:17" ht="12.75" customHeight="1" x14ac:dyDescent="0.25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4"/>
      <c r="M892" s="274"/>
      <c r="N892" s="274"/>
      <c r="Q892" s="276"/>
    </row>
    <row r="893" spans="1:17" ht="12.75" customHeight="1" x14ac:dyDescent="0.25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7" t="s">
        <v>58</v>
      </c>
      <c r="H893" s="278"/>
      <c r="I893" s="243" t="s">
        <v>1575</v>
      </c>
      <c r="J893" s="243" t="s">
        <v>1363</v>
      </c>
      <c r="K893" s="247" t="s">
        <v>27</v>
      </c>
      <c r="L893" s="274"/>
      <c r="M893" s="274"/>
      <c r="N893" s="274"/>
      <c r="Q893" s="276"/>
    </row>
    <row r="894" spans="1:17" ht="12.75" customHeight="1" x14ac:dyDescent="0.25">
      <c r="A894" s="241">
        <v>25808</v>
      </c>
      <c r="B894" s="242" t="s">
        <v>2354</v>
      </c>
      <c r="C894" s="243" t="s">
        <v>220</v>
      </c>
      <c r="D894" s="243" t="s">
        <v>455</v>
      </c>
      <c r="E894" s="243"/>
      <c r="F894" s="244" t="s">
        <v>49</v>
      </c>
      <c r="G894" s="277" t="s">
        <v>50</v>
      </c>
      <c r="H894" s="278" t="s">
        <v>45</v>
      </c>
      <c r="I894" s="243" t="s">
        <v>1575</v>
      </c>
      <c r="J894" s="243" t="s">
        <v>1363</v>
      </c>
      <c r="K894" s="247" t="s">
        <v>27</v>
      </c>
      <c r="L894" s="274"/>
      <c r="M894" s="274"/>
      <c r="N894" s="274"/>
      <c r="Q894" s="276"/>
    </row>
    <row r="895" spans="1:17" ht="12.75" customHeight="1" x14ac:dyDescent="0.25">
      <c r="A895" s="241">
        <v>38929</v>
      </c>
      <c r="B895" s="242" t="s">
        <v>2542</v>
      </c>
      <c r="C895" s="249" t="s">
        <v>131</v>
      </c>
      <c r="D895" s="249" t="s">
        <v>143</v>
      </c>
      <c r="E895" s="249" t="s">
        <v>2368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4"/>
      <c r="M895" s="274"/>
      <c r="N895" s="274"/>
      <c r="Q895" s="276"/>
    </row>
    <row r="896" spans="1:17" ht="12.75" customHeight="1" x14ac:dyDescent="0.25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7" t="s">
        <v>52</v>
      </c>
      <c r="H896" s="278" t="s">
        <v>51</v>
      </c>
      <c r="I896" s="243" t="s">
        <v>1575</v>
      </c>
      <c r="J896" s="243" t="s">
        <v>1363</v>
      </c>
      <c r="K896" s="247" t="s">
        <v>27</v>
      </c>
      <c r="L896" s="274"/>
      <c r="M896" s="274"/>
      <c r="N896" s="274"/>
      <c r="Q896" s="276"/>
    </row>
    <row r="897" spans="1:17" ht="12.75" customHeight="1" x14ac:dyDescent="0.25">
      <c r="A897" s="241">
        <v>38891</v>
      </c>
      <c r="B897" s="242" t="s">
        <v>2400</v>
      </c>
      <c r="C897" s="249" t="s">
        <v>2401</v>
      </c>
      <c r="D897" s="249" t="s">
        <v>669</v>
      </c>
      <c r="E897" s="249" t="s">
        <v>2368</v>
      </c>
      <c r="F897" s="244" t="s">
        <v>43</v>
      </c>
      <c r="G897" s="277" t="s">
        <v>44</v>
      </c>
      <c r="H897" s="278" t="s">
        <v>45</v>
      </c>
      <c r="I897" s="249" t="s">
        <v>1575</v>
      </c>
      <c r="J897" s="249" t="s">
        <v>1363</v>
      </c>
      <c r="K897" s="247" t="s">
        <v>27</v>
      </c>
      <c r="L897" s="274"/>
      <c r="M897" s="274"/>
      <c r="N897" s="274"/>
      <c r="Q897" s="276"/>
    </row>
    <row r="898" spans="1:17" ht="12.75" customHeight="1" x14ac:dyDescent="0.25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7" t="s">
        <v>67</v>
      </c>
      <c r="H898" s="278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25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25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7" t="s">
        <v>44</v>
      </c>
      <c r="H900" s="278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25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7" t="s">
        <v>67</v>
      </c>
      <c r="H901" s="278"/>
      <c r="I901" s="243" t="s">
        <v>1575</v>
      </c>
      <c r="J901" s="243" t="s">
        <v>1363</v>
      </c>
      <c r="K901" s="247" t="s">
        <v>27</v>
      </c>
      <c r="L901" s="274"/>
      <c r="M901" s="274"/>
      <c r="N901" s="274"/>
      <c r="Q901" s="276"/>
    </row>
    <row r="902" spans="1:17" ht="12.75" customHeight="1" x14ac:dyDescent="0.25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7" t="s">
        <v>44</v>
      </c>
      <c r="H902" s="278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25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7" t="s">
        <v>67</v>
      </c>
      <c r="H903" s="278" t="s">
        <v>180</v>
      </c>
      <c r="I903" s="243" t="s">
        <v>1575</v>
      </c>
      <c r="J903" s="243" t="s">
        <v>1363</v>
      </c>
      <c r="K903" s="247" t="s">
        <v>27</v>
      </c>
      <c r="L903" s="274"/>
      <c r="M903" s="274"/>
      <c r="N903" s="274"/>
      <c r="Q903" s="276"/>
    </row>
    <row r="904" spans="1:17" ht="12.75" customHeight="1" x14ac:dyDescent="0.25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7" t="s">
        <v>44</v>
      </c>
      <c r="H904" s="278" t="s">
        <v>66</v>
      </c>
      <c r="I904" s="243" t="s">
        <v>1575</v>
      </c>
      <c r="J904" s="243" t="s">
        <v>1363</v>
      </c>
      <c r="K904" s="247" t="s">
        <v>27</v>
      </c>
      <c r="L904" s="274"/>
      <c r="M904" s="274"/>
      <c r="N904" s="274"/>
      <c r="Q904" s="276"/>
    </row>
    <row r="905" spans="1:17" ht="12.75" customHeight="1" x14ac:dyDescent="0.25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2368</v>
      </c>
      <c r="F905" s="244" t="s">
        <v>43</v>
      </c>
      <c r="G905" s="277" t="s">
        <v>44</v>
      </c>
      <c r="H905" s="278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25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7" t="s">
        <v>52</v>
      </c>
      <c r="H906" s="278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25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7" t="s">
        <v>139</v>
      </c>
      <c r="H907" s="278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25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7" t="s">
        <v>52</v>
      </c>
      <c r="H908" s="278" t="s">
        <v>66</v>
      </c>
      <c r="I908" s="243" t="s">
        <v>1575</v>
      </c>
      <c r="J908" s="243" t="s">
        <v>1363</v>
      </c>
      <c r="K908" s="247" t="s">
        <v>27</v>
      </c>
      <c r="L908" s="274"/>
      <c r="M908" s="274"/>
      <c r="N908" s="274"/>
      <c r="Q908" s="276"/>
    </row>
    <row r="909" spans="1:17" ht="12.75" customHeight="1" x14ac:dyDescent="0.25">
      <c r="A909" s="241">
        <v>38863</v>
      </c>
      <c r="B909" s="242" t="s">
        <v>2402</v>
      </c>
      <c r="C909" s="249" t="s">
        <v>2291</v>
      </c>
      <c r="D909" s="249" t="s">
        <v>2292</v>
      </c>
      <c r="E909" s="249" t="s">
        <v>2368</v>
      </c>
      <c r="F909" s="244" t="s">
        <v>43</v>
      </c>
      <c r="G909" s="277" t="s">
        <v>44</v>
      </c>
      <c r="H909" s="278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25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7" t="s">
        <v>52</v>
      </c>
      <c r="H910" s="278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25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7" t="s">
        <v>58</v>
      </c>
      <c r="H911" s="278" t="s">
        <v>104</v>
      </c>
      <c r="I911" s="243" t="s">
        <v>1575</v>
      </c>
      <c r="J911" s="243" t="s">
        <v>1363</v>
      </c>
      <c r="K911" s="247" t="s">
        <v>27</v>
      </c>
      <c r="L911" s="274"/>
      <c r="M911" s="274"/>
      <c r="N911" s="274"/>
      <c r="Q911" s="276"/>
    </row>
    <row r="912" spans="1:17" ht="12.75" customHeight="1" x14ac:dyDescent="0.25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7" t="s">
        <v>67</v>
      </c>
      <c r="H912" s="278" t="s">
        <v>51</v>
      </c>
      <c r="I912" s="243" t="s">
        <v>1575</v>
      </c>
      <c r="J912" s="243" t="s">
        <v>1363</v>
      </c>
      <c r="K912" s="247" t="s">
        <v>27</v>
      </c>
      <c r="L912" s="274"/>
      <c r="M912" s="274"/>
      <c r="N912" s="274"/>
      <c r="Q912" s="276"/>
    </row>
    <row r="913" spans="1:17" ht="12.75" customHeight="1" x14ac:dyDescent="0.25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7" t="s">
        <v>67</v>
      </c>
      <c r="H913" s="278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25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7" t="s">
        <v>67</v>
      </c>
      <c r="H914" s="278" t="s">
        <v>45</v>
      </c>
      <c r="I914" s="243" t="s">
        <v>1575</v>
      </c>
      <c r="J914" s="243" t="s">
        <v>1363</v>
      </c>
      <c r="K914" s="247" t="s">
        <v>27</v>
      </c>
      <c r="L914" s="274"/>
      <c r="M914" s="274"/>
      <c r="N914" s="274"/>
      <c r="Q914" s="276"/>
    </row>
    <row r="915" spans="1:17" ht="12.75" customHeight="1" x14ac:dyDescent="0.25">
      <c r="A915" s="241">
        <v>38928</v>
      </c>
      <c r="B915" s="242" t="s">
        <v>2543</v>
      </c>
      <c r="C915" s="249" t="s">
        <v>2356</v>
      </c>
      <c r="D915" s="249" t="s">
        <v>1274</v>
      </c>
      <c r="E915" s="249" t="s">
        <v>2368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25">
      <c r="A916" s="241">
        <v>38387</v>
      </c>
      <c r="B916" s="242" t="s">
        <v>2355</v>
      </c>
      <c r="C916" s="243" t="s">
        <v>2356</v>
      </c>
      <c r="D916" s="243" t="s">
        <v>582</v>
      </c>
      <c r="E916" s="243"/>
      <c r="F916" s="244" t="s">
        <v>43</v>
      </c>
      <c r="G916" s="277" t="s">
        <v>52</v>
      </c>
      <c r="H916" s="278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25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7" t="s">
        <v>44</v>
      </c>
      <c r="H917" s="278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25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7" t="s">
        <v>52</v>
      </c>
      <c r="H918" s="278" t="s">
        <v>180</v>
      </c>
      <c r="I918" s="243" t="s">
        <v>1597</v>
      </c>
      <c r="J918" s="243" t="s">
        <v>1363</v>
      </c>
      <c r="K918" s="247" t="s">
        <v>27</v>
      </c>
      <c r="L918" s="274"/>
      <c r="M918" s="274"/>
      <c r="N918" s="274"/>
      <c r="Q918" s="276"/>
    </row>
    <row r="919" spans="1:17" ht="12.75" customHeight="1" x14ac:dyDescent="0.25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7" t="s">
        <v>50</v>
      </c>
      <c r="H919" s="278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25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7" t="s">
        <v>44</v>
      </c>
      <c r="H920" s="278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25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7" t="s">
        <v>58</v>
      </c>
      <c r="H921" s="278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25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7" t="s">
        <v>228</v>
      </c>
      <c r="H922" s="278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25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7" t="s">
        <v>50</v>
      </c>
      <c r="H923" s="278" t="s">
        <v>45</v>
      </c>
      <c r="I923" s="243" t="s">
        <v>1597</v>
      </c>
      <c r="J923" s="243" t="s">
        <v>1363</v>
      </c>
      <c r="K923" s="247" t="s">
        <v>27</v>
      </c>
      <c r="L923" s="274"/>
      <c r="M923" s="274"/>
      <c r="N923" s="274"/>
      <c r="Q923" s="276"/>
    </row>
    <row r="924" spans="1:17" ht="12.75" customHeight="1" x14ac:dyDescent="0.25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7" t="s">
        <v>52</v>
      </c>
      <c r="H924" s="278" t="s">
        <v>66</v>
      </c>
      <c r="I924" s="243" t="s">
        <v>1597</v>
      </c>
      <c r="J924" s="243" t="s">
        <v>1363</v>
      </c>
      <c r="K924" s="247" t="s">
        <v>27</v>
      </c>
      <c r="L924" s="274"/>
      <c r="M924" s="274"/>
      <c r="N924" s="274"/>
      <c r="Q924" s="276"/>
    </row>
    <row r="925" spans="1:17" ht="12.75" customHeight="1" x14ac:dyDescent="0.25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7" t="s">
        <v>79</v>
      </c>
      <c r="H925" s="278" t="s">
        <v>180</v>
      </c>
      <c r="I925" s="243" t="s">
        <v>1597</v>
      </c>
      <c r="J925" s="243" t="s">
        <v>1363</v>
      </c>
      <c r="K925" s="247" t="s">
        <v>27</v>
      </c>
      <c r="L925" s="274"/>
      <c r="M925" s="274"/>
      <c r="N925" s="274"/>
      <c r="Q925" s="276"/>
    </row>
    <row r="926" spans="1:17" ht="12.75" customHeight="1" x14ac:dyDescent="0.25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7" t="s">
        <v>139</v>
      </c>
      <c r="H926" s="278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25">
      <c r="A927" s="241">
        <v>16679</v>
      </c>
      <c r="B927" s="242" t="s">
        <v>2544</v>
      </c>
      <c r="C927" s="249" t="s">
        <v>1537</v>
      </c>
      <c r="D927" s="249" t="s">
        <v>238</v>
      </c>
      <c r="E927" s="249" t="s">
        <v>2368</v>
      </c>
      <c r="F927" s="244" t="s">
        <v>43</v>
      </c>
      <c r="G927" s="277" t="s">
        <v>44</v>
      </c>
      <c r="H927" s="278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25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7" t="s">
        <v>44</v>
      </c>
      <c r="H928" s="278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25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7" t="s">
        <v>79</v>
      </c>
      <c r="H929" s="278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25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7" t="s">
        <v>362</v>
      </c>
      <c r="H930" s="278" t="s">
        <v>51</v>
      </c>
      <c r="I930" s="243" t="s">
        <v>1597</v>
      </c>
      <c r="J930" s="243" t="s">
        <v>1363</v>
      </c>
      <c r="K930" s="247" t="s">
        <v>27</v>
      </c>
      <c r="L930" s="274"/>
      <c r="M930" s="274"/>
      <c r="N930" s="274"/>
      <c r="Q930" s="276"/>
    </row>
    <row r="931" spans="1:17" ht="12.75" customHeight="1" x14ac:dyDescent="0.25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2368</v>
      </c>
      <c r="F931" s="244" t="s">
        <v>43</v>
      </c>
      <c r="G931" s="277" t="s">
        <v>89</v>
      </c>
      <c r="H931" s="278" t="s">
        <v>180</v>
      </c>
      <c r="I931" s="249" t="s">
        <v>1597</v>
      </c>
      <c r="J931" s="249" t="s">
        <v>1363</v>
      </c>
      <c r="K931" s="247" t="s">
        <v>27</v>
      </c>
      <c r="L931" s="274"/>
      <c r="M931" s="274"/>
      <c r="N931" s="274"/>
      <c r="Q931" s="276"/>
    </row>
    <row r="932" spans="1:17" ht="12.75" customHeight="1" x14ac:dyDescent="0.25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7" t="s">
        <v>1125</v>
      </c>
      <c r="H932" s="278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25">
      <c r="A933" s="241">
        <v>38792</v>
      </c>
      <c r="B933" s="242" t="s">
        <v>2545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25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7" t="s">
        <v>44</v>
      </c>
      <c r="H934" s="278" t="s">
        <v>180</v>
      </c>
      <c r="I934" s="243" t="s">
        <v>1597</v>
      </c>
      <c r="J934" s="243" t="s">
        <v>1363</v>
      </c>
      <c r="K934" s="247" t="s">
        <v>27</v>
      </c>
      <c r="L934" s="274"/>
      <c r="M934" s="274"/>
      <c r="N934" s="274"/>
      <c r="Q934" s="276"/>
    </row>
    <row r="935" spans="1:17" ht="12.75" customHeight="1" x14ac:dyDescent="0.25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7" t="s">
        <v>342</v>
      </c>
      <c r="H935" s="278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25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2368</v>
      </c>
      <c r="F936" s="244" t="s">
        <v>43</v>
      </c>
      <c r="G936" s="277" t="s">
        <v>52</v>
      </c>
      <c r="H936" s="278" t="s">
        <v>239</v>
      </c>
      <c r="I936" s="249" t="s">
        <v>1597</v>
      </c>
      <c r="J936" s="249" t="s">
        <v>1363</v>
      </c>
      <c r="K936" s="247" t="s">
        <v>27</v>
      </c>
      <c r="L936" s="274"/>
      <c r="M936" s="274"/>
      <c r="N936" s="274"/>
      <c r="Q936" s="276"/>
    </row>
    <row r="937" spans="1:17" ht="12.75" customHeight="1" x14ac:dyDescent="0.25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7" t="s">
        <v>44</v>
      </c>
      <c r="H937" s="278" t="s">
        <v>239</v>
      </c>
      <c r="I937" s="243" t="s">
        <v>1597</v>
      </c>
      <c r="J937" s="243" t="s">
        <v>1363</v>
      </c>
      <c r="K937" s="247" t="s">
        <v>27</v>
      </c>
      <c r="L937" s="274"/>
      <c r="M937" s="274"/>
      <c r="N937" s="274"/>
      <c r="Q937" s="276"/>
    </row>
    <row r="938" spans="1:17" ht="12.75" customHeight="1" x14ac:dyDescent="0.25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7" t="s">
        <v>50</v>
      </c>
      <c r="H938" s="278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25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7" t="s">
        <v>44</v>
      </c>
      <c r="H939" s="278" t="s">
        <v>239</v>
      </c>
      <c r="I939" s="243" t="s">
        <v>1597</v>
      </c>
      <c r="J939" s="243" t="s">
        <v>1363</v>
      </c>
      <c r="K939" s="247" t="s">
        <v>27</v>
      </c>
      <c r="L939" s="274"/>
      <c r="M939" s="274"/>
      <c r="N939" s="274"/>
      <c r="Q939" s="276"/>
    </row>
    <row r="940" spans="1:17" ht="12.75" customHeight="1" x14ac:dyDescent="0.25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7" t="s">
        <v>79</v>
      </c>
      <c r="H940" s="278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25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7" t="s">
        <v>362</v>
      </c>
      <c r="H941" s="278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25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7" t="s">
        <v>1125</v>
      </c>
      <c r="H942" s="278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25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7" t="s">
        <v>44</v>
      </c>
      <c r="H943" s="278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25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7" t="s">
        <v>44</v>
      </c>
      <c r="H944" s="278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25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7" t="s">
        <v>228</v>
      </c>
      <c r="H945" s="278" t="s">
        <v>66</v>
      </c>
      <c r="I945" s="243" t="s">
        <v>1597</v>
      </c>
      <c r="J945" s="243" t="s">
        <v>1363</v>
      </c>
      <c r="K945" s="247" t="s">
        <v>27</v>
      </c>
      <c r="L945" s="274"/>
      <c r="M945" s="274"/>
      <c r="N945" s="274"/>
      <c r="Q945" s="276"/>
    </row>
    <row r="946" spans="1:17" ht="12.75" customHeight="1" x14ac:dyDescent="0.25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7" t="s">
        <v>52</v>
      </c>
      <c r="H946" s="278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25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7" t="s">
        <v>362</v>
      </c>
      <c r="H947" s="278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25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7" t="s">
        <v>139</v>
      </c>
      <c r="H948" s="278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25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7" t="s">
        <v>58</v>
      </c>
      <c r="H949" s="278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25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7" t="s">
        <v>44</v>
      </c>
      <c r="H950" s="278"/>
      <c r="I950" s="243" t="s">
        <v>1597</v>
      </c>
      <c r="J950" s="243" t="s">
        <v>1363</v>
      </c>
      <c r="K950" s="247" t="s">
        <v>27</v>
      </c>
      <c r="L950" s="274"/>
      <c r="M950" s="274"/>
      <c r="N950" s="274"/>
      <c r="Q950" s="276"/>
    </row>
    <row r="951" spans="1:17" ht="12.75" customHeight="1" x14ac:dyDescent="0.25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7" t="s">
        <v>44</v>
      </c>
      <c r="H951" s="278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25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7" t="s">
        <v>50</v>
      </c>
      <c r="H952" s="278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25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7" t="s">
        <v>44</v>
      </c>
      <c r="H953" s="278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25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7" t="s">
        <v>52</v>
      </c>
      <c r="H954" s="278" t="s">
        <v>180</v>
      </c>
      <c r="I954" s="243" t="s">
        <v>1597</v>
      </c>
      <c r="J954" s="243" t="s">
        <v>1363</v>
      </c>
      <c r="K954" s="247" t="s">
        <v>27</v>
      </c>
      <c r="L954" s="274"/>
      <c r="M954" s="274"/>
      <c r="N954" s="274"/>
      <c r="Q954" s="276"/>
    </row>
    <row r="955" spans="1:17" ht="12.75" customHeight="1" x14ac:dyDescent="0.25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7" t="s">
        <v>139</v>
      </c>
      <c r="H955" s="278" t="s">
        <v>45</v>
      </c>
      <c r="I955" s="243" t="s">
        <v>1597</v>
      </c>
      <c r="J955" s="243" t="s">
        <v>1363</v>
      </c>
      <c r="K955" s="247" t="s">
        <v>27</v>
      </c>
      <c r="L955" s="274"/>
      <c r="M955" s="274"/>
      <c r="N955" s="274"/>
      <c r="Q955" s="276"/>
    </row>
    <row r="956" spans="1:17" ht="12.75" customHeight="1" x14ac:dyDescent="0.25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7" t="s">
        <v>79</v>
      </c>
      <c r="H956" s="278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25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7" t="s">
        <v>342</v>
      </c>
      <c r="H957" s="278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25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7" t="s">
        <v>44</v>
      </c>
      <c r="H958" s="278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25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2368</v>
      </c>
      <c r="F959" s="244" t="s">
        <v>49</v>
      </c>
      <c r="G959" s="277" t="s">
        <v>50</v>
      </c>
      <c r="H959" s="278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25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7" t="s">
        <v>58</v>
      </c>
      <c r="H960" s="278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25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25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7" t="s">
        <v>79</v>
      </c>
      <c r="H962" s="278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25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7" t="s">
        <v>139</v>
      </c>
      <c r="H963" s="278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25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7" t="s">
        <v>362</v>
      </c>
      <c r="H964" s="278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25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2368</v>
      </c>
      <c r="F965" s="244" t="s">
        <v>43</v>
      </c>
      <c r="G965" s="277" t="s">
        <v>44</v>
      </c>
      <c r="H965" s="278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25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2368</v>
      </c>
      <c r="F966" s="244" t="s">
        <v>43</v>
      </c>
      <c r="G966" s="277" t="s">
        <v>44</v>
      </c>
      <c r="H966" s="278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25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2368</v>
      </c>
      <c r="F967" s="244" t="s">
        <v>43</v>
      </c>
      <c r="G967" s="277" t="s">
        <v>44</v>
      </c>
      <c r="H967" s="278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25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7" t="s">
        <v>44</v>
      </c>
      <c r="H968" s="278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25">
      <c r="A969" s="241">
        <v>25830</v>
      </c>
      <c r="B969" s="242" t="s">
        <v>2357</v>
      </c>
      <c r="C969" s="243" t="s">
        <v>1659</v>
      </c>
      <c r="D969" s="243" t="s">
        <v>999</v>
      </c>
      <c r="E969" s="243"/>
      <c r="F969" s="244" t="s">
        <v>43</v>
      </c>
      <c r="G969" s="277" t="s">
        <v>94</v>
      </c>
      <c r="H969" s="278" t="s">
        <v>239</v>
      </c>
      <c r="I969" s="243" t="s">
        <v>1597</v>
      </c>
      <c r="J969" s="243" t="s">
        <v>1363</v>
      </c>
      <c r="K969" s="247" t="s">
        <v>27</v>
      </c>
      <c r="L969" s="274"/>
      <c r="M969" s="274"/>
      <c r="N969" s="274"/>
      <c r="Q969" s="276"/>
    </row>
    <row r="970" spans="1:17" ht="12.75" customHeight="1" x14ac:dyDescent="0.25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7" t="s">
        <v>44</v>
      </c>
      <c r="H970" s="278" t="s">
        <v>239</v>
      </c>
      <c r="I970" s="243" t="s">
        <v>1597</v>
      </c>
      <c r="J970" s="243" t="s">
        <v>1363</v>
      </c>
      <c r="K970" s="247" t="s">
        <v>27</v>
      </c>
      <c r="L970" s="274"/>
      <c r="M970" s="274"/>
      <c r="N970" s="274"/>
      <c r="Q970" s="276"/>
    </row>
    <row r="971" spans="1:17" ht="12.75" customHeight="1" x14ac:dyDescent="0.25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7" t="s">
        <v>362</v>
      </c>
      <c r="H971" s="278" t="s">
        <v>66</v>
      </c>
      <c r="I971" s="243" t="s">
        <v>1597</v>
      </c>
      <c r="J971" s="243" t="s">
        <v>1363</v>
      </c>
      <c r="K971" s="247" t="s">
        <v>27</v>
      </c>
      <c r="L971" s="274"/>
      <c r="M971" s="274"/>
      <c r="N971" s="274"/>
      <c r="Q971" s="276"/>
    </row>
    <row r="972" spans="1:17" ht="12.75" customHeight="1" x14ac:dyDescent="0.25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7" t="s">
        <v>52</v>
      </c>
      <c r="H972" s="278" t="s">
        <v>66</v>
      </c>
      <c r="I972" s="243" t="s">
        <v>1597</v>
      </c>
      <c r="J972" s="243" t="s">
        <v>1363</v>
      </c>
      <c r="K972" s="247" t="s">
        <v>27</v>
      </c>
      <c r="L972" s="274"/>
      <c r="M972" s="274"/>
      <c r="N972" s="274"/>
      <c r="Q972" s="276"/>
    </row>
    <row r="973" spans="1:17" ht="12.75" customHeight="1" x14ac:dyDescent="0.25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7" t="s">
        <v>362</v>
      </c>
      <c r="H973" s="278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25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7" t="s">
        <v>89</v>
      </c>
      <c r="H974" s="278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25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2368</v>
      </c>
      <c r="F975" s="244" t="s">
        <v>43</v>
      </c>
      <c r="G975" s="277" t="s">
        <v>52</v>
      </c>
      <c r="H975" s="278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25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7" t="s">
        <v>342</v>
      </c>
      <c r="H976" s="278" t="s">
        <v>180</v>
      </c>
      <c r="I976" s="243" t="s">
        <v>255</v>
      </c>
      <c r="J976" s="243" t="s">
        <v>1363</v>
      </c>
      <c r="K976" s="247" t="s">
        <v>27</v>
      </c>
      <c r="L976" s="274"/>
      <c r="M976" s="274"/>
      <c r="N976" s="274"/>
      <c r="Q976" s="276"/>
    </row>
    <row r="977" spans="1:17" ht="12.75" customHeight="1" x14ac:dyDescent="0.25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2368</v>
      </c>
      <c r="F977" s="244" t="s">
        <v>43</v>
      </c>
      <c r="G977" s="277" t="s">
        <v>52</v>
      </c>
      <c r="H977" s="278"/>
      <c r="I977" s="249" t="s">
        <v>255</v>
      </c>
      <c r="J977" s="249" t="s">
        <v>1363</v>
      </c>
      <c r="K977" s="247" t="s">
        <v>27</v>
      </c>
      <c r="L977" s="274"/>
      <c r="M977" s="274"/>
      <c r="N977" s="274"/>
      <c r="Q977" s="276"/>
    </row>
    <row r="978" spans="1:17" ht="12.75" customHeight="1" x14ac:dyDescent="0.25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7" t="s">
        <v>89</v>
      </c>
      <c r="H978" s="278" t="s">
        <v>104</v>
      </c>
      <c r="I978" s="243" t="s">
        <v>255</v>
      </c>
      <c r="J978" s="243" t="s">
        <v>1363</v>
      </c>
      <c r="K978" s="247" t="s">
        <v>27</v>
      </c>
      <c r="L978" s="274"/>
      <c r="M978" s="274"/>
      <c r="N978" s="274"/>
      <c r="Q978" s="276"/>
    </row>
    <row r="979" spans="1:17" ht="12.75" customHeight="1" x14ac:dyDescent="0.25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7" t="s">
        <v>58</v>
      </c>
      <c r="H979" s="278" t="s">
        <v>66</v>
      </c>
      <c r="I979" s="243" t="s">
        <v>255</v>
      </c>
      <c r="J979" s="243" t="s">
        <v>1363</v>
      </c>
      <c r="K979" s="247" t="s">
        <v>27</v>
      </c>
      <c r="L979" s="274"/>
      <c r="M979" s="274"/>
      <c r="N979" s="274"/>
      <c r="Q979" s="276"/>
    </row>
    <row r="980" spans="1:17" ht="12.75" customHeight="1" x14ac:dyDescent="0.25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7" t="s">
        <v>52</v>
      </c>
      <c r="H980" s="278" t="s">
        <v>180</v>
      </c>
      <c r="I980" s="243" t="s">
        <v>255</v>
      </c>
      <c r="J980" s="243" t="s">
        <v>1363</v>
      </c>
      <c r="K980" s="247" t="s">
        <v>27</v>
      </c>
      <c r="L980" s="274"/>
      <c r="M980" s="274"/>
      <c r="N980" s="274"/>
      <c r="Q980" s="276"/>
    </row>
    <row r="981" spans="1:17" ht="12.75" customHeight="1" x14ac:dyDescent="0.25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4"/>
      <c r="M981" s="274"/>
      <c r="N981" s="274"/>
      <c r="Q981" s="276"/>
    </row>
    <row r="982" spans="1:17" ht="12.75" customHeight="1" x14ac:dyDescent="0.25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7" t="s">
        <v>58</v>
      </c>
      <c r="H982" s="278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25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7" t="s">
        <v>362</v>
      </c>
      <c r="H983" s="278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25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7" t="s">
        <v>1125</v>
      </c>
      <c r="H984" s="278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25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7" t="s">
        <v>79</v>
      </c>
      <c r="H985" s="278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25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7" t="s">
        <v>362</v>
      </c>
      <c r="H986" s="278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25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7" t="s">
        <v>44</v>
      </c>
      <c r="H987" s="278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25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2368</v>
      </c>
      <c r="F988" s="244" t="s">
        <v>43</v>
      </c>
      <c r="G988" s="277" t="s">
        <v>44</v>
      </c>
      <c r="H988" s="278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25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7" t="s">
        <v>44</v>
      </c>
      <c r="H989" s="278" t="s">
        <v>45</v>
      </c>
      <c r="I989" s="243" t="s">
        <v>1684</v>
      </c>
      <c r="J989" s="243" t="s">
        <v>1363</v>
      </c>
      <c r="K989" s="247" t="s">
        <v>27</v>
      </c>
      <c r="L989" s="274"/>
      <c r="M989" s="274"/>
      <c r="N989" s="274"/>
      <c r="Q989" s="276"/>
    </row>
    <row r="990" spans="1:17" ht="12.75" customHeight="1" x14ac:dyDescent="0.25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7" t="s">
        <v>44</v>
      </c>
      <c r="H990" s="278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25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2368</v>
      </c>
      <c r="F991" s="244" t="s">
        <v>43</v>
      </c>
      <c r="G991" s="277" t="s">
        <v>44</v>
      </c>
      <c r="H991" s="278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25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7" t="s">
        <v>58</v>
      </c>
      <c r="H992" s="278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25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7" t="s">
        <v>67</v>
      </c>
      <c r="H993" s="278"/>
      <c r="I993" s="243" t="s">
        <v>1684</v>
      </c>
      <c r="J993" s="243" t="s">
        <v>1363</v>
      </c>
      <c r="K993" s="247" t="s">
        <v>27</v>
      </c>
      <c r="L993" s="274"/>
      <c r="M993" s="274"/>
      <c r="N993" s="274"/>
      <c r="Q993" s="276"/>
    </row>
    <row r="994" spans="1:17" ht="12.75" customHeight="1" x14ac:dyDescent="0.25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2368</v>
      </c>
      <c r="F994" s="244" t="s">
        <v>43</v>
      </c>
      <c r="G994" s="277" t="s">
        <v>44</v>
      </c>
      <c r="H994" s="278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25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7" t="s">
        <v>44</v>
      </c>
      <c r="H995" s="278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25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2368</v>
      </c>
      <c r="F996" s="244" t="s">
        <v>43</v>
      </c>
      <c r="G996" s="277" t="s">
        <v>94</v>
      </c>
      <c r="H996" s="278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25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2368</v>
      </c>
      <c r="F997" s="244" t="s">
        <v>43</v>
      </c>
      <c r="G997" s="277" t="s">
        <v>52</v>
      </c>
      <c r="H997" s="278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25">
      <c r="A998" s="241">
        <v>38535</v>
      </c>
      <c r="B998" s="242" t="s">
        <v>2359</v>
      </c>
      <c r="C998" s="249" t="s">
        <v>2360</v>
      </c>
      <c r="D998" s="249" t="s">
        <v>2361</v>
      </c>
      <c r="E998" s="249" t="s">
        <v>2368</v>
      </c>
      <c r="F998" s="244" t="s">
        <v>43</v>
      </c>
      <c r="G998" s="277" t="s">
        <v>52</v>
      </c>
      <c r="H998" s="278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25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2368</v>
      </c>
      <c r="F999" s="244" t="s">
        <v>43</v>
      </c>
      <c r="G999" s="277" t="s">
        <v>52</v>
      </c>
      <c r="H999" s="278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25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7" t="s">
        <v>44</v>
      </c>
      <c r="H1000" s="278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25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2368</v>
      </c>
      <c r="F1001" s="244" t="s">
        <v>43</v>
      </c>
      <c r="G1001" s="277" t="s">
        <v>52</v>
      </c>
      <c r="H1001" s="278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25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2368</v>
      </c>
      <c r="F1002" s="244" t="s">
        <v>43</v>
      </c>
      <c r="G1002" s="277" t="s">
        <v>44</v>
      </c>
      <c r="H1002" s="278" t="s">
        <v>66</v>
      </c>
      <c r="I1002" s="249" t="s">
        <v>1710</v>
      </c>
      <c r="J1002" s="249" t="s">
        <v>1711</v>
      </c>
      <c r="K1002" s="247" t="s">
        <v>25</v>
      </c>
      <c r="L1002" s="274"/>
      <c r="M1002" s="274"/>
      <c r="N1002" s="274"/>
      <c r="Q1002" s="276"/>
    </row>
    <row r="1003" spans="1:17" ht="12.75" customHeight="1" x14ac:dyDescent="0.25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7" t="s">
        <v>44</v>
      </c>
      <c r="H1003" s="278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25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2368</v>
      </c>
      <c r="F1004" s="244" t="s">
        <v>43</v>
      </c>
      <c r="G1004" s="277" t="s">
        <v>44</v>
      </c>
      <c r="H1004" s="278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25">
      <c r="A1005" s="241">
        <v>38895</v>
      </c>
      <c r="B1005" s="242" t="s">
        <v>2403</v>
      </c>
      <c r="C1005" s="243" t="s">
        <v>2404</v>
      </c>
      <c r="D1005" s="243" t="s">
        <v>405</v>
      </c>
      <c r="E1005" s="243"/>
      <c r="F1005" s="244" t="s">
        <v>43</v>
      </c>
      <c r="G1005" s="277" t="s">
        <v>362</v>
      </c>
      <c r="H1005" s="278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25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7" t="s">
        <v>67</v>
      </c>
      <c r="H1006" s="278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25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7" t="s">
        <v>79</v>
      </c>
      <c r="H1007" s="278" t="s">
        <v>45</v>
      </c>
      <c r="I1007" s="243" t="s">
        <v>1710</v>
      </c>
      <c r="J1007" s="243" t="s">
        <v>1711</v>
      </c>
      <c r="K1007" s="247" t="s">
        <v>25</v>
      </c>
      <c r="L1007" s="274"/>
      <c r="M1007" s="274"/>
      <c r="N1007" s="274"/>
      <c r="Q1007" s="276"/>
    </row>
    <row r="1008" spans="1:17" ht="12.75" customHeight="1" x14ac:dyDescent="0.25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7" t="s">
        <v>89</v>
      </c>
      <c r="H1008" s="278" t="s">
        <v>45</v>
      </c>
      <c r="I1008" s="243" t="s">
        <v>1710</v>
      </c>
      <c r="J1008" s="243" t="s">
        <v>1711</v>
      </c>
      <c r="K1008" s="247" t="s">
        <v>25</v>
      </c>
      <c r="L1008" s="274"/>
      <c r="M1008" s="274"/>
      <c r="N1008" s="274"/>
      <c r="Q1008" s="276"/>
    </row>
    <row r="1009" spans="1:17" ht="12.75" customHeight="1" x14ac:dyDescent="0.25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4"/>
      <c r="M1009" s="274"/>
      <c r="N1009" s="274"/>
      <c r="Q1009" s="276"/>
    </row>
    <row r="1010" spans="1:17" ht="12.75" customHeight="1" x14ac:dyDescent="0.25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4"/>
      <c r="M1010" s="274"/>
      <c r="N1010" s="274"/>
      <c r="Q1010" s="276"/>
    </row>
    <row r="1011" spans="1:17" ht="12.75" customHeight="1" x14ac:dyDescent="0.25">
      <c r="A1011" s="241">
        <v>38919</v>
      </c>
      <c r="B1011" s="242" t="s">
        <v>2546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4"/>
      <c r="M1011" s="274"/>
      <c r="N1011" s="274"/>
      <c r="Q1011" s="276"/>
    </row>
    <row r="1012" spans="1:17" ht="12.75" customHeight="1" x14ac:dyDescent="0.25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7" t="s">
        <v>79</v>
      </c>
      <c r="H1012" s="278" t="s">
        <v>104</v>
      </c>
      <c r="I1012" s="243" t="s">
        <v>1710</v>
      </c>
      <c r="J1012" s="243" t="s">
        <v>1711</v>
      </c>
      <c r="K1012" s="247" t="s">
        <v>25</v>
      </c>
      <c r="L1012" s="274"/>
      <c r="M1012" s="274"/>
      <c r="N1012" s="274"/>
      <c r="Q1012" s="276"/>
    </row>
    <row r="1013" spans="1:17" ht="12.75" customHeight="1" x14ac:dyDescent="0.25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4"/>
      <c r="M1013" s="274"/>
      <c r="N1013" s="274"/>
      <c r="Q1013" s="276"/>
    </row>
    <row r="1014" spans="1:17" ht="12.75" customHeight="1" x14ac:dyDescent="0.25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4"/>
      <c r="M1014" s="274"/>
      <c r="N1014" s="274"/>
      <c r="Q1014" s="276"/>
    </row>
    <row r="1015" spans="1:17" ht="12.75" customHeight="1" x14ac:dyDescent="0.25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7" t="s">
        <v>362</v>
      </c>
      <c r="H1015" s="278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25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7" t="s">
        <v>139</v>
      </c>
      <c r="H1016" s="278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25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7" t="s">
        <v>44</v>
      </c>
      <c r="H1017" s="278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25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7" t="s">
        <v>94</v>
      </c>
      <c r="H1018" s="278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25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7" t="s">
        <v>44</v>
      </c>
      <c r="H1019" s="278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25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7" t="s">
        <v>52</v>
      </c>
      <c r="H1020" s="278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25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7" t="s">
        <v>362</v>
      </c>
      <c r="H1021" s="278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25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7" t="s">
        <v>44</v>
      </c>
      <c r="H1022" s="278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25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7" t="s">
        <v>44</v>
      </c>
      <c r="H1023" s="278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25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7" t="s">
        <v>58</v>
      </c>
      <c r="H1024" s="278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25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2368</v>
      </c>
      <c r="F1025" s="244" t="s">
        <v>43</v>
      </c>
      <c r="G1025" s="277" t="s">
        <v>52</v>
      </c>
      <c r="H1025" s="278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25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7" t="s">
        <v>52</v>
      </c>
      <c r="H1026" s="278" t="s">
        <v>51</v>
      </c>
      <c r="I1026" s="243" t="s">
        <v>1710</v>
      </c>
      <c r="J1026" s="243" t="s">
        <v>1711</v>
      </c>
      <c r="K1026" s="247" t="s">
        <v>25</v>
      </c>
      <c r="L1026" s="274"/>
      <c r="M1026" s="274"/>
      <c r="N1026" s="274"/>
      <c r="Q1026" s="276"/>
    </row>
    <row r="1027" spans="1:17" ht="12.75" customHeight="1" x14ac:dyDescent="0.25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7" t="s">
        <v>44</v>
      </c>
      <c r="H1027" s="278" t="s">
        <v>180</v>
      </c>
      <c r="I1027" s="243" t="s">
        <v>1710</v>
      </c>
      <c r="J1027" s="243" t="s">
        <v>1711</v>
      </c>
      <c r="K1027" s="247" t="s">
        <v>25</v>
      </c>
      <c r="L1027" s="274"/>
      <c r="M1027" s="274"/>
      <c r="N1027" s="274"/>
      <c r="Q1027" s="276"/>
    </row>
    <row r="1028" spans="1:17" ht="12.75" customHeight="1" x14ac:dyDescent="0.25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7" t="s">
        <v>58</v>
      </c>
      <c r="H1028" s="278" t="s">
        <v>45</v>
      </c>
      <c r="I1028" s="243" t="s">
        <v>1710</v>
      </c>
      <c r="J1028" s="243" t="s">
        <v>1711</v>
      </c>
      <c r="K1028" s="247" t="s">
        <v>25</v>
      </c>
      <c r="L1028" s="274"/>
      <c r="M1028" s="274"/>
      <c r="N1028" s="274"/>
      <c r="Q1028" s="276"/>
    </row>
    <row r="1029" spans="1:17" ht="12.75" customHeight="1" x14ac:dyDescent="0.25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7" t="s">
        <v>52</v>
      </c>
      <c r="H1029" s="278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25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7" t="s">
        <v>2061</v>
      </c>
      <c r="H1030" s="278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25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4"/>
      <c r="M1031" s="274"/>
      <c r="N1031" s="274"/>
      <c r="Q1031" s="276"/>
    </row>
    <row r="1032" spans="1:17" ht="12.75" customHeight="1" x14ac:dyDescent="0.25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2368</v>
      </c>
      <c r="F1032" s="244" t="s">
        <v>43</v>
      </c>
      <c r="G1032" s="277" t="s">
        <v>44</v>
      </c>
      <c r="H1032" s="278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25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2368</v>
      </c>
      <c r="F1033" s="244" t="s">
        <v>43</v>
      </c>
      <c r="G1033" s="277" t="s">
        <v>52</v>
      </c>
      <c r="H1033" s="278" t="s">
        <v>51</v>
      </c>
      <c r="I1033" s="249" t="s">
        <v>1710</v>
      </c>
      <c r="J1033" s="249" t="s">
        <v>1711</v>
      </c>
      <c r="K1033" s="247" t="s">
        <v>25</v>
      </c>
      <c r="L1033" s="274"/>
      <c r="M1033" s="274"/>
      <c r="N1033" s="274"/>
      <c r="Q1033" s="276"/>
    </row>
    <row r="1034" spans="1:17" ht="12.75" customHeight="1" x14ac:dyDescent="0.25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2368</v>
      </c>
      <c r="F1034" s="244" t="s">
        <v>43</v>
      </c>
      <c r="G1034" s="277" t="s">
        <v>52</v>
      </c>
      <c r="H1034" s="278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25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2368</v>
      </c>
      <c r="F1035" s="244" t="s">
        <v>43</v>
      </c>
      <c r="G1035" s="277" t="s">
        <v>44</v>
      </c>
      <c r="H1035" s="278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25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7" t="s">
        <v>44</v>
      </c>
      <c r="H1036" s="278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25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2368</v>
      </c>
      <c r="F1037" s="244" t="s">
        <v>43</v>
      </c>
      <c r="G1037" s="277" t="s">
        <v>44</v>
      </c>
      <c r="H1037" s="278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25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2368</v>
      </c>
      <c r="F1038" s="244" t="s">
        <v>43</v>
      </c>
      <c r="G1038" s="277" t="s">
        <v>44</v>
      </c>
      <c r="H1038" s="278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25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7" t="s">
        <v>58</v>
      </c>
      <c r="H1039" s="278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25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2368</v>
      </c>
      <c r="F1040" s="244" t="s">
        <v>43</v>
      </c>
      <c r="G1040" s="277" t="s">
        <v>67</v>
      </c>
      <c r="H1040" s="278" t="s">
        <v>45</v>
      </c>
      <c r="I1040" s="249" t="s">
        <v>19</v>
      </c>
      <c r="J1040" s="249" t="s">
        <v>1746</v>
      </c>
      <c r="K1040" s="247" t="s">
        <v>21</v>
      </c>
      <c r="L1040" s="274"/>
      <c r="M1040" s="274"/>
      <c r="N1040" s="274"/>
      <c r="Q1040" s="276"/>
    </row>
    <row r="1041" spans="1:17" ht="12.75" customHeight="1" x14ac:dyDescent="0.25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2368</v>
      </c>
      <c r="F1041" s="244" t="s">
        <v>43</v>
      </c>
      <c r="G1041" s="277" t="s">
        <v>44</v>
      </c>
      <c r="H1041" s="278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25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2368</v>
      </c>
      <c r="F1042" s="244" t="s">
        <v>43</v>
      </c>
      <c r="G1042" s="277" t="s">
        <v>44</v>
      </c>
      <c r="H1042" s="278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25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7" t="s">
        <v>58</v>
      </c>
      <c r="H1043" s="278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25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2368</v>
      </c>
      <c r="F1044" s="244" t="s">
        <v>43</v>
      </c>
      <c r="G1044" s="277" t="s">
        <v>44</v>
      </c>
      <c r="H1044" s="278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25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25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2368</v>
      </c>
      <c r="F1046" s="244" t="s">
        <v>43</v>
      </c>
      <c r="G1046" s="277" t="s">
        <v>44</v>
      </c>
      <c r="H1046" s="278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25">
      <c r="A1047" s="241">
        <v>16939</v>
      </c>
      <c r="B1047" s="242" t="s">
        <v>2362</v>
      </c>
      <c r="C1047" s="249" t="s">
        <v>2363</v>
      </c>
      <c r="D1047" s="249" t="s">
        <v>496</v>
      </c>
      <c r="E1047" s="249" t="s">
        <v>2368</v>
      </c>
      <c r="F1047" s="244" t="s">
        <v>43</v>
      </c>
      <c r="G1047" s="277" t="s">
        <v>44</v>
      </c>
      <c r="H1047" s="278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25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7" t="s">
        <v>44</v>
      </c>
      <c r="H1048" s="278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25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7" t="s">
        <v>52</v>
      </c>
      <c r="H1049" s="278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25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2368</v>
      </c>
      <c r="F1050" s="244" t="s">
        <v>43</v>
      </c>
      <c r="G1050" s="277" t="s">
        <v>44</v>
      </c>
      <c r="H1050" s="278" t="s">
        <v>66</v>
      </c>
      <c r="I1050" s="249" t="s">
        <v>19</v>
      </c>
      <c r="J1050" s="249" t="s">
        <v>1746</v>
      </c>
      <c r="K1050" s="247" t="s">
        <v>21</v>
      </c>
      <c r="L1050" s="274"/>
      <c r="M1050" s="274"/>
      <c r="N1050" s="274"/>
      <c r="Q1050" s="276"/>
    </row>
    <row r="1051" spans="1:17" ht="12.75" customHeight="1" x14ac:dyDescent="0.25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7" t="s">
        <v>44</v>
      </c>
      <c r="H1051" s="278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25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7" t="s">
        <v>52</v>
      </c>
      <c r="H1052" s="278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25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7" t="s">
        <v>44</v>
      </c>
      <c r="H1053" s="278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25">
      <c r="A1054" s="241">
        <v>25025</v>
      </c>
      <c r="B1054" s="242" t="s">
        <v>2405</v>
      </c>
      <c r="C1054" s="249" t="s">
        <v>344</v>
      </c>
      <c r="D1054" s="249" t="s">
        <v>117</v>
      </c>
      <c r="E1054" s="249" t="s">
        <v>2368</v>
      </c>
      <c r="F1054" s="244" t="s">
        <v>43</v>
      </c>
      <c r="G1054" s="277" t="s">
        <v>67</v>
      </c>
      <c r="H1054" s="278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25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4"/>
      <c r="M1055" s="274"/>
      <c r="N1055" s="274"/>
      <c r="Q1055" s="276"/>
    </row>
    <row r="1056" spans="1:17" ht="12.75" customHeight="1" x14ac:dyDescent="0.25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7" t="s">
        <v>44</v>
      </c>
      <c r="H1056" s="278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25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7" t="s">
        <v>44</v>
      </c>
      <c r="H1057" s="278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25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7" t="s">
        <v>44</v>
      </c>
      <c r="H1058" s="278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25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7" t="s">
        <v>67</v>
      </c>
      <c r="H1059" s="278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25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2368</v>
      </c>
      <c r="F1060" s="244" t="s">
        <v>43</v>
      </c>
      <c r="G1060" s="277" t="s">
        <v>67</v>
      </c>
      <c r="H1060" s="278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25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7" t="s">
        <v>44</v>
      </c>
      <c r="H1061" s="278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25">
      <c r="A1062" s="241">
        <v>25606</v>
      </c>
      <c r="B1062" s="242" t="s">
        <v>2406</v>
      </c>
      <c r="C1062" s="249" t="s">
        <v>1705</v>
      </c>
      <c r="D1062" s="249" t="s">
        <v>120</v>
      </c>
      <c r="E1062" s="249" t="s">
        <v>2368</v>
      </c>
      <c r="F1062" s="244" t="s">
        <v>43</v>
      </c>
      <c r="G1062" s="277" t="s">
        <v>44</v>
      </c>
      <c r="H1062" s="278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25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7" t="s">
        <v>44</v>
      </c>
      <c r="H1063" s="278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25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7" t="s">
        <v>44</v>
      </c>
      <c r="H1064" s="278" t="s">
        <v>180</v>
      </c>
      <c r="I1064" s="243" t="s">
        <v>1768</v>
      </c>
      <c r="J1064" s="243" t="s">
        <v>14</v>
      </c>
      <c r="K1064" s="247" t="s">
        <v>28</v>
      </c>
      <c r="L1064" s="274"/>
      <c r="M1064" s="274"/>
      <c r="N1064" s="274"/>
      <c r="Q1064" s="276"/>
    </row>
    <row r="1065" spans="1:17" ht="12.75" customHeight="1" x14ac:dyDescent="0.25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25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25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25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25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25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25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25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25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25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4"/>
      <c r="M1074" s="274"/>
      <c r="N1074" s="274"/>
      <c r="Q1074" s="276"/>
    </row>
    <row r="1075" spans="1:17" ht="12.75" customHeight="1" x14ac:dyDescent="0.25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4"/>
      <c r="M1075" s="274"/>
      <c r="N1075" s="274"/>
      <c r="Q1075" s="276"/>
    </row>
    <row r="1076" spans="1:17" ht="12.75" customHeight="1" x14ac:dyDescent="0.25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25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25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25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4"/>
      <c r="M1079" s="274"/>
      <c r="N1079" s="274"/>
      <c r="Q1079" s="276"/>
    </row>
    <row r="1080" spans="1:17" ht="12.75" customHeight="1" x14ac:dyDescent="0.25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4"/>
      <c r="M1080" s="274"/>
      <c r="N1080" s="274"/>
      <c r="Q1080" s="276"/>
    </row>
    <row r="1081" spans="1:17" ht="12.75" customHeight="1" x14ac:dyDescent="0.25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25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25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25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25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25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25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25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25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25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25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25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25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4"/>
      <c r="M1093" s="274"/>
      <c r="N1093" s="274"/>
      <c r="Q1093" s="276"/>
    </row>
    <row r="1094" spans="1:17" ht="12.75" customHeight="1" x14ac:dyDescent="0.25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25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25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4"/>
      <c r="M1096" s="274"/>
      <c r="N1096" s="274"/>
      <c r="Q1096" s="276"/>
    </row>
    <row r="1097" spans="1:17" ht="12.75" customHeight="1" x14ac:dyDescent="0.25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2" x14ac:dyDescent="0.25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2" x14ac:dyDescent="0.25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2" x14ac:dyDescent="0.25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4"/>
      <c r="M1100" s="274"/>
      <c r="N1100" s="274"/>
      <c r="Q1100" s="276"/>
    </row>
    <row r="1101" spans="1:17" ht="12" x14ac:dyDescent="0.25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4"/>
      <c r="M1101" s="274"/>
      <c r="N1101" s="274"/>
      <c r="Q1101" s="276"/>
    </row>
    <row r="1102" spans="1:17" ht="12" x14ac:dyDescent="0.25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2" x14ac:dyDescent="0.25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4"/>
      <c r="M1103" s="274"/>
      <c r="N1103" s="274"/>
      <c r="Q1103" s="276"/>
    </row>
    <row r="1104" spans="1:17" ht="12" x14ac:dyDescent="0.25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4"/>
      <c r="M1104" s="274"/>
      <c r="N1104" s="274"/>
      <c r="Q1104" s="276"/>
    </row>
    <row r="1105" spans="1:17" ht="12" x14ac:dyDescent="0.25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4"/>
      <c r="M1105" s="274"/>
      <c r="N1105" s="274"/>
      <c r="Q1105" s="276"/>
    </row>
    <row r="1106" spans="1:17" ht="12" x14ac:dyDescent="0.25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4"/>
      <c r="M1106" s="274"/>
      <c r="N1106" s="274"/>
      <c r="Q1106" s="276"/>
    </row>
    <row r="1107" spans="1:17" ht="12" x14ac:dyDescent="0.25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2" x14ac:dyDescent="0.25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2" x14ac:dyDescent="0.25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2" x14ac:dyDescent="0.25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2" x14ac:dyDescent="0.25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2" x14ac:dyDescent="0.25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2" x14ac:dyDescent="0.25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2" x14ac:dyDescent="0.25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2" x14ac:dyDescent="0.25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2" x14ac:dyDescent="0.25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2" x14ac:dyDescent="0.25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2" x14ac:dyDescent="0.25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2" x14ac:dyDescent="0.25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2" x14ac:dyDescent="0.25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2" x14ac:dyDescent="0.25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2" x14ac:dyDescent="0.25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2" x14ac:dyDescent="0.25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4"/>
      <c r="M1123" s="274"/>
      <c r="N1123" s="274"/>
      <c r="Q1123" s="276"/>
    </row>
    <row r="1124" spans="1:17" ht="12" x14ac:dyDescent="0.25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2" x14ac:dyDescent="0.25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2" x14ac:dyDescent="0.25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4"/>
      <c r="M1126" s="274"/>
      <c r="N1126" s="274"/>
      <c r="Q1126" s="276"/>
    </row>
    <row r="1127" spans="1:17" ht="12" x14ac:dyDescent="0.25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4"/>
      <c r="M1127" s="274"/>
      <c r="N1127" s="274"/>
      <c r="Q1127" s="276"/>
    </row>
    <row r="1128" spans="1:17" ht="12" x14ac:dyDescent="0.25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2" x14ac:dyDescent="0.25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2" x14ac:dyDescent="0.25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2" x14ac:dyDescent="0.25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2" x14ac:dyDescent="0.25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2" x14ac:dyDescent="0.25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2" x14ac:dyDescent="0.25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2" x14ac:dyDescent="0.25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25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4"/>
      <c r="M1136" s="274"/>
      <c r="N1136" s="274"/>
      <c r="Q1136" s="276"/>
    </row>
    <row r="1137" spans="1:17" ht="12" x14ac:dyDescent="0.25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4"/>
      <c r="M1137" s="274"/>
      <c r="N1137" s="274"/>
      <c r="Q1137" s="276"/>
    </row>
    <row r="1138" spans="1:17" ht="12" x14ac:dyDescent="0.25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4"/>
      <c r="M1138" s="274"/>
      <c r="N1138" s="274"/>
      <c r="Q1138" s="276"/>
    </row>
    <row r="1139" spans="1:17" ht="12" x14ac:dyDescent="0.25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4"/>
      <c r="M1139" s="274"/>
      <c r="N1139" s="274"/>
      <c r="Q1139" s="276"/>
    </row>
    <row r="1140" spans="1:17" ht="12" x14ac:dyDescent="0.25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4"/>
      <c r="M1140" s="274"/>
      <c r="N1140" s="274"/>
      <c r="Q1140" s="276"/>
    </row>
    <row r="1141" spans="1:17" ht="12" x14ac:dyDescent="0.25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4"/>
      <c r="M1141" s="274"/>
      <c r="N1141" s="274"/>
      <c r="Q1141" s="276"/>
    </row>
    <row r="1142" spans="1:17" ht="12" x14ac:dyDescent="0.25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4"/>
      <c r="M1142" s="274"/>
      <c r="N1142" s="274"/>
      <c r="Q1142" s="276"/>
    </row>
    <row r="1143" spans="1:17" ht="12" x14ac:dyDescent="0.25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4"/>
      <c r="M1143" s="274"/>
      <c r="N1143" s="274"/>
      <c r="Q1143" s="276"/>
    </row>
    <row r="1144" spans="1:17" ht="12" x14ac:dyDescent="0.25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4"/>
      <c r="M1144" s="274"/>
      <c r="N1144" s="274"/>
      <c r="Q1144" s="276"/>
    </row>
    <row r="1145" spans="1:17" ht="12" x14ac:dyDescent="0.25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3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3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3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4"/>
      <c r="M1148" s="274"/>
      <c r="N1148" s="274"/>
      <c r="Q1148" s="276"/>
    </row>
    <row r="1149" spans="1:17" x14ac:dyDescent="0.3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3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4"/>
      <c r="M1150" s="274"/>
      <c r="N1150" s="274"/>
      <c r="Q1150" s="276"/>
    </row>
    <row r="1151" spans="1:17" x14ac:dyDescent="0.3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3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3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3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3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3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3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3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3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3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3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3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3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3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3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3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3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3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3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3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3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3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3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3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3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3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3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3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3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3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3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3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3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3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3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3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3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3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3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3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3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3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3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3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3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3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3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3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3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3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3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3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3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3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3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3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3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3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3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3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3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3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3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3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3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3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3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3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3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3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3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3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3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3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3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3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3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3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3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3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3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3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3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3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3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3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3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3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3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3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3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3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3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3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3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3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3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3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3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3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3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3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3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3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3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3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3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3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3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3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3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3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3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3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3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3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3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3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3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3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3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3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3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3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3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3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3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3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3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3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3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3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3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3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3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3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900" r:id="rId4" name="Button 36">
              <controlPr defaultSize="0" print="0" autoFill="0" autoPict="0" macro="[2]!EDV">
                <anchor moveWithCells="1">
                  <from>
                    <xdr:col>12</xdr:col>
                    <xdr:colOff>22860</xdr:colOff>
                    <xdr:row>6</xdr:row>
                    <xdr:rowOff>99060</xdr:rowOff>
                  </from>
                  <to>
                    <xdr:col>13</xdr:col>
                    <xdr:colOff>129540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1" r:id="rId5" name="Button 37">
              <controlPr defaultSize="0" print="0" autoFill="0" autoPict="0" macro="[2]!Name">
                <anchor moveWithCells="1">
                  <from>
                    <xdr:col>12</xdr:col>
                    <xdr:colOff>22860</xdr:colOff>
                    <xdr:row>8</xdr:row>
                    <xdr:rowOff>114300</xdr:rowOff>
                  </from>
                  <to>
                    <xdr:col>13</xdr:col>
                    <xdr:colOff>137160</xdr:colOff>
                    <xdr:row>10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2" r:id="rId6" name="Button 38">
              <controlPr defaultSize="0" print="0" autoFill="0" autoPict="0" macro="[2]!Verein">
                <anchor moveWithCells="1">
                  <from>
                    <xdr:col>12</xdr:col>
                    <xdr:colOff>22860</xdr:colOff>
                    <xdr:row>11</xdr:row>
                    <xdr:rowOff>0</xdr:rowOff>
                  </from>
                  <to>
                    <xdr:col>13</xdr:col>
                    <xdr:colOff>137160</xdr:colOff>
                    <xdr:row>12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67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31" t="s">
        <v>1837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2"/>
      <c r="R4" s="332"/>
      <c r="S4" s="332"/>
      <c r="T4" s="332"/>
      <c r="U4" s="332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3">
        <f>+Spielzettel1!T2</f>
        <v>1</v>
      </c>
      <c r="F6" s="334"/>
      <c r="P6" s="140" t="s">
        <v>1838</v>
      </c>
      <c r="Q6" s="335" t="str">
        <f>+Spielzettel1!U1</f>
        <v>12.10./13.10.</v>
      </c>
      <c r="R6" s="336">
        <v>0</v>
      </c>
      <c r="S6" s="336">
        <v>0</v>
      </c>
      <c r="T6" s="337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8" t="str">
        <f>+Spielzettel1!F2</f>
        <v>Unterföhring Dreambowl Palace</v>
      </c>
      <c r="F8" s="339"/>
      <c r="G8" s="339"/>
      <c r="H8" s="339">
        <v>0</v>
      </c>
      <c r="I8" s="339"/>
      <c r="J8" s="340"/>
      <c r="N8" s="140" t="s">
        <v>1840</v>
      </c>
      <c r="P8" s="338" t="str">
        <f>+Spielzettel1!F1</f>
        <v>Bayernliga Herren</v>
      </c>
      <c r="Q8" s="339"/>
      <c r="R8" s="339"/>
      <c r="S8" s="339"/>
      <c r="T8" s="340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6" t="s">
        <v>1841</v>
      </c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163"/>
    </row>
    <row r="12" spans="2:21" ht="21.75" customHeight="1" x14ac:dyDescent="0.25">
      <c r="B12" s="164"/>
      <c r="C12" s="327" t="s">
        <v>1842</v>
      </c>
      <c r="D12" s="327"/>
      <c r="E12" s="327"/>
      <c r="F12" s="327"/>
      <c r="G12" s="327"/>
      <c r="H12" s="327"/>
      <c r="I12" s="327"/>
      <c r="J12" s="327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 t="s">
        <v>2547</v>
      </c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9" t="s">
        <v>2548</v>
      </c>
      <c r="D19" s="320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9" t="s">
        <v>2320</v>
      </c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1"/>
      <c r="U24" s="18"/>
    </row>
    <row r="25" spans="2:21" ht="12.75" customHeight="1" thickBot="1" x14ac:dyDescent="0.3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0">
        <v>4</v>
      </c>
      <c r="G30" s="330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9" t="s">
        <v>2549</v>
      </c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5"/>
      <c r="G36" s="325"/>
      <c r="H36" s="32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9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6" t="s">
        <v>1863</v>
      </c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9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9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9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9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9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9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2" t="s">
        <v>2550</v>
      </c>
      <c r="D74" s="323"/>
      <c r="E74" s="323"/>
      <c r="F74" s="323"/>
      <c r="G74" s="323"/>
      <c r="H74" s="323"/>
      <c r="I74" s="323"/>
      <c r="J74" s="323"/>
      <c r="K74" s="323"/>
      <c r="L74" s="323"/>
      <c r="M74" s="323"/>
      <c r="N74" s="323"/>
      <c r="O74" s="323"/>
      <c r="P74" s="323"/>
      <c r="Q74" s="323"/>
      <c r="R74" s="323"/>
      <c r="S74" s="323"/>
      <c r="T74" s="324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7" t="s">
        <v>2551</v>
      </c>
      <c r="E77" s="318"/>
      <c r="F77" s="318"/>
      <c r="G77" s="318"/>
      <c r="H77" s="318"/>
      <c r="I77" s="318"/>
      <c r="J77" s="318"/>
      <c r="K77" s="318"/>
      <c r="L77" s="318"/>
      <c r="M77" s="318"/>
      <c r="P77" s="318"/>
      <c r="Q77" s="318"/>
      <c r="R77" s="318"/>
      <c r="S77" s="318"/>
      <c r="T77" s="318"/>
      <c r="U77" s="318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7" t="s">
        <v>2552</v>
      </c>
      <c r="E80" s="318"/>
      <c r="F80" s="318"/>
      <c r="G80" s="318"/>
      <c r="H80" s="318"/>
      <c r="I80" s="318"/>
      <c r="J80" s="318"/>
      <c r="K80" s="318"/>
      <c r="L80" s="318"/>
      <c r="M80" s="318"/>
      <c r="P80" s="318"/>
      <c r="Q80" s="318"/>
      <c r="R80" s="318"/>
      <c r="S80" s="318"/>
      <c r="T80" s="318"/>
      <c r="U80" s="318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C47:T47"/>
    <mergeCell ref="C51:T51"/>
    <mergeCell ref="C55:T55"/>
    <mergeCell ref="C59:T59"/>
    <mergeCell ref="C32:T32"/>
    <mergeCell ref="F36:H36"/>
    <mergeCell ref="C40:T40"/>
    <mergeCell ref="C43:T43"/>
    <mergeCell ref="D80:M80"/>
    <mergeCell ref="P80:U80"/>
    <mergeCell ref="C63:T63"/>
    <mergeCell ref="C67:T67"/>
    <mergeCell ref="C74:T74"/>
    <mergeCell ref="D77:M77"/>
    <mergeCell ref="P77:U77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5" t="str">
        <f>Schlüssel!$C$1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45"/>
      <c r="Q1" s="45"/>
      <c r="R1" s="48"/>
      <c r="S1" s="49" t="s">
        <v>1794</v>
      </c>
      <c r="T1" s="50"/>
      <c r="U1" s="341" t="str">
        <f>Schlüssel!$M$1</f>
        <v>12.10./13.10.</v>
      </c>
      <c r="V1" s="342"/>
      <c r="W1" s="34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4" t="str">
        <f>Schlüssel!$C$2</f>
        <v>Unterföhring Dreambowl Palace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3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3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3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3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6">
        <f>VLOOKUP(B2,Schlüssel!$A$5:$K$14,3)</f>
        <v>3</v>
      </c>
      <c r="E22" s="356"/>
      <c r="F22" s="356">
        <f>VLOOKUP(B2,Schlüssel!$A$5:$K$14,4)</f>
        <v>9</v>
      </c>
      <c r="G22" s="356"/>
      <c r="H22" s="356">
        <f>VLOOKUP(B2,Schlüssel!$A$5:$K$14,5)</f>
        <v>6</v>
      </c>
      <c r="I22" s="356"/>
      <c r="J22" s="356">
        <f>VLOOKUP(B2,Schlüssel!$A$5:$K$14,6)</f>
        <v>5</v>
      </c>
      <c r="K22" s="356"/>
      <c r="L22" s="356">
        <f>VLOOKUP(B2,Schlüssel!$A$5:$K$14,7)</f>
        <v>10</v>
      </c>
      <c r="M22" s="356"/>
      <c r="N22" s="356">
        <f>VLOOKUP(B2,Schlüssel!$A$5:$K$14,8)</f>
        <v>7</v>
      </c>
      <c r="O22" s="356"/>
      <c r="P22" s="356">
        <f>VLOOKUP(B2,Schlüssel!$A$5:$K$14,9)</f>
        <v>4</v>
      </c>
      <c r="Q22" s="356"/>
      <c r="R22" s="356">
        <f>VLOOKUP(B2,Schlüssel!$A$5:$K$14,10)</f>
        <v>2</v>
      </c>
      <c r="S22" s="356"/>
      <c r="T22" s="356">
        <f>VLOOKUP(B2,Schlüssel!$A$5:$K$14,11)</f>
        <v>8</v>
      </c>
      <c r="U22" s="356"/>
      <c r="V22" s="357"/>
      <c r="W22" s="357"/>
    </row>
    <row r="23" spans="1:29" ht="28.5" customHeight="1" x14ac:dyDescent="0.25">
      <c r="B23" s="90"/>
      <c r="C23" s="86"/>
      <c r="D23" s="358" t="str">
        <f>VLOOKUP(D22,Schlüssel!$A$5:$K$14,2)</f>
        <v>BK München 3</v>
      </c>
      <c r="E23" s="359"/>
      <c r="F23" s="358" t="str">
        <f>VLOOKUP(F22,Schlüssel!$A$5:$K$14,2)</f>
        <v>Bowlinghaus Bamberg 1</v>
      </c>
      <c r="G23" s="359"/>
      <c r="H23" s="358" t="str">
        <f>VLOOKUP(H22,Schlüssel!$A$5:$K$14,2)</f>
        <v>SG Rottendorf 1</v>
      </c>
      <c r="I23" s="359"/>
      <c r="J23" s="358" t="str">
        <f>VLOOKUP(J22,Schlüssel!$A$5:$K$14,2)</f>
        <v>RW Lichtenhof Stein 1</v>
      </c>
      <c r="K23" s="359"/>
      <c r="L23" s="358" t="str">
        <f>VLOOKUP(L22,Schlüssel!$A$5:$K$14,2)</f>
        <v>High Roller Rosenheim 1</v>
      </c>
      <c r="M23" s="359"/>
      <c r="N23" s="358" t="str">
        <f>VLOOKUP(N22,Schlüssel!$A$5:$K$14,2)</f>
        <v>Schanzer Ingolstadt 1</v>
      </c>
      <c r="O23" s="359"/>
      <c r="P23" s="358" t="str">
        <f>VLOOKUP(P22,Schlüssel!$A$5:$K$14,2)</f>
        <v>SG DJK Rimpar</v>
      </c>
      <c r="Q23" s="359"/>
      <c r="R23" s="358" t="str">
        <f>VLOOKUP(R22,Schlüssel!$A$5:$K$14,2)</f>
        <v>Bajuwaren München 1</v>
      </c>
      <c r="S23" s="359"/>
      <c r="T23" s="358" t="str">
        <f>VLOOKUP(T22,Schlüssel!$A$5:$K$14,2)</f>
        <v>BC EMAX Unterföhring 2</v>
      </c>
      <c r="U23" s="359"/>
      <c r="V23" s="363"/>
      <c r="W23" s="363"/>
    </row>
    <row r="24" spans="1:29" ht="12" customHeight="1" x14ac:dyDescent="0.25">
      <c r="B24" s="90"/>
      <c r="C24" s="86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1"/>
      <c r="V24" s="298"/>
      <c r="W24" s="298"/>
    </row>
    <row r="25" spans="1:29" ht="15.9" customHeight="1" x14ac:dyDescent="0.25">
      <c r="B25" s="91" t="s">
        <v>0</v>
      </c>
      <c r="C25" s="9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4"/>
      <c r="W25" s="364"/>
    </row>
    <row r="26" spans="1:29" ht="15.9" customHeight="1" x14ac:dyDescent="0.25">
      <c r="B26" s="91" t="s">
        <v>2</v>
      </c>
      <c r="C26" s="9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4"/>
      <c r="W26" s="364"/>
    </row>
    <row r="27" spans="1:29" ht="15.9" customHeight="1" x14ac:dyDescent="0.25">
      <c r="B27" s="91" t="s">
        <v>3</v>
      </c>
      <c r="C27" s="9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4"/>
      <c r="W27" s="364"/>
    </row>
    <row r="28" spans="1:29" ht="15.9" customHeight="1" x14ac:dyDescent="0.25">
      <c r="B28" s="91" t="s">
        <v>11</v>
      </c>
      <c r="C28" s="9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4"/>
      <c r="W28" s="364"/>
    </row>
    <row r="29" spans="1:29" ht="15.9" customHeight="1" x14ac:dyDescent="0.25">
      <c r="B29" s="93" t="s">
        <v>1799</v>
      </c>
      <c r="C29" s="94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01"/>
      <c r="W29" s="30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5" t="str">
        <f>Schlüssel!$C$1</f>
        <v>Bayernliga Herren</v>
      </c>
      <c r="G30" s="345"/>
      <c r="H30" s="345"/>
      <c r="I30" s="345"/>
      <c r="J30" s="345"/>
      <c r="K30" s="345"/>
      <c r="L30" s="345"/>
      <c r="M30" s="345"/>
      <c r="N30" s="345"/>
      <c r="O30" s="345"/>
      <c r="P30" s="45"/>
      <c r="Q30" s="45"/>
      <c r="R30" s="48"/>
      <c r="S30" s="49" t="s">
        <v>1794</v>
      </c>
      <c r="T30" s="50"/>
      <c r="U30" s="341" t="str">
        <f>Schlüssel!$M$1</f>
        <v>12.10./13.10.</v>
      </c>
      <c r="V30" s="342"/>
      <c r="W30" s="34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4" t="str">
        <f>Schlüssel!$C$2</f>
        <v>Unterföhring Dreambowl Palace</v>
      </c>
      <c r="G31" s="344"/>
      <c r="H31" s="344"/>
      <c r="I31" s="344"/>
      <c r="J31" s="344"/>
      <c r="K31" s="344"/>
      <c r="L31" s="344"/>
      <c r="M31" s="344"/>
      <c r="N31" s="344"/>
      <c r="O31" s="344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25">
      <c r="B34" s="67" t="s">
        <v>1</v>
      </c>
      <c r="C34" s="68"/>
      <c r="D34" s="346" t="s">
        <v>1800</v>
      </c>
      <c r="E34" s="347"/>
      <c r="F34" s="346" t="s">
        <v>1801</v>
      </c>
      <c r="G34" s="347"/>
      <c r="H34" s="346" t="s">
        <v>1802</v>
      </c>
      <c r="I34" s="347"/>
      <c r="J34" s="346" t="s">
        <v>1803</v>
      </c>
      <c r="K34" s="347"/>
      <c r="L34" s="346" t="s">
        <v>1804</v>
      </c>
      <c r="M34" s="347"/>
      <c r="N34" s="346" t="s">
        <v>1805</v>
      </c>
      <c r="O34" s="347"/>
      <c r="P34" s="346" t="s">
        <v>1806</v>
      </c>
      <c r="Q34" s="347"/>
      <c r="R34" s="346" t="s">
        <v>1807</v>
      </c>
      <c r="S34" s="347"/>
      <c r="T34" s="346" t="s">
        <v>1808</v>
      </c>
      <c r="U34" s="347"/>
      <c r="V34" s="354" t="s">
        <v>1799</v>
      </c>
      <c r="W34" s="355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3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3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3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3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6">
        <f>VLOOKUP(B31,Schlüssel!$A$5:$K$14,3)</f>
        <v>6</v>
      </c>
      <c r="E51" s="356"/>
      <c r="F51" s="356">
        <f>VLOOKUP(B31,Schlüssel!$A$5:$K$14,4)</f>
        <v>4</v>
      </c>
      <c r="G51" s="356"/>
      <c r="H51" s="356">
        <f>VLOOKUP(B31,Schlüssel!$A$5:$K$14,5)</f>
        <v>8</v>
      </c>
      <c r="I51" s="356"/>
      <c r="J51" s="356">
        <f>VLOOKUP(B31,Schlüssel!$A$5:$K$14,6)</f>
        <v>7</v>
      </c>
      <c r="K51" s="356"/>
      <c r="L51" s="356">
        <f>VLOOKUP(B31,Schlüssel!$A$5:$K$14,7)</f>
        <v>3</v>
      </c>
      <c r="M51" s="356"/>
      <c r="N51" s="356">
        <f>VLOOKUP(B31,Schlüssel!$A$5:$K$14,8)</f>
        <v>5</v>
      </c>
      <c r="O51" s="356"/>
      <c r="P51" s="356">
        <f>VLOOKUP(B31,Schlüssel!$A$5:$K$14,9)</f>
        <v>10</v>
      </c>
      <c r="Q51" s="356"/>
      <c r="R51" s="356">
        <f>VLOOKUP(B31,Schlüssel!$A$5:$K$14,10)</f>
        <v>1</v>
      </c>
      <c r="S51" s="356"/>
      <c r="T51" s="356">
        <f>VLOOKUP(B31,Schlüssel!$A$5:$K$14,11)</f>
        <v>9</v>
      </c>
      <c r="U51" s="356"/>
      <c r="V51" s="357"/>
      <c r="W51" s="357"/>
    </row>
    <row r="52" spans="1:29" ht="28.5" customHeight="1" x14ac:dyDescent="0.25">
      <c r="B52" s="90"/>
      <c r="C52" s="86"/>
      <c r="D52" s="358" t="str">
        <f>VLOOKUP(D51,Schlüssel!$A$5:$K$14,2)</f>
        <v>SG Rottendorf 1</v>
      </c>
      <c r="E52" s="359"/>
      <c r="F52" s="358" t="str">
        <f>VLOOKUP(F51,Schlüssel!$A$5:$K$14,2)</f>
        <v>SG DJK Rimpar</v>
      </c>
      <c r="G52" s="359"/>
      <c r="H52" s="358" t="str">
        <f>VLOOKUP(H51,Schlüssel!$A$5:$K$14,2)</f>
        <v>BC EMAX Unterföhring 2</v>
      </c>
      <c r="I52" s="359"/>
      <c r="J52" s="358" t="str">
        <f>VLOOKUP(J51,Schlüssel!$A$5:$K$14,2)</f>
        <v>Schanzer Ingolstadt 1</v>
      </c>
      <c r="K52" s="359"/>
      <c r="L52" s="358" t="str">
        <f>VLOOKUP(L51,Schlüssel!$A$5:$K$14,2)</f>
        <v>BK München 3</v>
      </c>
      <c r="M52" s="359"/>
      <c r="N52" s="358" t="str">
        <f>VLOOKUP(N51,Schlüssel!$A$5:$K$14,2)</f>
        <v>RW Lichtenhof Stein 1</v>
      </c>
      <c r="O52" s="359"/>
      <c r="P52" s="358" t="str">
        <f>VLOOKUP(P51,Schlüssel!$A$5:$K$14,2)</f>
        <v>High Roller Rosenheim 1</v>
      </c>
      <c r="Q52" s="359"/>
      <c r="R52" s="358" t="str">
        <f>VLOOKUP(R51,Schlüssel!$A$5:$K$14,2)</f>
        <v>BC Comet Nürnberg</v>
      </c>
      <c r="S52" s="359"/>
      <c r="T52" s="358" t="str">
        <f>VLOOKUP(T51,Schlüssel!$A$5:$K$14,2)</f>
        <v>Bowlinghaus Bamberg 1</v>
      </c>
      <c r="U52" s="359"/>
      <c r="V52" s="363"/>
      <c r="W52" s="363"/>
    </row>
    <row r="53" spans="1:29" ht="12" customHeight="1" x14ac:dyDescent="0.25">
      <c r="B53" s="90"/>
      <c r="C53" s="86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1"/>
      <c r="V53" s="298"/>
      <c r="W53" s="298"/>
    </row>
    <row r="54" spans="1:29" ht="15.9" customHeight="1" x14ac:dyDescent="0.25">
      <c r="B54" s="91" t="s">
        <v>0</v>
      </c>
      <c r="C54" s="9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4"/>
      <c r="W54" s="364"/>
    </row>
    <row r="55" spans="1:29" ht="15.9" customHeight="1" x14ac:dyDescent="0.25">
      <c r="B55" s="91" t="s">
        <v>2</v>
      </c>
      <c r="C55" s="9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4"/>
      <c r="W55" s="364"/>
    </row>
    <row r="56" spans="1:29" ht="15.9" customHeight="1" x14ac:dyDescent="0.25">
      <c r="B56" s="91" t="s">
        <v>3</v>
      </c>
      <c r="C56" s="9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4"/>
      <c r="W56" s="364"/>
    </row>
    <row r="57" spans="1:29" ht="15.9" customHeight="1" x14ac:dyDescent="0.25">
      <c r="B57" s="91" t="s">
        <v>11</v>
      </c>
      <c r="C57" s="9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4"/>
      <c r="W57" s="364"/>
    </row>
    <row r="58" spans="1:29" ht="15.9" customHeight="1" x14ac:dyDescent="0.25">
      <c r="B58" s="93" t="s">
        <v>1799</v>
      </c>
      <c r="C58" s="94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01"/>
      <c r="W58" s="30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5" t="str">
        <f>Schlüssel!$C$1</f>
        <v>Bayernliga Herren</v>
      </c>
      <c r="G59" s="345"/>
      <c r="H59" s="345"/>
      <c r="I59" s="345"/>
      <c r="J59" s="345"/>
      <c r="K59" s="345"/>
      <c r="L59" s="345"/>
      <c r="M59" s="345"/>
      <c r="N59" s="345"/>
      <c r="O59" s="345"/>
      <c r="P59" s="45"/>
      <c r="Q59" s="45"/>
      <c r="R59" s="48"/>
      <c r="S59" s="49" t="s">
        <v>1794</v>
      </c>
      <c r="T59" s="50"/>
      <c r="U59" s="341" t="str">
        <f>Schlüssel!$M$1</f>
        <v>12.10./13.10.</v>
      </c>
      <c r="V59" s="342"/>
      <c r="W59" s="34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4" t="str">
        <f>Schlüssel!$C$2</f>
        <v>Unterföhring Dreambowl Palace</v>
      </c>
      <c r="G60" s="344"/>
      <c r="H60" s="344"/>
      <c r="I60" s="344"/>
      <c r="J60" s="344"/>
      <c r="K60" s="344"/>
      <c r="L60" s="344"/>
      <c r="M60" s="344"/>
      <c r="N60" s="344"/>
      <c r="O60" s="344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25">
      <c r="B63" s="67" t="s">
        <v>1</v>
      </c>
      <c r="C63" s="68"/>
      <c r="D63" s="346" t="s">
        <v>1800</v>
      </c>
      <c r="E63" s="347"/>
      <c r="F63" s="346" t="s">
        <v>1801</v>
      </c>
      <c r="G63" s="347"/>
      <c r="H63" s="346" t="s">
        <v>1802</v>
      </c>
      <c r="I63" s="347"/>
      <c r="J63" s="346" t="s">
        <v>1803</v>
      </c>
      <c r="K63" s="347"/>
      <c r="L63" s="346" t="s">
        <v>1804</v>
      </c>
      <c r="M63" s="347"/>
      <c r="N63" s="346" t="s">
        <v>1805</v>
      </c>
      <c r="O63" s="347"/>
      <c r="P63" s="346" t="s">
        <v>1806</v>
      </c>
      <c r="Q63" s="347"/>
      <c r="R63" s="346" t="s">
        <v>1807</v>
      </c>
      <c r="S63" s="347"/>
      <c r="T63" s="346" t="s">
        <v>1808</v>
      </c>
      <c r="U63" s="347"/>
      <c r="V63" s="354" t="s">
        <v>1799</v>
      </c>
      <c r="W63" s="355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3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3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3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3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6">
        <f>VLOOKUP(B60,Schlüssel!$A$5:$K$14,3)</f>
        <v>1</v>
      </c>
      <c r="E80" s="356"/>
      <c r="F80" s="356">
        <f>VLOOKUP(B60,Schlüssel!$A$5:$K$14,4)</f>
        <v>10</v>
      </c>
      <c r="G80" s="356"/>
      <c r="H80" s="356">
        <f>VLOOKUP(B60,Schlüssel!$A$5:$K$14,5)</f>
        <v>5</v>
      </c>
      <c r="I80" s="356"/>
      <c r="J80" s="356">
        <f>VLOOKUP(B60,Schlüssel!$A$5:$K$14,6)</f>
        <v>9</v>
      </c>
      <c r="K80" s="356"/>
      <c r="L80" s="356">
        <f>VLOOKUP(B60,Schlüssel!$A$5:$K$14,7)</f>
        <v>2</v>
      </c>
      <c r="M80" s="356"/>
      <c r="N80" s="356">
        <f>VLOOKUP(B60,Schlüssel!$A$5:$K$14,8)</f>
        <v>6</v>
      </c>
      <c r="O80" s="356"/>
      <c r="P80" s="356">
        <f>VLOOKUP(B60,Schlüssel!$A$5:$K$14,9)</f>
        <v>8</v>
      </c>
      <c r="Q80" s="356"/>
      <c r="R80" s="356">
        <f>VLOOKUP(B60,Schlüssel!$A$5:$K$14,10)</f>
        <v>4</v>
      </c>
      <c r="S80" s="356"/>
      <c r="T80" s="356">
        <f>VLOOKUP(B60,Schlüssel!$A$5:$K$14,11)</f>
        <v>7</v>
      </c>
      <c r="U80" s="356"/>
      <c r="V80" s="357"/>
      <c r="W80" s="357"/>
    </row>
    <row r="81" spans="1:29" ht="28.5" customHeight="1" x14ac:dyDescent="0.25">
      <c r="B81" s="90"/>
      <c r="C81" s="86"/>
      <c r="D81" s="358" t="str">
        <f>VLOOKUP(D80,Schlüssel!$A$5:$K$14,2)</f>
        <v>BC Comet Nürnberg</v>
      </c>
      <c r="E81" s="359"/>
      <c r="F81" s="358" t="str">
        <f>VLOOKUP(F80,Schlüssel!$A$5:$K$14,2)</f>
        <v>High Roller Rosenheim 1</v>
      </c>
      <c r="G81" s="359"/>
      <c r="H81" s="358" t="str">
        <f>VLOOKUP(H80,Schlüssel!$A$5:$K$14,2)</f>
        <v>RW Lichtenhof Stein 1</v>
      </c>
      <c r="I81" s="359"/>
      <c r="J81" s="358" t="str">
        <f>VLOOKUP(J80,Schlüssel!$A$5:$K$14,2)</f>
        <v>Bowlinghaus Bamberg 1</v>
      </c>
      <c r="K81" s="359"/>
      <c r="L81" s="358" t="str">
        <f>VLOOKUP(L80,Schlüssel!$A$5:$K$14,2)</f>
        <v>Bajuwaren München 1</v>
      </c>
      <c r="M81" s="359"/>
      <c r="N81" s="358" t="str">
        <f>VLOOKUP(N80,Schlüssel!$A$5:$K$14,2)</f>
        <v>SG Rottendorf 1</v>
      </c>
      <c r="O81" s="359"/>
      <c r="P81" s="358" t="str">
        <f>VLOOKUP(P80,Schlüssel!$A$5:$K$14,2)</f>
        <v>BC EMAX Unterföhring 2</v>
      </c>
      <c r="Q81" s="359"/>
      <c r="R81" s="358" t="str">
        <f>VLOOKUP(R80,Schlüssel!$A$5:$K$14,2)</f>
        <v>SG DJK Rimpar</v>
      </c>
      <c r="S81" s="359"/>
      <c r="T81" s="358" t="str">
        <f>VLOOKUP(T80,Schlüssel!$A$5:$K$14,2)</f>
        <v>Schanzer Ingolstadt 1</v>
      </c>
      <c r="U81" s="359"/>
      <c r="V81" s="363"/>
      <c r="W81" s="363"/>
    </row>
    <row r="82" spans="1:29" ht="12" customHeight="1" x14ac:dyDescent="0.25">
      <c r="B82" s="90"/>
      <c r="C82" s="86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1"/>
      <c r="V82" s="298"/>
      <c r="W82" s="298"/>
    </row>
    <row r="83" spans="1:29" ht="15.9" customHeight="1" x14ac:dyDescent="0.25">
      <c r="B83" s="91" t="s">
        <v>0</v>
      </c>
      <c r="C83" s="9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4"/>
      <c r="W83" s="364"/>
    </row>
    <row r="84" spans="1:29" ht="15.9" customHeight="1" x14ac:dyDescent="0.25">
      <c r="B84" s="91" t="s">
        <v>2</v>
      </c>
      <c r="C84" s="9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4"/>
      <c r="W84" s="364"/>
    </row>
    <row r="85" spans="1:29" ht="15.9" customHeight="1" x14ac:dyDescent="0.25">
      <c r="B85" s="91" t="s">
        <v>3</v>
      </c>
      <c r="C85" s="9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4"/>
      <c r="W85" s="364"/>
    </row>
    <row r="86" spans="1:29" ht="15.9" customHeight="1" x14ac:dyDescent="0.25">
      <c r="B86" s="91" t="s">
        <v>11</v>
      </c>
      <c r="C86" s="9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4"/>
      <c r="W86" s="364"/>
    </row>
    <row r="87" spans="1:29" ht="15.9" customHeight="1" x14ac:dyDescent="0.25">
      <c r="B87" s="93" t="s">
        <v>1799</v>
      </c>
      <c r="C87" s="94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01"/>
      <c r="W87" s="30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5" t="str">
        <f>Schlüssel!$C$1</f>
        <v>Bayernliga Herren</v>
      </c>
      <c r="G88" s="345"/>
      <c r="H88" s="345"/>
      <c r="I88" s="345"/>
      <c r="J88" s="345"/>
      <c r="K88" s="345"/>
      <c r="L88" s="345"/>
      <c r="M88" s="345"/>
      <c r="N88" s="345"/>
      <c r="O88" s="345"/>
      <c r="P88" s="45"/>
      <c r="Q88" s="45"/>
      <c r="R88" s="48"/>
      <c r="S88" s="49" t="s">
        <v>1794</v>
      </c>
      <c r="T88" s="50"/>
      <c r="U88" s="341" t="str">
        <f>Schlüssel!$M$1</f>
        <v>12.10./13.10.</v>
      </c>
      <c r="V88" s="342"/>
      <c r="W88" s="34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4" t="str">
        <f>Schlüssel!$C$2</f>
        <v>Unterföhring Dreambowl Palace</v>
      </c>
      <c r="G89" s="344"/>
      <c r="H89" s="344"/>
      <c r="I89" s="344"/>
      <c r="J89" s="344"/>
      <c r="K89" s="344"/>
      <c r="L89" s="344"/>
      <c r="M89" s="344"/>
      <c r="N89" s="344"/>
      <c r="O89" s="344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25">
      <c r="B92" s="67" t="s">
        <v>1</v>
      </c>
      <c r="C92" s="68"/>
      <c r="D92" s="346" t="s">
        <v>1800</v>
      </c>
      <c r="E92" s="347"/>
      <c r="F92" s="346" t="s">
        <v>1801</v>
      </c>
      <c r="G92" s="347"/>
      <c r="H92" s="346" t="s">
        <v>1802</v>
      </c>
      <c r="I92" s="347"/>
      <c r="J92" s="346" t="s">
        <v>1803</v>
      </c>
      <c r="K92" s="347"/>
      <c r="L92" s="346" t="s">
        <v>1804</v>
      </c>
      <c r="M92" s="347"/>
      <c r="N92" s="346" t="s">
        <v>1805</v>
      </c>
      <c r="O92" s="347"/>
      <c r="P92" s="346" t="s">
        <v>1806</v>
      </c>
      <c r="Q92" s="347"/>
      <c r="R92" s="346" t="s">
        <v>1807</v>
      </c>
      <c r="S92" s="347"/>
      <c r="T92" s="346" t="s">
        <v>1808</v>
      </c>
      <c r="U92" s="347"/>
      <c r="V92" s="354" t="s">
        <v>1799</v>
      </c>
      <c r="W92" s="355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3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3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3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3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6">
        <f>VLOOKUP(B89,Schlüssel!$A$5:$K$14,3)</f>
        <v>7</v>
      </c>
      <c r="E109" s="356"/>
      <c r="F109" s="356">
        <f>VLOOKUP(B89,Schlüssel!$A$5:$K$14,4)</f>
        <v>2</v>
      </c>
      <c r="G109" s="356"/>
      <c r="H109" s="356">
        <f>VLOOKUP(B89,Schlüssel!$A$5:$K$14,5)</f>
        <v>9</v>
      </c>
      <c r="I109" s="356"/>
      <c r="J109" s="356">
        <f>VLOOKUP(B89,Schlüssel!$A$5:$K$14,6)</f>
        <v>10</v>
      </c>
      <c r="K109" s="356"/>
      <c r="L109" s="356">
        <f>VLOOKUP(B89,Schlüssel!$A$5:$K$14,7)</f>
        <v>6</v>
      </c>
      <c r="M109" s="356"/>
      <c r="N109" s="356">
        <f>VLOOKUP(B89,Schlüssel!$A$5:$K$14,8)</f>
        <v>8</v>
      </c>
      <c r="O109" s="356"/>
      <c r="P109" s="356">
        <f>VLOOKUP(B89,Schlüssel!$A$5:$K$14,9)</f>
        <v>1</v>
      </c>
      <c r="Q109" s="356"/>
      <c r="R109" s="356">
        <f>VLOOKUP(B89,Schlüssel!$A$5:$K$14,10)</f>
        <v>3</v>
      </c>
      <c r="S109" s="356"/>
      <c r="T109" s="356">
        <f>VLOOKUP(B89,Schlüssel!$A$5:$K$14,11)</f>
        <v>5</v>
      </c>
      <c r="U109" s="356"/>
      <c r="V109" s="357"/>
      <c r="W109" s="357"/>
    </row>
    <row r="110" spans="1:23" ht="28.5" customHeight="1" x14ac:dyDescent="0.25">
      <c r="B110" s="90"/>
      <c r="C110" s="86"/>
      <c r="D110" s="358" t="str">
        <f>VLOOKUP(D109,Schlüssel!$A$5:$K$14,2)</f>
        <v>Schanzer Ingolstadt 1</v>
      </c>
      <c r="E110" s="359"/>
      <c r="F110" s="358" t="str">
        <f>VLOOKUP(F109,Schlüssel!$A$5:$K$14,2)</f>
        <v>Bajuwaren München 1</v>
      </c>
      <c r="G110" s="359"/>
      <c r="H110" s="358" t="str">
        <f>VLOOKUP(H109,Schlüssel!$A$5:$K$14,2)</f>
        <v>Bowlinghaus Bamberg 1</v>
      </c>
      <c r="I110" s="359"/>
      <c r="J110" s="358" t="str">
        <f>VLOOKUP(J109,Schlüssel!$A$5:$K$14,2)</f>
        <v>High Roller Rosenheim 1</v>
      </c>
      <c r="K110" s="359"/>
      <c r="L110" s="358" t="str">
        <f>VLOOKUP(L109,Schlüssel!$A$5:$K$14,2)</f>
        <v>SG Rottendorf 1</v>
      </c>
      <c r="M110" s="359"/>
      <c r="N110" s="358" t="str">
        <f>VLOOKUP(N109,Schlüssel!$A$5:$K$14,2)</f>
        <v>BC EMAX Unterföhring 2</v>
      </c>
      <c r="O110" s="359"/>
      <c r="P110" s="358" t="str">
        <f>VLOOKUP(P109,Schlüssel!$A$5:$K$14,2)</f>
        <v>BC Comet Nürnberg</v>
      </c>
      <c r="Q110" s="359"/>
      <c r="R110" s="358" t="str">
        <f>VLOOKUP(R109,Schlüssel!$A$5:$K$14,2)</f>
        <v>BK München 3</v>
      </c>
      <c r="S110" s="359"/>
      <c r="T110" s="358" t="str">
        <f>VLOOKUP(T109,Schlüssel!$A$5:$K$14,2)</f>
        <v>RW Lichtenhof Stein 1</v>
      </c>
      <c r="U110" s="359"/>
      <c r="V110" s="363"/>
      <c r="W110" s="363"/>
    </row>
    <row r="111" spans="1:23" ht="12" customHeight="1" x14ac:dyDescent="0.25">
      <c r="B111" s="90"/>
      <c r="C111" s="86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1"/>
      <c r="V111" s="298"/>
      <c r="W111" s="298"/>
    </row>
    <row r="112" spans="1:23" ht="15.9" customHeight="1" x14ac:dyDescent="0.25">
      <c r="B112" s="91" t="s">
        <v>0</v>
      </c>
      <c r="C112" s="92"/>
      <c r="D112" s="362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2"/>
      <c r="S112" s="362"/>
      <c r="T112" s="362"/>
      <c r="U112" s="362"/>
      <c r="V112" s="364"/>
      <c r="W112" s="364"/>
    </row>
    <row r="113" spans="1:29" ht="15.9" customHeight="1" x14ac:dyDescent="0.25">
      <c r="B113" s="91" t="s">
        <v>2</v>
      </c>
      <c r="C113" s="92"/>
      <c r="D113" s="362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4"/>
      <c r="W113" s="364"/>
    </row>
    <row r="114" spans="1:29" ht="15.9" customHeight="1" x14ac:dyDescent="0.25">
      <c r="B114" s="91" t="s">
        <v>3</v>
      </c>
      <c r="C114" s="92"/>
      <c r="D114" s="362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4"/>
      <c r="W114" s="364"/>
    </row>
    <row r="115" spans="1:29" ht="15.9" customHeight="1" x14ac:dyDescent="0.25">
      <c r="B115" s="91" t="s">
        <v>11</v>
      </c>
      <c r="C115" s="92"/>
      <c r="D115" s="362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4"/>
      <c r="W115" s="364"/>
    </row>
    <row r="116" spans="1:29" ht="15.9" customHeight="1" x14ac:dyDescent="0.25">
      <c r="B116" s="93" t="s">
        <v>1799</v>
      </c>
      <c r="C116" s="94"/>
      <c r="D116" s="365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01"/>
      <c r="W116" s="30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5" t="str">
        <f>Schlüssel!$C$1</f>
        <v>Bayernliga Herren</v>
      </c>
      <c r="G117" s="345"/>
      <c r="H117" s="345"/>
      <c r="I117" s="345"/>
      <c r="J117" s="345"/>
      <c r="K117" s="345"/>
      <c r="L117" s="345"/>
      <c r="M117" s="345"/>
      <c r="N117" s="345"/>
      <c r="O117" s="345"/>
      <c r="P117" s="45"/>
      <c r="Q117" s="45"/>
      <c r="R117" s="48"/>
      <c r="S117" s="49" t="s">
        <v>1794</v>
      </c>
      <c r="T117" s="50"/>
      <c r="U117" s="341" t="str">
        <f>Schlüssel!$M$1</f>
        <v>12.10./13.10.</v>
      </c>
      <c r="V117" s="342"/>
      <c r="W117" s="34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4" t="str">
        <f>Schlüssel!$C$2</f>
        <v>Unterföhring Dreambowl Palace</v>
      </c>
      <c r="G118" s="344"/>
      <c r="H118" s="344"/>
      <c r="I118" s="344"/>
      <c r="J118" s="344"/>
      <c r="K118" s="344"/>
      <c r="L118" s="344"/>
      <c r="M118" s="344"/>
      <c r="N118" s="344"/>
      <c r="O118" s="344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25">
      <c r="B121" s="67" t="s">
        <v>1</v>
      </c>
      <c r="C121" s="68"/>
      <c r="D121" s="346" t="s">
        <v>1800</v>
      </c>
      <c r="E121" s="347"/>
      <c r="F121" s="346" t="s">
        <v>1801</v>
      </c>
      <c r="G121" s="347"/>
      <c r="H121" s="346" t="s">
        <v>1802</v>
      </c>
      <c r="I121" s="347"/>
      <c r="J121" s="346" t="s">
        <v>1803</v>
      </c>
      <c r="K121" s="347"/>
      <c r="L121" s="346" t="s">
        <v>1804</v>
      </c>
      <c r="M121" s="347"/>
      <c r="N121" s="346" t="s">
        <v>1805</v>
      </c>
      <c r="O121" s="347"/>
      <c r="P121" s="346" t="s">
        <v>1806</v>
      </c>
      <c r="Q121" s="347"/>
      <c r="R121" s="346" t="s">
        <v>1807</v>
      </c>
      <c r="S121" s="347"/>
      <c r="T121" s="346" t="s">
        <v>1808</v>
      </c>
      <c r="U121" s="347"/>
      <c r="V121" s="354" t="s">
        <v>1799</v>
      </c>
      <c r="W121" s="355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3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3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3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3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6">
        <f>VLOOKUP(B118,Schlüssel!$A$5:$K$14,3)</f>
        <v>9</v>
      </c>
      <c r="E138" s="356"/>
      <c r="F138" s="356">
        <f>VLOOKUP(B118,Schlüssel!$A$5:$K$14,4)</f>
        <v>8</v>
      </c>
      <c r="G138" s="356"/>
      <c r="H138" s="356">
        <f>VLOOKUP(B118,Schlüssel!$A$5:$K$14,5)</f>
        <v>3</v>
      </c>
      <c r="I138" s="356"/>
      <c r="J138" s="356">
        <f>VLOOKUP(B118,Schlüssel!$A$5:$K$14,6)</f>
        <v>1</v>
      </c>
      <c r="K138" s="356"/>
      <c r="L138" s="356">
        <f>VLOOKUP(B118,Schlüssel!$A$5:$K$14,7)</f>
        <v>7</v>
      </c>
      <c r="M138" s="356"/>
      <c r="N138" s="356">
        <f>VLOOKUP(B118,Schlüssel!$A$5:$K$14,8)</f>
        <v>2</v>
      </c>
      <c r="O138" s="356"/>
      <c r="P138" s="356">
        <f>VLOOKUP(B118,Schlüssel!$A$5:$K$14,9)</f>
        <v>6</v>
      </c>
      <c r="Q138" s="356"/>
      <c r="R138" s="356">
        <f>VLOOKUP(B118,Schlüssel!$A$5:$K$14,10)</f>
        <v>10</v>
      </c>
      <c r="S138" s="356"/>
      <c r="T138" s="356">
        <f>VLOOKUP(B118,Schlüssel!$A$5:$K$14,11)</f>
        <v>4</v>
      </c>
      <c r="U138" s="356"/>
      <c r="V138" s="357"/>
      <c r="W138" s="357"/>
    </row>
    <row r="139" spans="1:23" ht="28.5" customHeight="1" x14ac:dyDescent="0.25">
      <c r="B139" s="90"/>
      <c r="C139" s="86"/>
      <c r="D139" s="358" t="str">
        <f>VLOOKUP(D138,Schlüssel!$A$5:$K$14,2)</f>
        <v>Bowlinghaus Bamberg 1</v>
      </c>
      <c r="E139" s="359"/>
      <c r="F139" s="358" t="str">
        <f>VLOOKUP(F138,Schlüssel!$A$5:$K$14,2)</f>
        <v>BC EMAX Unterföhring 2</v>
      </c>
      <c r="G139" s="359"/>
      <c r="H139" s="358" t="str">
        <f>VLOOKUP(H138,Schlüssel!$A$5:$K$14,2)</f>
        <v>BK München 3</v>
      </c>
      <c r="I139" s="359"/>
      <c r="J139" s="358" t="str">
        <f>VLOOKUP(J138,Schlüssel!$A$5:$K$14,2)</f>
        <v>BC Comet Nürnberg</v>
      </c>
      <c r="K139" s="359"/>
      <c r="L139" s="358" t="str">
        <f>VLOOKUP(L138,Schlüssel!$A$5:$K$14,2)</f>
        <v>Schanzer Ingolstadt 1</v>
      </c>
      <c r="M139" s="359"/>
      <c r="N139" s="358" t="str">
        <f>VLOOKUP(N138,Schlüssel!$A$5:$K$14,2)</f>
        <v>Bajuwaren München 1</v>
      </c>
      <c r="O139" s="359"/>
      <c r="P139" s="358" t="str">
        <f>VLOOKUP(P138,Schlüssel!$A$5:$K$14,2)</f>
        <v>SG Rottendorf 1</v>
      </c>
      <c r="Q139" s="359"/>
      <c r="R139" s="358" t="str">
        <f>VLOOKUP(R138,Schlüssel!$A$5:$K$14,2)</f>
        <v>High Roller Rosenheim 1</v>
      </c>
      <c r="S139" s="359"/>
      <c r="T139" s="358" t="str">
        <f>VLOOKUP(T138,Schlüssel!$A$5:$K$14,2)</f>
        <v>SG DJK Rimpar</v>
      </c>
      <c r="U139" s="359"/>
      <c r="V139" s="363"/>
      <c r="W139" s="363"/>
    </row>
    <row r="140" spans="1:23" ht="12" customHeight="1" x14ac:dyDescent="0.25">
      <c r="B140" s="90"/>
      <c r="C140" s="86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  <c r="O140" s="360"/>
      <c r="P140" s="360"/>
      <c r="Q140" s="360"/>
      <c r="R140" s="360"/>
      <c r="S140" s="360"/>
      <c r="T140" s="360"/>
      <c r="U140" s="361"/>
      <c r="V140" s="298"/>
      <c r="W140" s="298"/>
    </row>
    <row r="141" spans="1:23" ht="15.9" customHeight="1" x14ac:dyDescent="0.25">
      <c r="B141" s="91" t="s">
        <v>0</v>
      </c>
      <c r="C141" s="92"/>
      <c r="D141" s="362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4"/>
      <c r="W141" s="364"/>
    </row>
    <row r="142" spans="1:23" ht="15.9" customHeight="1" x14ac:dyDescent="0.25">
      <c r="B142" s="91" t="s">
        <v>2</v>
      </c>
      <c r="C142" s="92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4"/>
      <c r="W142" s="364"/>
    </row>
    <row r="143" spans="1:23" ht="15.9" customHeight="1" x14ac:dyDescent="0.25">
      <c r="B143" s="91" t="s">
        <v>3</v>
      </c>
      <c r="C143" s="92"/>
      <c r="D143" s="362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4"/>
      <c r="W143" s="364"/>
    </row>
    <row r="144" spans="1:23" ht="15.9" customHeight="1" x14ac:dyDescent="0.25">
      <c r="B144" s="91" t="s">
        <v>11</v>
      </c>
      <c r="C144" s="9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4"/>
      <c r="W144" s="364"/>
    </row>
    <row r="145" spans="1:29" ht="15.9" customHeight="1" x14ac:dyDescent="0.25">
      <c r="B145" s="93" t="s">
        <v>1799</v>
      </c>
      <c r="C145" s="94"/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01"/>
      <c r="W145" s="30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5" t="str">
        <f>Schlüssel!$C$1</f>
        <v>Bayernliga Herren</v>
      </c>
      <c r="G146" s="345"/>
      <c r="H146" s="345"/>
      <c r="I146" s="345"/>
      <c r="J146" s="345"/>
      <c r="K146" s="345"/>
      <c r="L146" s="345"/>
      <c r="M146" s="345"/>
      <c r="N146" s="345"/>
      <c r="O146" s="345"/>
      <c r="P146" s="45"/>
      <c r="Q146" s="45"/>
      <c r="R146" s="48"/>
      <c r="S146" s="49" t="s">
        <v>1794</v>
      </c>
      <c r="T146" s="50"/>
      <c r="U146" s="341" t="str">
        <f>Schlüssel!$M$1</f>
        <v>12.10./13.10.</v>
      </c>
      <c r="V146" s="342"/>
      <c r="W146" s="34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4" t="str">
        <f>Schlüssel!$C$2</f>
        <v>Unterföhring Dreambowl Palace</v>
      </c>
      <c r="G147" s="344"/>
      <c r="H147" s="344"/>
      <c r="I147" s="344"/>
      <c r="J147" s="344"/>
      <c r="K147" s="344"/>
      <c r="L147" s="344"/>
      <c r="M147" s="344"/>
      <c r="N147" s="344"/>
      <c r="O147" s="344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25">
      <c r="B150" s="67" t="s">
        <v>1</v>
      </c>
      <c r="C150" s="68"/>
      <c r="D150" s="346" t="s">
        <v>1800</v>
      </c>
      <c r="E150" s="347"/>
      <c r="F150" s="346" t="s">
        <v>1801</v>
      </c>
      <c r="G150" s="347"/>
      <c r="H150" s="346" t="s">
        <v>1802</v>
      </c>
      <c r="I150" s="347"/>
      <c r="J150" s="346" t="s">
        <v>1803</v>
      </c>
      <c r="K150" s="347"/>
      <c r="L150" s="346" t="s">
        <v>1804</v>
      </c>
      <c r="M150" s="347"/>
      <c r="N150" s="346" t="s">
        <v>1805</v>
      </c>
      <c r="O150" s="347"/>
      <c r="P150" s="346" t="s">
        <v>1806</v>
      </c>
      <c r="Q150" s="347"/>
      <c r="R150" s="346" t="s">
        <v>1807</v>
      </c>
      <c r="S150" s="347"/>
      <c r="T150" s="346" t="s">
        <v>1808</v>
      </c>
      <c r="U150" s="347"/>
      <c r="V150" s="354" t="s">
        <v>1799</v>
      </c>
      <c r="W150" s="355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3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3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3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3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6">
        <f>VLOOKUP(B147,Schlüssel!$A$5:$K$14,3)</f>
        <v>2</v>
      </c>
      <c r="E167" s="356"/>
      <c r="F167" s="356">
        <f>VLOOKUP(B147,Schlüssel!$A$5:$K$14,4)</f>
        <v>7</v>
      </c>
      <c r="G167" s="356"/>
      <c r="H167" s="356">
        <f>VLOOKUP(B147,Schlüssel!$A$5:$K$14,5)</f>
        <v>1</v>
      </c>
      <c r="I167" s="356"/>
      <c r="J167" s="356">
        <f>VLOOKUP(B147,Schlüssel!$A$5:$K$14,6)</f>
        <v>8</v>
      </c>
      <c r="K167" s="356"/>
      <c r="L167" s="356">
        <f>VLOOKUP(B147,Schlüssel!$A$5:$K$14,7)</f>
        <v>4</v>
      </c>
      <c r="M167" s="356"/>
      <c r="N167" s="356">
        <f>VLOOKUP(B147,Schlüssel!$A$5:$K$14,8)</f>
        <v>3</v>
      </c>
      <c r="O167" s="356"/>
      <c r="P167" s="356">
        <f>VLOOKUP(B147,Schlüssel!$A$5:$K$14,9)</f>
        <v>5</v>
      </c>
      <c r="Q167" s="356"/>
      <c r="R167" s="356">
        <f>VLOOKUP(B147,Schlüssel!$A$5:$K$14,10)</f>
        <v>9</v>
      </c>
      <c r="S167" s="356"/>
      <c r="T167" s="356">
        <f>VLOOKUP(B147,Schlüssel!$A$5:$K$14,11)</f>
        <v>10</v>
      </c>
      <c r="U167" s="356"/>
      <c r="V167" s="357"/>
      <c r="W167" s="357"/>
    </row>
    <row r="168" spans="1:29" ht="28.5" customHeight="1" x14ac:dyDescent="0.25">
      <c r="B168" s="90"/>
      <c r="C168" s="86"/>
      <c r="D168" s="358" t="str">
        <f>VLOOKUP(D167,Schlüssel!$A$5:$K$14,2)</f>
        <v>Bajuwaren München 1</v>
      </c>
      <c r="E168" s="359"/>
      <c r="F168" s="358" t="str">
        <f>VLOOKUP(F167,Schlüssel!$A$5:$K$14,2)</f>
        <v>Schanzer Ingolstadt 1</v>
      </c>
      <c r="G168" s="359"/>
      <c r="H168" s="358" t="str">
        <f>VLOOKUP(H167,Schlüssel!$A$5:$K$14,2)</f>
        <v>BC Comet Nürnberg</v>
      </c>
      <c r="I168" s="359"/>
      <c r="J168" s="358" t="str">
        <f>VLOOKUP(J167,Schlüssel!$A$5:$K$14,2)</f>
        <v>BC EMAX Unterföhring 2</v>
      </c>
      <c r="K168" s="359"/>
      <c r="L168" s="358" t="str">
        <f>VLOOKUP(L167,Schlüssel!$A$5:$K$14,2)</f>
        <v>SG DJK Rimpar</v>
      </c>
      <c r="M168" s="359"/>
      <c r="N168" s="358" t="str">
        <f>VLOOKUP(N167,Schlüssel!$A$5:$K$14,2)</f>
        <v>BK München 3</v>
      </c>
      <c r="O168" s="359"/>
      <c r="P168" s="358" t="str">
        <f>VLOOKUP(P167,Schlüssel!$A$5:$K$14,2)</f>
        <v>RW Lichtenhof Stein 1</v>
      </c>
      <c r="Q168" s="359"/>
      <c r="R168" s="358" t="str">
        <f>VLOOKUP(R167,Schlüssel!$A$5:$K$14,2)</f>
        <v>Bowlinghaus Bamberg 1</v>
      </c>
      <c r="S168" s="359"/>
      <c r="T168" s="358" t="str">
        <f>VLOOKUP(T167,Schlüssel!$A$5:$K$14,2)</f>
        <v>High Roller Rosenheim 1</v>
      </c>
      <c r="U168" s="359"/>
      <c r="V168" s="363"/>
      <c r="W168" s="363"/>
    </row>
    <row r="169" spans="1:29" ht="12" customHeight="1" x14ac:dyDescent="0.25">
      <c r="B169" s="90"/>
      <c r="C169" s="86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  <c r="O169" s="360"/>
      <c r="P169" s="360"/>
      <c r="Q169" s="360"/>
      <c r="R169" s="360"/>
      <c r="S169" s="360"/>
      <c r="T169" s="360"/>
      <c r="U169" s="361"/>
      <c r="V169" s="298"/>
      <c r="W169" s="298"/>
    </row>
    <row r="170" spans="1:29" ht="15.9" customHeight="1" x14ac:dyDescent="0.25">
      <c r="B170" s="91" t="s">
        <v>0</v>
      </c>
      <c r="C170" s="92"/>
      <c r="D170" s="362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4"/>
      <c r="W170" s="364"/>
    </row>
    <row r="171" spans="1:29" ht="15.9" customHeight="1" x14ac:dyDescent="0.25">
      <c r="B171" s="91" t="s">
        <v>2</v>
      </c>
      <c r="C171" s="92"/>
      <c r="D171" s="362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4"/>
      <c r="W171" s="364"/>
    </row>
    <row r="172" spans="1:29" ht="15.9" customHeight="1" x14ac:dyDescent="0.25">
      <c r="B172" s="91" t="s">
        <v>3</v>
      </c>
      <c r="C172" s="92"/>
      <c r="D172" s="362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4"/>
      <c r="W172" s="364"/>
    </row>
    <row r="173" spans="1:29" ht="15.9" customHeight="1" x14ac:dyDescent="0.25">
      <c r="B173" s="91" t="s">
        <v>11</v>
      </c>
      <c r="C173" s="92"/>
      <c r="D173" s="362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4"/>
      <c r="W173" s="364"/>
    </row>
    <row r="174" spans="1:29" ht="15.9" customHeight="1" x14ac:dyDescent="0.25">
      <c r="B174" s="93" t="s">
        <v>1799</v>
      </c>
      <c r="C174" s="94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01"/>
      <c r="W174" s="30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5" t="str">
        <f>Schlüssel!$C$1</f>
        <v>Bayernliga Herren</v>
      </c>
      <c r="G175" s="345"/>
      <c r="H175" s="345"/>
      <c r="I175" s="345"/>
      <c r="J175" s="345"/>
      <c r="K175" s="345"/>
      <c r="L175" s="345"/>
      <c r="M175" s="345"/>
      <c r="N175" s="345"/>
      <c r="O175" s="345"/>
      <c r="P175" s="45"/>
      <c r="Q175" s="45"/>
      <c r="R175" s="48"/>
      <c r="S175" s="49" t="s">
        <v>1794</v>
      </c>
      <c r="T175" s="50"/>
      <c r="U175" s="341" t="str">
        <f>Schlüssel!$M$1</f>
        <v>12.10./13.10.</v>
      </c>
      <c r="V175" s="342"/>
      <c r="W175" s="34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4" t="str">
        <f>Schlüssel!$C$2</f>
        <v>Unterföhring Dreambowl Palace</v>
      </c>
      <c r="G176" s="344"/>
      <c r="H176" s="344"/>
      <c r="I176" s="344"/>
      <c r="J176" s="344"/>
      <c r="K176" s="344"/>
      <c r="L176" s="344"/>
      <c r="M176" s="344"/>
      <c r="N176" s="344"/>
      <c r="O176" s="344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25">
      <c r="B179" s="67" t="s">
        <v>1</v>
      </c>
      <c r="C179" s="68"/>
      <c r="D179" s="346" t="s">
        <v>1800</v>
      </c>
      <c r="E179" s="347"/>
      <c r="F179" s="346" t="s">
        <v>1801</v>
      </c>
      <c r="G179" s="347"/>
      <c r="H179" s="346" t="s">
        <v>1802</v>
      </c>
      <c r="I179" s="347"/>
      <c r="J179" s="346" t="s">
        <v>1803</v>
      </c>
      <c r="K179" s="347"/>
      <c r="L179" s="346" t="s">
        <v>1804</v>
      </c>
      <c r="M179" s="347"/>
      <c r="N179" s="346" t="s">
        <v>1805</v>
      </c>
      <c r="O179" s="347"/>
      <c r="P179" s="346" t="s">
        <v>1806</v>
      </c>
      <c r="Q179" s="347"/>
      <c r="R179" s="346" t="s">
        <v>1807</v>
      </c>
      <c r="S179" s="347"/>
      <c r="T179" s="346" t="s">
        <v>1808</v>
      </c>
      <c r="U179" s="347"/>
      <c r="V179" s="354" t="s">
        <v>1799</v>
      </c>
      <c r="W179" s="355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3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3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3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3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6">
        <f>VLOOKUP(B176,Schlüssel!$A$5:$K$14,3)</f>
        <v>4</v>
      </c>
      <c r="E196" s="356"/>
      <c r="F196" s="356">
        <f>VLOOKUP(B176,Schlüssel!$A$5:$K$14,4)</f>
        <v>6</v>
      </c>
      <c r="G196" s="356"/>
      <c r="H196" s="356">
        <f>VLOOKUP(B176,Schlüssel!$A$5:$K$14,5)</f>
        <v>10</v>
      </c>
      <c r="I196" s="356"/>
      <c r="J196" s="356">
        <f>VLOOKUP(B176,Schlüssel!$A$5:$K$14,6)</f>
        <v>2</v>
      </c>
      <c r="K196" s="356"/>
      <c r="L196" s="356">
        <f>VLOOKUP(B176,Schlüssel!$A$5:$K$14,7)</f>
        <v>5</v>
      </c>
      <c r="M196" s="356"/>
      <c r="N196" s="356">
        <f>VLOOKUP(B176,Schlüssel!$A$5:$K$14,8)</f>
        <v>1</v>
      </c>
      <c r="O196" s="356"/>
      <c r="P196" s="356">
        <f>VLOOKUP(B176,Schlüssel!$A$5:$K$14,9)</f>
        <v>9</v>
      </c>
      <c r="Q196" s="356"/>
      <c r="R196" s="356">
        <f>VLOOKUP(B176,Schlüssel!$A$5:$K$14,10)</f>
        <v>8</v>
      </c>
      <c r="S196" s="356"/>
      <c r="T196" s="356">
        <f>VLOOKUP(B176,Schlüssel!$A$5:$K$14,11)</f>
        <v>3</v>
      </c>
      <c r="U196" s="356"/>
      <c r="V196" s="357"/>
      <c r="W196" s="357"/>
    </row>
    <row r="197" spans="1:29" ht="28.5" customHeight="1" x14ac:dyDescent="0.25">
      <c r="B197" s="90"/>
      <c r="C197" s="86"/>
      <c r="D197" s="358" t="str">
        <f>VLOOKUP(D196,Schlüssel!$A$5:$K$14,2)</f>
        <v>SG DJK Rimpar</v>
      </c>
      <c r="E197" s="359"/>
      <c r="F197" s="358" t="str">
        <f>VLOOKUP(F196,Schlüssel!$A$5:$K$14,2)</f>
        <v>SG Rottendorf 1</v>
      </c>
      <c r="G197" s="359"/>
      <c r="H197" s="358" t="str">
        <f>VLOOKUP(H196,Schlüssel!$A$5:$K$14,2)</f>
        <v>High Roller Rosenheim 1</v>
      </c>
      <c r="I197" s="359"/>
      <c r="J197" s="358" t="str">
        <f>VLOOKUP(J196,Schlüssel!$A$5:$K$14,2)</f>
        <v>Bajuwaren München 1</v>
      </c>
      <c r="K197" s="359"/>
      <c r="L197" s="358" t="str">
        <f>VLOOKUP(L196,Schlüssel!$A$5:$K$14,2)</f>
        <v>RW Lichtenhof Stein 1</v>
      </c>
      <c r="M197" s="359"/>
      <c r="N197" s="358" t="str">
        <f>VLOOKUP(N196,Schlüssel!$A$5:$K$14,2)</f>
        <v>BC Comet Nürnberg</v>
      </c>
      <c r="O197" s="359"/>
      <c r="P197" s="358" t="str">
        <f>VLOOKUP(P196,Schlüssel!$A$5:$K$14,2)</f>
        <v>Bowlinghaus Bamberg 1</v>
      </c>
      <c r="Q197" s="359"/>
      <c r="R197" s="358" t="str">
        <f>VLOOKUP(R196,Schlüssel!$A$5:$K$14,2)</f>
        <v>BC EMAX Unterföhring 2</v>
      </c>
      <c r="S197" s="359"/>
      <c r="T197" s="358" t="str">
        <f>VLOOKUP(T196,Schlüssel!$A$5:$K$14,2)</f>
        <v>BK München 3</v>
      </c>
      <c r="U197" s="359"/>
      <c r="V197" s="363"/>
      <c r="W197" s="363"/>
    </row>
    <row r="198" spans="1:29" ht="12" customHeight="1" x14ac:dyDescent="0.25">
      <c r="B198" s="90"/>
      <c r="C198" s="86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1"/>
      <c r="V198" s="298"/>
      <c r="W198" s="298"/>
    </row>
    <row r="199" spans="1:29" ht="15.9" customHeight="1" x14ac:dyDescent="0.25">
      <c r="B199" s="91" t="s">
        <v>0</v>
      </c>
      <c r="C199" s="92"/>
      <c r="D199" s="362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4"/>
      <c r="W199" s="364"/>
    </row>
    <row r="200" spans="1:29" ht="15.9" customHeight="1" x14ac:dyDescent="0.25">
      <c r="B200" s="91" t="s">
        <v>2</v>
      </c>
      <c r="C200" s="92"/>
      <c r="D200" s="362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4"/>
      <c r="W200" s="364"/>
    </row>
    <row r="201" spans="1:29" ht="15.9" customHeight="1" x14ac:dyDescent="0.25">
      <c r="B201" s="91" t="s">
        <v>3</v>
      </c>
      <c r="C201" s="92"/>
      <c r="D201" s="362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4"/>
      <c r="W201" s="364"/>
    </row>
    <row r="202" spans="1:29" ht="15.9" customHeight="1" x14ac:dyDescent="0.25">
      <c r="B202" s="91" t="s">
        <v>11</v>
      </c>
      <c r="C202" s="92"/>
      <c r="D202" s="362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4"/>
      <c r="W202" s="364"/>
    </row>
    <row r="203" spans="1:29" ht="15.9" customHeight="1" x14ac:dyDescent="0.25">
      <c r="B203" s="93" t="s">
        <v>1799</v>
      </c>
      <c r="C203" s="94"/>
      <c r="D203" s="365"/>
      <c r="E203" s="365"/>
      <c r="F203" s="365"/>
      <c r="G203" s="365"/>
      <c r="H203" s="365"/>
      <c r="I203" s="365"/>
      <c r="J203" s="365"/>
      <c r="K203" s="365"/>
      <c r="L203" s="365"/>
      <c r="M203" s="365"/>
      <c r="N203" s="365"/>
      <c r="O203" s="365"/>
      <c r="P203" s="365"/>
      <c r="Q203" s="365"/>
      <c r="R203" s="365"/>
      <c r="S203" s="365"/>
      <c r="T203" s="365"/>
      <c r="U203" s="365"/>
      <c r="V203" s="301"/>
      <c r="W203" s="30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5" t="str">
        <f>Schlüssel!$C$1</f>
        <v>Bayernliga Herren</v>
      </c>
      <c r="G204" s="345"/>
      <c r="H204" s="345"/>
      <c r="I204" s="345"/>
      <c r="J204" s="345"/>
      <c r="K204" s="345"/>
      <c r="L204" s="345"/>
      <c r="M204" s="345"/>
      <c r="N204" s="345"/>
      <c r="O204" s="345"/>
      <c r="P204" s="45"/>
      <c r="Q204" s="45"/>
      <c r="R204" s="48"/>
      <c r="S204" s="49" t="s">
        <v>1794</v>
      </c>
      <c r="T204" s="50"/>
      <c r="U204" s="341" t="str">
        <f>Schlüssel!$M$1</f>
        <v>12.10./13.10.</v>
      </c>
      <c r="V204" s="342"/>
      <c r="W204" s="34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4" t="str">
        <f>Schlüssel!$C$2</f>
        <v>Unterföhring Dreambowl Palace</v>
      </c>
      <c r="G205" s="344"/>
      <c r="H205" s="344"/>
      <c r="I205" s="344"/>
      <c r="J205" s="344"/>
      <c r="K205" s="344"/>
      <c r="L205" s="344"/>
      <c r="M205" s="344"/>
      <c r="N205" s="344"/>
      <c r="O205" s="344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25">
      <c r="B208" s="67" t="s">
        <v>1</v>
      </c>
      <c r="C208" s="68"/>
      <c r="D208" s="346" t="s">
        <v>1800</v>
      </c>
      <c r="E208" s="347"/>
      <c r="F208" s="346" t="s">
        <v>1801</v>
      </c>
      <c r="G208" s="347"/>
      <c r="H208" s="346" t="s">
        <v>1802</v>
      </c>
      <c r="I208" s="347"/>
      <c r="J208" s="346" t="s">
        <v>1803</v>
      </c>
      <c r="K208" s="347"/>
      <c r="L208" s="346" t="s">
        <v>1804</v>
      </c>
      <c r="M208" s="347"/>
      <c r="N208" s="346" t="s">
        <v>1805</v>
      </c>
      <c r="O208" s="347"/>
      <c r="P208" s="346" t="s">
        <v>1806</v>
      </c>
      <c r="Q208" s="347"/>
      <c r="R208" s="346" t="s">
        <v>1807</v>
      </c>
      <c r="S208" s="347"/>
      <c r="T208" s="346" t="s">
        <v>1808</v>
      </c>
      <c r="U208" s="347"/>
      <c r="V208" s="354" t="s">
        <v>1799</v>
      </c>
      <c r="W208" s="355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3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3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3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3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6">
        <f>VLOOKUP(B205,Schlüssel!$A$5:$K$14,3)</f>
        <v>10</v>
      </c>
      <c r="E225" s="356"/>
      <c r="F225" s="356">
        <f>VLOOKUP(B205,Schlüssel!$A$5:$K$14,4)</f>
        <v>5</v>
      </c>
      <c r="G225" s="356"/>
      <c r="H225" s="356">
        <f>VLOOKUP(B205,Schlüssel!$A$5:$K$14,5)</f>
        <v>2</v>
      </c>
      <c r="I225" s="356"/>
      <c r="J225" s="356">
        <f>VLOOKUP(B205,Schlüssel!$A$5:$K$14,6)</f>
        <v>6</v>
      </c>
      <c r="K225" s="356"/>
      <c r="L225" s="356">
        <f>VLOOKUP(B205,Schlüssel!$A$5:$K$14,7)</f>
        <v>9</v>
      </c>
      <c r="M225" s="356"/>
      <c r="N225" s="356">
        <f>VLOOKUP(B205,Schlüssel!$A$5:$K$14,8)</f>
        <v>4</v>
      </c>
      <c r="O225" s="356"/>
      <c r="P225" s="356">
        <f>VLOOKUP(B205,Schlüssel!$A$5:$K$14,9)</f>
        <v>3</v>
      </c>
      <c r="Q225" s="356"/>
      <c r="R225" s="356">
        <f>VLOOKUP(B205,Schlüssel!$A$5:$K$14,10)</f>
        <v>7</v>
      </c>
      <c r="S225" s="356"/>
      <c r="T225" s="356">
        <f>VLOOKUP(B205,Schlüssel!$A$5:$K$14,11)</f>
        <v>1</v>
      </c>
      <c r="U225" s="356"/>
      <c r="V225" s="357"/>
      <c r="W225" s="357"/>
    </row>
    <row r="226" spans="1:29" ht="28.5" customHeight="1" x14ac:dyDescent="0.25">
      <c r="B226" s="90"/>
      <c r="C226" s="86"/>
      <c r="D226" s="358" t="str">
        <f>VLOOKUP(D225,Schlüssel!$A$5:$K$14,2)</f>
        <v>High Roller Rosenheim 1</v>
      </c>
      <c r="E226" s="359"/>
      <c r="F226" s="358" t="str">
        <f>VLOOKUP(F225,Schlüssel!$A$5:$K$14,2)</f>
        <v>RW Lichtenhof Stein 1</v>
      </c>
      <c r="G226" s="359"/>
      <c r="H226" s="358" t="str">
        <f>VLOOKUP(H225,Schlüssel!$A$5:$K$14,2)</f>
        <v>Bajuwaren München 1</v>
      </c>
      <c r="I226" s="359"/>
      <c r="J226" s="358" t="str">
        <f>VLOOKUP(J225,Schlüssel!$A$5:$K$14,2)</f>
        <v>SG Rottendorf 1</v>
      </c>
      <c r="K226" s="359"/>
      <c r="L226" s="358" t="str">
        <f>VLOOKUP(L225,Schlüssel!$A$5:$K$14,2)</f>
        <v>Bowlinghaus Bamberg 1</v>
      </c>
      <c r="M226" s="359"/>
      <c r="N226" s="358" t="str">
        <f>VLOOKUP(N225,Schlüssel!$A$5:$K$14,2)</f>
        <v>SG DJK Rimpar</v>
      </c>
      <c r="O226" s="359"/>
      <c r="P226" s="358" t="str">
        <f>VLOOKUP(P225,Schlüssel!$A$5:$K$14,2)</f>
        <v>BK München 3</v>
      </c>
      <c r="Q226" s="359"/>
      <c r="R226" s="358" t="str">
        <f>VLOOKUP(R225,Schlüssel!$A$5:$K$14,2)</f>
        <v>Schanzer Ingolstadt 1</v>
      </c>
      <c r="S226" s="359"/>
      <c r="T226" s="358" t="str">
        <f>VLOOKUP(T225,Schlüssel!$A$5:$K$14,2)</f>
        <v>BC Comet Nürnberg</v>
      </c>
      <c r="U226" s="359"/>
      <c r="V226" s="363"/>
      <c r="W226" s="363"/>
    </row>
    <row r="227" spans="1:29" ht="12" customHeight="1" x14ac:dyDescent="0.25">
      <c r="B227" s="90"/>
      <c r="C227" s="86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1"/>
      <c r="V227" s="298"/>
      <c r="W227" s="298"/>
    </row>
    <row r="228" spans="1:29" ht="15.9" customHeight="1" x14ac:dyDescent="0.25">
      <c r="B228" s="91" t="s">
        <v>0</v>
      </c>
      <c r="C228" s="92"/>
      <c r="D228" s="362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4"/>
      <c r="W228" s="364"/>
    </row>
    <row r="229" spans="1:29" ht="15.9" customHeight="1" x14ac:dyDescent="0.25">
      <c r="B229" s="91" t="s">
        <v>2</v>
      </c>
      <c r="C229" s="92"/>
      <c r="D229" s="362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4"/>
      <c r="W229" s="364"/>
    </row>
    <row r="230" spans="1:29" ht="15.9" customHeight="1" x14ac:dyDescent="0.25">
      <c r="B230" s="91" t="s">
        <v>3</v>
      </c>
      <c r="C230" s="92"/>
      <c r="D230" s="362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4"/>
      <c r="W230" s="364"/>
    </row>
    <row r="231" spans="1:29" ht="15.9" customHeight="1" x14ac:dyDescent="0.25">
      <c r="B231" s="91" t="s">
        <v>11</v>
      </c>
      <c r="C231" s="92"/>
      <c r="D231" s="362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4"/>
      <c r="W231" s="364"/>
    </row>
    <row r="232" spans="1:29" ht="15.9" customHeight="1" x14ac:dyDescent="0.25">
      <c r="B232" s="93" t="s">
        <v>1799</v>
      </c>
      <c r="C232" s="94"/>
      <c r="D232" s="365"/>
      <c r="E232" s="36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01"/>
      <c r="W232" s="30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5" t="str">
        <f>Schlüssel!$C$1</f>
        <v>Bayernliga Herren</v>
      </c>
      <c r="G233" s="345"/>
      <c r="H233" s="345"/>
      <c r="I233" s="345"/>
      <c r="J233" s="345"/>
      <c r="K233" s="345"/>
      <c r="L233" s="345"/>
      <c r="M233" s="345"/>
      <c r="N233" s="345"/>
      <c r="O233" s="345"/>
      <c r="P233" s="45"/>
      <c r="Q233" s="45"/>
      <c r="R233" s="48"/>
      <c r="S233" s="49" t="s">
        <v>1794</v>
      </c>
      <c r="T233" s="50"/>
      <c r="U233" s="341" t="str">
        <f>Schlüssel!$M$1</f>
        <v>12.10./13.10.</v>
      </c>
      <c r="V233" s="342"/>
      <c r="W233" s="34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4" t="str">
        <f>Schlüssel!$C$2</f>
        <v>Unterföhring Dreambowl Palace</v>
      </c>
      <c r="G234" s="344"/>
      <c r="H234" s="344"/>
      <c r="I234" s="344"/>
      <c r="J234" s="344"/>
      <c r="K234" s="344"/>
      <c r="L234" s="344"/>
      <c r="M234" s="344"/>
      <c r="N234" s="344"/>
      <c r="O234" s="344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25">
      <c r="B237" s="67" t="s">
        <v>1</v>
      </c>
      <c r="C237" s="68"/>
      <c r="D237" s="346" t="s">
        <v>1800</v>
      </c>
      <c r="E237" s="347"/>
      <c r="F237" s="346" t="s">
        <v>1801</v>
      </c>
      <c r="G237" s="347"/>
      <c r="H237" s="346" t="s">
        <v>1802</v>
      </c>
      <c r="I237" s="347"/>
      <c r="J237" s="346" t="s">
        <v>1803</v>
      </c>
      <c r="K237" s="347"/>
      <c r="L237" s="346" t="s">
        <v>1804</v>
      </c>
      <c r="M237" s="347"/>
      <c r="N237" s="346" t="s">
        <v>1805</v>
      </c>
      <c r="O237" s="347"/>
      <c r="P237" s="346" t="s">
        <v>1806</v>
      </c>
      <c r="Q237" s="347"/>
      <c r="R237" s="346" t="s">
        <v>1807</v>
      </c>
      <c r="S237" s="347"/>
      <c r="T237" s="346" t="s">
        <v>1808</v>
      </c>
      <c r="U237" s="347"/>
      <c r="V237" s="354" t="s">
        <v>1799</v>
      </c>
      <c r="W237" s="355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3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3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3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3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6">
        <f>VLOOKUP(B234,Schlüssel!$A$5:$K$14,3)</f>
        <v>5</v>
      </c>
      <c r="E254" s="356"/>
      <c r="F254" s="356">
        <f>VLOOKUP(B234,Schlüssel!$A$5:$K$14,4)</f>
        <v>1</v>
      </c>
      <c r="G254" s="356"/>
      <c r="H254" s="356">
        <f>VLOOKUP(B234,Schlüssel!$A$5:$K$14,5)</f>
        <v>4</v>
      </c>
      <c r="I254" s="356"/>
      <c r="J254" s="356">
        <f>VLOOKUP(B234,Schlüssel!$A$5:$K$14,6)</f>
        <v>3</v>
      </c>
      <c r="K254" s="356"/>
      <c r="L254" s="356">
        <f>VLOOKUP(B234,Schlüssel!$A$5:$K$14,7)</f>
        <v>8</v>
      </c>
      <c r="M254" s="356"/>
      <c r="N254" s="356">
        <f>VLOOKUP(B234,Schlüssel!$A$5:$K$14,8)</f>
        <v>10</v>
      </c>
      <c r="O254" s="356"/>
      <c r="P254" s="356">
        <f>VLOOKUP(B234,Schlüssel!$A$5:$K$14,9)</f>
        <v>7</v>
      </c>
      <c r="Q254" s="356"/>
      <c r="R254" s="356">
        <f>VLOOKUP(B234,Schlüssel!$A$5:$K$14,10)</f>
        <v>6</v>
      </c>
      <c r="S254" s="356"/>
      <c r="T254" s="356">
        <f>VLOOKUP(B234,Schlüssel!$A$5:$K$14,11)</f>
        <v>2</v>
      </c>
      <c r="U254" s="356"/>
      <c r="V254" s="357"/>
      <c r="W254" s="357"/>
    </row>
    <row r="255" spans="1:23" ht="28.5" customHeight="1" x14ac:dyDescent="0.25">
      <c r="B255" s="90"/>
      <c r="C255" s="86"/>
      <c r="D255" s="358" t="str">
        <f>VLOOKUP(D254,Schlüssel!$A$5:$K$14,2)</f>
        <v>RW Lichtenhof Stein 1</v>
      </c>
      <c r="E255" s="359"/>
      <c r="F255" s="358" t="str">
        <f>VLOOKUP(F254,Schlüssel!$A$5:$K$14,2)</f>
        <v>BC Comet Nürnberg</v>
      </c>
      <c r="G255" s="359"/>
      <c r="H255" s="358" t="str">
        <f>VLOOKUP(H254,Schlüssel!$A$5:$K$14,2)</f>
        <v>SG DJK Rimpar</v>
      </c>
      <c r="I255" s="359"/>
      <c r="J255" s="358" t="str">
        <f>VLOOKUP(J254,Schlüssel!$A$5:$K$14,2)</f>
        <v>BK München 3</v>
      </c>
      <c r="K255" s="359"/>
      <c r="L255" s="358" t="str">
        <f>VLOOKUP(L254,Schlüssel!$A$5:$K$14,2)</f>
        <v>BC EMAX Unterföhring 2</v>
      </c>
      <c r="M255" s="359"/>
      <c r="N255" s="358" t="str">
        <f>VLOOKUP(N254,Schlüssel!$A$5:$K$14,2)</f>
        <v>High Roller Rosenheim 1</v>
      </c>
      <c r="O255" s="359"/>
      <c r="P255" s="358" t="str">
        <f>VLOOKUP(P254,Schlüssel!$A$5:$K$14,2)</f>
        <v>Schanzer Ingolstadt 1</v>
      </c>
      <c r="Q255" s="359"/>
      <c r="R255" s="358" t="str">
        <f>VLOOKUP(R254,Schlüssel!$A$5:$K$14,2)</f>
        <v>SG Rottendorf 1</v>
      </c>
      <c r="S255" s="359"/>
      <c r="T255" s="358" t="str">
        <f>VLOOKUP(T254,Schlüssel!$A$5:$K$14,2)</f>
        <v>Bajuwaren München 1</v>
      </c>
      <c r="U255" s="359"/>
      <c r="V255" s="363"/>
      <c r="W255" s="363"/>
    </row>
    <row r="256" spans="1:23" ht="12" customHeight="1" x14ac:dyDescent="0.25">
      <c r="B256" s="90"/>
      <c r="C256" s="86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1"/>
      <c r="V256" s="298"/>
      <c r="W256" s="298"/>
    </row>
    <row r="257" spans="1:29" ht="15.9" customHeight="1" x14ac:dyDescent="0.25">
      <c r="B257" s="91" t="s">
        <v>0</v>
      </c>
      <c r="C257" s="92"/>
      <c r="D257" s="362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4"/>
      <c r="W257" s="364"/>
    </row>
    <row r="258" spans="1:29" ht="15.9" customHeight="1" x14ac:dyDescent="0.25">
      <c r="B258" s="91" t="s">
        <v>2</v>
      </c>
      <c r="C258" s="92"/>
      <c r="D258" s="362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4"/>
      <c r="W258" s="364"/>
    </row>
    <row r="259" spans="1:29" ht="15.9" customHeight="1" x14ac:dyDescent="0.25">
      <c r="B259" s="91" t="s">
        <v>3</v>
      </c>
      <c r="C259" s="92"/>
      <c r="D259" s="362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4"/>
      <c r="W259" s="364"/>
    </row>
    <row r="260" spans="1:29" ht="15.9" customHeight="1" x14ac:dyDescent="0.25">
      <c r="B260" s="91" t="s">
        <v>11</v>
      </c>
      <c r="C260" s="9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4"/>
      <c r="W260" s="364"/>
    </row>
    <row r="261" spans="1:29" ht="15.9" customHeight="1" x14ac:dyDescent="0.25">
      <c r="B261" s="93" t="s">
        <v>1799</v>
      </c>
      <c r="C261" s="94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01"/>
      <c r="W261" s="30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5" t="str">
        <f>Schlüssel!$C$1</f>
        <v>Bayernliga Herren</v>
      </c>
      <c r="G262" s="345"/>
      <c r="H262" s="345"/>
      <c r="I262" s="345"/>
      <c r="J262" s="345"/>
      <c r="K262" s="345"/>
      <c r="L262" s="345"/>
      <c r="M262" s="345"/>
      <c r="N262" s="345"/>
      <c r="O262" s="345"/>
      <c r="P262" s="45"/>
      <c r="Q262" s="45"/>
      <c r="R262" s="48"/>
      <c r="S262" s="49" t="s">
        <v>1794</v>
      </c>
      <c r="T262" s="50"/>
      <c r="U262" s="341" t="str">
        <f>Schlüssel!$M$1</f>
        <v>12.10./13.10.</v>
      </c>
      <c r="V262" s="342"/>
      <c r="W262" s="34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4" t="str">
        <f>Schlüssel!$C$2</f>
        <v>Unterföhring Dreambowl Palace</v>
      </c>
      <c r="G263" s="344"/>
      <c r="H263" s="344"/>
      <c r="I263" s="344"/>
      <c r="J263" s="344"/>
      <c r="K263" s="344"/>
      <c r="L263" s="344"/>
      <c r="M263" s="344"/>
      <c r="N263" s="344"/>
      <c r="O263" s="344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25">
      <c r="B266" s="67" t="s">
        <v>1</v>
      </c>
      <c r="C266" s="68"/>
      <c r="D266" s="346" t="s">
        <v>1800</v>
      </c>
      <c r="E266" s="347"/>
      <c r="F266" s="346" t="s">
        <v>1801</v>
      </c>
      <c r="G266" s="347"/>
      <c r="H266" s="346" t="s">
        <v>1802</v>
      </c>
      <c r="I266" s="347"/>
      <c r="J266" s="346" t="s">
        <v>1803</v>
      </c>
      <c r="K266" s="347"/>
      <c r="L266" s="346" t="s">
        <v>1804</v>
      </c>
      <c r="M266" s="347"/>
      <c r="N266" s="346" t="s">
        <v>1805</v>
      </c>
      <c r="O266" s="347"/>
      <c r="P266" s="346" t="s">
        <v>1806</v>
      </c>
      <c r="Q266" s="347"/>
      <c r="R266" s="346" t="s">
        <v>1807</v>
      </c>
      <c r="S266" s="347"/>
      <c r="T266" s="346" t="s">
        <v>1808</v>
      </c>
      <c r="U266" s="347"/>
      <c r="V266" s="354" t="s">
        <v>1799</v>
      </c>
      <c r="W266" s="355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3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3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3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3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6">
        <f>VLOOKUP(B263,Schlüssel!$A$5:$K$14,3)</f>
        <v>8</v>
      </c>
      <c r="E283" s="356"/>
      <c r="F283" s="356">
        <f>VLOOKUP(B263,Schlüssel!$A$5:$K$14,4)</f>
        <v>3</v>
      </c>
      <c r="G283" s="356"/>
      <c r="H283" s="356">
        <f>VLOOKUP(B263,Schlüssel!$A$5:$K$14,5)</f>
        <v>7</v>
      </c>
      <c r="I283" s="356"/>
      <c r="J283" s="356">
        <f>VLOOKUP(B263,Schlüssel!$A$5:$K$14,6)</f>
        <v>4</v>
      </c>
      <c r="K283" s="356"/>
      <c r="L283" s="356">
        <f>VLOOKUP(B263,Schlüssel!$A$5:$K$14,7)</f>
        <v>1</v>
      </c>
      <c r="M283" s="356"/>
      <c r="N283" s="356">
        <f>VLOOKUP(B263,Schlüssel!$A$5:$K$14,8)</f>
        <v>9</v>
      </c>
      <c r="O283" s="356"/>
      <c r="P283" s="356">
        <f>VLOOKUP(B263,Schlüssel!$A$5:$K$14,9)</f>
        <v>2</v>
      </c>
      <c r="Q283" s="356"/>
      <c r="R283" s="356">
        <f>VLOOKUP(B263,Schlüssel!$A$5:$K$14,10)</f>
        <v>5</v>
      </c>
      <c r="S283" s="356"/>
      <c r="T283" s="356">
        <f>VLOOKUP(B263,Schlüssel!$A$5:$K$14,11)</f>
        <v>6</v>
      </c>
      <c r="U283" s="356"/>
      <c r="V283" s="357"/>
      <c r="W283" s="357"/>
    </row>
    <row r="284" spans="1:23" ht="28.5" customHeight="1" x14ac:dyDescent="0.25">
      <c r="B284" s="90"/>
      <c r="C284" s="86"/>
      <c r="D284" s="358" t="str">
        <f>VLOOKUP(D283,Schlüssel!$A$5:$K$14,2)</f>
        <v>BC EMAX Unterföhring 2</v>
      </c>
      <c r="E284" s="359"/>
      <c r="F284" s="358" t="str">
        <f>VLOOKUP(F283,Schlüssel!$A$5:$K$14,2)</f>
        <v>BK München 3</v>
      </c>
      <c r="G284" s="359"/>
      <c r="H284" s="358" t="str">
        <f>VLOOKUP(H283,Schlüssel!$A$5:$K$14,2)</f>
        <v>Schanzer Ingolstadt 1</v>
      </c>
      <c r="I284" s="359"/>
      <c r="J284" s="358" t="str">
        <f>VLOOKUP(J283,Schlüssel!$A$5:$K$14,2)</f>
        <v>SG DJK Rimpar</v>
      </c>
      <c r="K284" s="359"/>
      <c r="L284" s="358" t="str">
        <f>VLOOKUP(L283,Schlüssel!$A$5:$K$14,2)</f>
        <v>BC Comet Nürnberg</v>
      </c>
      <c r="M284" s="359"/>
      <c r="N284" s="358" t="str">
        <f>VLOOKUP(N283,Schlüssel!$A$5:$K$14,2)</f>
        <v>Bowlinghaus Bamberg 1</v>
      </c>
      <c r="O284" s="359"/>
      <c r="P284" s="358" t="str">
        <f>VLOOKUP(P283,Schlüssel!$A$5:$K$14,2)</f>
        <v>Bajuwaren München 1</v>
      </c>
      <c r="Q284" s="359"/>
      <c r="R284" s="358" t="str">
        <f>VLOOKUP(R283,Schlüssel!$A$5:$K$14,2)</f>
        <v>RW Lichtenhof Stein 1</v>
      </c>
      <c r="S284" s="359"/>
      <c r="T284" s="358" t="str">
        <f>VLOOKUP(T283,Schlüssel!$A$5:$K$14,2)</f>
        <v>SG Rottendorf 1</v>
      </c>
      <c r="U284" s="359"/>
      <c r="V284" s="363"/>
      <c r="W284" s="363"/>
    </row>
    <row r="285" spans="1:23" ht="12" customHeight="1" x14ac:dyDescent="0.25">
      <c r="B285" s="90"/>
      <c r="C285" s="86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0"/>
      <c r="O285" s="360"/>
      <c r="P285" s="360"/>
      <c r="Q285" s="360"/>
      <c r="R285" s="360"/>
      <c r="S285" s="360"/>
      <c r="T285" s="360"/>
      <c r="U285" s="361"/>
      <c r="V285" s="298"/>
      <c r="W285" s="298"/>
    </row>
    <row r="286" spans="1:23" ht="15.9" customHeight="1" x14ac:dyDescent="0.25">
      <c r="B286" s="91" t="s">
        <v>0</v>
      </c>
      <c r="C286" s="92"/>
      <c r="D286" s="362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4"/>
      <c r="W286" s="364"/>
    </row>
    <row r="287" spans="1:23" ht="15.9" customHeight="1" x14ac:dyDescent="0.25">
      <c r="B287" s="91" t="s">
        <v>2</v>
      </c>
      <c r="C287" s="92"/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4"/>
      <c r="W287" s="364"/>
    </row>
    <row r="288" spans="1:23" ht="15.9" customHeight="1" x14ac:dyDescent="0.25">
      <c r="B288" s="91" t="s">
        <v>3</v>
      </c>
      <c r="C288" s="92"/>
      <c r="D288" s="36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4"/>
      <c r="W288" s="364"/>
    </row>
    <row r="289" spans="2:23" ht="15.9" customHeight="1" x14ac:dyDescent="0.25">
      <c r="B289" s="91" t="s">
        <v>11</v>
      </c>
      <c r="C289" s="92"/>
      <c r="D289" s="36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4"/>
      <c r="W289" s="364"/>
    </row>
    <row r="290" spans="2:23" ht="15.9" customHeight="1" x14ac:dyDescent="0.25">
      <c r="B290" s="93" t="s">
        <v>1799</v>
      </c>
      <c r="C290" s="94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01"/>
      <c r="W290" s="301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27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5" t="str">
        <f>AE1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48"/>
      <c r="S1" s="49" t="s">
        <v>1794</v>
      </c>
      <c r="T1" s="50"/>
      <c r="U1" s="341" t="str">
        <f>AT1</f>
        <v>12.10./13.10.</v>
      </c>
      <c r="V1" s="342"/>
      <c r="W1" s="343"/>
      <c r="X1" s="372"/>
      <c r="Y1" s="373"/>
      <c r="Z1" s="373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41" t="str">
        <f>VLOOKUP(AS2,Spielorte!$A$1:$C$6,2)</f>
        <v>12.10./13.10.</v>
      </c>
      <c r="AU1" s="342"/>
      <c r="AV1" s="34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4" t="str">
        <f>AE2</f>
        <v>Unterföhring Dreambowl Palace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6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166</v>
      </c>
      <c r="E7" s="348">
        <f>IF(AD7="","",AD7)</f>
        <v>0</v>
      </c>
      <c r="F7" s="75">
        <f t="shared" ref="F7:F20" si="0">IF(AE7=0,"",AE7)</f>
        <v>185</v>
      </c>
      <c r="G7" s="348">
        <f>IF(AF7="","",AF7)</f>
        <v>0</v>
      </c>
      <c r="H7" s="75">
        <f t="shared" ref="H7:H20" si="1">IF(AG7=0,"",AG7)</f>
        <v>214</v>
      </c>
      <c r="I7" s="348">
        <f>IF(AH7="","",AH7)</f>
        <v>1</v>
      </c>
      <c r="J7" s="75">
        <f t="shared" ref="J7:J20" si="2">IF(AI7=0,"",AI7)</f>
        <v>232</v>
      </c>
      <c r="K7" s="348">
        <f>IF(AJ7="","",AJ7)</f>
        <v>1</v>
      </c>
      <c r="L7" s="75">
        <f t="shared" ref="L7:L20" si="3">IF(AK7=0,"",AK7)</f>
        <v>169</v>
      </c>
      <c r="M7" s="348">
        <f>IF(AL7="","",AL7)</f>
        <v>0</v>
      </c>
      <c r="N7" s="75">
        <f>IF(AM7=0,"",AM7)</f>
        <v>277</v>
      </c>
      <c r="O7" s="348">
        <f>IF(AN7="","",AN7)</f>
        <v>1</v>
      </c>
      <c r="P7" s="75">
        <f t="shared" ref="P7:P20" si="4">IF(AO7=0,"",AO7)</f>
        <v>226</v>
      </c>
      <c r="Q7" s="348">
        <f>IF(AP7="","",AP7)</f>
        <v>1</v>
      </c>
      <c r="R7" s="75">
        <f t="shared" ref="R7:R20" si="5">IF(AQ7=0,"",AQ7)</f>
        <v>216</v>
      </c>
      <c r="S7" s="348">
        <f>IF(AR7="","",AR7)</f>
        <v>1</v>
      </c>
      <c r="T7" s="75">
        <f t="shared" ref="T7:T20" si="6">IF(AS7=0,"",AS7)</f>
        <v>192</v>
      </c>
      <c r="U7" s="348">
        <f>IF(AT7="","",AT7)</f>
        <v>1</v>
      </c>
      <c r="V7" s="75">
        <f t="shared" ref="V7:V20" si="7">IF(AU7=0,"",AU7)</f>
        <v>1877</v>
      </c>
      <c r="W7" s="348">
        <f>IF(AV7="","",AV7)</f>
        <v>6</v>
      </c>
      <c r="Z7" s="351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166</v>
      </c>
      <c r="AD7" s="109">
        <f>IF(SUM(AC7:AC9)+AC25=0,0,IF(SUM(ABS(AC7),ABS(AC8),ABS(AC9))=AC25,0.5,IF(SUM(ABS(AC7),ABS(AC8),ABS(AC9))&gt;AC25,1,0)))</f>
        <v>0</v>
      </c>
      <c r="AE7" s="185">
        <v>185</v>
      </c>
      <c r="AF7" s="109">
        <f>IF(SUM(AE7:AE9)+AE25=0,0,IF(SUM(ABS(AE7),ABS(AE8),ABS(AE9))=AE25,0.5,IF(SUM(ABS(AE7),ABS(AE8),ABS(AE9))&gt;AE25,1,0)))</f>
        <v>0</v>
      </c>
      <c r="AG7" s="185">
        <v>214</v>
      </c>
      <c r="AH7" s="109">
        <f>IF(SUM(AG7:AG9)+AG25=0,0,IF(SUM(ABS(AG7),ABS(AG8),ABS(AG9))=AG25,0.5,IF(SUM(ABS(AG7),ABS(AG8),ABS(AG9))&gt;AG25,1,0)))</f>
        <v>1</v>
      </c>
      <c r="AI7" s="185">
        <v>232</v>
      </c>
      <c r="AJ7" s="109">
        <f>IF(SUM(AI7:AI9)+AI25=0,0,IF(SUM(ABS(AI7),ABS(AI8),ABS(AI9))=AI25,0.5,IF(SUM(ABS(AI7),ABS(AI8),ABS(AI9))&gt;AI25,1,0)))</f>
        <v>1</v>
      </c>
      <c r="AK7" s="185">
        <v>169</v>
      </c>
      <c r="AL7" s="109">
        <f>IF(SUM(AK7:AK9)+AK25=0,0,IF(SUM(ABS(AK7),ABS(AK8),ABS(AK9))=AK25,0.5,IF(SUM(ABS(AK7),ABS(AK8),ABS(AK9))&gt;AK25,1,0)))</f>
        <v>0</v>
      </c>
      <c r="AM7" s="185">
        <v>277</v>
      </c>
      <c r="AN7" s="109">
        <f>IF(SUM(AM7:AM9)+AM25=0,0,IF(SUM(ABS(AM7),ABS(AM8),ABS(AM9))=AM25,0.5,IF(SUM(ABS(AM7),ABS(AM8),ABS(AM9))&gt;AM25,1,0)))</f>
        <v>1</v>
      </c>
      <c r="AO7" s="185">
        <v>226</v>
      </c>
      <c r="AP7" s="109">
        <f>IF(SUM(AO7:AO9)+AO25=0,0,IF(SUM(ABS(AO7),ABS(AO8),ABS(AO9))=AO25,0.5,IF(SUM(ABS(AO7),ABS(AO8),ABS(AO9))&gt;AO25,1,0)))</f>
        <v>1</v>
      </c>
      <c r="AQ7" s="185">
        <v>216</v>
      </c>
      <c r="AR7" s="109">
        <f>IF(SUM(AQ7:AQ9)+AQ25=0,0,IF(SUM(ABS(AQ7),ABS(AQ8),ABS(AQ9))=AQ25,0.5,IF(SUM(ABS(AQ7),ABS(AQ8),ABS(AQ9))&gt;AQ25,1,0)))</f>
        <v>1</v>
      </c>
      <c r="AS7" s="185">
        <v>192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1877</v>
      </c>
      <c r="AV7" s="111">
        <f>SUM(AD7+AF7+AH7+AJ7+AL7+AN7+AP7+AR7+AT7)</f>
        <v>6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1877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166</v>
      </c>
      <c r="BI7" s="215">
        <f t="shared" ref="BI7:BI18" si="10">IF(AE7=0,"",AE7)</f>
        <v>185</v>
      </c>
      <c r="BJ7" s="215">
        <f t="shared" ref="BJ7:BJ18" si="11">IF(AG7=0,"",AG7)</f>
        <v>214</v>
      </c>
      <c r="BK7" s="215">
        <f t="shared" ref="BK7:BK18" si="12">IF(AI7=0,"",AI7)</f>
        <v>232</v>
      </c>
      <c r="BL7" s="215">
        <f t="shared" ref="BL7:BL18" si="13">IF(AK7=0,"",AK7)</f>
        <v>169</v>
      </c>
      <c r="BM7" s="215">
        <f t="shared" ref="BM7:BM18" si="14">IF(AM7=0,"",AM7)</f>
        <v>277</v>
      </c>
      <c r="BN7" s="215">
        <f t="shared" ref="BN7:BN18" si="15">IF(AO7=0,"",AO7)</f>
        <v>226</v>
      </c>
      <c r="BO7" s="215">
        <f t="shared" ref="BO7:BO18" si="16">IF(AQ7=0,"",AQ7)</f>
        <v>216</v>
      </c>
      <c r="BP7" s="215">
        <f t="shared" ref="BP7:BP18" si="17">IF(AS7=0,"",AS7)</f>
        <v>192</v>
      </c>
      <c r="BQ7" s="216"/>
      <c r="BR7" s="214"/>
      <c r="BS7" s="215">
        <f>MAX(BH7:BP7)</f>
        <v>277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1877</v>
      </c>
      <c r="BX7" s="215">
        <f>IF(COUNTIF(BH7:BP7,"&gt;0")&lt;Spielorte!$A$23,0,BE7/Spielorte!$A$23)</f>
        <v>208.55555555555554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7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8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6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183</v>
      </c>
      <c r="E10" s="348">
        <f>IF(AD10="","",AD10)</f>
        <v>0</v>
      </c>
      <c r="F10" s="75">
        <f t="shared" si="0"/>
        <v>185</v>
      </c>
      <c r="G10" s="348">
        <f>IF(AF10="","",AF10)</f>
        <v>0</v>
      </c>
      <c r="H10" s="75">
        <f t="shared" si="1"/>
        <v>258</v>
      </c>
      <c r="I10" s="348">
        <f>IF(AH10="","",AH10)</f>
        <v>1</v>
      </c>
      <c r="J10" s="75">
        <f t="shared" si="2"/>
        <v>225</v>
      </c>
      <c r="K10" s="348">
        <f>IF(AJ10="","",AJ10)</f>
        <v>1</v>
      </c>
      <c r="L10" s="75">
        <f t="shared" si="3"/>
        <v>238</v>
      </c>
      <c r="M10" s="348">
        <f>IF(AL10="","",AL10)</f>
        <v>1</v>
      </c>
      <c r="N10" s="75">
        <f t="shared" si="20"/>
        <v>207</v>
      </c>
      <c r="O10" s="348">
        <f>IF(AN10="","",AN10)</f>
        <v>1</v>
      </c>
      <c r="P10" s="75">
        <f t="shared" si="4"/>
        <v>228</v>
      </c>
      <c r="Q10" s="348">
        <f>IF(AP10="","",AP10)</f>
        <v>1</v>
      </c>
      <c r="R10" s="75">
        <f t="shared" si="5"/>
        <v>181</v>
      </c>
      <c r="S10" s="348">
        <f>IF(AR10="","",AR10)</f>
        <v>1</v>
      </c>
      <c r="T10" s="75">
        <f t="shared" si="6"/>
        <v>186</v>
      </c>
      <c r="U10" s="348">
        <f>IF(AT10="","",AT10)</f>
        <v>1</v>
      </c>
      <c r="V10" s="75">
        <f t="shared" si="7"/>
        <v>1891</v>
      </c>
      <c r="W10" s="348">
        <f>IF(AV10="","",AV10)</f>
        <v>7</v>
      </c>
      <c r="Z10" s="351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183</v>
      </c>
      <c r="AD10" s="109">
        <f>IF(SUM(AC10:AC12)+AC26=0,0,IF(SUM(ABS(AC10),ABS(AC11),ABS(AC12))=AC26,0.5,IF(SUM(ABS(AC10),ABS(AC11),ABS(AC12))&gt;AC26,1,0)))</f>
        <v>0</v>
      </c>
      <c r="AE10" s="188">
        <v>185</v>
      </c>
      <c r="AF10" s="109">
        <f>IF(SUM(AE10:AE12)+AE26=0,0,IF(SUM(ABS(AE10),ABS(AE11),ABS(AE12))=AE26,0.5,IF(SUM(ABS(AE10),ABS(AE11),ABS(AE12))&gt;AE26,1,0)))</f>
        <v>0</v>
      </c>
      <c r="AG10" s="188">
        <v>258</v>
      </c>
      <c r="AH10" s="109">
        <f>IF(SUM(AG10:AG12)+AG26=0,0,IF(SUM(ABS(AG10),ABS(AG11),ABS(AG12))=AG26,0.5,IF(SUM(ABS(AG10),ABS(AG11),ABS(AG12))&gt;AG26,1,0)))</f>
        <v>1</v>
      </c>
      <c r="AI10" s="188">
        <v>225</v>
      </c>
      <c r="AJ10" s="109">
        <f>IF(SUM(AI10:AI12)+AI26=0,0,IF(SUM(ABS(AI10),ABS(AI11),ABS(AI12))=AI26,0.5,IF(SUM(ABS(AI10),ABS(AI11),ABS(AI12))&gt;AI26,1,0)))</f>
        <v>1</v>
      </c>
      <c r="AK10" s="188">
        <v>238</v>
      </c>
      <c r="AL10" s="109">
        <f>IF(SUM(AK10:AK12)+AK26=0,0,IF(SUM(ABS(AK10),ABS(AK11),ABS(AK12))=AK26,0.5,IF(SUM(ABS(AK10),ABS(AK11),ABS(AK12))&gt;AK26,1,0)))</f>
        <v>1</v>
      </c>
      <c r="AM10" s="188">
        <v>207</v>
      </c>
      <c r="AN10" s="109">
        <f>IF(SUM(AM10:AM12)+AM26=0,0,IF(SUM(ABS(AM10),ABS(AM11),ABS(AM12))=AM26,0.5,IF(SUM(ABS(AM10),ABS(AM11),ABS(AM12))&gt;AM26,1,0)))</f>
        <v>1</v>
      </c>
      <c r="AO10" s="188">
        <v>228</v>
      </c>
      <c r="AP10" s="109">
        <f>IF(SUM(AO10:AO12)+AO26=0,0,IF(SUM(ABS(AO10),ABS(AO11),ABS(AO12))=AO26,0.5,IF(SUM(ABS(AO10),ABS(AO11),ABS(AO12))&gt;AO26,1,0)))</f>
        <v>1</v>
      </c>
      <c r="AQ10" s="188">
        <v>181</v>
      </c>
      <c r="AR10" s="109">
        <f>IF(SUM(AQ10:AQ12)+AQ26=0,0,IF(SUM(ABS(AQ10),ABS(AQ11),ABS(AQ12))=AQ26,0.5,IF(SUM(ABS(AQ10),ABS(AQ11),ABS(AQ12))&gt;AQ26,1,0)))</f>
        <v>1</v>
      </c>
      <c r="AS10" s="188">
        <v>186</v>
      </c>
      <c r="AT10" s="109">
        <f>IF(SUM(AS10:AS12)+AS26=0,0,IF(SUM(ABS(AS10),ABS(AS11),ABS(AS12))=AS26,0.5,IF(SUM(ABS(AS10),ABS(AS11),ABS(AS12))&gt;AS26,1,0)))</f>
        <v>1</v>
      </c>
      <c r="AU10" s="110">
        <f t="shared" si="8"/>
        <v>1891</v>
      </c>
      <c r="AV10" s="111">
        <f>SUM(AD10+AF10+AH10+AJ10+AL10+AN10+AP10+AR10+AT10)</f>
        <v>7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1891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185</v>
      </c>
      <c r="BJ10" s="215">
        <f t="shared" si="11"/>
        <v>258</v>
      </c>
      <c r="BK10" s="215">
        <f t="shared" si="12"/>
        <v>225</v>
      </c>
      <c r="BL10" s="215">
        <f t="shared" si="13"/>
        <v>238</v>
      </c>
      <c r="BM10" s="215">
        <f t="shared" si="14"/>
        <v>207</v>
      </c>
      <c r="BN10" s="215">
        <f t="shared" si="15"/>
        <v>228</v>
      </c>
      <c r="BO10" s="215">
        <f t="shared" si="16"/>
        <v>181</v>
      </c>
      <c r="BP10" s="215">
        <f t="shared" si="17"/>
        <v>186</v>
      </c>
      <c r="BQ10" s="216"/>
      <c r="BR10" s="214"/>
      <c r="BS10" s="215">
        <f t="shared" si="25"/>
        <v>258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1891</v>
      </c>
      <c r="BX10" s="215">
        <f>IF(COUNTIF(BH10:BP10,"&gt;0")&lt;Spielorte!$A$23,0,BE10/Spielorte!$A$23)</f>
        <v>210.11111111111111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7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8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6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202</v>
      </c>
      <c r="E13" s="348">
        <f>IF(AD13="","",AD13)</f>
        <v>0</v>
      </c>
      <c r="F13" s="75">
        <f t="shared" si="0"/>
        <v>183</v>
      </c>
      <c r="G13" s="348">
        <f>IF(AF13="","",AF13)</f>
        <v>0</v>
      </c>
      <c r="H13" s="75">
        <f t="shared" si="1"/>
        <v>225</v>
      </c>
      <c r="I13" s="348">
        <f>IF(AH13="","",AH13)</f>
        <v>1</v>
      </c>
      <c r="J13" s="75">
        <f t="shared" si="2"/>
        <v>198</v>
      </c>
      <c r="K13" s="348">
        <f>IF(AJ13="","",AJ13)</f>
        <v>1</v>
      </c>
      <c r="L13" s="75">
        <f t="shared" si="3"/>
        <v>246</v>
      </c>
      <c r="M13" s="348">
        <f>IF(AL13="","",AL13)</f>
        <v>1</v>
      </c>
      <c r="N13" s="75">
        <f t="shared" si="20"/>
        <v>157</v>
      </c>
      <c r="O13" s="348">
        <f>IF(AN13="","",AN13)</f>
        <v>0</v>
      </c>
      <c r="P13" s="75">
        <f t="shared" si="4"/>
        <v>180</v>
      </c>
      <c r="Q13" s="348">
        <f>IF(AP13="","",AP13)</f>
        <v>0</v>
      </c>
      <c r="R13" s="75">
        <f t="shared" si="5"/>
        <v>199</v>
      </c>
      <c r="S13" s="348">
        <f>IF(AR13="","",AR13)</f>
        <v>0</v>
      </c>
      <c r="T13" s="75">
        <f t="shared" si="6"/>
        <v>193</v>
      </c>
      <c r="U13" s="348">
        <f>IF(AT13="","",AT13)</f>
        <v>1</v>
      </c>
      <c r="V13" s="75">
        <f t="shared" si="7"/>
        <v>1783</v>
      </c>
      <c r="W13" s="348">
        <f>IF(AV13="","",AV13)</f>
        <v>4</v>
      </c>
      <c r="Z13" s="351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202</v>
      </c>
      <c r="AD13" s="109">
        <f>IF(SUM(AC13:AC15)+AC27=0,0,IF(SUM(ABS(AC13),ABS(AC14),ABS(AC15))=AC27,0.5,IF(SUM(ABS(AC13),ABS(AC14),ABS(AC15))&gt;AC27,1,0)))</f>
        <v>0</v>
      </c>
      <c r="AE13" s="188">
        <v>183</v>
      </c>
      <c r="AF13" s="109">
        <f>IF(SUM(AE13:AE15)+AE27=0,0,IF(SUM(ABS(AE13),ABS(AE14),ABS(AE15))=AE27,0.5,IF(SUM(ABS(AE13),ABS(AE14),ABS(AE15))&gt;AE27,1,0)))</f>
        <v>0</v>
      </c>
      <c r="AG13" s="188">
        <v>225</v>
      </c>
      <c r="AH13" s="109">
        <f>IF(SUM(AG13:AG15)+AG27=0,0,IF(SUM(ABS(AG13),ABS(AG14),ABS(AG15))=AG27,0.5,IF(SUM(ABS(AG13),ABS(AG14),ABS(AG15))&gt;AG27,1,0)))</f>
        <v>1</v>
      </c>
      <c r="AI13" s="188">
        <v>198</v>
      </c>
      <c r="AJ13" s="109">
        <f>IF(SUM(AI13:AI15)+AI27=0,0,IF(SUM(ABS(AI13),ABS(AI14),ABS(AI15))=AI27,0.5,IF(SUM(ABS(AI13),ABS(AI14),ABS(AI15))&gt;AI27,1,0)))</f>
        <v>1</v>
      </c>
      <c r="AK13" s="188">
        <v>246</v>
      </c>
      <c r="AL13" s="109">
        <f>IF(SUM(AK13:AK15)+AK27=0,0,IF(SUM(ABS(AK13),ABS(AK14),ABS(AK15))=AK27,0.5,IF(SUM(ABS(AK13),ABS(AK14),ABS(AK15))&gt;AK27,1,0)))</f>
        <v>1</v>
      </c>
      <c r="AM13" s="188">
        <v>157</v>
      </c>
      <c r="AN13" s="109">
        <f>IF(SUM(AM13:AM15)+AM27=0,0,IF(SUM(ABS(AM13),ABS(AM14),ABS(AM15))=AM27,0.5,IF(SUM(ABS(AM13),ABS(AM14),ABS(AM15))&gt;AM27,1,0)))</f>
        <v>0</v>
      </c>
      <c r="AO13" s="188">
        <v>180</v>
      </c>
      <c r="AP13" s="109">
        <f>IF(SUM(AO13:AO15)+AO27=0,0,IF(SUM(ABS(AO13),ABS(AO14),ABS(AO15))=AO27,0.5,IF(SUM(ABS(AO13),ABS(AO14),ABS(AO15))&gt;AO27,1,0)))</f>
        <v>0</v>
      </c>
      <c r="AQ13" s="188">
        <v>199</v>
      </c>
      <c r="AR13" s="109">
        <f>IF(SUM(AQ13:AQ15)+AQ27=0,0,IF(SUM(ABS(AQ13),ABS(AQ14),ABS(AQ15))=AQ27,0.5,IF(SUM(ABS(AQ13),ABS(AQ14),ABS(AQ15))&gt;AQ27,1,0)))</f>
        <v>0</v>
      </c>
      <c r="AS13" s="188">
        <v>193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1783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1783</v>
      </c>
      <c r="BF13" s="215">
        <f t="shared" si="23"/>
        <v>9</v>
      </c>
      <c r="BG13" s="215">
        <f t="shared" si="24"/>
        <v>9</v>
      </c>
      <c r="BH13" s="215">
        <f t="shared" si="9"/>
        <v>202</v>
      </c>
      <c r="BI13" s="215">
        <f t="shared" si="10"/>
        <v>183</v>
      </c>
      <c r="BJ13" s="215">
        <f t="shared" si="11"/>
        <v>225</v>
      </c>
      <c r="BK13" s="215">
        <f t="shared" si="12"/>
        <v>198</v>
      </c>
      <c r="BL13" s="215">
        <f t="shared" si="13"/>
        <v>246</v>
      </c>
      <c r="BM13" s="215">
        <f t="shared" si="14"/>
        <v>157</v>
      </c>
      <c r="BN13" s="215">
        <f t="shared" si="15"/>
        <v>180</v>
      </c>
      <c r="BO13" s="215">
        <f t="shared" si="16"/>
        <v>199</v>
      </c>
      <c r="BP13" s="215">
        <f t="shared" si="17"/>
        <v>193</v>
      </c>
      <c r="BQ13" s="216"/>
      <c r="BR13" s="214"/>
      <c r="BS13" s="215">
        <f t="shared" si="25"/>
        <v>246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1783</v>
      </c>
      <c r="BX13" s="215">
        <f>IF(COUNTIF(BH13:BP13,"&gt;0")&lt;Spielorte!$A$23,0,BE13/Spielorte!$A$23)</f>
        <v>198.11111111111111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7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8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6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226</v>
      </c>
      <c r="E16" s="348">
        <f>IF(AD16="","",AD16)</f>
        <v>0</v>
      </c>
      <c r="F16" s="75">
        <f t="shared" si="0"/>
        <v>212</v>
      </c>
      <c r="G16" s="348">
        <f>IF(AF16="","",AF16)</f>
        <v>0</v>
      </c>
      <c r="H16" s="75">
        <f t="shared" si="1"/>
        <v>182</v>
      </c>
      <c r="I16" s="348">
        <f>IF(AH16="","",AH16)</f>
        <v>0</v>
      </c>
      <c r="J16" s="75">
        <f t="shared" si="2"/>
        <v>194</v>
      </c>
      <c r="K16" s="348">
        <f>IF(AJ16="","",AJ16)</f>
        <v>0</v>
      </c>
      <c r="L16" s="75">
        <f t="shared" si="3"/>
        <v>176</v>
      </c>
      <c r="M16" s="348">
        <f>IF(AL16="","",AL16)</f>
        <v>0</v>
      </c>
      <c r="N16" s="75">
        <f t="shared" si="20"/>
        <v>204</v>
      </c>
      <c r="O16" s="348">
        <f>IF(AN16="","",AN16)</f>
        <v>1</v>
      </c>
      <c r="P16" s="75">
        <f t="shared" si="4"/>
        <v>194</v>
      </c>
      <c r="Q16" s="348">
        <f>IF(AP16="","",AP16)</f>
        <v>0</v>
      </c>
      <c r="R16" s="75">
        <f t="shared" si="5"/>
        <v>236</v>
      </c>
      <c r="S16" s="348">
        <f>IF(AR16="","",AR16)</f>
        <v>1</v>
      </c>
      <c r="T16" s="75">
        <f t="shared" si="6"/>
        <v>181</v>
      </c>
      <c r="U16" s="348">
        <f>IF(AT16="","",AT16)</f>
        <v>0.5</v>
      </c>
      <c r="V16" s="75">
        <f t="shared" si="7"/>
        <v>1805</v>
      </c>
      <c r="W16" s="348">
        <f>IF(AV16="","",AV16)</f>
        <v>2.5</v>
      </c>
      <c r="Z16" s="351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226</v>
      </c>
      <c r="AD16" s="109">
        <f>IF(SUM(AC16:AC18)+AC28=0,0,IF(SUM(ABS(AC16),ABS(AC17),ABS(AC18))=AC28,0.5,IF(SUM(ABS(AC16),ABS(AC17),ABS(AC18))&gt;AC28,1,0)))</f>
        <v>0</v>
      </c>
      <c r="AE16" s="188">
        <v>212</v>
      </c>
      <c r="AF16" s="109">
        <f>IF(SUM(AE16:AE18)+AE28=0,0,IF(SUM(ABS(AE16),ABS(AE17),ABS(AE18))=AE28,0.5,IF(SUM(ABS(AE16),ABS(AE17),ABS(AE18))&gt;AE28,1,0)))</f>
        <v>0</v>
      </c>
      <c r="AG16" s="188">
        <v>182</v>
      </c>
      <c r="AH16" s="109">
        <f>IF(SUM(AG16:AG18)+AG28=0,0,IF(SUM(ABS(AG16),ABS(AG17),ABS(AG18))=AG28,0.5,IF(SUM(ABS(AG16),ABS(AG17),ABS(AG18))&gt;AG28,1,0)))</f>
        <v>0</v>
      </c>
      <c r="AI16" s="188">
        <v>194</v>
      </c>
      <c r="AJ16" s="109">
        <f>IF(SUM(AI16:AI18)+AI28=0,0,IF(SUM(ABS(AI16),ABS(AI17),ABS(AI18))=AI28,0.5,IF(SUM(ABS(AI16),ABS(AI17),ABS(AI18))&gt;AI28,1,0)))</f>
        <v>0</v>
      </c>
      <c r="AK16" s="188">
        <v>176</v>
      </c>
      <c r="AL16" s="109">
        <f>IF(SUM(AK16:AK18)+AK28=0,0,IF(SUM(ABS(AK16),ABS(AK17),ABS(AK18))=AK28,0.5,IF(SUM(ABS(AK16),ABS(AK17),ABS(AK18))&gt;AK28,1,0)))</f>
        <v>0</v>
      </c>
      <c r="AM16" s="188">
        <v>204</v>
      </c>
      <c r="AN16" s="109">
        <f>IF(SUM(AM16:AM18)+AM28=0,0,IF(SUM(ABS(AM16),ABS(AM17),ABS(AM18))=AM28,0.5,IF(SUM(ABS(AM16),ABS(AM17),ABS(AM18))&gt;AM28,1,0)))</f>
        <v>1</v>
      </c>
      <c r="AO16" s="188">
        <v>194</v>
      </c>
      <c r="AP16" s="109">
        <f>IF(SUM(AO16:AO18)+AO28=0,0,IF(SUM(ABS(AO16),ABS(AO17),ABS(AO18))=AO28,0.5,IF(SUM(ABS(AO16),ABS(AO17),ABS(AO18))&gt;AO28,1,0)))</f>
        <v>0</v>
      </c>
      <c r="AQ16" s="188">
        <v>236</v>
      </c>
      <c r="AR16" s="109">
        <f>IF(SUM(AQ16:AQ18)+AQ28=0,0,IF(SUM(ABS(AQ16),ABS(AQ17),ABS(AQ18))=AQ28,0.5,IF(SUM(ABS(AQ16),ABS(AQ17),ABS(AQ18))&gt;AQ28,1,0)))</f>
        <v>1</v>
      </c>
      <c r="AS16" s="188">
        <v>181</v>
      </c>
      <c r="AT16" s="109">
        <f>IF(SUM(AS16:AS18)+AS28=0,0,IF(SUM(ABS(AS16),ABS(AS17),ABS(AS18))=AS28,0.5,IF(SUM(ABS(AS16),ABS(AS17),ABS(AS18))&gt;AS28,1,0)))</f>
        <v>0.5</v>
      </c>
      <c r="AU16" s="110">
        <f t="shared" si="8"/>
        <v>1805</v>
      </c>
      <c r="AV16" s="111">
        <f>SUM(AD16+AF16+AH16+AJ16+AL16+AN16+AP16+AR16+AT16)</f>
        <v>2.5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1805</v>
      </c>
      <c r="BF16" s="215">
        <f t="shared" si="23"/>
        <v>9</v>
      </c>
      <c r="BG16" s="215">
        <f t="shared" si="24"/>
        <v>9</v>
      </c>
      <c r="BH16" s="215">
        <f t="shared" si="9"/>
        <v>226</v>
      </c>
      <c r="BI16" s="215">
        <f t="shared" si="10"/>
        <v>212</v>
      </c>
      <c r="BJ16" s="215">
        <f t="shared" si="11"/>
        <v>182</v>
      </c>
      <c r="BK16" s="215">
        <f t="shared" si="12"/>
        <v>194</v>
      </c>
      <c r="BL16" s="215">
        <f t="shared" si="13"/>
        <v>176</v>
      </c>
      <c r="BM16" s="215">
        <f t="shared" si="14"/>
        <v>204</v>
      </c>
      <c r="BN16" s="215">
        <f t="shared" si="15"/>
        <v>194</v>
      </c>
      <c r="BO16" s="215">
        <f t="shared" si="16"/>
        <v>236</v>
      </c>
      <c r="BP16" s="215">
        <f t="shared" si="17"/>
        <v>181</v>
      </c>
      <c r="BQ16" s="216"/>
      <c r="BR16" s="214"/>
      <c r="BS16" s="215">
        <f t="shared" si="25"/>
        <v>236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1805</v>
      </c>
      <c r="BX16" s="215">
        <f>IF(COUNTIF(BH16:BP16,"&gt;0")&lt;Spielorte!$A$23,0,BE16/Spielorte!$A$23)</f>
        <v>200.55555555555554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7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8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777</v>
      </c>
      <c r="E19" s="84">
        <f>IF(AD19="","",AD19)</f>
        <v>0</v>
      </c>
      <c r="F19" s="83">
        <f t="shared" si="0"/>
        <v>765</v>
      </c>
      <c r="G19" s="84">
        <f>IF(AF19="","",AF19)</f>
        <v>0</v>
      </c>
      <c r="H19" s="83">
        <f t="shared" si="1"/>
        <v>879</v>
      </c>
      <c r="I19" s="84">
        <f>IF(AH19="","",AH19)</f>
        <v>2</v>
      </c>
      <c r="J19" s="83">
        <f t="shared" si="2"/>
        <v>849</v>
      </c>
      <c r="K19" s="84">
        <f>IF(AJ19="","",AJ19)</f>
        <v>2</v>
      </c>
      <c r="L19" s="83">
        <f t="shared" si="3"/>
        <v>829</v>
      </c>
      <c r="M19" s="84">
        <f>IF(AL19="","",AL19)</f>
        <v>2</v>
      </c>
      <c r="N19" s="83">
        <f t="shared" si="20"/>
        <v>845</v>
      </c>
      <c r="O19" s="84">
        <f>IF(AN19="","",AN19)</f>
        <v>2</v>
      </c>
      <c r="P19" s="83">
        <f t="shared" si="4"/>
        <v>828</v>
      </c>
      <c r="Q19" s="84">
        <f>IF(AP19="","",AP19)</f>
        <v>0</v>
      </c>
      <c r="R19" s="83">
        <f t="shared" si="5"/>
        <v>832</v>
      </c>
      <c r="S19" s="84">
        <f>IF(AR19="","",AR19)</f>
        <v>2</v>
      </c>
      <c r="T19" s="83">
        <f t="shared" si="6"/>
        <v>752</v>
      </c>
      <c r="U19" s="84">
        <f>IF(AT19="","",AT19)</f>
        <v>2</v>
      </c>
      <c r="V19" s="83">
        <f t="shared" si="7"/>
        <v>7356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777</v>
      </c>
      <c r="AD19" s="121">
        <f>IF(AC19+AC29=0,0,IF(AC19=AC29,1,IF(AC19&gt;AC29,2,0)))</f>
        <v>0</v>
      </c>
      <c r="AE19" s="211">
        <f>ABS(SUM(AE7:AE9))+ABS(SUM(AE10:AE12))+ABS(SUM(AE13:AE15))+ABS(SUM(AE16:AE18))</f>
        <v>765</v>
      </c>
      <c r="AF19" s="121">
        <f>IF(AE19+AE29=0,0,IF(AE19=AE29,1,IF(AE19&gt;AE29,2,0)))</f>
        <v>0</v>
      </c>
      <c r="AG19" s="211">
        <f>ABS(SUM(AG7:AG9))+ABS(SUM(AG10:AG12))+ABS(SUM(AG13:AG15))+ABS(SUM(AG16:AG18))</f>
        <v>879</v>
      </c>
      <c r="AH19" s="121">
        <f>IF(AG19+AG29=0,0,IF(AG19=AG29,1,IF(AG19&gt;AG29,2,0)))</f>
        <v>2</v>
      </c>
      <c r="AI19" s="211">
        <f>ABS(SUM(AI7:AI9))+ABS(SUM(AI10:AI12))+ABS(SUM(AI13:AI15))+ABS(SUM(AI16:AI18))</f>
        <v>849</v>
      </c>
      <c r="AJ19" s="121">
        <f>IF(AI19+AI29=0,0,IF(AI19=AI29,1,IF(AI19&gt;AI29,2,0)))</f>
        <v>2</v>
      </c>
      <c r="AK19" s="211">
        <f>ABS(SUM(AK7:AK9))+ABS(SUM(AK10:AK12))+ABS(SUM(AK13:AK15))+ABS(SUM(AK16:AK18))</f>
        <v>829</v>
      </c>
      <c r="AL19" s="121">
        <f>IF(AK19+AK29=0,0,IF(AK19=AK29,1,IF(AK19&gt;AK29,2,0)))</f>
        <v>2</v>
      </c>
      <c r="AM19" s="211">
        <f>ABS(SUM(AM7:AM9))+ABS(SUM(AM10:AM12))+ABS(SUM(AM13:AM15))+ABS(SUM(AM16:AM18))</f>
        <v>845</v>
      </c>
      <c r="AN19" s="121">
        <f>IF(AM19+AM29=0,0,IF(AM19=AM29,1,IF(AM19&gt;AM29,2,0)))</f>
        <v>2</v>
      </c>
      <c r="AO19" s="211">
        <f>ABS(SUM(AO7:AO9))+ABS(SUM(AO10:AO12))+ABS(SUM(AO13:AO15))+ABS(SUM(AO16:AO18))</f>
        <v>828</v>
      </c>
      <c r="AP19" s="121">
        <f>IF(AO19+AO29=0,0,IF(AO19=AO29,1,IF(AO19&gt;AO29,2,0)))</f>
        <v>0</v>
      </c>
      <c r="AQ19" s="211">
        <f>ABS(SUM(AQ7:AQ9))+ABS(SUM(AQ10:AQ12))+ABS(SUM(AQ13:AQ15))+ABS(SUM(AQ16:AQ18))</f>
        <v>832</v>
      </c>
      <c r="AR19" s="121">
        <f>IF(AQ19+AQ29=0,0,IF(AQ19=AQ29,1,IF(AQ19&gt;AQ29,2,0)))</f>
        <v>2</v>
      </c>
      <c r="AS19" s="211">
        <f>ABS(SUM(AS7:AS9))+ABS(SUM(AS10:AS12))+ABS(SUM(AS13:AS15))+ABS(SUM(AS16:AS18))</f>
        <v>752</v>
      </c>
      <c r="AT19" s="121">
        <f>IF(AS19+AS29=0,0,IF(AS19=AS29,1,IF(AS19&gt;AS29,2,0)))</f>
        <v>2</v>
      </c>
      <c r="AU19" s="122">
        <f>SUM(AC19+AE19+AG19+AI19+AK19+AM19+AO19+AQ19+AS19)</f>
        <v>7356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4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5.5</v>
      </c>
      <c r="V20" s="86" t="str">
        <f t="shared" si="7"/>
        <v/>
      </c>
      <c r="W20" s="87">
        <f>IF(AV20="","",AV20)</f>
        <v>31.5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5</v>
      </c>
      <c r="AI20" s="86"/>
      <c r="AJ20" s="124">
        <f>SUM(AJ7:AJ19)</f>
        <v>5</v>
      </c>
      <c r="AK20" s="86"/>
      <c r="AL20" s="124">
        <f>SUM(AL7:AL19)</f>
        <v>4</v>
      </c>
      <c r="AM20" s="86"/>
      <c r="AN20" s="124">
        <f>SUM(AN7:AN19)</f>
        <v>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5.5</v>
      </c>
      <c r="AU20" s="86"/>
      <c r="AV20" s="125">
        <f>SUM(AV7:AV19)</f>
        <v>31.5</v>
      </c>
      <c r="AW20" s="101"/>
      <c r="AX20" s="102"/>
      <c r="BA20" s="212">
        <f>+AV20</f>
        <v>31.5</v>
      </c>
      <c r="BB20" s="213">
        <f>+AU19</f>
        <v>7356</v>
      </c>
      <c r="BC20" s="214">
        <f>+AA2</f>
        <v>1</v>
      </c>
      <c r="BF20" s="215">
        <f>SUM(BF1:BF19)</f>
        <v>36</v>
      </c>
      <c r="BQ20" s="212">
        <f>+BB20/1000000+BA20</f>
        <v>31.507356000000001</v>
      </c>
      <c r="BR20" s="214">
        <f>RANK(BQ20,BQ:BQ)</f>
        <v>3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6">
        <f t="shared" si="31"/>
        <v>3</v>
      </c>
      <c r="E22" s="356" t="str">
        <f t="shared" si="31"/>
        <v/>
      </c>
      <c r="F22" s="356">
        <f t="shared" si="31"/>
        <v>9</v>
      </c>
      <c r="G22" s="356" t="str">
        <f t="shared" si="31"/>
        <v/>
      </c>
      <c r="H22" s="356">
        <f t="shared" si="31"/>
        <v>6</v>
      </c>
      <c r="I22" s="356" t="str">
        <f t="shared" si="31"/>
        <v/>
      </c>
      <c r="J22" s="356">
        <f t="shared" si="31"/>
        <v>5</v>
      </c>
      <c r="K22" s="356" t="str">
        <f t="shared" si="31"/>
        <v/>
      </c>
      <c r="L22" s="356">
        <f t="shared" si="31"/>
        <v>10</v>
      </c>
      <c r="M22" s="356" t="str">
        <f t="shared" si="31"/>
        <v/>
      </c>
      <c r="N22" s="356">
        <f t="shared" si="31"/>
        <v>7</v>
      </c>
      <c r="O22" s="356" t="str">
        <f t="shared" si="31"/>
        <v/>
      </c>
      <c r="P22" s="356">
        <f t="shared" si="31"/>
        <v>4</v>
      </c>
      <c r="Q22" s="356" t="str">
        <f t="shared" si="31"/>
        <v/>
      </c>
      <c r="R22" s="356">
        <f t="shared" ref="L22:U24" si="32">IF(AQ22=0,"",AQ22)</f>
        <v>2</v>
      </c>
      <c r="S22" s="356" t="str">
        <f t="shared" si="32"/>
        <v/>
      </c>
      <c r="T22" s="356">
        <f t="shared" si="32"/>
        <v>8</v>
      </c>
      <c r="U22" s="356" t="str">
        <f t="shared" si="32"/>
        <v/>
      </c>
      <c r="V22" s="357"/>
      <c r="W22" s="357"/>
      <c r="AA22" s="88" t="s">
        <v>1797</v>
      </c>
      <c r="AB22" s="89" t="s">
        <v>1798</v>
      </c>
      <c r="AC22" s="370">
        <f>VLOOKUP($AA2,Schlüssel!$A$5:$K$14,3)</f>
        <v>3</v>
      </c>
      <c r="AD22" s="371"/>
      <c r="AE22" s="370">
        <f>VLOOKUP($AA2,Schlüssel!$A$5:$K$14,4)</f>
        <v>9</v>
      </c>
      <c r="AF22" s="371"/>
      <c r="AG22" s="370">
        <f>VLOOKUP($AA2,Schlüssel!$A$5:$K$14,5)</f>
        <v>6</v>
      </c>
      <c r="AH22" s="371"/>
      <c r="AI22" s="370">
        <f>VLOOKUP($AA2,Schlüssel!$A$5:$K$14,6)</f>
        <v>5</v>
      </c>
      <c r="AJ22" s="371"/>
      <c r="AK22" s="370">
        <f>VLOOKUP($AA2,Schlüssel!$A$5:$K$14,7)</f>
        <v>10</v>
      </c>
      <c r="AL22" s="371"/>
      <c r="AM22" s="370">
        <f>VLOOKUP($AA2,Schlüssel!$A$5:$K$14,8)</f>
        <v>7</v>
      </c>
      <c r="AN22" s="371"/>
      <c r="AO22" s="370">
        <f>VLOOKUP($AA2,Schlüssel!$A$5:$K$14,9)</f>
        <v>4</v>
      </c>
      <c r="AP22" s="371"/>
      <c r="AQ22" s="370">
        <f>VLOOKUP($AA2,Schlüssel!$A$5:$K$14,10)</f>
        <v>2</v>
      </c>
      <c r="AR22" s="371"/>
      <c r="AS22" s="370">
        <f>VLOOKUP($AA2,Schlüssel!$A$5:$K$14,11)</f>
        <v>8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8" t="str">
        <f t="shared" si="33"/>
        <v>BK München 3</v>
      </c>
      <c r="E23" s="359" t="str">
        <f t="shared" si="33"/>
        <v/>
      </c>
      <c r="F23" s="358" t="str">
        <f t="shared" si="33"/>
        <v>Bowlinghaus Bamberg 1</v>
      </c>
      <c r="G23" s="359" t="str">
        <f t="shared" si="33"/>
        <v/>
      </c>
      <c r="H23" s="358" t="str">
        <f t="shared" si="33"/>
        <v>SG Rottendorf 1</v>
      </c>
      <c r="I23" s="359" t="str">
        <f t="shared" si="33"/>
        <v/>
      </c>
      <c r="J23" s="358" t="str">
        <f t="shared" si="33"/>
        <v>RW Lichtenhof Stein 1</v>
      </c>
      <c r="K23" s="359" t="str">
        <f t="shared" si="33"/>
        <v/>
      </c>
      <c r="L23" s="358" t="str">
        <f t="shared" si="32"/>
        <v>High Roller Rosenheim 1</v>
      </c>
      <c r="M23" s="359" t="str">
        <f t="shared" si="32"/>
        <v/>
      </c>
      <c r="N23" s="358" t="str">
        <f t="shared" si="32"/>
        <v>Schanzer Ingolstadt 1</v>
      </c>
      <c r="O23" s="359" t="str">
        <f t="shared" si="32"/>
        <v/>
      </c>
      <c r="P23" s="358" t="str">
        <f t="shared" si="32"/>
        <v>SG DJK Rimpar</v>
      </c>
      <c r="Q23" s="359" t="str">
        <f t="shared" si="32"/>
        <v/>
      </c>
      <c r="R23" s="358" t="str">
        <f t="shared" si="32"/>
        <v>Bajuwaren München 1</v>
      </c>
      <c r="S23" s="359" t="str">
        <f t="shared" si="32"/>
        <v/>
      </c>
      <c r="T23" s="358" t="str">
        <f t="shared" si="32"/>
        <v>BC EMAX Unterföhring 2</v>
      </c>
      <c r="U23" s="359" t="str">
        <f t="shared" si="32"/>
        <v/>
      </c>
      <c r="V23" s="363"/>
      <c r="W23" s="363"/>
      <c r="AA23" s="90"/>
      <c r="AB23" s="86"/>
      <c r="AC23" s="358" t="str">
        <f>VLOOKUP(AC22,Schlüssel!$A$5:$K$14,2)</f>
        <v>BK München 3</v>
      </c>
      <c r="AD23" s="359"/>
      <c r="AE23" s="358" t="str">
        <f>VLOOKUP(AE22,Schlüssel!$A$5:$K$14,2)</f>
        <v>Bowlinghaus Bamberg 1</v>
      </c>
      <c r="AF23" s="359"/>
      <c r="AG23" s="358" t="str">
        <f>VLOOKUP(AG22,Schlüssel!$A$5:$K$14,2)</f>
        <v>SG Rottendorf 1</v>
      </c>
      <c r="AH23" s="359"/>
      <c r="AI23" s="358" t="str">
        <f>VLOOKUP(AI22,Schlüssel!$A$5:$K$14,2)</f>
        <v>RW Lichtenhof Stein 1</v>
      </c>
      <c r="AJ23" s="359"/>
      <c r="AK23" s="358" t="str">
        <f>VLOOKUP(AK22,Schlüssel!$A$5:$K$14,2)</f>
        <v>High Roller Rosenheim 1</v>
      </c>
      <c r="AL23" s="359"/>
      <c r="AM23" s="358" t="str">
        <f>VLOOKUP(AM22,Schlüssel!$A$5:$K$14,2)</f>
        <v>Schanzer Ingolstadt 1</v>
      </c>
      <c r="AN23" s="359"/>
      <c r="AO23" s="358" t="str">
        <f>VLOOKUP(AO22,Schlüssel!$A$5:$K$14,2)</f>
        <v>SG DJK Rimpar</v>
      </c>
      <c r="AP23" s="359"/>
      <c r="AQ23" s="358" t="str">
        <f>VLOOKUP(AQ22,Schlüssel!$A$5:$K$14,2)</f>
        <v>Bajuwaren München 1</v>
      </c>
      <c r="AR23" s="359"/>
      <c r="AS23" s="358" t="str">
        <f>VLOOKUP(AS22,Schlüssel!$A$5:$K$14,2)</f>
        <v>BC EMAX Unterföhring 2</v>
      </c>
      <c r="AT23" s="359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60" t="str">
        <f t="shared" si="33"/>
        <v/>
      </c>
      <c r="E24" s="360" t="str">
        <f t="shared" si="33"/>
        <v/>
      </c>
      <c r="F24" s="360" t="str">
        <f t="shared" si="33"/>
        <v/>
      </c>
      <c r="G24" s="360" t="str">
        <f t="shared" si="33"/>
        <v/>
      </c>
      <c r="H24" s="360" t="str">
        <f t="shared" si="33"/>
        <v/>
      </c>
      <c r="I24" s="360" t="str">
        <f t="shared" si="33"/>
        <v/>
      </c>
      <c r="J24" s="360" t="str">
        <f t="shared" si="33"/>
        <v/>
      </c>
      <c r="K24" s="360" t="str">
        <f t="shared" si="33"/>
        <v/>
      </c>
      <c r="L24" s="360" t="str">
        <f t="shared" si="32"/>
        <v/>
      </c>
      <c r="M24" s="360" t="str">
        <f t="shared" si="32"/>
        <v/>
      </c>
      <c r="N24" s="360" t="str">
        <f t="shared" si="32"/>
        <v/>
      </c>
      <c r="O24" s="360" t="str">
        <f t="shared" si="32"/>
        <v/>
      </c>
      <c r="P24" s="360" t="str">
        <f t="shared" si="32"/>
        <v/>
      </c>
      <c r="Q24" s="360" t="str">
        <f t="shared" si="32"/>
        <v/>
      </c>
      <c r="R24" s="360" t="str">
        <f t="shared" si="32"/>
        <v/>
      </c>
      <c r="S24" s="360" t="str">
        <f t="shared" si="32"/>
        <v/>
      </c>
      <c r="T24" s="360" t="str">
        <f t="shared" si="32"/>
        <v/>
      </c>
      <c r="U24" s="361" t="str">
        <f t="shared" si="32"/>
        <v/>
      </c>
      <c r="V24" s="298"/>
      <c r="W24" s="298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4" t="str">
        <f t="shared" ref="B25:C29" si="34">IF(AA25=0,"",AA25)</f>
        <v>Spieler 1</v>
      </c>
      <c r="C25" s="375" t="str">
        <f t="shared" si="34"/>
        <v/>
      </c>
      <c r="D25" s="362">
        <f>IF(AC25=301,"",AC25)</f>
        <v>191</v>
      </c>
      <c r="E25" s="362" t="str">
        <f>IF(AD25=0,"",AD25)</f>
        <v/>
      </c>
      <c r="F25" s="362">
        <f>IF(AE25=301,"",AE25)</f>
        <v>190</v>
      </c>
      <c r="G25" s="362" t="str">
        <f>IF(AF25=0,"",AF25)</f>
        <v/>
      </c>
      <c r="H25" s="362">
        <f>IF(AG25=301,"",AG25)</f>
        <v>158</v>
      </c>
      <c r="I25" s="362" t="str">
        <f>IF(AH25=0,"",AH25)</f>
        <v/>
      </c>
      <c r="J25" s="362">
        <f>IF(AI25=301,"",AI25)</f>
        <v>170</v>
      </c>
      <c r="K25" s="362" t="str">
        <f>IF(AJ25=0,"",AJ25)</f>
        <v/>
      </c>
      <c r="L25" s="362">
        <f>IF(AK25=301,"",AK25)</f>
        <v>212</v>
      </c>
      <c r="M25" s="362" t="str">
        <f>IF(AL25=0,"",AL25)</f>
        <v/>
      </c>
      <c r="N25" s="362">
        <f>IF(AM25=301,"",AM25)</f>
        <v>191</v>
      </c>
      <c r="O25" s="362" t="str">
        <f>IF(AN25=0,"",AN25)</f>
        <v/>
      </c>
      <c r="P25" s="362">
        <f>IF(AO25=301,"",AO25)</f>
        <v>223</v>
      </c>
      <c r="Q25" s="362" t="str">
        <f>IF(AP25=0,"",AP25)</f>
        <v/>
      </c>
      <c r="R25" s="362">
        <f>IF(AQ25=301,"",AQ25)</f>
        <v>194</v>
      </c>
      <c r="S25" s="362" t="str">
        <f>IF(AR25=0,"",AR25)</f>
        <v/>
      </c>
      <c r="T25" s="362">
        <f>IF(AS25=301,"",AS25)</f>
        <v>167</v>
      </c>
      <c r="U25" s="362" t="str">
        <f>IF(AT25=0,"",AT25)</f>
        <v/>
      </c>
      <c r="V25" s="364"/>
      <c r="W25" s="364"/>
      <c r="AA25" s="91" t="s">
        <v>0</v>
      </c>
      <c r="AB25" s="92"/>
      <c r="AC25" s="368">
        <f>ABS(INDEX(AC:AC,MATCH(AC22,$AA:$AA,0)+5)+INDEX(AC:AC,MATCH(AC22,$AA:$AA,0)+6)+INDEX(AC:AC,MATCH(AC22,$AA:$AA,0)+7))</f>
        <v>191</v>
      </c>
      <c r="AD25" s="369"/>
      <c r="AE25" s="368">
        <f>ABS(INDEX(AE:AE,MATCH(AE22,$AA:$AA,0)+5)+INDEX(AE:AE,MATCH(AE22,$AA:$AA,0)+6)+INDEX(AE:AE,MATCH(AE22,$AA:$AA,0)+7))</f>
        <v>190</v>
      </c>
      <c r="AF25" s="369"/>
      <c r="AG25" s="368">
        <f>ABS(INDEX(AG:AG,MATCH(AG22,$AA:$AA,0)+5)+INDEX(AG:AG,MATCH(AG22,$AA:$AA,0)+6)+INDEX(AG:AG,MATCH(AG22,$AA:$AA,0)+7))</f>
        <v>158</v>
      </c>
      <c r="AH25" s="369"/>
      <c r="AI25" s="368">
        <f>ABS(INDEX(AI:AI,MATCH(AI22,$AA:$AA,0)+5)+INDEX(AI:AI,MATCH(AI22,$AA:$AA,0)+6)+INDEX(AI:AI,MATCH(AI22,$AA:$AA,0)+7))</f>
        <v>170</v>
      </c>
      <c r="AJ25" s="369"/>
      <c r="AK25" s="368">
        <f>ABS(INDEX(AK:AK,MATCH(AK22,$AA:$AA,0)+5)+INDEX(AK:AK,MATCH(AK22,$AA:$AA,0)+6)+INDEX(AK:AK,MATCH(AK22,$AA:$AA,0)+7))</f>
        <v>212</v>
      </c>
      <c r="AL25" s="369"/>
      <c r="AM25" s="368">
        <f>ABS(INDEX(AM:AM,MATCH(AM22,$AA:$AA,0)+5)+INDEX(AM:AM,MATCH(AM22,$AA:$AA,0)+6)+INDEX(AM:AM,MATCH(AM22,$AA:$AA,0)+7))</f>
        <v>191</v>
      </c>
      <c r="AN25" s="369"/>
      <c r="AO25" s="368">
        <f>ABS(INDEX(AO:AO,MATCH(AO22,$AA:$AA,0)+5)+INDEX(AO:AO,MATCH(AO22,$AA:$AA,0)+6)+INDEX(AO:AO,MATCH(AO22,$AA:$AA,0)+7))</f>
        <v>223</v>
      </c>
      <c r="AP25" s="369"/>
      <c r="AQ25" s="368">
        <f>ABS(INDEX(AQ:AQ,MATCH(AQ22,$AA:$AA,0)+5)+INDEX(AQ:AQ,MATCH(AQ22,$AA:$AA,0)+6)+INDEX(AQ:AQ,MATCH(AQ22,$AA:$AA,0)+7))</f>
        <v>194</v>
      </c>
      <c r="AR25" s="369"/>
      <c r="AS25" s="368">
        <f>ABS(INDEX(AS:AS,MATCH(AS22,$AA:$AA,0)+5)+INDEX(AS:AS,MATCH(AS22,$AA:$AA,0)+6)+INDEX(AS:AS,MATCH(AS22,$AA:$AA,0)+7))</f>
        <v>167</v>
      </c>
      <c r="AT25" s="369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4" t="str">
        <f t="shared" si="34"/>
        <v>Spieler 2</v>
      </c>
      <c r="C26" s="375" t="str">
        <f t="shared" si="34"/>
        <v/>
      </c>
      <c r="D26" s="362">
        <f>IF(AC26=301,"",AC26)</f>
        <v>212</v>
      </c>
      <c r="E26" s="362" t="str">
        <f>IF(AD26=0,"",AD26)</f>
        <v/>
      </c>
      <c r="F26" s="362">
        <f>IF(AE26=301,"",AE26)</f>
        <v>201</v>
      </c>
      <c r="G26" s="362" t="str">
        <f>IF(AF26=0,"",AF26)</f>
        <v/>
      </c>
      <c r="H26" s="362">
        <f>IF(AG26=301,"",AG26)</f>
        <v>170</v>
      </c>
      <c r="I26" s="362" t="str">
        <f>IF(AH26=0,"",AH26)</f>
        <v/>
      </c>
      <c r="J26" s="362">
        <f>IF(AI26=301,"",AI26)</f>
        <v>152</v>
      </c>
      <c r="K26" s="362" t="str">
        <f>IF(AJ26=0,"",AJ26)</f>
        <v/>
      </c>
      <c r="L26" s="362">
        <f>IF(AK26=301,"",AK26)</f>
        <v>166</v>
      </c>
      <c r="M26" s="362" t="str">
        <f>IF(AL26=0,"",AL26)</f>
        <v/>
      </c>
      <c r="N26" s="362">
        <f>IF(AM26=301,"",AM26)</f>
        <v>193</v>
      </c>
      <c r="O26" s="362" t="str">
        <f>IF(AN26=0,"",AN26)</f>
        <v/>
      </c>
      <c r="P26" s="362">
        <f>IF(AO26=301,"",AO26)</f>
        <v>193</v>
      </c>
      <c r="Q26" s="362" t="str">
        <f>IF(AP26=0,"",AP26)</f>
        <v/>
      </c>
      <c r="R26" s="362">
        <f>IF(AQ26=301,"",AQ26)</f>
        <v>158</v>
      </c>
      <c r="S26" s="362" t="str">
        <f>IF(AR26=0,"",AR26)</f>
        <v/>
      </c>
      <c r="T26" s="362">
        <f>IF(AS26=301,"",AS26)</f>
        <v>184</v>
      </c>
      <c r="U26" s="362" t="str">
        <f>IF(AT26=0,"",AT26)</f>
        <v/>
      </c>
      <c r="V26" s="364"/>
      <c r="W26" s="364"/>
      <c r="AA26" s="91" t="s">
        <v>2</v>
      </c>
      <c r="AB26" s="92"/>
      <c r="AC26" s="366">
        <f>ABS(INDEX(AC:AC,MATCH(AC22,$AA:$AA,0)+8)+INDEX(AC:AC,MATCH(AC22,$AA:$AA,0)+9)+INDEX(AC:AC,MATCH(AC22,$AA:$AA,0)+10))</f>
        <v>212</v>
      </c>
      <c r="AD26" s="367"/>
      <c r="AE26" s="366">
        <f>ABS(INDEX(AE:AE,MATCH(AE22,$AA:$AA,0)+8)+INDEX(AE:AE,MATCH(AE22,$AA:$AA,0)+9)+INDEX(AE:AE,MATCH(AE22,$AA:$AA,0)+10))</f>
        <v>201</v>
      </c>
      <c r="AF26" s="367"/>
      <c r="AG26" s="366">
        <f>ABS(INDEX(AG:AG,MATCH(AG22,$AA:$AA,0)+8)+INDEX(AG:AG,MATCH(AG22,$AA:$AA,0)+9)+INDEX(AG:AG,MATCH(AG22,$AA:$AA,0)+10))</f>
        <v>170</v>
      </c>
      <c r="AH26" s="367"/>
      <c r="AI26" s="366">
        <f>ABS(INDEX(AI:AI,MATCH(AI22,$AA:$AA,0)+8)+INDEX(AI:AI,MATCH(AI22,$AA:$AA,0)+9)+INDEX(AI:AI,MATCH(AI22,$AA:$AA,0)+10))</f>
        <v>152</v>
      </c>
      <c r="AJ26" s="367"/>
      <c r="AK26" s="366">
        <f>ABS(INDEX(AK:AK,MATCH(AK22,$AA:$AA,0)+8)+INDEX(AK:AK,MATCH(AK22,$AA:$AA,0)+9)+INDEX(AK:AK,MATCH(AK22,$AA:$AA,0)+10))</f>
        <v>166</v>
      </c>
      <c r="AL26" s="367"/>
      <c r="AM26" s="366">
        <f>ABS(INDEX(AM:AM,MATCH(AM22,$AA:$AA,0)+8)+INDEX(AM:AM,MATCH(AM22,$AA:$AA,0)+9)+INDEX(AM:AM,MATCH(AM22,$AA:$AA,0)+10))</f>
        <v>193</v>
      </c>
      <c r="AN26" s="367"/>
      <c r="AO26" s="366">
        <f>ABS(INDEX(AO:AO,MATCH(AO22,$AA:$AA,0)+8)+INDEX(AO:AO,MATCH(AO22,$AA:$AA,0)+9)+INDEX(AO:AO,MATCH(AO22,$AA:$AA,0)+10))</f>
        <v>193</v>
      </c>
      <c r="AP26" s="367"/>
      <c r="AQ26" s="366">
        <f>ABS(INDEX(AQ:AQ,MATCH(AQ22,$AA:$AA,0)+8)+INDEX(AQ:AQ,MATCH(AQ22,$AA:$AA,0)+9)+INDEX(AQ:AQ,MATCH(AQ22,$AA:$AA,0)+10))</f>
        <v>158</v>
      </c>
      <c r="AR26" s="367"/>
      <c r="AS26" s="366">
        <f>ABS(INDEX(AS:AS,MATCH(AS22,$AA:$AA,0)+8)+INDEX(AS:AS,MATCH(AS22,$AA:$AA,0)+9)+INDEX(AS:AS,MATCH(AS22,$AA:$AA,0)+10))</f>
        <v>184</v>
      </c>
      <c r="AT26" s="367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4" t="str">
        <f t="shared" si="34"/>
        <v>Spieler 3</v>
      </c>
      <c r="C27" s="375" t="str">
        <f t="shared" si="34"/>
        <v/>
      </c>
      <c r="D27" s="362">
        <f>IF(AC27=301,"",AC27)</f>
        <v>214</v>
      </c>
      <c r="E27" s="362" t="str">
        <f>IF(AD27=0,"",AD27)</f>
        <v/>
      </c>
      <c r="F27" s="362">
        <f>IF(AE27=301,"",AE27)</f>
        <v>210</v>
      </c>
      <c r="G27" s="362" t="str">
        <f>IF(AF27=0,"",AF27)</f>
        <v/>
      </c>
      <c r="H27" s="362">
        <f>IF(AG27=301,"",AG27)</f>
        <v>174</v>
      </c>
      <c r="I27" s="362" t="str">
        <f>IF(AH27=0,"",AH27)</f>
        <v/>
      </c>
      <c r="J27" s="362">
        <f>IF(AI27=301,"",AI27)</f>
        <v>190</v>
      </c>
      <c r="K27" s="362" t="str">
        <f>IF(AJ27=0,"",AJ27)</f>
        <v/>
      </c>
      <c r="L27" s="362">
        <f>IF(AK27=301,"",AK27)</f>
        <v>170</v>
      </c>
      <c r="M27" s="362" t="str">
        <f>IF(AL27=0,"",AL27)</f>
        <v/>
      </c>
      <c r="N27" s="362">
        <f>IF(AM27=301,"",AM27)</f>
        <v>214</v>
      </c>
      <c r="O27" s="362" t="str">
        <f>IF(AN27=0,"",AN27)</f>
        <v/>
      </c>
      <c r="P27" s="362">
        <f>IF(AO27=301,"",AO27)</f>
        <v>182</v>
      </c>
      <c r="Q27" s="362" t="str">
        <f>IF(AP27=0,"",AP27)</f>
        <v/>
      </c>
      <c r="R27" s="362">
        <f>IF(AQ27=301,"",AQ27)</f>
        <v>200</v>
      </c>
      <c r="S27" s="362" t="str">
        <f>IF(AR27=0,"",AR27)</f>
        <v/>
      </c>
      <c r="T27" s="362">
        <f>IF(AS27=301,"",AS27)</f>
        <v>170</v>
      </c>
      <c r="U27" s="362" t="str">
        <f>IF(AT27=0,"",AT27)</f>
        <v/>
      </c>
      <c r="V27" s="364"/>
      <c r="W27" s="364"/>
      <c r="AA27" s="91" t="s">
        <v>3</v>
      </c>
      <c r="AB27" s="92"/>
      <c r="AC27" s="366">
        <f>ABS(INDEX(AC:AC,MATCH(AC22,$AA:$AA,0)+11)+INDEX(AC:AC,MATCH(AC22,$AA:$AA,0)+12)+INDEX(AC:AC,MATCH(AC22,$AA:$AA,0)+13))</f>
        <v>214</v>
      </c>
      <c r="AD27" s="367"/>
      <c r="AE27" s="366">
        <f>ABS(INDEX(AE:AE,MATCH(AE22,$AA:$AA,0)+11)+INDEX(AE:AE,MATCH(AE22,$AA:$AA,0)+12)+INDEX(AE:AE,MATCH(AE22,$AA:$AA,0)+13))</f>
        <v>210</v>
      </c>
      <c r="AF27" s="367"/>
      <c r="AG27" s="366">
        <f>ABS(INDEX(AG:AG,MATCH(AG22,$AA:$AA,0)+11)+INDEX(AG:AG,MATCH(AG22,$AA:$AA,0)+12)+INDEX(AG:AG,MATCH(AG22,$AA:$AA,0)+13))</f>
        <v>174</v>
      </c>
      <c r="AH27" s="367"/>
      <c r="AI27" s="366">
        <f>ABS(INDEX(AI:AI,MATCH(AI22,$AA:$AA,0)+11)+INDEX(AI:AI,MATCH(AI22,$AA:$AA,0)+12)+INDEX(AI:AI,MATCH(AI22,$AA:$AA,0)+13))</f>
        <v>190</v>
      </c>
      <c r="AJ27" s="367"/>
      <c r="AK27" s="366">
        <f>ABS(INDEX(AK:AK,MATCH(AK22,$AA:$AA,0)+11)+INDEX(AK:AK,MATCH(AK22,$AA:$AA,0)+12)+INDEX(AK:AK,MATCH(AK22,$AA:$AA,0)+13))</f>
        <v>170</v>
      </c>
      <c r="AL27" s="367"/>
      <c r="AM27" s="366">
        <f>ABS(INDEX(AM:AM,MATCH(AM22,$AA:$AA,0)+11)+INDEX(AM:AM,MATCH(AM22,$AA:$AA,0)+12)+INDEX(AM:AM,MATCH(AM22,$AA:$AA,0)+13))</f>
        <v>214</v>
      </c>
      <c r="AN27" s="367"/>
      <c r="AO27" s="366">
        <f>ABS(INDEX(AO:AO,MATCH(AO22,$AA:$AA,0)+11)+INDEX(AO:AO,MATCH(AO22,$AA:$AA,0)+12)+INDEX(AO:AO,MATCH(AO22,$AA:$AA,0)+13))</f>
        <v>182</v>
      </c>
      <c r="AP27" s="367"/>
      <c r="AQ27" s="366">
        <f>ABS(INDEX(AQ:AQ,MATCH(AQ22,$AA:$AA,0)+11)+INDEX(AQ:AQ,MATCH(AQ22,$AA:$AA,0)+12)+INDEX(AQ:AQ,MATCH(AQ22,$AA:$AA,0)+13))</f>
        <v>200</v>
      </c>
      <c r="AR27" s="367"/>
      <c r="AS27" s="366">
        <f>ABS(INDEX(AS:AS,MATCH(AS22,$AA:$AA,0)+11)+INDEX(AS:AS,MATCH(AS22,$AA:$AA,0)+12)+INDEX(AS:AS,MATCH(AS22,$AA:$AA,0)+13))</f>
        <v>170</v>
      </c>
      <c r="AT27" s="367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4" t="str">
        <f t="shared" si="34"/>
        <v>Spieler 4</v>
      </c>
      <c r="C28" s="375" t="str">
        <f t="shared" si="34"/>
        <v/>
      </c>
      <c r="D28" s="362">
        <f>IF(AC28=301,"",AC28)</f>
        <v>237</v>
      </c>
      <c r="E28" s="362" t="str">
        <f>IF(AD28=0,"",AD28)</f>
        <v/>
      </c>
      <c r="F28" s="362">
        <f>IF(AE28=301,"",AE28)</f>
        <v>245</v>
      </c>
      <c r="G28" s="362" t="str">
        <f>IF(AF28=0,"",AF28)</f>
        <v/>
      </c>
      <c r="H28" s="362">
        <f>IF(AG28=301,"",AG28)</f>
        <v>255</v>
      </c>
      <c r="I28" s="362" t="str">
        <f>IF(AH28=0,"",AH28)</f>
        <v/>
      </c>
      <c r="J28" s="362">
        <f>IF(AI28=301,"",AI28)</f>
        <v>227</v>
      </c>
      <c r="K28" s="362" t="str">
        <f>IF(AJ28=0,"",AJ28)</f>
        <v/>
      </c>
      <c r="L28" s="362">
        <f>IF(AK28=301,"",AK28)</f>
        <v>199</v>
      </c>
      <c r="M28" s="362" t="str">
        <f>IF(AL28=0,"",AL28)</f>
        <v/>
      </c>
      <c r="N28" s="362">
        <f>IF(AM28=301,"",AM28)</f>
        <v>182</v>
      </c>
      <c r="O28" s="362" t="str">
        <f>IF(AN28=0,"",AN28)</f>
        <v/>
      </c>
      <c r="P28" s="362">
        <f>IF(AO28=301,"",AO28)</f>
        <v>242</v>
      </c>
      <c r="Q28" s="362" t="str">
        <f>IF(AP28=0,"",AP28)</f>
        <v/>
      </c>
      <c r="R28" s="362">
        <f>IF(AQ28=301,"",AQ28)</f>
        <v>135</v>
      </c>
      <c r="S28" s="362" t="str">
        <f>IF(AR28=0,"",AR28)</f>
        <v/>
      </c>
      <c r="T28" s="362">
        <f>IF(AS28=301,"",AS28)</f>
        <v>181</v>
      </c>
      <c r="U28" s="362" t="str">
        <f>IF(AT28=0,"",AT28)</f>
        <v/>
      </c>
      <c r="V28" s="364"/>
      <c r="W28" s="364"/>
      <c r="AA28" s="91" t="s">
        <v>11</v>
      </c>
      <c r="AB28" s="92"/>
      <c r="AC28" s="366">
        <f>ABS(INDEX(AC:AC,MATCH(AC22,$AA:$AA,0)+14)+INDEX(AC:AC,MATCH(AC22,$AA:$AA,0)+15)+INDEX(AC:AC,MATCH(AC22,$AA:$AA,0)+16))</f>
        <v>237</v>
      </c>
      <c r="AD28" s="367"/>
      <c r="AE28" s="366">
        <f>ABS(INDEX(AE:AE,MATCH(AE22,$AA:$AA,0)+14)+INDEX(AE:AE,MATCH(AE22,$AA:$AA,0)+15)+INDEX(AE:AE,MATCH(AE22,$AA:$AA,0)+16))</f>
        <v>245</v>
      </c>
      <c r="AF28" s="367"/>
      <c r="AG28" s="366">
        <f>ABS(INDEX(AG:AG,MATCH(AG22,$AA:$AA,0)+14)+INDEX(AG:AG,MATCH(AG22,$AA:$AA,0)+15)+INDEX(AG:AG,MATCH(AG22,$AA:$AA,0)+16))</f>
        <v>255</v>
      </c>
      <c r="AH28" s="367"/>
      <c r="AI28" s="366">
        <f>ABS(INDEX(AI:AI,MATCH(AI22,$AA:$AA,0)+14)+INDEX(AI:AI,MATCH(AI22,$AA:$AA,0)+15)+INDEX(AI:AI,MATCH(AI22,$AA:$AA,0)+16))</f>
        <v>227</v>
      </c>
      <c r="AJ28" s="367"/>
      <c r="AK28" s="366">
        <f>ABS(INDEX(AK:AK,MATCH(AK22,$AA:$AA,0)+14)+INDEX(AK:AK,MATCH(AK22,$AA:$AA,0)+15)+INDEX(AK:AK,MATCH(AK22,$AA:$AA,0)+16))</f>
        <v>199</v>
      </c>
      <c r="AL28" s="367"/>
      <c r="AM28" s="366">
        <f>ABS(INDEX(AM:AM,MATCH(AM22,$AA:$AA,0)+14)+INDEX(AM:AM,MATCH(AM22,$AA:$AA,0)+15)+INDEX(AM:AM,MATCH(AM22,$AA:$AA,0)+16))</f>
        <v>182</v>
      </c>
      <c r="AN28" s="367"/>
      <c r="AO28" s="366">
        <f>ABS(INDEX(AO:AO,MATCH(AO22,$AA:$AA,0)+14)+INDEX(AO:AO,MATCH(AO22,$AA:$AA,0)+15)+INDEX(AO:AO,MATCH(AO22,$AA:$AA,0)+16))</f>
        <v>242</v>
      </c>
      <c r="AP28" s="367"/>
      <c r="AQ28" s="366">
        <f>ABS(INDEX(AQ:AQ,MATCH(AQ22,$AA:$AA,0)+14)+INDEX(AQ:AQ,MATCH(AQ22,$AA:$AA,0)+15)+INDEX(AQ:AQ,MATCH(AQ22,$AA:$AA,0)+16))</f>
        <v>135</v>
      </c>
      <c r="AR28" s="367"/>
      <c r="AS28" s="366">
        <f>ABS(INDEX(AS:AS,MATCH(AS22,$AA:$AA,0)+14)+INDEX(AS:AS,MATCH(AS22,$AA:$AA,0)+15)+INDEX(AS:AS,MATCH(AS22,$AA:$AA,0)+16))</f>
        <v>181</v>
      </c>
      <c r="AT28" s="367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6" t="str">
        <f t="shared" si="34"/>
        <v>Gesamt</v>
      </c>
      <c r="C29" s="347" t="str">
        <f t="shared" si="34"/>
        <v/>
      </c>
      <c r="D29" s="365">
        <f>IF(AC29=1505,"",AC29)</f>
        <v>854</v>
      </c>
      <c r="E29" s="365" t="str">
        <f>IF(AD29=0,"",AD29)</f>
        <v/>
      </c>
      <c r="F29" s="365">
        <f>IF(AE29=1505,"",AE29)</f>
        <v>846</v>
      </c>
      <c r="G29" s="365" t="str">
        <f>IF(AF29=0,"",AF29)</f>
        <v/>
      </c>
      <c r="H29" s="365">
        <f>IF(AG29=1505,"",AG29)</f>
        <v>757</v>
      </c>
      <c r="I29" s="365" t="str">
        <f>IF(AH29=0,"",AH29)</f>
        <v/>
      </c>
      <c r="J29" s="365">
        <f>IF(AI29=1505,"",AI29)</f>
        <v>739</v>
      </c>
      <c r="K29" s="365" t="str">
        <f>IF(AJ29=0,"",AJ29)</f>
        <v/>
      </c>
      <c r="L29" s="365">
        <f>IF(AK29=1505,"",AK29)</f>
        <v>747</v>
      </c>
      <c r="M29" s="365" t="str">
        <f>IF(AL29=0,"",AL29)</f>
        <v/>
      </c>
      <c r="N29" s="365">
        <f>IF(AM29=1505,"",AM29)</f>
        <v>780</v>
      </c>
      <c r="O29" s="365" t="str">
        <f>IF(AN29=0,"",AN29)</f>
        <v/>
      </c>
      <c r="P29" s="365">
        <f>IF(AO29=1505,"",AO29)</f>
        <v>840</v>
      </c>
      <c r="Q29" s="365" t="str">
        <f>IF(AP29=0,"",AP29)</f>
        <v/>
      </c>
      <c r="R29" s="365">
        <f>IF(AQ29=1505,"",AQ29)</f>
        <v>687</v>
      </c>
      <c r="S29" s="365" t="str">
        <f>IF(AR29=0,"",AR29)</f>
        <v/>
      </c>
      <c r="T29" s="365">
        <f>IF(AS29=1505,"",AS29)</f>
        <v>702</v>
      </c>
      <c r="U29" s="365" t="str">
        <f>IF(AT29=0,"",AT29)</f>
        <v/>
      </c>
      <c r="V29" s="301"/>
      <c r="W29" s="301"/>
      <c r="AA29" s="93" t="s">
        <v>1799</v>
      </c>
      <c r="AB29" s="94"/>
      <c r="AC29" s="346">
        <f>SUM(AC25:AC28)</f>
        <v>854</v>
      </c>
      <c r="AD29" s="347"/>
      <c r="AE29" s="346">
        <f>SUM(AE25:AE28)</f>
        <v>846</v>
      </c>
      <c r="AF29" s="347"/>
      <c r="AG29" s="346">
        <f>SUM(AG25:AG28)</f>
        <v>757</v>
      </c>
      <c r="AH29" s="347"/>
      <c r="AI29" s="346">
        <f>SUM(AI25:AI28)</f>
        <v>739</v>
      </c>
      <c r="AJ29" s="347"/>
      <c r="AK29" s="346">
        <f>SUM(AK25:AK28)</f>
        <v>747</v>
      </c>
      <c r="AL29" s="347"/>
      <c r="AM29" s="346">
        <f>SUM(AM25:AM28)</f>
        <v>780</v>
      </c>
      <c r="AN29" s="347"/>
      <c r="AO29" s="346">
        <f>SUM(AO25:AO28)</f>
        <v>840</v>
      </c>
      <c r="AP29" s="347"/>
      <c r="AQ29" s="346">
        <f>SUM(AQ25:AQ28)</f>
        <v>687</v>
      </c>
      <c r="AR29" s="347"/>
      <c r="AS29" s="346">
        <f>SUM(AS25:AS28)</f>
        <v>702</v>
      </c>
      <c r="AT29" s="347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5" t="str">
        <f>AE31</f>
        <v>Bayernliga Herren</v>
      </c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48"/>
      <c r="S31" s="49" t="s">
        <v>1794</v>
      </c>
      <c r="T31" s="50"/>
      <c r="U31" s="341" t="str">
        <f>AT31</f>
        <v>12.10./13.10.</v>
      </c>
      <c r="V31" s="342"/>
      <c r="W31" s="343"/>
      <c r="X31" s="372"/>
      <c r="Y31" s="373"/>
      <c r="Z31" s="373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41" t="str">
        <f>VLOOKUP(AS32,Spielorte!$A$1:$C$6,2)</f>
        <v>12.10./13.10.</v>
      </c>
      <c r="AU31" s="342"/>
      <c r="AV31" s="34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4" t="str">
        <f>AE32</f>
        <v>Unterföhring Dreambowl Palace</v>
      </c>
      <c r="G32" s="344"/>
      <c r="H32" s="344"/>
      <c r="I32" s="344"/>
      <c r="J32" s="344"/>
      <c r="K32" s="344"/>
      <c r="L32" s="344"/>
      <c r="M32" s="344"/>
      <c r="N32" s="344"/>
      <c r="O32" s="344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6" t="s">
        <v>1800</v>
      </c>
      <c r="E35" s="347"/>
      <c r="F35" s="346" t="s">
        <v>1801</v>
      </c>
      <c r="G35" s="347"/>
      <c r="H35" s="346" t="s">
        <v>1802</v>
      </c>
      <c r="I35" s="347"/>
      <c r="J35" s="346" t="s">
        <v>1803</v>
      </c>
      <c r="K35" s="347"/>
      <c r="L35" s="346" t="s">
        <v>1804</v>
      </c>
      <c r="M35" s="347"/>
      <c r="N35" s="346" t="s">
        <v>1805</v>
      </c>
      <c r="O35" s="347"/>
      <c r="P35" s="346" t="s">
        <v>1806</v>
      </c>
      <c r="Q35" s="347"/>
      <c r="R35" s="346" t="s">
        <v>1807</v>
      </c>
      <c r="S35" s="347"/>
      <c r="T35" s="346" t="s">
        <v>1808</v>
      </c>
      <c r="U35" s="347"/>
      <c r="V35" s="354" t="s">
        <v>1799</v>
      </c>
      <c r="W35" s="355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6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277</v>
      </c>
      <c r="E37" s="348">
        <f>IF(AD37="","",AD37)</f>
        <v>1</v>
      </c>
      <c r="F37" s="75">
        <f t="shared" ref="F37:F50" si="35">IF(AE37=0,"",AE37)</f>
        <v>216</v>
      </c>
      <c r="G37" s="348">
        <f>IF(AF37="","",AF37)</f>
        <v>1</v>
      </c>
      <c r="H37" s="75">
        <f t="shared" ref="H37:H50" si="36">IF(AG37=0,"",AG37)</f>
        <v>233</v>
      </c>
      <c r="I37" s="348">
        <f>IF(AH37="","",AH37)</f>
        <v>1</v>
      </c>
      <c r="J37" s="75">
        <f t="shared" ref="J37:J50" si="37">IF(AI37=0,"",AI37)</f>
        <v>244</v>
      </c>
      <c r="K37" s="348">
        <f>IF(AJ37="","",AJ37)</f>
        <v>1</v>
      </c>
      <c r="L37" s="75">
        <f t="shared" ref="L37:L50" si="38">IF(AK37=0,"",AK37)</f>
        <v>258</v>
      </c>
      <c r="M37" s="348">
        <f>IF(AL37="","",AL37)</f>
        <v>1</v>
      </c>
      <c r="N37" s="75">
        <f>IF(AM37=0,"",AM37)</f>
        <v>216</v>
      </c>
      <c r="O37" s="348">
        <f>IF(AN37="","",AN37)</f>
        <v>1</v>
      </c>
      <c r="P37" s="75">
        <f t="shared" ref="P37:P50" si="39">IF(AO37=0,"",AO37)</f>
        <v>236</v>
      </c>
      <c r="Q37" s="348">
        <f>IF(AP37="","",AP37)</f>
        <v>1</v>
      </c>
      <c r="R37" s="75">
        <f t="shared" ref="R37:R50" si="40">IF(AQ37=0,"",AQ37)</f>
        <v>194</v>
      </c>
      <c r="S37" s="348">
        <f>IF(AR37="","",AR37)</f>
        <v>0</v>
      </c>
      <c r="T37" s="75">
        <f t="shared" ref="T37:T50" si="41">IF(AS37=0,"",AS37)</f>
        <v>207</v>
      </c>
      <c r="U37" s="348">
        <f>IF(AT37="","",AT37)</f>
        <v>1</v>
      </c>
      <c r="V37" s="75">
        <f t="shared" ref="V37:V50" si="42">IF(AU37=0,"",AU37)</f>
        <v>2081</v>
      </c>
      <c r="W37" s="348">
        <f>IF(AV37="","",AV37)</f>
        <v>8</v>
      </c>
      <c r="Z37" s="351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277</v>
      </c>
      <c r="AD37" s="109">
        <f>IF(SUM(AC37:AC39)+AC55=0,0,IF(SUM(ABS(AC37),ABS(AC38),ABS(AC39))=AC55,0.5,IF(SUM(ABS(AC37),ABS(AC38),ABS(AC39))&gt;AC55,1,0)))</f>
        <v>1</v>
      </c>
      <c r="AE37" s="185">
        <v>216</v>
      </c>
      <c r="AF37" s="109">
        <f>IF(SUM(AE37:AE39)+AE55=0,0,IF(SUM(ABS(AE37),ABS(AE38),ABS(AE39))=AE55,0.5,IF(SUM(ABS(AE37),ABS(AE38),ABS(AE39))&gt;AE55,1,0)))</f>
        <v>1</v>
      </c>
      <c r="AG37" s="185">
        <v>233</v>
      </c>
      <c r="AH37" s="109">
        <f>IF(SUM(AG37:AG39)+AG55=0,0,IF(SUM(ABS(AG37),ABS(AG38),ABS(AG39))=AG55,0.5,IF(SUM(ABS(AG37),ABS(AG38),ABS(AG39))&gt;AG55,1,0)))</f>
        <v>1</v>
      </c>
      <c r="AI37" s="185">
        <v>244</v>
      </c>
      <c r="AJ37" s="109">
        <f>IF(SUM(AI37:AI39)+AI55=0,0,IF(SUM(ABS(AI37),ABS(AI38),ABS(AI39))=AI55,0.5,IF(SUM(ABS(AI37),ABS(AI38),ABS(AI39))&gt;AI55,1,0)))</f>
        <v>1</v>
      </c>
      <c r="AK37" s="185">
        <v>258</v>
      </c>
      <c r="AL37" s="109">
        <f>IF(SUM(AK37:AK39)+AK55=0,0,IF(SUM(ABS(AK37),ABS(AK38),ABS(AK39))=AK55,0.5,IF(SUM(ABS(AK37),ABS(AK38),ABS(AK39))&gt;AK55,1,0)))</f>
        <v>1</v>
      </c>
      <c r="AM37" s="185">
        <v>216</v>
      </c>
      <c r="AN37" s="109">
        <f>IF(SUM(AM37:AM39)+AM55=0,0,IF(SUM(ABS(AM37),ABS(AM38),ABS(AM39))=AM55,0.5,IF(SUM(ABS(AM37),ABS(AM38),ABS(AM39))&gt;AM55,1,0)))</f>
        <v>1</v>
      </c>
      <c r="AO37" s="185">
        <v>236</v>
      </c>
      <c r="AP37" s="109">
        <f>IF(SUM(AO37:AO39)+AO55=0,0,IF(SUM(ABS(AO37),ABS(AO38),ABS(AO39))=AO55,0.5,IF(SUM(ABS(AO37),ABS(AO38),ABS(AO39))&gt;AO55,1,0)))</f>
        <v>1</v>
      </c>
      <c r="AQ37" s="185">
        <v>194</v>
      </c>
      <c r="AR37" s="109">
        <f>IF(SUM(AQ37:AQ39)+AQ55=0,0,IF(SUM(ABS(AQ37),ABS(AQ38),ABS(AQ39))=AQ55,0.5,IF(SUM(ABS(AQ37),ABS(AQ38),ABS(AQ39))&gt;AQ55,1,0)))</f>
        <v>0</v>
      </c>
      <c r="AS37" s="185">
        <v>207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2081</v>
      </c>
      <c r="AV37" s="111">
        <f>SUM(AD37+AF37+AH37+AJ37+AL37+AN37+AP37+AR37+AT37)</f>
        <v>8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2081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277</v>
      </c>
      <c r="BI37" s="215">
        <f t="shared" ref="BI37:BI48" si="45">IF(AE37=0,"",AE37)</f>
        <v>216</v>
      </c>
      <c r="BJ37" s="215">
        <f t="shared" ref="BJ37:BJ48" si="46">IF(AG37=0,"",AG37)</f>
        <v>233</v>
      </c>
      <c r="BK37" s="215">
        <f t="shared" ref="BK37:BK48" si="47">IF(AI37=0,"",AI37)</f>
        <v>244</v>
      </c>
      <c r="BL37" s="215">
        <f t="shared" ref="BL37:BL48" si="48">IF(AK37=0,"",AK37)</f>
        <v>258</v>
      </c>
      <c r="BM37" s="215">
        <f t="shared" ref="BM37:BM48" si="49">IF(AM37=0,"",AM37)</f>
        <v>216</v>
      </c>
      <c r="BN37" s="215">
        <f t="shared" ref="BN37:BN48" si="50">IF(AO37=0,"",AO37)</f>
        <v>236</v>
      </c>
      <c r="BO37" s="215">
        <f t="shared" ref="BO37:BO48" si="51">IF(AQ37=0,"",AQ37)</f>
        <v>194</v>
      </c>
      <c r="BP37" s="215">
        <f t="shared" ref="BP37:BP48" si="52">IF(AS37=0,"",AS37)</f>
        <v>207</v>
      </c>
      <c r="BQ37" s="216"/>
      <c r="BR37" s="214"/>
      <c r="BS37" s="215">
        <f>MAX(BH37:BP37)</f>
        <v>277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2081</v>
      </c>
      <c r="BX37" s="215">
        <f>IF(COUNTIF(BH37:BP37,"&gt;0")&lt;Spielorte!$A$23,0,BE37/Spielorte!$A$23)</f>
        <v>231.22222222222223</v>
      </c>
      <c r="BY37" s="215">
        <f>IF(BX37&lt;MAX(BX:BX),0,BX37+ROW()/1000000000)</f>
        <v>231.22222225922224</v>
      </c>
      <c r="BZ37" s="214">
        <f t="shared" ref="BZ37:BZ48" si="53">IF(BY37=0,0,RANK(BY37,BY:BY))</f>
        <v>1</v>
      </c>
    </row>
    <row r="38" spans="1:78" ht="17.100000000000001" customHeight="1" x14ac:dyDescent="0.25">
      <c r="A38" s="377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49"/>
      <c r="F38" s="78" t="str">
        <f t="shared" si="35"/>
        <v/>
      </c>
      <c r="G38" s="349"/>
      <c r="H38" s="78" t="str">
        <f t="shared" si="36"/>
        <v/>
      </c>
      <c r="I38" s="349"/>
      <c r="J38" s="78" t="str">
        <f t="shared" si="37"/>
        <v/>
      </c>
      <c r="K38" s="349"/>
      <c r="L38" s="78" t="str">
        <f t="shared" si="38"/>
        <v/>
      </c>
      <c r="M38" s="349"/>
      <c r="N38" s="78" t="str">
        <f t="shared" ref="N38:N50" si="57">IF(AM38=0,"",AM38)</f>
        <v/>
      </c>
      <c r="O38" s="349"/>
      <c r="P38" s="78" t="str">
        <f t="shared" si="39"/>
        <v/>
      </c>
      <c r="Q38" s="349"/>
      <c r="R38" s="78" t="str">
        <f t="shared" si="40"/>
        <v/>
      </c>
      <c r="S38" s="349"/>
      <c r="T38" s="78" t="str">
        <f t="shared" si="41"/>
        <v/>
      </c>
      <c r="U38" s="349"/>
      <c r="V38" s="78" t="str">
        <f t="shared" si="42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Bajuwaren München 1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8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50"/>
      <c r="F39" s="69" t="str">
        <f t="shared" si="35"/>
        <v/>
      </c>
      <c r="G39" s="350"/>
      <c r="H39" s="69" t="str">
        <f t="shared" si="36"/>
        <v/>
      </c>
      <c r="I39" s="350"/>
      <c r="J39" s="69" t="str">
        <f t="shared" si="37"/>
        <v/>
      </c>
      <c r="K39" s="350"/>
      <c r="L39" s="69" t="str">
        <f t="shared" si="38"/>
        <v/>
      </c>
      <c r="M39" s="350"/>
      <c r="N39" s="69" t="str">
        <f t="shared" si="57"/>
        <v/>
      </c>
      <c r="O39" s="350"/>
      <c r="P39" s="69" t="str">
        <f t="shared" si="39"/>
        <v/>
      </c>
      <c r="Q39" s="350"/>
      <c r="R39" s="69" t="str">
        <f t="shared" si="40"/>
        <v/>
      </c>
      <c r="S39" s="350"/>
      <c r="T39" s="69" t="str">
        <f t="shared" si="41"/>
        <v/>
      </c>
      <c r="U39" s="350"/>
      <c r="V39" s="69" t="str">
        <f t="shared" si="42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Bajuwaren München 1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00000000000001" customHeight="1" x14ac:dyDescent="0.25">
      <c r="A40" s="376" t="s">
        <v>2</v>
      </c>
      <c r="B40" s="73" t="str">
        <f t="shared" si="54"/>
        <v>Lüthje, Dennis</v>
      </c>
      <c r="C40" s="74">
        <f t="shared" si="55"/>
        <v>7600</v>
      </c>
      <c r="D40" s="75">
        <f t="shared" si="56"/>
        <v>185</v>
      </c>
      <c r="E40" s="348">
        <f>IF(AD40="","",AD40)</f>
        <v>1</v>
      </c>
      <c r="F40" s="75">
        <f t="shared" si="35"/>
        <v>174</v>
      </c>
      <c r="G40" s="348">
        <f>IF(AF40="","",AF40)</f>
        <v>0</v>
      </c>
      <c r="H40" s="75">
        <f t="shared" si="36"/>
        <v>222</v>
      </c>
      <c r="I40" s="348">
        <f>IF(AH40="","",AH40)</f>
        <v>1</v>
      </c>
      <c r="J40" s="75">
        <f t="shared" si="37"/>
        <v>230</v>
      </c>
      <c r="K40" s="348">
        <f>IF(AJ40="","",AJ40)</f>
        <v>1</v>
      </c>
      <c r="L40" s="75">
        <f t="shared" si="38"/>
        <v>175</v>
      </c>
      <c r="M40" s="348">
        <f>IF(AL40="","",AL40)</f>
        <v>0</v>
      </c>
      <c r="N40" s="75">
        <f t="shared" si="57"/>
        <v>202</v>
      </c>
      <c r="O40" s="348">
        <f>IF(AN40="","",AN40)</f>
        <v>1</v>
      </c>
      <c r="P40" s="75">
        <f t="shared" si="39"/>
        <v>219</v>
      </c>
      <c r="Q40" s="348">
        <f>IF(AP40="","",AP40)</f>
        <v>1</v>
      </c>
      <c r="R40" s="75">
        <f t="shared" si="40"/>
        <v>158</v>
      </c>
      <c r="S40" s="348">
        <f>IF(AR40="","",AR40)</f>
        <v>0</v>
      </c>
      <c r="T40" s="75">
        <f t="shared" si="41"/>
        <v>195</v>
      </c>
      <c r="U40" s="348">
        <f>IF(AT40="","",AT40)</f>
        <v>1</v>
      </c>
      <c r="V40" s="75">
        <f t="shared" si="42"/>
        <v>1760</v>
      </c>
      <c r="W40" s="348">
        <f>IF(AV40="","",AV40)</f>
        <v>6</v>
      </c>
      <c r="Z40" s="351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185</v>
      </c>
      <c r="AD40" s="109">
        <f>IF(SUM(AC40:AC42)+AC56=0,0,IF(SUM(ABS(AC40),ABS(AC41),ABS(AC42))=AC56,0.5,IF(SUM(ABS(AC40),ABS(AC41),ABS(AC42))&gt;AC56,1,0)))</f>
        <v>1</v>
      </c>
      <c r="AE40" s="188">
        <v>174</v>
      </c>
      <c r="AF40" s="109">
        <f>IF(SUM(AE40:AE42)+AE56=0,0,IF(SUM(ABS(AE40),ABS(AE41),ABS(AE42))=AE56,0.5,IF(SUM(ABS(AE40),ABS(AE41),ABS(AE42))&gt;AE56,1,0)))</f>
        <v>0</v>
      </c>
      <c r="AG40" s="188">
        <v>222</v>
      </c>
      <c r="AH40" s="109">
        <f>IF(SUM(AG40:AG42)+AG56=0,0,IF(SUM(ABS(AG40),ABS(AG41),ABS(AG42))=AG56,0.5,IF(SUM(ABS(AG40),ABS(AG41),ABS(AG42))&gt;AG56,1,0)))</f>
        <v>1</v>
      </c>
      <c r="AI40" s="188">
        <v>230</v>
      </c>
      <c r="AJ40" s="109">
        <f>IF(SUM(AI40:AI42)+AI56=0,0,IF(SUM(ABS(AI40),ABS(AI41),ABS(AI42))=AI56,0.5,IF(SUM(ABS(AI40),ABS(AI41),ABS(AI42))&gt;AI56,1,0)))</f>
        <v>1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202</v>
      </c>
      <c r="AN40" s="109">
        <f>IF(SUM(AM40:AM42)+AM56=0,0,IF(SUM(ABS(AM40),ABS(AM41),ABS(AM42))=AM56,0.5,IF(SUM(ABS(AM40),ABS(AM41),ABS(AM42))&gt;AM56,1,0)))</f>
        <v>1</v>
      </c>
      <c r="AO40" s="188">
        <v>219</v>
      </c>
      <c r="AP40" s="109">
        <f>IF(SUM(AO40:AO42)+AO56=0,0,IF(SUM(ABS(AO40),ABS(AO41),ABS(AO42))=AO56,0.5,IF(SUM(ABS(AO40),ABS(AO41),ABS(AO42))&gt;AO56,1,0)))</f>
        <v>1</v>
      </c>
      <c r="AQ40" s="188">
        <v>158</v>
      </c>
      <c r="AR40" s="109">
        <f>IF(SUM(AQ40:AQ42)+AQ56=0,0,IF(SUM(ABS(AQ40),ABS(AQ41),ABS(AQ42))=AQ56,0.5,IF(SUM(ABS(AQ40),ABS(AQ41),ABS(AQ42))&gt;AQ56,1,0)))</f>
        <v>0</v>
      </c>
      <c r="AS40" s="188">
        <v>195</v>
      </c>
      <c r="AT40" s="109">
        <f>IF(SUM(AS40:AS42)+AS56=0,0,IF(SUM(ABS(AS40),ABS(AS41),ABS(AS42))=AS56,0.5,IF(SUM(ABS(AS40),ABS(AS41),ABS(AS42))&gt;AS56,1,0)))</f>
        <v>1</v>
      </c>
      <c r="AU40" s="110">
        <f t="shared" si="43"/>
        <v>1760</v>
      </c>
      <c r="AV40" s="111">
        <f>SUM(AD40+AF40+AH40+AJ40+AL40+AN40+AP40+AR40+AT40)</f>
        <v>6</v>
      </c>
      <c r="AW40" s="101"/>
      <c r="AX40" s="102"/>
      <c r="AZ40" s="63"/>
      <c r="BA40" s="212"/>
      <c r="BB40" s="213"/>
      <c r="BC40" s="214"/>
      <c r="BD40" s="217">
        <f t="shared" si="58"/>
        <v>7600</v>
      </c>
      <c r="BE40" s="213">
        <f t="shared" si="59"/>
        <v>1760</v>
      </c>
      <c r="BF40" s="215">
        <f t="shared" si="60"/>
        <v>9</v>
      </c>
      <c r="BG40" s="215">
        <f t="shared" si="61"/>
        <v>9</v>
      </c>
      <c r="BH40" s="215">
        <f t="shared" si="44"/>
        <v>185</v>
      </c>
      <c r="BI40" s="215">
        <f t="shared" si="45"/>
        <v>174</v>
      </c>
      <c r="BJ40" s="215">
        <f t="shared" si="46"/>
        <v>222</v>
      </c>
      <c r="BK40" s="215">
        <f t="shared" si="47"/>
        <v>230</v>
      </c>
      <c r="BL40" s="215">
        <f t="shared" si="48"/>
        <v>175</v>
      </c>
      <c r="BM40" s="215">
        <f t="shared" si="49"/>
        <v>202</v>
      </c>
      <c r="BN40" s="215">
        <f t="shared" si="50"/>
        <v>219</v>
      </c>
      <c r="BO40" s="215">
        <f t="shared" si="51"/>
        <v>158</v>
      </c>
      <c r="BP40" s="215">
        <f t="shared" si="52"/>
        <v>195</v>
      </c>
      <c r="BQ40" s="216"/>
      <c r="BR40" s="214"/>
      <c r="BS40" s="215">
        <f t="shared" si="62"/>
        <v>230</v>
      </c>
      <c r="BT40" s="215">
        <f t="shared" si="63"/>
        <v>0</v>
      </c>
      <c r="BU40" s="215" t="str">
        <f t="shared" si="64"/>
        <v>Bajuwaren München 1</v>
      </c>
      <c r="BV40" s="214">
        <f t="shared" si="65"/>
        <v>2</v>
      </c>
      <c r="BW40" s="215">
        <f t="shared" si="66"/>
        <v>1760</v>
      </c>
      <c r="BX40" s="215">
        <f>IF(COUNTIF(BH40:BP40,"&gt;0")&lt;Spielorte!$A$23,0,BE40/Spielorte!$A$23)</f>
        <v>195.55555555555554</v>
      </c>
      <c r="BY40" s="215">
        <f t="shared" si="67"/>
        <v>0</v>
      </c>
      <c r="BZ40" s="214">
        <f t="shared" si="53"/>
        <v>0</v>
      </c>
    </row>
    <row r="41" spans="1:78" ht="17.100000000000001" customHeight="1" x14ac:dyDescent="0.25">
      <c r="A41" s="377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49"/>
      <c r="F41" s="78" t="str">
        <f t="shared" si="35"/>
        <v/>
      </c>
      <c r="G41" s="349"/>
      <c r="H41" s="78" t="str">
        <f t="shared" si="36"/>
        <v/>
      </c>
      <c r="I41" s="349"/>
      <c r="J41" s="78" t="str">
        <f t="shared" si="37"/>
        <v/>
      </c>
      <c r="K41" s="349"/>
      <c r="L41" s="78" t="str">
        <f t="shared" si="38"/>
        <v/>
      </c>
      <c r="M41" s="349"/>
      <c r="N41" s="78" t="str">
        <f t="shared" si="57"/>
        <v/>
      </c>
      <c r="O41" s="349"/>
      <c r="P41" s="78" t="str">
        <f t="shared" si="39"/>
        <v/>
      </c>
      <c r="Q41" s="349"/>
      <c r="R41" s="78" t="str">
        <f t="shared" si="40"/>
        <v/>
      </c>
      <c r="S41" s="349"/>
      <c r="T41" s="78" t="str">
        <f t="shared" si="41"/>
        <v/>
      </c>
      <c r="U41" s="349"/>
      <c r="V41" s="78" t="str">
        <f t="shared" si="42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Bajuwaren München 1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00000000000001" customHeight="1" thickBot="1" x14ac:dyDescent="0.3">
      <c r="A42" s="378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50"/>
      <c r="F42" s="69" t="str">
        <f t="shared" si="35"/>
        <v/>
      </c>
      <c r="G42" s="350"/>
      <c r="H42" s="69" t="str">
        <f t="shared" si="36"/>
        <v/>
      </c>
      <c r="I42" s="350"/>
      <c r="J42" s="69" t="str">
        <f t="shared" si="37"/>
        <v/>
      </c>
      <c r="K42" s="350"/>
      <c r="L42" s="69" t="str">
        <f t="shared" si="38"/>
        <v/>
      </c>
      <c r="M42" s="350"/>
      <c r="N42" s="69" t="str">
        <f t="shared" si="57"/>
        <v/>
      </c>
      <c r="O42" s="350"/>
      <c r="P42" s="69" t="str">
        <f t="shared" si="39"/>
        <v/>
      </c>
      <c r="Q42" s="350"/>
      <c r="R42" s="69" t="str">
        <f t="shared" si="40"/>
        <v/>
      </c>
      <c r="S42" s="350"/>
      <c r="T42" s="69" t="str">
        <f t="shared" si="41"/>
        <v/>
      </c>
      <c r="U42" s="350"/>
      <c r="V42" s="69" t="str">
        <f t="shared" si="42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Bajuwaren München 1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00000000000001" customHeight="1" x14ac:dyDescent="0.25">
      <c r="A43" s="376" t="s">
        <v>3</v>
      </c>
      <c r="B43" s="73" t="str">
        <f t="shared" si="54"/>
        <v>Reichert, Ralph</v>
      </c>
      <c r="C43" s="74">
        <f t="shared" si="55"/>
        <v>7416</v>
      </c>
      <c r="D43" s="75">
        <f t="shared" si="56"/>
        <v>246</v>
      </c>
      <c r="E43" s="348">
        <f>IF(AD43="","",AD43)</f>
        <v>1</v>
      </c>
      <c r="F43" s="75">
        <f t="shared" si="35"/>
        <v>233</v>
      </c>
      <c r="G43" s="348">
        <f>IF(AF43="","",AF43)</f>
        <v>1</v>
      </c>
      <c r="H43" s="75">
        <f t="shared" si="36"/>
        <v>235</v>
      </c>
      <c r="I43" s="348">
        <f>IF(AH43="","",AH43)</f>
        <v>1</v>
      </c>
      <c r="J43" s="75">
        <f t="shared" si="37"/>
        <v>216</v>
      </c>
      <c r="K43" s="348">
        <f>IF(AJ43="","",AJ43)</f>
        <v>1</v>
      </c>
      <c r="L43" s="75">
        <f t="shared" si="38"/>
        <v>212</v>
      </c>
      <c r="M43" s="348">
        <f>IF(AL43="","",AL43)</f>
        <v>0</v>
      </c>
      <c r="N43" s="75">
        <f t="shared" si="57"/>
        <v>192</v>
      </c>
      <c r="O43" s="348">
        <f>IF(AN43="","",AN43)</f>
        <v>1</v>
      </c>
      <c r="P43" s="75">
        <f t="shared" si="39"/>
        <v>200</v>
      </c>
      <c r="Q43" s="348">
        <f>IF(AP43="","",AP43)</f>
        <v>1</v>
      </c>
      <c r="R43" s="75">
        <f t="shared" si="40"/>
        <v>200</v>
      </c>
      <c r="S43" s="348">
        <f>IF(AR43="","",AR43)</f>
        <v>1</v>
      </c>
      <c r="T43" s="75">
        <f t="shared" si="41"/>
        <v>213</v>
      </c>
      <c r="U43" s="348">
        <f>IF(AT43="","",AT43)</f>
        <v>0</v>
      </c>
      <c r="V43" s="75">
        <f t="shared" si="42"/>
        <v>1947</v>
      </c>
      <c r="W43" s="348">
        <f>IF(AV43="","",AV43)</f>
        <v>7</v>
      </c>
      <c r="Z43" s="351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246</v>
      </c>
      <c r="AD43" s="109">
        <f>IF(SUM(AC43:AC45)+AC57=0,0,IF(SUM(ABS(AC43),ABS(AC44),ABS(AC45))=AC57,0.5,IF(SUM(ABS(AC43),ABS(AC44),ABS(AC45))&gt;AC57,1,0)))</f>
        <v>1</v>
      </c>
      <c r="AE43" s="188">
        <v>233</v>
      </c>
      <c r="AF43" s="109">
        <f>IF(SUM(AE43:AE45)+AE57=0,0,IF(SUM(ABS(AE43),ABS(AE44),ABS(AE45))=AE57,0.5,IF(SUM(ABS(AE43),ABS(AE44),ABS(AE45))&gt;AE57,1,0)))</f>
        <v>1</v>
      </c>
      <c r="AG43" s="188">
        <v>235</v>
      </c>
      <c r="AH43" s="109">
        <f>IF(SUM(AG43:AG45)+AG57=0,0,IF(SUM(ABS(AG43),ABS(AG44),ABS(AG45))=AG57,0.5,IF(SUM(ABS(AG43),ABS(AG44),ABS(AG45))&gt;AG57,1,0)))</f>
        <v>1</v>
      </c>
      <c r="AI43" s="188">
        <v>216</v>
      </c>
      <c r="AJ43" s="109">
        <f>IF(SUM(AI43:AI45)+AI57=0,0,IF(SUM(ABS(AI43),ABS(AI44),ABS(AI45))=AI57,0.5,IF(SUM(ABS(AI43),ABS(AI44),ABS(AI45))&gt;AI57,1,0)))</f>
        <v>1</v>
      </c>
      <c r="AK43" s="188">
        <v>212</v>
      </c>
      <c r="AL43" s="109">
        <f>IF(SUM(AK43:AK45)+AK57=0,0,IF(SUM(ABS(AK43),ABS(AK44),ABS(AK45))=AK57,0.5,IF(SUM(ABS(AK43),ABS(AK44),ABS(AK45))&gt;AK57,1,0)))</f>
        <v>0</v>
      </c>
      <c r="AM43" s="188">
        <v>192</v>
      </c>
      <c r="AN43" s="109">
        <f>IF(SUM(AM43:AM45)+AM57=0,0,IF(SUM(ABS(AM43),ABS(AM44),ABS(AM45))=AM57,0.5,IF(SUM(ABS(AM43),ABS(AM44),ABS(AM45))&gt;AM57,1,0)))</f>
        <v>1</v>
      </c>
      <c r="AO43" s="188">
        <v>200</v>
      </c>
      <c r="AP43" s="109">
        <f>IF(SUM(AO43:AO45)+AO57=0,0,IF(SUM(ABS(AO43),ABS(AO44),ABS(AO45))=AO57,0.5,IF(SUM(ABS(AO43),ABS(AO44),ABS(AO45))&gt;AO57,1,0)))</f>
        <v>1</v>
      </c>
      <c r="AQ43" s="188">
        <v>200</v>
      </c>
      <c r="AR43" s="109">
        <f>IF(SUM(AQ43:AQ45)+AQ57=0,0,IF(SUM(ABS(AQ43),ABS(AQ44),ABS(AQ45))=AQ57,0.5,IF(SUM(ABS(AQ43),ABS(AQ44),ABS(AQ45))&gt;AQ57,1,0)))</f>
        <v>1</v>
      </c>
      <c r="AS43" s="188">
        <v>213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1947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8"/>
        <v>7416</v>
      </c>
      <c r="BE43" s="213">
        <f t="shared" si="59"/>
        <v>1947</v>
      </c>
      <c r="BF43" s="215">
        <f t="shared" si="60"/>
        <v>9</v>
      </c>
      <c r="BG43" s="215">
        <f t="shared" si="61"/>
        <v>9</v>
      </c>
      <c r="BH43" s="215">
        <f t="shared" si="44"/>
        <v>246</v>
      </c>
      <c r="BI43" s="215">
        <f t="shared" si="45"/>
        <v>233</v>
      </c>
      <c r="BJ43" s="215">
        <f t="shared" si="46"/>
        <v>235</v>
      </c>
      <c r="BK43" s="215">
        <f t="shared" si="47"/>
        <v>216</v>
      </c>
      <c r="BL43" s="215">
        <f t="shared" si="48"/>
        <v>212</v>
      </c>
      <c r="BM43" s="215">
        <f t="shared" si="49"/>
        <v>192</v>
      </c>
      <c r="BN43" s="215">
        <f t="shared" si="50"/>
        <v>200</v>
      </c>
      <c r="BO43" s="215">
        <f t="shared" si="51"/>
        <v>200</v>
      </c>
      <c r="BP43" s="215">
        <f t="shared" si="52"/>
        <v>213</v>
      </c>
      <c r="BQ43" s="216"/>
      <c r="BR43" s="214"/>
      <c r="BS43" s="215">
        <f t="shared" si="62"/>
        <v>246</v>
      </c>
      <c r="BT43" s="215">
        <f t="shared" si="63"/>
        <v>0</v>
      </c>
      <c r="BU43" s="215" t="str">
        <f t="shared" si="64"/>
        <v>Bajuwaren München 1</v>
      </c>
      <c r="BV43" s="214">
        <f t="shared" si="65"/>
        <v>2</v>
      </c>
      <c r="BW43" s="215">
        <f t="shared" si="66"/>
        <v>1947</v>
      </c>
      <c r="BX43" s="215">
        <f>IF(COUNTIF(BH43:BP43,"&gt;0")&lt;Spielorte!$A$23,0,BE43/Spielorte!$A$23)</f>
        <v>216.33333333333334</v>
      </c>
      <c r="BY43" s="215">
        <f t="shared" si="67"/>
        <v>0</v>
      </c>
      <c r="BZ43" s="214">
        <f t="shared" si="53"/>
        <v>0</v>
      </c>
    </row>
    <row r="44" spans="1:78" ht="17.100000000000001" customHeight="1" x14ac:dyDescent="0.25">
      <c r="A44" s="377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49"/>
      <c r="F44" s="78" t="str">
        <f t="shared" si="35"/>
        <v/>
      </c>
      <c r="G44" s="349"/>
      <c r="H44" s="78" t="str">
        <f t="shared" si="36"/>
        <v/>
      </c>
      <c r="I44" s="349"/>
      <c r="J44" s="78" t="str">
        <f t="shared" si="37"/>
        <v/>
      </c>
      <c r="K44" s="349"/>
      <c r="L44" s="78" t="str">
        <f t="shared" si="38"/>
        <v/>
      </c>
      <c r="M44" s="349"/>
      <c r="N44" s="78" t="str">
        <f t="shared" si="57"/>
        <v/>
      </c>
      <c r="O44" s="349"/>
      <c r="P44" s="78" t="str">
        <f t="shared" si="39"/>
        <v/>
      </c>
      <c r="Q44" s="349"/>
      <c r="R44" s="78" t="str">
        <f t="shared" si="40"/>
        <v/>
      </c>
      <c r="S44" s="349"/>
      <c r="T44" s="78" t="str">
        <f t="shared" si="41"/>
        <v/>
      </c>
      <c r="U44" s="349"/>
      <c r="V44" s="78" t="str">
        <f t="shared" si="42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Bajuwaren München 1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00000000000001" customHeight="1" thickBot="1" x14ac:dyDescent="0.3">
      <c r="A45" s="378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50"/>
      <c r="F45" s="69" t="str">
        <f t="shared" si="35"/>
        <v/>
      </c>
      <c r="G45" s="350"/>
      <c r="H45" s="69" t="str">
        <f t="shared" si="36"/>
        <v/>
      </c>
      <c r="I45" s="350"/>
      <c r="J45" s="69" t="str">
        <f t="shared" si="37"/>
        <v/>
      </c>
      <c r="K45" s="350"/>
      <c r="L45" s="69" t="str">
        <f t="shared" si="38"/>
        <v/>
      </c>
      <c r="M45" s="350"/>
      <c r="N45" s="69" t="str">
        <f t="shared" si="57"/>
        <v/>
      </c>
      <c r="O45" s="350"/>
      <c r="P45" s="69" t="str">
        <f t="shared" si="39"/>
        <v/>
      </c>
      <c r="Q45" s="350"/>
      <c r="R45" s="69" t="str">
        <f t="shared" si="40"/>
        <v/>
      </c>
      <c r="S45" s="350"/>
      <c r="T45" s="69" t="str">
        <f t="shared" si="41"/>
        <v/>
      </c>
      <c r="U45" s="350"/>
      <c r="V45" s="69" t="str">
        <f t="shared" si="42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Bajuwaren München 1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00000000000001" customHeight="1" x14ac:dyDescent="0.25">
      <c r="A46" s="376" t="s">
        <v>11</v>
      </c>
      <c r="B46" s="73" t="str">
        <f>IF(AA46=0,"",AA46)</f>
        <v>Lüthje, Volker</v>
      </c>
      <c r="C46" s="74">
        <f t="shared" si="55"/>
        <v>7601</v>
      </c>
      <c r="D46" s="75">
        <f t="shared" si="56"/>
        <v>204</v>
      </c>
      <c r="E46" s="348">
        <f>IF(AD46="","",AD46)</f>
        <v>1</v>
      </c>
      <c r="F46" s="75">
        <f t="shared" si="35"/>
        <v>158</v>
      </c>
      <c r="G46" s="348">
        <f>IF(AF46="","",AF46)</f>
        <v>0</v>
      </c>
      <c r="H46" s="75">
        <f t="shared" si="36"/>
        <v>182</v>
      </c>
      <c r="I46" s="348">
        <f>IF(AH46="","",AH46)</f>
        <v>1</v>
      </c>
      <c r="J46" s="75">
        <f t="shared" si="37"/>
        <v>176</v>
      </c>
      <c r="K46" s="348">
        <f>IF(AJ46="","",AJ46)</f>
        <v>1</v>
      </c>
      <c r="L46" s="75">
        <f t="shared" si="38"/>
        <v>164</v>
      </c>
      <c r="M46" s="348">
        <f>IF(AL46="","",AL46)</f>
        <v>0</v>
      </c>
      <c r="N46" s="75" t="str">
        <f t="shared" si="57"/>
        <v/>
      </c>
      <c r="O46" s="348">
        <f>IF(AN46="","",AN46)</f>
        <v>0</v>
      </c>
      <c r="P46" s="75" t="str">
        <f t="shared" si="39"/>
        <v/>
      </c>
      <c r="Q46" s="348">
        <f>IF(AP46="","",AP46)</f>
        <v>0</v>
      </c>
      <c r="R46" s="75" t="str">
        <f t="shared" si="40"/>
        <v/>
      </c>
      <c r="S46" s="348">
        <f>IF(AR46="","",AR46)</f>
        <v>0</v>
      </c>
      <c r="T46" s="75" t="str">
        <f t="shared" si="41"/>
        <v/>
      </c>
      <c r="U46" s="348">
        <f>IF(AT46="","",AT46)</f>
        <v>1</v>
      </c>
      <c r="V46" s="75">
        <f t="shared" si="42"/>
        <v>884</v>
      </c>
      <c r="W46" s="348">
        <f>IF(AV46="","",AV46)</f>
        <v>4</v>
      </c>
      <c r="Z46" s="351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204</v>
      </c>
      <c r="AD46" s="109">
        <f>IF(SUM(AC46:AC48)+AC58=0,0,IF(SUM(ABS(AC46),ABS(AC47),ABS(AC48))=AC58,0.5,IF(SUM(ABS(AC46),ABS(AC47),ABS(AC48))&gt;AC58,1,0)))</f>
        <v>1</v>
      </c>
      <c r="AE46" s="188">
        <v>158</v>
      </c>
      <c r="AF46" s="109">
        <f>IF(SUM(AE46:AE48)+AE58=0,0,IF(SUM(ABS(AE46),ABS(AE47),ABS(AE48))=AE58,0.5,IF(SUM(ABS(AE46),ABS(AE47),ABS(AE48))&gt;AE58,1,0)))</f>
        <v>0</v>
      </c>
      <c r="AG46" s="188">
        <v>182</v>
      </c>
      <c r="AH46" s="109">
        <f>IF(SUM(AG46:AG48)+AG58=0,0,IF(SUM(ABS(AG46),ABS(AG47),ABS(AG48))=AG58,0.5,IF(SUM(ABS(AG46),ABS(AG47),ABS(AG48))&gt;AG58,1,0)))</f>
        <v>1</v>
      </c>
      <c r="AI46" s="188">
        <v>176</v>
      </c>
      <c r="AJ46" s="109">
        <f>IF(SUM(AI46:AI48)+AI58=0,0,IF(SUM(ABS(AI46),ABS(AI47),ABS(AI48))=AI58,0.5,IF(SUM(ABS(AI46),ABS(AI47),ABS(AI48))&gt;AI58,1,0)))</f>
        <v>1</v>
      </c>
      <c r="AK46" s="188">
        <v>164</v>
      </c>
      <c r="AL46" s="109">
        <f>IF(SUM(AK46:AK48)+AK58=0,0,IF(SUM(ABS(AK46),ABS(AK47),ABS(AK48))=AK58,0.5,IF(SUM(ABS(AK46),ABS(AK47),ABS(AK48))&gt;AK58,1,0)))</f>
        <v>0</v>
      </c>
      <c r="AM46" s="188"/>
      <c r="AN46" s="109">
        <f>IF(SUM(AM46:AM48)+AM58=0,0,IF(SUM(ABS(AM46),ABS(AM47),ABS(AM48))=AM58,0.5,IF(SUM(ABS(AM46),ABS(AM47),ABS(AM48))&gt;AM58,1,0)))</f>
        <v>0</v>
      </c>
      <c r="AO46" s="188"/>
      <c r="AP46" s="109">
        <f>IF(SUM(AO46:AO48)+AO58=0,0,IF(SUM(ABS(AO46),ABS(AO47),ABS(AO48))=AO58,0.5,IF(SUM(ABS(AO46),ABS(AO47),ABS(AO48))&gt;AO58,1,0)))</f>
        <v>0</v>
      </c>
      <c r="AQ46" s="188"/>
      <c r="AR46" s="109">
        <f>IF(SUM(AQ46:AQ48)+AQ58=0,0,IF(SUM(ABS(AQ46),ABS(AQ47),ABS(AQ48))=AQ58,0.5,IF(SUM(ABS(AQ46),ABS(AQ47),ABS(AQ48))&gt;AQ58,1,0)))</f>
        <v>0</v>
      </c>
      <c r="AS46" s="188"/>
      <c r="AT46" s="109">
        <f>IF(SUM(AS46:AS48)+AS58=0,0,IF(SUM(ABS(AS46),ABS(AS47),ABS(AS48))=AS58,0.5,IF(SUM(ABS(AS46),ABS(AS47),ABS(AS48))&gt;AS58,1,0)))</f>
        <v>1</v>
      </c>
      <c r="AU46" s="110">
        <f t="shared" si="43"/>
        <v>884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8"/>
        <v>7601</v>
      </c>
      <c r="BE46" s="213">
        <f t="shared" si="59"/>
        <v>884</v>
      </c>
      <c r="BF46" s="215">
        <f t="shared" si="60"/>
        <v>5</v>
      </c>
      <c r="BG46" s="215">
        <f t="shared" si="61"/>
        <v>5</v>
      </c>
      <c r="BH46" s="215">
        <f t="shared" si="44"/>
        <v>204</v>
      </c>
      <c r="BI46" s="215">
        <f t="shared" si="45"/>
        <v>158</v>
      </c>
      <c r="BJ46" s="215">
        <f t="shared" si="46"/>
        <v>182</v>
      </c>
      <c r="BK46" s="215">
        <f t="shared" si="47"/>
        <v>176</v>
      </c>
      <c r="BL46" s="215">
        <f t="shared" si="48"/>
        <v>164</v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2"/>
        <v>204</v>
      </c>
      <c r="BT46" s="215">
        <f t="shared" si="63"/>
        <v>0</v>
      </c>
      <c r="BU46" s="215" t="str">
        <f t="shared" si="64"/>
        <v>Bajuwaren München 1</v>
      </c>
      <c r="BV46" s="214">
        <f t="shared" si="65"/>
        <v>2</v>
      </c>
      <c r="BW46" s="215">
        <f t="shared" si="66"/>
        <v>884</v>
      </c>
      <c r="BX46" s="215">
        <f>IF(COUNTIF(BH46:BP46,"&gt;0")&lt;Spielorte!$A$23,0,BE46/Spielorte!$A$23)</f>
        <v>0</v>
      </c>
      <c r="BY46" s="215">
        <f t="shared" si="67"/>
        <v>0</v>
      </c>
      <c r="BZ46" s="214">
        <f t="shared" si="53"/>
        <v>0</v>
      </c>
    </row>
    <row r="47" spans="1:78" ht="17.100000000000001" customHeight="1" x14ac:dyDescent="0.25">
      <c r="A47" s="377"/>
      <c r="B47" s="76" t="str">
        <f>IF(AA47=0,"",AA47)</f>
        <v>Glasl sen., Hans</v>
      </c>
      <c r="C47" s="77">
        <f t="shared" si="55"/>
        <v>16762</v>
      </c>
      <c r="D47" s="78" t="str">
        <f t="shared" si="56"/>
        <v/>
      </c>
      <c r="E47" s="349"/>
      <c r="F47" s="78" t="str">
        <f t="shared" si="35"/>
        <v/>
      </c>
      <c r="G47" s="349"/>
      <c r="H47" s="78" t="str">
        <f t="shared" si="36"/>
        <v/>
      </c>
      <c r="I47" s="349"/>
      <c r="J47" s="78" t="str">
        <f t="shared" si="37"/>
        <v/>
      </c>
      <c r="K47" s="349"/>
      <c r="L47" s="78" t="str">
        <f t="shared" si="38"/>
        <v/>
      </c>
      <c r="M47" s="349"/>
      <c r="N47" s="78">
        <f t="shared" si="57"/>
        <v>225</v>
      </c>
      <c r="O47" s="349"/>
      <c r="P47" s="78">
        <f t="shared" si="39"/>
        <v>160</v>
      </c>
      <c r="Q47" s="349"/>
      <c r="R47" s="78">
        <f t="shared" si="40"/>
        <v>135</v>
      </c>
      <c r="S47" s="349"/>
      <c r="T47" s="78">
        <f t="shared" si="41"/>
        <v>212</v>
      </c>
      <c r="U47" s="349"/>
      <c r="V47" s="78">
        <f t="shared" si="42"/>
        <v>732</v>
      </c>
      <c r="W47" s="349"/>
      <c r="Z47" s="352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>
        <v>225</v>
      </c>
      <c r="AN47" s="112"/>
      <c r="AO47" s="186">
        <v>160</v>
      </c>
      <c r="AP47" s="112"/>
      <c r="AQ47" s="186">
        <v>135</v>
      </c>
      <c r="AR47" s="112"/>
      <c r="AS47" s="186">
        <v>212</v>
      </c>
      <c r="AT47" s="112"/>
      <c r="AU47" s="113">
        <f t="shared" si="43"/>
        <v>732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16762</v>
      </c>
      <c r="BE47" s="213">
        <f t="shared" si="59"/>
        <v>732</v>
      </c>
      <c r="BF47" s="215">
        <f t="shared" si="60"/>
        <v>4</v>
      </c>
      <c r="BG47" s="215">
        <f t="shared" si="61"/>
        <v>4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>
        <f t="shared" si="49"/>
        <v>225</v>
      </c>
      <c r="BN47" s="215">
        <f t="shared" si="50"/>
        <v>160</v>
      </c>
      <c r="BO47" s="215">
        <f t="shared" si="51"/>
        <v>135</v>
      </c>
      <c r="BP47" s="215">
        <f t="shared" si="52"/>
        <v>212</v>
      </c>
      <c r="BQ47" s="216"/>
      <c r="BR47" s="214"/>
      <c r="BS47" s="215">
        <f t="shared" si="62"/>
        <v>225</v>
      </c>
      <c r="BT47" s="215">
        <f t="shared" si="63"/>
        <v>0</v>
      </c>
      <c r="BU47" s="215" t="str">
        <f t="shared" si="64"/>
        <v>Bajuwaren München 1</v>
      </c>
      <c r="BV47" s="214">
        <f t="shared" si="65"/>
        <v>2</v>
      </c>
      <c r="BW47" s="215">
        <f t="shared" si="66"/>
        <v>732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00000000000001" customHeight="1" thickBot="1" x14ac:dyDescent="0.3">
      <c r="A48" s="378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50"/>
      <c r="F48" s="69" t="str">
        <f t="shared" si="35"/>
        <v/>
      </c>
      <c r="G48" s="350"/>
      <c r="H48" s="69" t="str">
        <f t="shared" si="36"/>
        <v/>
      </c>
      <c r="I48" s="350"/>
      <c r="J48" s="69" t="str">
        <f t="shared" si="37"/>
        <v/>
      </c>
      <c r="K48" s="350"/>
      <c r="L48" s="69" t="str">
        <f t="shared" si="38"/>
        <v/>
      </c>
      <c r="M48" s="350"/>
      <c r="N48" s="69" t="str">
        <f t="shared" si="57"/>
        <v/>
      </c>
      <c r="O48" s="350"/>
      <c r="P48" s="69" t="str">
        <f t="shared" si="39"/>
        <v/>
      </c>
      <c r="Q48" s="350"/>
      <c r="R48" s="69" t="str">
        <f t="shared" si="40"/>
        <v/>
      </c>
      <c r="S48" s="350"/>
      <c r="T48" s="69" t="str">
        <f t="shared" si="41"/>
        <v/>
      </c>
      <c r="U48" s="350"/>
      <c r="V48" s="69" t="str">
        <f t="shared" si="42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Bajuwaren München 1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5"/>
        <v/>
      </c>
      <c r="D49" s="83">
        <f t="shared" si="56"/>
        <v>912</v>
      </c>
      <c r="E49" s="84">
        <f>IF(AD49="","",AD49)</f>
        <v>2</v>
      </c>
      <c r="F49" s="83">
        <f t="shared" si="35"/>
        <v>781</v>
      </c>
      <c r="G49" s="84">
        <f>IF(AF49="","",AF49)</f>
        <v>2</v>
      </c>
      <c r="H49" s="83">
        <f t="shared" si="36"/>
        <v>872</v>
      </c>
      <c r="I49" s="84">
        <f>IF(AH49="","",AH49)</f>
        <v>2</v>
      </c>
      <c r="J49" s="83">
        <f t="shared" si="37"/>
        <v>866</v>
      </c>
      <c r="K49" s="84">
        <f>IF(AJ49="","",AJ49)</f>
        <v>2</v>
      </c>
      <c r="L49" s="83">
        <f t="shared" si="38"/>
        <v>809</v>
      </c>
      <c r="M49" s="84">
        <f>IF(AL49="","",AL49)</f>
        <v>0</v>
      </c>
      <c r="N49" s="83">
        <f t="shared" si="57"/>
        <v>835</v>
      </c>
      <c r="O49" s="84">
        <f>IF(AN49="","",AN49)</f>
        <v>2</v>
      </c>
      <c r="P49" s="83">
        <f t="shared" si="39"/>
        <v>815</v>
      </c>
      <c r="Q49" s="84">
        <f>IF(AP49="","",AP49)</f>
        <v>2</v>
      </c>
      <c r="R49" s="83">
        <f t="shared" si="40"/>
        <v>687</v>
      </c>
      <c r="S49" s="84">
        <f>IF(AR49="","",AR49)</f>
        <v>0</v>
      </c>
      <c r="T49" s="83">
        <f t="shared" si="41"/>
        <v>827</v>
      </c>
      <c r="U49" s="84">
        <f>IF(AT49="","",AT49)</f>
        <v>2</v>
      </c>
      <c r="V49" s="83">
        <f t="shared" si="42"/>
        <v>7404</v>
      </c>
      <c r="W49" s="84">
        <f>IF(AV49="","",AV49)</f>
        <v>14</v>
      </c>
      <c r="AA49" s="81" t="s">
        <v>1799</v>
      </c>
      <c r="AB49" s="120"/>
      <c r="AC49" s="211">
        <f>ABS(SUM(AC37:AC39))+ABS(SUM(AC40:AC42))+ABS(SUM(AC43:AC45))+ABS(SUM(AC46:AC48))</f>
        <v>912</v>
      </c>
      <c r="AD49" s="121">
        <f>IF(AC49+AC59=0,0,IF(AC49=AC59,1,IF(AC49&gt;AC59,2,0)))</f>
        <v>2</v>
      </c>
      <c r="AE49" s="211">
        <f>ABS(SUM(AE37:AE39))+ABS(SUM(AE40:AE42))+ABS(SUM(AE43:AE45))+ABS(SUM(AE46:AE48))</f>
        <v>781</v>
      </c>
      <c r="AF49" s="121">
        <f>IF(AE49+AE59=0,0,IF(AE49=AE59,1,IF(AE49&gt;AE59,2,0)))</f>
        <v>2</v>
      </c>
      <c r="AG49" s="211">
        <f>ABS(SUM(AG37:AG39))+ABS(SUM(AG40:AG42))+ABS(SUM(AG43:AG45))+ABS(SUM(AG46:AG48))</f>
        <v>872</v>
      </c>
      <c r="AH49" s="121">
        <f>IF(AG49+AG59=0,0,IF(AG49=AG59,1,IF(AG49&gt;AG59,2,0)))</f>
        <v>2</v>
      </c>
      <c r="AI49" s="211">
        <f>ABS(SUM(AI37:AI39))+ABS(SUM(AI40:AI42))+ABS(SUM(AI43:AI45))+ABS(SUM(AI46:AI48))</f>
        <v>866</v>
      </c>
      <c r="AJ49" s="121">
        <f>IF(AI49+AI59=0,0,IF(AI49=AI59,1,IF(AI49&gt;AI59,2,0)))</f>
        <v>2</v>
      </c>
      <c r="AK49" s="211">
        <f>ABS(SUM(AK37:AK39))+ABS(SUM(AK40:AK42))+ABS(SUM(AK43:AK45))+ABS(SUM(AK46:AK48))</f>
        <v>809</v>
      </c>
      <c r="AL49" s="121">
        <f>IF(AK49+AK59=0,0,IF(AK49=AK59,1,IF(AK49&gt;AK59,2,0)))</f>
        <v>0</v>
      </c>
      <c r="AM49" s="211">
        <f>ABS(SUM(AM37:AM39))+ABS(SUM(AM40:AM42))+ABS(SUM(AM43:AM45))+ABS(SUM(AM46:AM48))</f>
        <v>835</v>
      </c>
      <c r="AN49" s="121">
        <f>IF(AM49+AM59=0,0,IF(AM49=AM59,1,IF(AM49&gt;AM59,2,0)))</f>
        <v>2</v>
      </c>
      <c r="AO49" s="211">
        <f>ABS(SUM(AO37:AO39))+ABS(SUM(AO40:AO42))+ABS(SUM(AO43:AO45))+ABS(SUM(AO46:AO48))</f>
        <v>815</v>
      </c>
      <c r="AP49" s="121">
        <f>IF(AO49+AO59=0,0,IF(AO49=AO59,1,IF(AO49&gt;AO59,2,0)))</f>
        <v>2</v>
      </c>
      <c r="AQ49" s="211">
        <f>ABS(SUM(AQ37:AQ39))+ABS(SUM(AQ40:AQ42))+ABS(SUM(AQ43:AQ45))+ABS(SUM(AQ46:AQ48))</f>
        <v>687</v>
      </c>
      <c r="AR49" s="121">
        <f>IF(AQ49+AQ59=0,0,IF(AQ49=AQ59,1,IF(AQ49&gt;AQ59,2,0)))</f>
        <v>0</v>
      </c>
      <c r="AS49" s="211">
        <f>ABS(SUM(AS37:AS39))+ABS(SUM(AS40:AS42))+ABS(SUM(AS43:AS45))+ABS(SUM(AS46:AS48))</f>
        <v>827</v>
      </c>
      <c r="AT49" s="121">
        <f>IF(AS49+AS59=0,0,IF(AS49=AS59,1,IF(AS49&gt;AS59,2,0)))</f>
        <v>2</v>
      </c>
      <c r="AU49" s="122">
        <f>SUM(AC49+AE49+AG49+AI49+AK49+AM49+AO49+AQ49+AS49)</f>
        <v>7404</v>
      </c>
      <c r="AV49" s="123">
        <f>SUM(AD49+AF49+AH49+AJ49+AL49+AN49+AP49+AR49+AT49)</f>
        <v>14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6</v>
      </c>
      <c r="F50" s="86" t="str">
        <f t="shared" si="35"/>
        <v/>
      </c>
      <c r="G50" s="87">
        <f>IF(AF50="","",AF50)</f>
        <v>4</v>
      </c>
      <c r="H50" s="86" t="str">
        <f t="shared" si="36"/>
        <v/>
      </c>
      <c r="I50" s="87">
        <f>IF(AH50="","",AH50)</f>
        <v>6</v>
      </c>
      <c r="J50" s="86" t="str">
        <f t="shared" si="37"/>
        <v/>
      </c>
      <c r="K50" s="87">
        <f>IF(AJ50="","",AJ50)</f>
        <v>6</v>
      </c>
      <c r="L50" s="86" t="str">
        <f t="shared" si="38"/>
        <v/>
      </c>
      <c r="M50" s="87">
        <f>IF(AL50="","",AL50)</f>
        <v>1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1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39</v>
      </c>
      <c r="AA50" s="85" t="s">
        <v>1814</v>
      </c>
      <c r="AB50" s="86"/>
      <c r="AC50" s="86"/>
      <c r="AD50" s="124">
        <f>SUM(AD37:AD49)</f>
        <v>6</v>
      </c>
      <c r="AE50" s="86"/>
      <c r="AF50" s="124">
        <f>SUM(AF37:AF49)</f>
        <v>4</v>
      </c>
      <c r="AG50" s="86"/>
      <c r="AH50" s="124">
        <f>SUM(AH37:AH49)</f>
        <v>6</v>
      </c>
      <c r="AI50" s="86"/>
      <c r="AJ50" s="124">
        <f>SUM(AJ37:AJ49)</f>
        <v>6</v>
      </c>
      <c r="AK50" s="86"/>
      <c r="AL50" s="124">
        <f>SUM(AL37:AL49)</f>
        <v>1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1</v>
      </c>
      <c r="AS50" s="86"/>
      <c r="AT50" s="124">
        <f>SUM(AT37:AT49)</f>
        <v>5</v>
      </c>
      <c r="AU50" s="86"/>
      <c r="AV50" s="125">
        <f>SUM(AV37:AV49)</f>
        <v>39</v>
      </c>
      <c r="AW50" s="101"/>
      <c r="AX50" s="102"/>
      <c r="BA50" s="212">
        <f>+AV50</f>
        <v>39</v>
      </c>
      <c r="BB50" s="213">
        <f>+AU49</f>
        <v>7404</v>
      </c>
      <c r="BC50" s="214">
        <f>+AA32</f>
        <v>2</v>
      </c>
      <c r="BF50" s="215">
        <f>SUM(BF31:BF49)</f>
        <v>36</v>
      </c>
      <c r="BQ50" s="212">
        <f>+BB50/1000000+BA50</f>
        <v>39.007404000000001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56">
        <f t="shared" ref="D52:M54" si="70">IF(AC52=0,"",AC52)</f>
        <v>6</v>
      </c>
      <c r="E52" s="356" t="str">
        <f t="shared" si="70"/>
        <v/>
      </c>
      <c r="F52" s="356">
        <f t="shared" si="70"/>
        <v>4</v>
      </c>
      <c r="G52" s="356" t="str">
        <f t="shared" si="70"/>
        <v/>
      </c>
      <c r="H52" s="356">
        <f t="shared" si="70"/>
        <v>8</v>
      </c>
      <c r="I52" s="356" t="str">
        <f t="shared" si="70"/>
        <v/>
      </c>
      <c r="J52" s="356">
        <f t="shared" si="70"/>
        <v>7</v>
      </c>
      <c r="K52" s="356" t="str">
        <f t="shared" si="70"/>
        <v/>
      </c>
      <c r="L52" s="356">
        <f t="shared" si="70"/>
        <v>3</v>
      </c>
      <c r="M52" s="356" t="str">
        <f t="shared" si="70"/>
        <v/>
      </c>
      <c r="N52" s="356">
        <f t="shared" ref="N52:U54" si="71">IF(AM52=0,"",AM52)</f>
        <v>5</v>
      </c>
      <c r="O52" s="356" t="str">
        <f t="shared" si="71"/>
        <v/>
      </c>
      <c r="P52" s="356">
        <f t="shared" si="71"/>
        <v>10</v>
      </c>
      <c r="Q52" s="356" t="str">
        <f t="shared" si="71"/>
        <v/>
      </c>
      <c r="R52" s="356">
        <f t="shared" si="71"/>
        <v>1</v>
      </c>
      <c r="S52" s="356" t="str">
        <f t="shared" si="71"/>
        <v/>
      </c>
      <c r="T52" s="356">
        <f t="shared" si="71"/>
        <v>9</v>
      </c>
      <c r="U52" s="356" t="str">
        <f t="shared" si="71"/>
        <v/>
      </c>
      <c r="V52" s="357"/>
      <c r="W52" s="357"/>
      <c r="AA52" s="88" t="s">
        <v>1797</v>
      </c>
      <c r="AB52" s="89" t="s">
        <v>1798</v>
      </c>
      <c r="AC52" s="370">
        <f>VLOOKUP($AA32,Schlüssel!$A$5:$K$14,3)</f>
        <v>6</v>
      </c>
      <c r="AD52" s="371"/>
      <c r="AE52" s="370">
        <f>VLOOKUP($AA32,Schlüssel!$A$5:$K$14,4)</f>
        <v>4</v>
      </c>
      <c r="AF52" s="371"/>
      <c r="AG52" s="370">
        <f>VLOOKUP($AA32,Schlüssel!$A$5:$K$14,5)</f>
        <v>8</v>
      </c>
      <c r="AH52" s="371"/>
      <c r="AI52" s="370">
        <f>VLOOKUP($AA32,Schlüssel!$A$5:$K$14,6)</f>
        <v>7</v>
      </c>
      <c r="AJ52" s="371"/>
      <c r="AK52" s="370">
        <f>VLOOKUP($AA32,Schlüssel!$A$5:$K$14,7)</f>
        <v>3</v>
      </c>
      <c r="AL52" s="371"/>
      <c r="AM52" s="370">
        <f>VLOOKUP($AA32,Schlüssel!$A$5:$K$14,8)</f>
        <v>5</v>
      </c>
      <c r="AN52" s="371"/>
      <c r="AO52" s="370">
        <f>VLOOKUP($AA32,Schlüssel!$A$5:$K$14,9)</f>
        <v>10</v>
      </c>
      <c r="AP52" s="371"/>
      <c r="AQ52" s="370">
        <f>VLOOKUP($AA32,Schlüssel!$A$5:$K$14,10)</f>
        <v>1</v>
      </c>
      <c r="AR52" s="371"/>
      <c r="AS52" s="370">
        <f>VLOOKUP($AA32,Schlüssel!$A$5:$K$14,11)</f>
        <v>9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8"/>
        <v/>
      </c>
      <c r="C53" s="86" t="str">
        <f t="shared" si="69"/>
        <v/>
      </c>
      <c r="D53" s="358" t="str">
        <f t="shared" si="70"/>
        <v>SG Rottendorf 1</v>
      </c>
      <c r="E53" s="359" t="str">
        <f t="shared" si="70"/>
        <v/>
      </c>
      <c r="F53" s="358" t="str">
        <f t="shared" si="70"/>
        <v>SG DJK Rimpar</v>
      </c>
      <c r="G53" s="359" t="str">
        <f t="shared" si="70"/>
        <v/>
      </c>
      <c r="H53" s="358" t="str">
        <f t="shared" si="70"/>
        <v>BC EMAX Unterföhring 2</v>
      </c>
      <c r="I53" s="359" t="str">
        <f t="shared" si="70"/>
        <v/>
      </c>
      <c r="J53" s="358" t="str">
        <f t="shared" si="70"/>
        <v>Schanzer Ingolstadt 1</v>
      </c>
      <c r="K53" s="359" t="str">
        <f t="shared" si="70"/>
        <v/>
      </c>
      <c r="L53" s="358" t="str">
        <f t="shared" si="70"/>
        <v>BK München 3</v>
      </c>
      <c r="M53" s="359" t="str">
        <f t="shared" si="70"/>
        <v/>
      </c>
      <c r="N53" s="358" t="str">
        <f t="shared" si="71"/>
        <v>RW Lichtenhof Stein 1</v>
      </c>
      <c r="O53" s="359" t="str">
        <f t="shared" si="71"/>
        <v/>
      </c>
      <c r="P53" s="358" t="str">
        <f t="shared" si="71"/>
        <v>High Roller Rosenheim 1</v>
      </c>
      <c r="Q53" s="359" t="str">
        <f t="shared" si="71"/>
        <v/>
      </c>
      <c r="R53" s="358" t="str">
        <f t="shared" si="71"/>
        <v>BC Comet Nürnberg</v>
      </c>
      <c r="S53" s="359" t="str">
        <f t="shared" si="71"/>
        <v/>
      </c>
      <c r="T53" s="358" t="str">
        <f t="shared" si="71"/>
        <v>Bowlinghaus Bamberg 1</v>
      </c>
      <c r="U53" s="359" t="str">
        <f t="shared" si="71"/>
        <v/>
      </c>
      <c r="V53" s="363"/>
      <c r="W53" s="363"/>
      <c r="AA53" s="90"/>
      <c r="AB53" s="86"/>
      <c r="AC53" s="358" t="str">
        <f>VLOOKUP(AC52,Schlüssel!$A$5:$K$14,2)</f>
        <v>SG Rottendorf 1</v>
      </c>
      <c r="AD53" s="359"/>
      <c r="AE53" s="358" t="str">
        <f>VLOOKUP(AE52,Schlüssel!$A$5:$K$14,2)</f>
        <v>SG DJK Rimpar</v>
      </c>
      <c r="AF53" s="359"/>
      <c r="AG53" s="358" t="str">
        <f>VLOOKUP(AG52,Schlüssel!$A$5:$K$14,2)</f>
        <v>BC EMAX Unterföhring 2</v>
      </c>
      <c r="AH53" s="359"/>
      <c r="AI53" s="358" t="str">
        <f>VLOOKUP(AI52,Schlüssel!$A$5:$K$14,2)</f>
        <v>Schanzer Ingolstadt 1</v>
      </c>
      <c r="AJ53" s="359"/>
      <c r="AK53" s="358" t="str">
        <f>VLOOKUP(AK52,Schlüssel!$A$5:$K$14,2)</f>
        <v>BK München 3</v>
      </c>
      <c r="AL53" s="359"/>
      <c r="AM53" s="358" t="str">
        <f>VLOOKUP(AM52,Schlüssel!$A$5:$K$14,2)</f>
        <v>RW Lichtenhof Stein 1</v>
      </c>
      <c r="AN53" s="359"/>
      <c r="AO53" s="358" t="str">
        <f>VLOOKUP(AO52,Schlüssel!$A$5:$K$14,2)</f>
        <v>High Roller Rosenheim 1</v>
      </c>
      <c r="AP53" s="359"/>
      <c r="AQ53" s="358" t="str">
        <f>VLOOKUP(AQ52,Schlüssel!$A$5:$K$14,2)</f>
        <v>BC Comet Nürnberg</v>
      </c>
      <c r="AR53" s="359"/>
      <c r="AS53" s="358" t="str">
        <f>VLOOKUP(AS52,Schlüssel!$A$5:$K$14,2)</f>
        <v>Bowlinghaus Bamberg 1</v>
      </c>
      <c r="AT53" s="359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8"/>
        <v/>
      </c>
      <c r="C54" s="86" t="str">
        <f t="shared" si="69"/>
        <v/>
      </c>
      <c r="D54" s="360" t="str">
        <f t="shared" si="70"/>
        <v/>
      </c>
      <c r="E54" s="360" t="str">
        <f t="shared" si="70"/>
        <v/>
      </c>
      <c r="F54" s="360" t="str">
        <f t="shared" si="70"/>
        <v/>
      </c>
      <c r="G54" s="360" t="str">
        <f t="shared" si="70"/>
        <v/>
      </c>
      <c r="H54" s="360" t="str">
        <f t="shared" si="70"/>
        <v/>
      </c>
      <c r="I54" s="360" t="str">
        <f t="shared" si="70"/>
        <v/>
      </c>
      <c r="J54" s="360" t="str">
        <f t="shared" si="70"/>
        <v/>
      </c>
      <c r="K54" s="360" t="str">
        <f t="shared" si="70"/>
        <v/>
      </c>
      <c r="L54" s="360" t="str">
        <f t="shared" si="70"/>
        <v/>
      </c>
      <c r="M54" s="360" t="str">
        <f t="shared" si="70"/>
        <v/>
      </c>
      <c r="N54" s="360" t="str">
        <f t="shared" si="71"/>
        <v/>
      </c>
      <c r="O54" s="360" t="str">
        <f t="shared" si="71"/>
        <v/>
      </c>
      <c r="P54" s="360" t="str">
        <f t="shared" si="71"/>
        <v/>
      </c>
      <c r="Q54" s="360" t="str">
        <f t="shared" si="71"/>
        <v/>
      </c>
      <c r="R54" s="360" t="str">
        <f t="shared" si="71"/>
        <v/>
      </c>
      <c r="S54" s="360" t="str">
        <f t="shared" si="71"/>
        <v/>
      </c>
      <c r="T54" s="360" t="str">
        <f t="shared" si="71"/>
        <v/>
      </c>
      <c r="U54" s="361" t="str">
        <f t="shared" si="71"/>
        <v/>
      </c>
      <c r="V54" s="298"/>
      <c r="W54" s="298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4" t="str">
        <f t="shared" si="68"/>
        <v>Spieler 1</v>
      </c>
      <c r="C55" s="375" t="str">
        <f t="shared" si="69"/>
        <v/>
      </c>
      <c r="D55" s="362">
        <f>IF(AC55=301,"",AC55)</f>
        <v>211</v>
      </c>
      <c r="E55" s="362" t="str">
        <f>IF(AD55=0,"",AD55)</f>
        <v/>
      </c>
      <c r="F55" s="362">
        <f>IF(AE55=301,"",AE55)</f>
        <v>212</v>
      </c>
      <c r="G55" s="362" t="str">
        <f>IF(AF55=0,"",AF55)</f>
        <v/>
      </c>
      <c r="H55" s="362">
        <f>IF(AG55=301,"",AG55)</f>
        <v>178</v>
      </c>
      <c r="I55" s="362" t="str">
        <f>IF(AH55=0,"",AH55)</f>
        <v/>
      </c>
      <c r="J55" s="362">
        <f>IF(AI55=301,"",AI55)</f>
        <v>163</v>
      </c>
      <c r="K55" s="362" t="str">
        <f>IF(AJ55=0,"",AJ55)</f>
        <v/>
      </c>
      <c r="L55" s="362">
        <f>IF(AK55=301,"",AK55)</f>
        <v>215</v>
      </c>
      <c r="M55" s="362" t="str">
        <f>IF(AL55=0,"",AL55)</f>
        <v/>
      </c>
      <c r="N55" s="362">
        <f>IF(AM55=301,"",AM55)</f>
        <v>127</v>
      </c>
      <c r="O55" s="362" t="str">
        <f>IF(AN55=0,"",AN55)</f>
        <v/>
      </c>
      <c r="P55" s="362">
        <f>IF(AO55=301,"",AO55)</f>
        <v>156</v>
      </c>
      <c r="Q55" s="362" t="str">
        <f>IF(AP55=0,"",AP55)</f>
        <v/>
      </c>
      <c r="R55" s="362">
        <f>IF(AQ55=301,"",AQ55)</f>
        <v>216</v>
      </c>
      <c r="S55" s="362" t="str">
        <f>IF(AR55=0,"",AR55)</f>
        <v/>
      </c>
      <c r="T55" s="362">
        <f>IF(AS55=301,"",AS55)</f>
        <v>164</v>
      </c>
      <c r="U55" s="362" t="str">
        <f>IF(AT55=0,"",AT55)</f>
        <v/>
      </c>
      <c r="V55" s="364"/>
      <c r="W55" s="364"/>
      <c r="AA55" s="91" t="s">
        <v>0</v>
      </c>
      <c r="AB55" s="92"/>
      <c r="AC55" s="368">
        <f>ABS(INDEX(AC:AC,MATCH(AC52,$AA:$AA,0)+5)+INDEX(AC:AC,MATCH(AC52,$AA:$AA,0)+6)+INDEX(AC:AC,MATCH(AC52,$AA:$AA,0)+7))</f>
        <v>211</v>
      </c>
      <c r="AD55" s="369"/>
      <c r="AE55" s="368">
        <f>ABS(INDEX(AE:AE,MATCH(AE52,$AA:$AA,0)+5)+INDEX(AE:AE,MATCH(AE52,$AA:$AA,0)+6)+INDEX(AE:AE,MATCH(AE52,$AA:$AA,0)+7))</f>
        <v>212</v>
      </c>
      <c r="AF55" s="369"/>
      <c r="AG55" s="368">
        <f>ABS(INDEX(AG:AG,MATCH(AG52,$AA:$AA,0)+5)+INDEX(AG:AG,MATCH(AG52,$AA:$AA,0)+6)+INDEX(AG:AG,MATCH(AG52,$AA:$AA,0)+7))</f>
        <v>178</v>
      </c>
      <c r="AH55" s="369"/>
      <c r="AI55" s="368">
        <f>ABS(INDEX(AI:AI,MATCH(AI52,$AA:$AA,0)+5)+INDEX(AI:AI,MATCH(AI52,$AA:$AA,0)+6)+INDEX(AI:AI,MATCH(AI52,$AA:$AA,0)+7))</f>
        <v>163</v>
      </c>
      <c r="AJ55" s="369"/>
      <c r="AK55" s="368">
        <f>ABS(INDEX(AK:AK,MATCH(AK52,$AA:$AA,0)+5)+INDEX(AK:AK,MATCH(AK52,$AA:$AA,0)+6)+INDEX(AK:AK,MATCH(AK52,$AA:$AA,0)+7))</f>
        <v>215</v>
      </c>
      <c r="AL55" s="369"/>
      <c r="AM55" s="368">
        <f>ABS(INDEX(AM:AM,MATCH(AM52,$AA:$AA,0)+5)+INDEX(AM:AM,MATCH(AM52,$AA:$AA,0)+6)+INDEX(AM:AM,MATCH(AM52,$AA:$AA,0)+7))</f>
        <v>127</v>
      </c>
      <c r="AN55" s="369"/>
      <c r="AO55" s="368">
        <f>ABS(INDEX(AO:AO,MATCH(AO52,$AA:$AA,0)+5)+INDEX(AO:AO,MATCH(AO52,$AA:$AA,0)+6)+INDEX(AO:AO,MATCH(AO52,$AA:$AA,0)+7))</f>
        <v>156</v>
      </c>
      <c r="AP55" s="369"/>
      <c r="AQ55" s="368">
        <f>ABS(INDEX(AQ:AQ,MATCH(AQ52,$AA:$AA,0)+5)+INDEX(AQ:AQ,MATCH(AQ52,$AA:$AA,0)+6)+INDEX(AQ:AQ,MATCH(AQ52,$AA:$AA,0)+7))</f>
        <v>216</v>
      </c>
      <c r="AR55" s="369"/>
      <c r="AS55" s="368">
        <f>ABS(INDEX(AS:AS,MATCH(AS52,$AA:$AA,0)+5)+INDEX(AS:AS,MATCH(AS52,$AA:$AA,0)+6)+INDEX(AS:AS,MATCH(AS52,$AA:$AA,0)+7))</f>
        <v>164</v>
      </c>
      <c r="AT55" s="369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4" t="str">
        <f t="shared" si="68"/>
        <v>Spieler 2</v>
      </c>
      <c r="C56" s="375" t="str">
        <f t="shared" si="69"/>
        <v/>
      </c>
      <c r="D56" s="362">
        <f>IF(AC56=301,"",AC56)</f>
        <v>174</v>
      </c>
      <c r="E56" s="362" t="str">
        <f>IF(AD56=0,"",AD56)</f>
        <v/>
      </c>
      <c r="F56" s="362">
        <f>IF(AE56=301,"",AE56)</f>
        <v>194</v>
      </c>
      <c r="G56" s="362" t="str">
        <f>IF(AF56=0,"",AF56)</f>
        <v/>
      </c>
      <c r="H56" s="362">
        <f>IF(AG56=301,"",AG56)</f>
        <v>214</v>
      </c>
      <c r="I56" s="362" t="str">
        <f>IF(AH56=0,"",AH56)</f>
        <v/>
      </c>
      <c r="J56" s="362">
        <f>IF(AI56=301,"",AI56)</f>
        <v>156</v>
      </c>
      <c r="K56" s="362" t="str">
        <f>IF(AJ56=0,"",AJ56)</f>
        <v/>
      </c>
      <c r="L56" s="362">
        <f>IF(AK56=301,"",AK56)</f>
        <v>186</v>
      </c>
      <c r="M56" s="362" t="str">
        <f>IF(AL56=0,"",AL56)</f>
        <v/>
      </c>
      <c r="N56" s="362">
        <f>IF(AM56=301,"",AM56)</f>
        <v>195</v>
      </c>
      <c r="O56" s="362" t="str">
        <f>IF(AN56=0,"",AN56)</f>
        <v/>
      </c>
      <c r="P56" s="362">
        <f>IF(AO56=301,"",AO56)</f>
        <v>199</v>
      </c>
      <c r="Q56" s="362" t="str">
        <f>IF(AP56=0,"",AP56)</f>
        <v/>
      </c>
      <c r="R56" s="362">
        <f>IF(AQ56=301,"",AQ56)</f>
        <v>181</v>
      </c>
      <c r="S56" s="362" t="str">
        <f>IF(AR56=0,"",AR56)</f>
        <v/>
      </c>
      <c r="T56" s="362">
        <f>IF(AS56=301,"",AS56)</f>
        <v>171</v>
      </c>
      <c r="U56" s="362" t="str">
        <f>IF(AT56=0,"",AT56)</f>
        <v/>
      </c>
      <c r="V56" s="364"/>
      <c r="W56" s="364"/>
      <c r="AA56" s="91" t="s">
        <v>2</v>
      </c>
      <c r="AB56" s="92"/>
      <c r="AC56" s="366">
        <f>ABS(INDEX(AC:AC,MATCH(AC52,$AA:$AA,0)+8)+INDEX(AC:AC,MATCH(AC52,$AA:$AA,0)+9)+INDEX(AC:AC,MATCH(AC52,$AA:$AA,0)+10))</f>
        <v>174</v>
      </c>
      <c r="AD56" s="367"/>
      <c r="AE56" s="366">
        <f>ABS(INDEX(AE:AE,MATCH(AE52,$AA:$AA,0)+8)+INDEX(AE:AE,MATCH(AE52,$AA:$AA,0)+9)+INDEX(AE:AE,MATCH(AE52,$AA:$AA,0)+10))</f>
        <v>194</v>
      </c>
      <c r="AF56" s="367"/>
      <c r="AG56" s="366">
        <f>ABS(INDEX(AG:AG,MATCH(AG52,$AA:$AA,0)+8)+INDEX(AG:AG,MATCH(AG52,$AA:$AA,0)+9)+INDEX(AG:AG,MATCH(AG52,$AA:$AA,0)+10))</f>
        <v>214</v>
      </c>
      <c r="AH56" s="367"/>
      <c r="AI56" s="366">
        <f>ABS(INDEX(AI:AI,MATCH(AI52,$AA:$AA,0)+8)+INDEX(AI:AI,MATCH(AI52,$AA:$AA,0)+9)+INDEX(AI:AI,MATCH(AI52,$AA:$AA,0)+10))</f>
        <v>156</v>
      </c>
      <c r="AJ56" s="367"/>
      <c r="AK56" s="366">
        <f>ABS(INDEX(AK:AK,MATCH(AK52,$AA:$AA,0)+8)+INDEX(AK:AK,MATCH(AK52,$AA:$AA,0)+9)+INDEX(AK:AK,MATCH(AK52,$AA:$AA,0)+10))</f>
        <v>186</v>
      </c>
      <c r="AL56" s="367"/>
      <c r="AM56" s="366">
        <f>ABS(INDEX(AM:AM,MATCH(AM52,$AA:$AA,0)+8)+INDEX(AM:AM,MATCH(AM52,$AA:$AA,0)+9)+INDEX(AM:AM,MATCH(AM52,$AA:$AA,0)+10))</f>
        <v>195</v>
      </c>
      <c r="AN56" s="367"/>
      <c r="AO56" s="366">
        <f>ABS(INDEX(AO:AO,MATCH(AO52,$AA:$AA,0)+8)+INDEX(AO:AO,MATCH(AO52,$AA:$AA,0)+9)+INDEX(AO:AO,MATCH(AO52,$AA:$AA,0)+10))</f>
        <v>199</v>
      </c>
      <c r="AP56" s="367"/>
      <c r="AQ56" s="366">
        <f>ABS(INDEX(AQ:AQ,MATCH(AQ52,$AA:$AA,0)+8)+INDEX(AQ:AQ,MATCH(AQ52,$AA:$AA,0)+9)+INDEX(AQ:AQ,MATCH(AQ52,$AA:$AA,0)+10))</f>
        <v>181</v>
      </c>
      <c r="AR56" s="367"/>
      <c r="AS56" s="366">
        <f>ABS(INDEX(AS:AS,MATCH(AS52,$AA:$AA,0)+8)+INDEX(AS:AS,MATCH(AS52,$AA:$AA,0)+9)+INDEX(AS:AS,MATCH(AS52,$AA:$AA,0)+10))</f>
        <v>171</v>
      </c>
      <c r="AT56" s="367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4" t="str">
        <f t="shared" si="68"/>
        <v>Spieler 3</v>
      </c>
      <c r="C57" s="375" t="str">
        <f t="shared" si="69"/>
        <v/>
      </c>
      <c r="D57" s="362">
        <f>IF(AC57=301,"",AC57)</f>
        <v>184</v>
      </c>
      <c r="E57" s="362" t="str">
        <f>IF(AD57=0,"",AD57)</f>
        <v/>
      </c>
      <c r="F57" s="362">
        <f>IF(AE57=301,"",AE57)</f>
        <v>157</v>
      </c>
      <c r="G57" s="362" t="str">
        <f>IF(AF57=0,"",AF57)</f>
        <v/>
      </c>
      <c r="H57" s="362">
        <f>IF(AG57=301,"",AG57)</f>
        <v>172</v>
      </c>
      <c r="I57" s="362" t="str">
        <f>IF(AH57=0,"",AH57)</f>
        <v/>
      </c>
      <c r="J57" s="362">
        <f>IF(AI57=301,"",AI57)</f>
        <v>177</v>
      </c>
      <c r="K57" s="362" t="str">
        <f>IF(AJ57=0,"",AJ57)</f>
        <v/>
      </c>
      <c r="L57" s="362">
        <f>IF(AK57=301,"",AK57)</f>
        <v>237</v>
      </c>
      <c r="M57" s="362" t="str">
        <f>IF(AL57=0,"",AL57)</f>
        <v/>
      </c>
      <c r="N57" s="362">
        <f>IF(AM57=301,"",AM57)</f>
        <v>184</v>
      </c>
      <c r="O57" s="362" t="str">
        <f>IF(AN57=0,"",AN57)</f>
        <v/>
      </c>
      <c r="P57" s="362">
        <f>IF(AO57=301,"",AO57)</f>
        <v>167</v>
      </c>
      <c r="Q57" s="362" t="str">
        <f>IF(AP57=0,"",AP57)</f>
        <v/>
      </c>
      <c r="R57" s="362">
        <f>IF(AQ57=301,"",AQ57)</f>
        <v>199</v>
      </c>
      <c r="S57" s="362" t="str">
        <f>IF(AR57=0,"",AR57)</f>
        <v/>
      </c>
      <c r="T57" s="362">
        <f>IF(AS57=301,"",AS57)</f>
        <v>244</v>
      </c>
      <c r="U57" s="362" t="str">
        <f>IF(AT57=0,"",AT57)</f>
        <v/>
      </c>
      <c r="V57" s="364"/>
      <c r="W57" s="364"/>
      <c r="AA57" s="91" t="s">
        <v>3</v>
      </c>
      <c r="AB57" s="92"/>
      <c r="AC57" s="366">
        <f>ABS(INDEX(AC:AC,MATCH(AC52,$AA:$AA,0)+11)+INDEX(AC:AC,MATCH(AC52,$AA:$AA,0)+12)+INDEX(AC:AC,MATCH(AC52,$AA:$AA,0)+13))</f>
        <v>184</v>
      </c>
      <c r="AD57" s="367"/>
      <c r="AE57" s="366">
        <f>ABS(INDEX(AE:AE,MATCH(AE52,$AA:$AA,0)+11)+INDEX(AE:AE,MATCH(AE52,$AA:$AA,0)+12)+INDEX(AE:AE,MATCH(AE52,$AA:$AA,0)+13))</f>
        <v>157</v>
      </c>
      <c r="AF57" s="367"/>
      <c r="AG57" s="366">
        <f>ABS(INDEX(AG:AG,MATCH(AG52,$AA:$AA,0)+11)+INDEX(AG:AG,MATCH(AG52,$AA:$AA,0)+12)+INDEX(AG:AG,MATCH(AG52,$AA:$AA,0)+13))</f>
        <v>172</v>
      </c>
      <c r="AH57" s="367"/>
      <c r="AI57" s="366">
        <f>ABS(INDEX(AI:AI,MATCH(AI52,$AA:$AA,0)+11)+INDEX(AI:AI,MATCH(AI52,$AA:$AA,0)+12)+INDEX(AI:AI,MATCH(AI52,$AA:$AA,0)+13))</f>
        <v>177</v>
      </c>
      <c r="AJ57" s="367"/>
      <c r="AK57" s="366">
        <f>ABS(INDEX(AK:AK,MATCH(AK52,$AA:$AA,0)+11)+INDEX(AK:AK,MATCH(AK52,$AA:$AA,0)+12)+INDEX(AK:AK,MATCH(AK52,$AA:$AA,0)+13))</f>
        <v>237</v>
      </c>
      <c r="AL57" s="367"/>
      <c r="AM57" s="366">
        <f>ABS(INDEX(AM:AM,MATCH(AM52,$AA:$AA,0)+11)+INDEX(AM:AM,MATCH(AM52,$AA:$AA,0)+12)+INDEX(AM:AM,MATCH(AM52,$AA:$AA,0)+13))</f>
        <v>184</v>
      </c>
      <c r="AN57" s="367"/>
      <c r="AO57" s="366">
        <f>ABS(INDEX(AO:AO,MATCH(AO52,$AA:$AA,0)+11)+INDEX(AO:AO,MATCH(AO52,$AA:$AA,0)+12)+INDEX(AO:AO,MATCH(AO52,$AA:$AA,0)+13))</f>
        <v>167</v>
      </c>
      <c r="AP57" s="367"/>
      <c r="AQ57" s="366">
        <f>ABS(INDEX(AQ:AQ,MATCH(AQ52,$AA:$AA,0)+11)+INDEX(AQ:AQ,MATCH(AQ52,$AA:$AA,0)+12)+INDEX(AQ:AQ,MATCH(AQ52,$AA:$AA,0)+13))</f>
        <v>199</v>
      </c>
      <c r="AR57" s="367"/>
      <c r="AS57" s="366">
        <f>ABS(INDEX(AS:AS,MATCH(AS52,$AA:$AA,0)+11)+INDEX(AS:AS,MATCH(AS52,$AA:$AA,0)+12)+INDEX(AS:AS,MATCH(AS52,$AA:$AA,0)+13))</f>
        <v>244</v>
      </c>
      <c r="AT57" s="367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4" t="str">
        <f t="shared" si="68"/>
        <v>Spieler 4</v>
      </c>
      <c r="C58" s="375" t="str">
        <f t="shared" si="69"/>
        <v/>
      </c>
      <c r="D58" s="362">
        <f>IF(AC58=301,"",AC58)</f>
        <v>177</v>
      </c>
      <c r="E58" s="362" t="str">
        <f>IF(AD58=0,"",AD58)</f>
        <v/>
      </c>
      <c r="F58" s="362">
        <f>IF(AE58=301,"",AE58)</f>
        <v>204</v>
      </c>
      <c r="G58" s="362" t="str">
        <f>IF(AF58=0,"",AF58)</f>
        <v/>
      </c>
      <c r="H58" s="362">
        <f>IF(AG58=301,"",AG58)</f>
        <v>143</v>
      </c>
      <c r="I58" s="362" t="str">
        <f>IF(AH58=0,"",AH58)</f>
        <v/>
      </c>
      <c r="J58" s="362">
        <f>IF(AI58=301,"",AI58)</f>
        <v>157</v>
      </c>
      <c r="K58" s="362" t="str">
        <f>IF(AJ58=0,"",AJ58)</f>
        <v/>
      </c>
      <c r="L58" s="362">
        <f>IF(AK58=301,"",AK58)</f>
        <v>238</v>
      </c>
      <c r="M58" s="362" t="str">
        <f>IF(AL58=0,"",AL58)</f>
        <v/>
      </c>
      <c r="N58" s="362">
        <f>IF(AM58=301,"",AM58)</f>
        <v>242</v>
      </c>
      <c r="O58" s="362" t="str">
        <f>IF(AN58=0,"",AN58)</f>
        <v/>
      </c>
      <c r="P58" s="362">
        <f>IF(AO58=301,"",AO58)</f>
        <v>193</v>
      </c>
      <c r="Q58" s="362" t="str">
        <f>IF(AP58=0,"",AP58)</f>
        <v/>
      </c>
      <c r="R58" s="362">
        <f>IF(AQ58=301,"",AQ58)</f>
        <v>236</v>
      </c>
      <c r="S58" s="362" t="str">
        <f>IF(AR58=0,"",AR58)</f>
        <v/>
      </c>
      <c r="T58" s="362">
        <f>IF(AS58=301,"",AS58)</f>
        <v>151</v>
      </c>
      <c r="U58" s="362" t="str">
        <f>IF(AT58=0,"",AT58)</f>
        <v/>
      </c>
      <c r="V58" s="364"/>
      <c r="W58" s="364"/>
      <c r="AA58" s="91" t="s">
        <v>11</v>
      </c>
      <c r="AB58" s="92"/>
      <c r="AC58" s="366">
        <f>ABS(INDEX(AC:AC,MATCH(AC52,$AA:$AA,0)+14)+INDEX(AC:AC,MATCH(AC52,$AA:$AA,0)+15)+INDEX(AC:AC,MATCH(AC52,$AA:$AA,0)+16))</f>
        <v>177</v>
      </c>
      <c r="AD58" s="367"/>
      <c r="AE58" s="366">
        <f>ABS(INDEX(AE:AE,MATCH(AE52,$AA:$AA,0)+14)+INDEX(AE:AE,MATCH(AE52,$AA:$AA,0)+15)+INDEX(AE:AE,MATCH(AE52,$AA:$AA,0)+16))</f>
        <v>204</v>
      </c>
      <c r="AF58" s="367"/>
      <c r="AG58" s="366">
        <f>ABS(INDEX(AG:AG,MATCH(AG52,$AA:$AA,0)+14)+INDEX(AG:AG,MATCH(AG52,$AA:$AA,0)+15)+INDEX(AG:AG,MATCH(AG52,$AA:$AA,0)+16))</f>
        <v>143</v>
      </c>
      <c r="AH58" s="367"/>
      <c r="AI58" s="366">
        <f>ABS(INDEX(AI:AI,MATCH(AI52,$AA:$AA,0)+14)+INDEX(AI:AI,MATCH(AI52,$AA:$AA,0)+15)+INDEX(AI:AI,MATCH(AI52,$AA:$AA,0)+16))</f>
        <v>157</v>
      </c>
      <c r="AJ58" s="367"/>
      <c r="AK58" s="366">
        <f>ABS(INDEX(AK:AK,MATCH(AK52,$AA:$AA,0)+14)+INDEX(AK:AK,MATCH(AK52,$AA:$AA,0)+15)+INDEX(AK:AK,MATCH(AK52,$AA:$AA,0)+16))</f>
        <v>238</v>
      </c>
      <c r="AL58" s="367"/>
      <c r="AM58" s="366">
        <f>ABS(INDEX(AM:AM,MATCH(AM52,$AA:$AA,0)+14)+INDEX(AM:AM,MATCH(AM52,$AA:$AA,0)+15)+INDEX(AM:AM,MATCH(AM52,$AA:$AA,0)+16))</f>
        <v>242</v>
      </c>
      <c r="AN58" s="367"/>
      <c r="AO58" s="366">
        <f>ABS(INDEX(AO:AO,MATCH(AO52,$AA:$AA,0)+14)+INDEX(AO:AO,MATCH(AO52,$AA:$AA,0)+15)+INDEX(AO:AO,MATCH(AO52,$AA:$AA,0)+16))</f>
        <v>193</v>
      </c>
      <c r="AP58" s="367"/>
      <c r="AQ58" s="366">
        <f>ABS(INDEX(AQ:AQ,MATCH(AQ52,$AA:$AA,0)+14)+INDEX(AQ:AQ,MATCH(AQ52,$AA:$AA,0)+15)+INDEX(AQ:AQ,MATCH(AQ52,$AA:$AA,0)+16))</f>
        <v>236</v>
      </c>
      <c r="AR58" s="367"/>
      <c r="AS58" s="366">
        <f>ABS(INDEX(AS:AS,MATCH(AS52,$AA:$AA,0)+14)+INDEX(AS:AS,MATCH(AS52,$AA:$AA,0)+15)+INDEX(AS:AS,MATCH(AS52,$AA:$AA,0)+16))</f>
        <v>151</v>
      </c>
      <c r="AT58" s="367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6" t="str">
        <f t="shared" si="68"/>
        <v>Gesamt</v>
      </c>
      <c r="C59" s="347" t="str">
        <f t="shared" si="69"/>
        <v/>
      </c>
      <c r="D59" s="365">
        <f>IF(AC59=1505,"",AC59)</f>
        <v>746</v>
      </c>
      <c r="E59" s="365" t="str">
        <f>IF(AD59=0,"",AD59)</f>
        <v/>
      </c>
      <c r="F59" s="365">
        <f>IF(AE59=1505,"",AE59)</f>
        <v>767</v>
      </c>
      <c r="G59" s="365" t="str">
        <f>IF(AF59=0,"",AF59)</f>
        <v/>
      </c>
      <c r="H59" s="365">
        <f>IF(AG59=1505,"",AG59)</f>
        <v>707</v>
      </c>
      <c r="I59" s="365" t="str">
        <f>IF(AH59=0,"",AH59)</f>
        <v/>
      </c>
      <c r="J59" s="365">
        <f>IF(AI59=1505,"",AI59)</f>
        <v>653</v>
      </c>
      <c r="K59" s="365" t="str">
        <f>IF(AJ59=0,"",AJ59)</f>
        <v/>
      </c>
      <c r="L59" s="365">
        <f>IF(AK59=1505,"",AK59)</f>
        <v>876</v>
      </c>
      <c r="M59" s="365" t="str">
        <f>IF(AL59=0,"",AL59)</f>
        <v/>
      </c>
      <c r="N59" s="365">
        <f>IF(AM59=1505,"",AM59)</f>
        <v>748</v>
      </c>
      <c r="O59" s="365" t="str">
        <f>IF(AN59=0,"",AN59)</f>
        <v/>
      </c>
      <c r="P59" s="365">
        <f>IF(AO59=1505,"",AO59)</f>
        <v>715</v>
      </c>
      <c r="Q59" s="365" t="str">
        <f>IF(AP59=0,"",AP59)</f>
        <v/>
      </c>
      <c r="R59" s="365">
        <f>IF(AQ59=1505,"",AQ59)</f>
        <v>832</v>
      </c>
      <c r="S59" s="365" t="str">
        <f>IF(AR59=0,"",AR59)</f>
        <v/>
      </c>
      <c r="T59" s="365">
        <f>IF(AS59=1505,"",AS59)</f>
        <v>730</v>
      </c>
      <c r="U59" s="365" t="str">
        <f>IF(AT59=0,"",AT59)</f>
        <v/>
      </c>
      <c r="V59" s="301"/>
      <c r="W59" s="301"/>
      <c r="AA59" s="93" t="s">
        <v>1799</v>
      </c>
      <c r="AB59" s="94"/>
      <c r="AC59" s="346">
        <f>SUM(AC55:AC58)</f>
        <v>746</v>
      </c>
      <c r="AD59" s="347"/>
      <c r="AE59" s="346">
        <f>SUM(AE55:AE58)</f>
        <v>767</v>
      </c>
      <c r="AF59" s="347"/>
      <c r="AG59" s="346">
        <f>SUM(AG55:AG58)</f>
        <v>707</v>
      </c>
      <c r="AH59" s="347"/>
      <c r="AI59" s="346">
        <f>SUM(AI55:AI58)</f>
        <v>653</v>
      </c>
      <c r="AJ59" s="347"/>
      <c r="AK59" s="346">
        <f>SUM(AK55:AK58)</f>
        <v>876</v>
      </c>
      <c r="AL59" s="347"/>
      <c r="AM59" s="346">
        <f>SUM(AM55:AM58)</f>
        <v>748</v>
      </c>
      <c r="AN59" s="347"/>
      <c r="AO59" s="346">
        <f>SUM(AO55:AO58)</f>
        <v>715</v>
      </c>
      <c r="AP59" s="347"/>
      <c r="AQ59" s="346">
        <f>SUM(AQ55:AQ58)</f>
        <v>832</v>
      </c>
      <c r="AR59" s="347"/>
      <c r="AS59" s="346">
        <f>SUM(AS55:AS58)</f>
        <v>730</v>
      </c>
      <c r="AT59" s="347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5" t="str">
        <f>AE61</f>
        <v>Bayernliga Herren</v>
      </c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48"/>
      <c r="S61" s="49" t="s">
        <v>1794</v>
      </c>
      <c r="T61" s="50"/>
      <c r="U61" s="341" t="str">
        <f>AT61</f>
        <v>12.10./13.10.</v>
      </c>
      <c r="V61" s="342"/>
      <c r="W61" s="343"/>
      <c r="X61" s="372"/>
      <c r="Y61" s="373"/>
      <c r="Z61" s="373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41" t="str">
        <f>VLOOKUP(AS62,Spielorte!$A$1:$C$6,2)</f>
        <v>12.10./13.10.</v>
      </c>
      <c r="AU61" s="342"/>
      <c r="AV61" s="34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4" t="str">
        <f>AE62</f>
        <v>Unterföhring Dreambowl Palace</v>
      </c>
      <c r="G62" s="344"/>
      <c r="H62" s="344"/>
      <c r="I62" s="344"/>
      <c r="J62" s="344"/>
      <c r="K62" s="344"/>
      <c r="L62" s="344"/>
      <c r="M62" s="344"/>
      <c r="N62" s="344"/>
      <c r="O62" s="344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6" t="s">
        <v>1800</v>
      </c>
      <c r="E65" s="347"/>
      <c r="F65" s="346" t="s">
        <v>1801</v>
      </c>
      <c r="G65" s="347"/>
      <c r="H65" s="346" t="s">
        <v>1802</v>
      </c>
      <c r="I65" s="347"/>
      <c r="J65" s="346" t="s">
        <v>1803</v>
      </c>
      <c r="K65" s="347"/>
      <c r="L65" s="346" t="s">
        <v>1804</v>
      </c>
      <c r="M65" s="347"/>
      <c r="N65" s="346" t="s">
        <v>1805</v>
      </c>
      <c r="O65" s="347"/>
      <c r="P65" s="346" t="s">
        <v>1806</v>
      </c>
      <c r="Q65" s="347"/>
      <c r="R65" s="346" t="s">
        <v>1807</v>
      </c>
      <c r="S65" s="347"/>
      <c r="T65" s="346" t="s">
        <v>1808</v>
      </c>
      <c r="U65" s="347"/>
      <c r="V65" s="354" t="s">
        <v>1799</v>
      </c>
      <c r="W65" s="355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6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191</v>
      </c>
      <c r="E67" s="348">
        <f>IF(AD67="","",AD67)</f>
        <v>1</v>
      </c>
      <c r="F67" s="75">
        <f t="shared" ref="F67:F80" si="72">IF(AE67=0,"",AE67)</f>
        <v>269</v>
      </c>
      <c r="G67" s="348">
        <f>IF(AF67="","",AF67)</f>
        <v>1</v>
      </c>
      <c r="H67" s="75">
        <f t="shared" ref="H67:H80" si="73">IF(AG67=0,"",AG67)</f>
        <v>206</v>
      </c>
      <c r="I67" s="348">
        <f>IF(AH67="","",AH67)</f>
        <v>1</v>
      </c>
      <c r="J67" s="75">
        <f t="shared" ref="J67:J80" si="74">IF(AI67=0,"",AI67)</f>
        <v>179</v>
      </c>
      <c r="K67" s="348">
        <f>IF(AJ67="","",AJ67)</f>
        <v>0</v>
      </c>
      <c r="L67" s="75">
        <f t="shared" ref="L67:L80" si="75">IF(AK67=0,"",AK67)</f>
        <v>215</v>
      </c>
      <c r="M67" s="348">
        <f>IF(AL67="","",AL67)</f>
        <v>0</v>
      </c>
      <c r="N67" s="75">
        <f>IF(AM67=0,"",AM67)</f>
        <v>224</v>
      </c>
      <c r="O67" s="348">
        <f>IF(AN67="","",AN67)</f>
        <v>0</v>
      </c>
      <c r="P67" s="75">
        <f t="shared" ref="P67:P80" si="76">IF(AO67=0,"",AO67)</f>
        <v>209</v>
      </c>
      <c r="Q67" s="348">
        <f>IF(AP67="","",AP67)</f>
        <v>0.5</v>
      </c>
      <c r="R67" s="75">
        <f t="shared" ref="R67:R80" si="77">IF(AQ67=0,"",AQ67)</f>
        <v>225</v>
      </c>
      <c r="S67" s="348">
        <f>IF(AR67="","",AR67)</f>
        <v>1</v>
      </c>
      <c r="T67" s="75">
        <f t="shared" ref="T67:T80" si="78">IF(AS67=0,"",AS67)</f>
        <v>211</v>
      </c>
      <c r="U67" s="348">
        <f>IF(AT67="","",AT67)</f>
        <v>1</v>
      </c>
      <c r="V67" s="75">
        <f t="shared" ref="V67:V80" si="79">IF(AU67=0,"",AU67)</f>
        <v>1929</v>
      </c>
      <c r="W67" s="348">
        <f>IF(AV67="","",AV67)</f>
        <v>5.5</v>
      </c>
      <c r="Z67" s="351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269</v>
      </c>
      <c r="AF67" s="109">
        <f>IF(SUM(AE67:AE69)+AE85=0,0,IF(SUM(ABS(AE67),ABS(AE68),ABS(AE69))=AE85,0.5,IF(SUM(ABS(AE67),ABS(AE68),ABS(AE69))&gt;AE85,1,0)))</f>
        <v>1</v>
      </c>
      <c r="AG67" s="185">
        <v>206</v>
      </c>
      <c r="AH67" s="109">
        <f>IF(SUM(AG67:AG69)+AG85=0,0,IF(SUM(ABS(AG67),ABS(AG68),ABS(AG69))=AG85,0.5,IF(SUM(ABS(AG67),ABS(AG68),ABS(AG69))&gt;AG85,1,0)))</f>
        <v>1</v>
      </c>
      <c r="AI67" s="185">
        <v>179</v>
      </c>
      <c r="AJ67" s="109">
        <f>IF(SUM(AI67:AI69)+AI85=0,0,IF(SUM(ABS(AI67),ABS(AI68),ABS(AI69))=AI85,0.5,IF(SUM(ABS(AI67),ABS(AI68),ABS(AI69))&gt;AI85,1,0)))</f>
        <v>0</v>
      </c>
      <c r="AK67" s="185">
        <v>215</v>
      </c>
      <c r="AL67" s="109">
        <f>IF(SUM(AK67:AK69)+AK85=0,0,IF(SUM(ABS(AK67),ABS(AK68),ABS(AK69))=AK85,0.5,IF(SUM(ABS(AK67),ABS(AK68),ABS(AK69))&gt;AK85,1,0)))</f>
        <v>0</v>
      </c>
      <c r="AM67" s="185">
        <v>224</v>
      </c>
      <c r="AN67" s="109">
        <f>IF(SUM(AM67:AM69)+AM85=0,0,IF(SUM(ABS(AM67),ABS(AM68),ABS(AM69))=AM85,0.5,IF(SUM(ABS(AM67),ABS(AM68),ABS(AM69))&gt;AM85,1,0)))</f>
        <v>0</v>
      </c>
      <c r="AO67" s="185">
        <v>209</v>
      </c>
      <c r="AP67" s="109">
        <f>IF(SUM(AO67:AO69)+AO85=0,0,IF(SUM(ABS(AO67),ABS(AO68),ABS(AO69))=AO85,0.5,IF(SUM(ABS(AO67),ABS(AO68),ABS(AO69))&gt;AO85,1,0)))</f>
        <v>0.5</v>
      </c>
      <c r="AQ67" s="185">
        <v>225</v>
      </c>
      <c r="AR67" s="109">
        <f>IF(SUM(AQ67:AQ69)+AQ85=0,0,IF(SUM(ABS(AQ67),ABS(AQ68),ABS(AQ69))=AQ85,0.5,IF(SUM(ABS(AQ67),ABS(AQ68),ABS(AQ69))&gt;AQ85,1,0)))</f>
        <v>1</v>
      </c>
      <c r="AS67" s="185">
        <v>211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1929</v>
      </c>
      <c r="AV67" s="111">
        <f>SUM(AD67+AF67+AH67+AJ67+AL67+AN67+AP67+AR67+AT67)</f>
        <v>5.5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1929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269</v>
      </c>
      <c r="BJ67" s="215">
        <f t="shared" ref="BJ67:BJ78" si="83">IF(AG67=0,"",AG67)</f>
        <v>206</v>
      </c>
      <c r="BK67" s="215">
        <f t="shared" ref="BK67:BK78" si="84">IF(AI67=0,"",AI67)</f>
        <v>179</v>
      </c>
      <c r="BL67" s="215">
        <f t="shared" ref="BL67:BL78" si="85">IF(AK67=0,"",AK67)</f>
        <v>215</v>
      </c>
      <c r="BM67" s="215">
        <f t="shared" ref="BM67:BM78" si="86">IF(AM67=0,"",AM67)</f>
        <v>224</v>
      </c>
      <c r="BN67" s="215">
        <f t="shared" ref="BN67:BN78" si="87">IF(AO67=0,"",AO67)</f>
        <v>209</v>
      </c>
      <c r="BO67" s="215">
        <f t="shared" ref="BO67:BO78" si="88">IF(AQ67=0,"",AQ67)</f>
        <v>225</v>
      </c>
      <c r="BP67" s="215">
        <f t="shared" ref="BP67:BP78" si="89">IF(AS67=0,"",AS67)</f>
        <v>211</v>
      </c>
      <c r="BQ67" s="216"/>
      <c r="BR67" s="214"/>
      <c r="BS67" s="215">
        <f>MAX(BH67:BP67)</f>
        <v>269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1929</v>
      </c>
      <c r="BX67" s="215">
        <f>IF(COUNTIF(BH67:BP67,"&gt;0")&lt;Spielorte!$A$23,0,BE67/Spielorte!$A$23)</f>
        <v>214.33333333333334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00000000000001" customHeight="1" x14ac:dyDescent="0.25">
      <c r="A68" s="377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49"/>
      <c r="F68" s="78" t="str">
        <f t="shared" si="72"/>
        <v/>
      </c>
      <c r="G68" s="349"/>
      <c r="H68" s="78" t="str">
        <f t="shared" si="73"/>
        <v/>
      </c>
      <c r="I68" s="349"/>
      <c r="J68" s="78" t="str">
        <f t="shared" si="74"/>
        <v/>
      </c>
      <c r="K68" s="349"/>
      <c r="L68" s="78" t="str">
        <f t="shared" si="75"/>
        <v/>
      </c>
      <c r="M68" s="349"/>
      <c r="N68" s="78" t="str">
        <f t="shared" ref="N68:N80" si="94">IF(AM68=0,"",AM68)</f>
        <v/>
      </c>
      <c r="O68" s="349"/>
      <c r="P68" s="78" t="str">
        <f t="shared" si="76"/>
        <v/>
      </c>
      <c r="Q68" s="349"/>
      <c r="R68" s="78" t="str">
        <f t="shared" si="77"/>
        <v/>
      </c>
      <c r="S68" s="349"/>
      <c r="T68" s="78" t="str">
        <f t="shared" si="78"/>
        <v/>
      </c>
      <c r="U68" s="349"/>
      <c r="V68" s="78" t="str">
        <f t="shared" si="79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BK München 3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00000000000001" customHeight="1" thickBot="1" x14ac:dyDescent="0.3">
      <c r="A69" s="378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50"/>
      <c r="F69" s="69" t="str">
        <f t="shared" si="72"/>
        <v/>
      </c>
      <c r="G69" s="350"/>
      <c r="H69" s="69" t="str">
        <f t="shared" si="73"/>
        <v/>
      </c>
      <c r="I69" s="350"/>
      <c r="J69" s="69" t="str">
        <f t="shared" si="74"/>
        <v/>
      </c>
      <c r="K69" s="350"/>
      <c r="L69" s="69" t="str">
        <f t="shared" si="75"/>
        <v/>
      </c>
      <c r="M69" s="350"/>
      <c r="N69" s="69" t="str">
        <f t="shared" si="94"/>
        <v/>
      </c>
      <c r="O69" s="350"/>
      <c r="P69" s="69" t="str">
        <f t="shared" si="76"/>
        <v/>
      </c>
      <c r="Q69" s="350"/>
      <c r="R69" s="69" t="str">
        <f t="shared" si="77"/>
        <v/>
      </c>
      <c r="S69" s="350"/>
      <c r="T69" s="69" t="str">
        <f t="shared" si="78"/>
        <v/>
      </c>
      <c r="U69" s="350"/>
      <c r="V69" s="69" t="str">
        <f t="shared" si="79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BK München 3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00000000000001" customHeight="1" x14ac:dyDescent="0.25">
      <c r="A70" s="376" t="s">
        <v>2</v>
      </c>
      <c r="B70" s="73" t="str">
        <f t="shared" si="91"/>
        <v>Hellmessen, Maximilian</v>
      </c>
      <c r="C70" s="74">
        <f t="shared" si="92"/>
        <v>16912</v>
      </c>
      <c r="D70" s="75">
        <f t="shared" si="93"/>
        <v>212</v>
      </c>
      <c r="E70" s="348">
        <f>IF(AD70="","",AD70)</f>
        <v>1</v>
      </c>
      <c r="F70" s="75">
        <f t="shared" si="72"/>
        <v>235</v>
      </c>
      <c r="G70" s="348">
        <f>IF(AF70="","",AF70)</f>
        <v>1</v>
      </c>
      <c r="H70" s="75">
        <f t="shared" si="73"/>
        <v>233</v>
      </c>
      <c r="I70" s="348">
        <f>IF(AH70="","",AH70)</f>
        <v>1</v>
      </c>
      <c r="J70" s="75">
        <f t="shared" si="74"/>
        <v>208</v>
      </c>
      <c r="K70" s="348">
        <f>IF(AJ70="","",AJ70)</f>
        <v>1</v>
      </c>
      <c r="L70" s="75">
        <f t="shared" si="75"/>
        <v>186</v>
      </c>
      <c r="M70" s="348">
        <f>IF(AL70="","",AL70)</f>
        <v>1</v>
      </c>
      <c r="N70" s="75">
        <f t="shared" si="94"/>
        <v>211</v>
      </c>
      <c r="O70" s="348">
        <f>IF(AN70="","",AN70)</f>
        <v>0</v>
      </c>
      <c r="P70" s="75">
        <f t="shared" si="76"/>
        <v>182</v>
      </c>
      <c r="Q70" s="348">
        <f>IF(AP70="","",AP70)</f>
        <v>0</v>
      </c>
      <c r="R70" s="75">
        <f t="shared" si="77"/>
        <v>177</v>
      </c>
      <c r="S70" s="348">
        <f>IF(AR70="","",AR70)</f>
        <v>0</v>
      </c>
      <c r="T70" s="75">
        <f t="shared" si="78"/>
        <v>183</v>
      </c>
      <c r="U70" s="348">
        <f>IF(AT70="","",AT70)</f>
        <v>0</v>
      </c>
      <c r="V70" s="75">
        <f t="shared" si="79"/>
        <v>1827</v>
      </c>
      <c r="W70" s="348">
        <f>IF(AV70="","",AV70)</f>
        <v>5</v>
      </c>
      <c r="Z70" s="351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212</v>
      </c>
      <c r="AD70" s="109">
        <f>IF(SUM(AC70:AC72)+AC86=0,0,IF(SUM(ABS(AC70),ABS(AC71),ABS(AC72))=AC86,0.5,IF(SUM(ABS(AC70),ABS(AC71),ABS(AC72))&gt;AC86,1,0)))</f>
        <v>1</v>
      </c>
      <c r="AE70" s="188">
        <v>235</v>
      </c>
      <c r="AF70" s="109">
        <f>IF(SUM(AE70:AE72)+AE86=0,0,IF(SUM(ABS(AE70),ABS(AE71),ABS(AE72))=AE86,0.5,IF(SUM(ABS(AE70),ABS(AE71),ABS(AE72))&gt;AE86,1,0)))</f>
        <v>1</v>
      </c>
      <c r="AG70" s="188">
        <v>233</v>
      </c>
      <c r="AH70" s="109">
        <f>IF(SUM(AG70:AG72)+AG86=0,0,IF(SUM(ABS(AG70),ABS(AG71),ABS(AG72))=AG86,0.5,IF(SUM(ABS(AG70),ABS(AG71),ABS(AG72))&gt;AG86,1,0)))</f>
        <v>1</v>
      </c>
      <c r="AI70" s="188">
        <v>208</v>
      </c>
      <c r="AJ70" s="109">
        <f>IF(SUM(AI70:AI72)+AI86=0,0,IF(SUM(ABS(AI70),ABS(AI71),ABS(AI72))=AI86,0.5,IF(SUM(ABS(AI70),ABS(AI71),ABS(AI72))&gt;AI86,1,0)))</f>
        <v>1</v>
      </c>
      <c r="AK70" s="188">
        <v>186</v>
      </c>
      <c r="AL70" s="109">
        <f>IF(SUM(AK70:AK72)+AK86=0,0,IF(SUM(ABS(AK70),ABS(AK71),ABS(AK72))=AK86,0.5,IF(SUM(ABS(AK70),ABS(AK71),ABS(AK72))&gt;AK86,1,0)))</f>
        <v>1</v>
      </c>
      <c r="AM70" s="188">
        <v>211</v>
      </c>
      <c r="AN70" s="109">
        <f>IF(SUM(AM70:AM72)+AM86=0,0,IF(SUM(ABS(AM70),ABS(AM71),ABS(AM72))=AM86,0.5,IF(SUM(ABS(AM70),ABS(AM71),ABS(AM72))&gt;AM86,1,0)))</f>
        <v>0</v>
      </c>
      <c r="AO70" s="188">
        <v>182</v>
      </c>
      <c r="AP70" s="109">
        <f>IF(SUM(AO70:AO72)+AO86=0,0,IF(SUM(ABS(AO70),ABS(AO71),ABS(AO72))=AO86,0.5,IF(SUM(ABS(AO70),ABS(AO71),ABS(AO72))&gt;AO86,1,0)))</f>
        <v>0</v>
      </c>
      <c r="AQ70" s="188">
        <v>177</v>
      </c>
      <c r="AR70" s="109">
        <f>IF(SUM(AQ70:AQ72)+AQ86=0,0,IF(SUM(ABS(AQ70),ABS(AQ71),ABS(AQ72))=AQ86,0.5,IF(SUM(ABS(AQ70),ABS(AQ71),ABS(AQ72))&gt;AQ86,1,0)))</f>
        <v>0</v>
      </c>
      <c r="AS70" s="188">
        <v>183</v>
      </c>
      <c r="AT70" s="109">
        <f>IF(SUM(AS70:AS72)+AS86=0,0,IF(SUM(ABS(AS70),ABS(AS71),ABS(AS72))=AS86,0.5,IF(SUM(ABS(AS70),ABS(AS71),ABS(AS72))&gt;AS86,1,0)))</f>
        <v>0</v>
      </c>
      <c r="AU70" s="110">
        <f t="shared" si="80"/>
        <v>1827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5"/>
        <v>16912</v>
      </c>
      <c r="BE70" s="213">
        <f t="shared" si="96"/>
        <v>1827</v>
      </c>
      <c r="BF70" s="215">
        <f t="shared" si="97"/>
        <v>9</v>
      </c>
      <c r="BG70" s="215">
        <f t="shared" si="98"/>
        <v>9</v>
      </c>
      <c r="BH70" s="215">
        <f t="shared" si="81"/>
        <v>212</v>
      </c>
      <c r="BI70" s="215">
        <f t="shared" si="82"/>
        <v>235</v>
      </c>
      <c r="BJ70" s="215">
        <f t="shared" si="83"/>
        <v>233</v>
      </c>
      <c r="BK70" s="215">
        <f t="shared" si="84"/>
        <v>208</v>
      </c>
      <c r="BL70" s="215">
        <f t="shared" si="85"/>
        <v>186</v>
      </c>
      <c r="BM70" s="215">
        <f t="shared" si="86"/>
        <v>211</v>
      </c>
      <c r="BN70" s="215">
        <f t="shared" si="87"/>
        <v>182</v>
      </c>
      <c r="BO70" s="215">
        <f t="shared" si="88"/>
        <v>177</v>
      </c>
      <c r="BP70" s="215">
        <f t="shared" si="89"/>
        <v>183</v>
      </c>
      <c r="BQ70" s="216"/>
      <c r="BR70" s="214"/>
      <c r="BS70" s="215">
        <f t="shared" si="99"/>
        <v>235</v>
      </c>
      <c r="BT70" s="215">
        <f t="shared" si="100"/>
        <v>0</v>
      </c>
      <c r="BU70" s="215" t="str">
        <f t="shared" si="101"/>
        <v>BK München 3</v>
      </c>
      <c r="BV70" s="214">
        <f t="shared" si="102"/>
        <v>2</v>
      </c>
      <c r="BW70" s="215">
        <f t="shared" si="103"/>
        <v>1827</v>
      </c>
      <c r="BX70" s="215">
        <f>IF(COUNTIF(BH70:BP70,"&gt;0")&lt;Spielorte!$A$23,0,BE70/Spielorte!$A$23)</f>
        <v>203</v>
      </c>
      <c r="BY70" s="215">
        <f t="shared" si="104"/>
        <v>0</v>
      </c>
      <c r="BZ70" s="214">
        <f t="shared" si="90"/>
        <v>0</v>
      </c>
    </row>
    <row r="71" spans="1:78" ht="17.100000000000001" customHeight="1" x14ac:dyDescent="0.25">
      <c r="A71" s="377"/>
      <c r="B71" s="76" t="str">
        <f t="shared" si="91"/>
        <v/>
      </c>
      <c r="C71" s="77" t="str">
        <f t="shared" si="92"/>
        <v/>
      </c>
      <c r="D71" s="78" t="str">
        <f t="shared" si="93"/>
        <v/>
      </c>
      <c r="E71" s="349"/>
      <c r="F71" s="78" t="str">
        <f t="shared" si="72"/>
        <v/>
      </c>
      <c r="G71" s="349"/>
      <c r="H71" s="78" t="str">
        <f t="shared" si="73"/>
        <v/>
      </c>
      <c r="I71" s="349"/>
      <c r="J71" s="78" t="str">
        <f t="shared" si="74"/>
        <v/>
      </c>
      <c r="K71" s="349"/>
      <c r="L71" s="78" t="str">
        <f t="shared" si="75"/>
        <v/>
      </c>
      <c r="M71" s="349"/>
      <c r="N71" s="78" t="str">
        <f t="shared" si="94"/>
        <v/>
      </c>
      <c r="O71" s="349"/>
      <c r="P71" s="78" t="str">
        <f t="shared" si="76"/>
        <v/>
      </c>
      <c r="Q71" s="349"/>
      <c r="R71" s="78" t="str">
        <f t="shared" si="77"/>
        <v/>
      </c>
      <c r="S71" s="349"/>
      <c r="T71" s="78" t="str">
        <f t="shared" si="78"/>
        <v/>
      </c>
      <c r="U71" s="349"/>
      <c r="V71" s="78" t="str">
        <f t="shared" si="79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80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0</v>
      </c>
      <c r="BE71" s="213">
        <f t="shared" si="96"/>
        <v>0</v>
      </c>
      <c r="BF71" s="215">
        <f t="shared" si="97"/>
        <v>0</v>
      </c>
      <c r="BG71" s="215">
        <f t="shared" si="98"/>
        <v>0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 t="str">
        <f t="shared" si="85"/>
        <v/>
      </c>
      <c r="BM71" s="215" t="str">
        <f t="shared" si="86"/>
        <v/>
      </c>
      <c r="BN71" s="215" t="str">
        <f t="shared" si="87"/>
        <v/>
      </c>
      <c r="BO71" s="215" t="str">
        <f t="shared" si="88"/>
        <v/>
      </c>
      <c r="BP71" s="215" t="str">
        <f t="shared" si="89"/>
        <v/>
      </c>
      <c r="BQ71" s="216"/>
      <c r="BR71" s="214"/>
      <c r="BS71" s="215">
        <f t="shared" si="99"/>
        <v>0</v>
      </c>
      <c r="BT71" s="215">
        <f t="shared" si="100"/>
        <v>0</v>
      </c>
      <c r="BU71" s="215" t="str">
        <f t="shared" si="101"/>
        <v>BK München 3</v>
      </c>
      <c r="BV71" s="214">
        <f t="shared" si="102"/>
        <v>2</v>
      </c>
      <c r="BW71" s="215">
        <f t="shared" si="103"/>
        <v>0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00000000000001" customHeight="1" thickBot="1" x14ac:dyDescent="0.3">
      <c r="A72" s="378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50"/>
      <c r="F72" s="69" t="str">
        <f t="shared" si="72"/>
        <v/>
      </c>
      <c r="G72" s="350"/>
      <c r="H72" s="69" t="str">
        <f t="shared" si="73"/>
        <v/>
      </c>
      <c r="I72" s="350"/>
      <c r="J72" s="69" t="str">
        <f t="shared" si="74"/>
        <v/>
      </c>
      <c r="K72" s="350"/>
      <c r="L72" s="69" t="str">
        <f t="shared" si="75"/>
        <v/>
      </c>
      <c r="M72" s="350"/>
      <c r="N72" s="69" t="str">
        <f t="shared" si="94"/>
        <v/>
      </c>
      <c r="O72" s="350"/>
      <c r="P72" s="69" t="str">
        <f t="shared" si="76"/>
        <v/>
      </c>
      <c r="Q72" s="350"/>
      <c r="R72" s="69" t="str">
        <f t="shared" si="77"/>
        <v/>
      </c>
      <c r="S72" s="350"/>
      <c r="T72" s="69" t="str">
        <f t="shared" si="78"/>
        <v/>
      </c>
      <c r="U72" s="350"/>
      <c r="V72" s="69" t="str">
        <f t="shared" si="79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BK München 3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00000000000001" customHeight="1" x14ac:dyDescent="0.25">
      <c r="A73" s="376" t="s">
        <v>3</v>
      </c>
      <c r="B73" s="73" t="str">
        <f t="shared" si="91"/>
        <v>Laub, Harald</v>
      </c>
      <c r="C73" s="74">
        <f t="shared" si="92"/>
        <v>7597</v>
      </c>
      <c r="D73" s="75">
        <f t="shared" si="93"/>
        <v>214</v>
      </c>
      <c r="E73" s="348">
        <f>IF(AD73="","",AD73)</f>
        <v>1</v>
      </c>
      <c r="F73" s="75">
        <f t="shared" si="72"/>
        <v>147</v>
      </c>
      <c r="G73" s="348">
        <f>IF(AF73="","",AF73)</f>
        <v>0</v>
      </c>
      <c r="H73" s="75">
        <f t="shared" si="73"/>
        <v>183</v>
      </c>
      <c r="I73" s="348">
        <f>IF(AH73="","",AH73)</f>
        <v>0</v>
      </c>
      <c r="J73" s="75">
        <f t="shared" si="74"/>
        <v>167</v>
      </c>
      <c r="K73" s="348">
        <f>IF(AJ73="","",AJ73)</f>
        <v>0</v>
      </c>
      <c r="L73" s="75" t="str">
        <f t="shared" si="75"/>
        <v/>
      </c>
      <c r="M73" s="348">
        <f>IF(AL73="","",AL73)</f>
        <v>1</v>
      </c>
      <c r="N73" s="75" t="str">
        <f t="shared" si="94"/>
        <v/>
      </c>
      <c r="O73" s="348">
        <f>IF(AN73="","",AN73)</f>
        <v>0</v>
      </c>
      <c r="P73" s="75" t="str">
        <f t="shared" si="76"/>
        <v/>
      </c>
      <c r="Q73" s="348">
        <f>IF(AP73="","",AP73)</f>
        <v>0.5</v>
      </c>
      <c r="R73" s="75" t="str">
        <f t="shared" si="77"/>
        <v/>
      </c>
      <c r="S73" s="348">
        <f>IF(AR73="","",AR73)</f>
        <v>1</v>
      </c>
      <c r="T73" s="75" t="str">
        <f t="shared" si="78"/>
        <v/>
      </c>
      <c r="U73" s="348">
        <f>IF(AT73="","",AT73)</f>
        <v>0</v>
      </c>
      <c r="V73" s="75">
        <f t="shared" si="79"/>
        <v>711</v>
      </c>
      <c r="W73" s="348">
        <f>IF(AV73="","",AV73)</f>
        <v>3.5</v>
      </c>
      <c r="Z73" s="351" t="s">
        <v>3</v>
      </c>
      <c r="AA73" s="108" t="str">
        <f>IF(AB73=0,"",VLOOKUP(AB73,Starter!$A$1:$D$199,2,FALSE))</f>
        <v>Laub, Harald</v>
      </c>
      <c r="AB73" s="99">
        <v>7597</v>
      </c>
      <c r="AC73" s="188">
        <v>214</v>
      </c>
      <c r="AD73" s="109">
        <f>IF(SUM(AC73:AC75)+AC87=0,0,IF(SUM(ABS(AC73),ABS(AC74),ABS(AC75))=AC87,0.5,IF(SUM(ABS(AC73),ABS(AC74),ABS(AC75))&gt;AC87,1,0)))</f>
        <v>1</v>
      </c>
      <c r="AE73" s="188">
        <v>147</v>
      </c>
      <c r="AF73" s="109">
        <f>IF(SUM(AE73:AE75)+AE87=0,0,IF(SUM(ABS(AE73),ABS(AE74),ABS(AE75))=AE87,0.5,IF(SUM(ABS(AE73),ABS(AE74),ABS(AE75))&gt;AE87,1,0)))</f>
        <v>0</v>
      </c>
      <c r="AG73" s="188">
        <v>183</v>
      </c>
      <c r="AH73" s="109">
        <f>IF(SUM(AG73:AG75)+AG87=0,0,IF(SUM(ABS(AG73),ABS(AG74),ABS(AG75))=AG87,0.5,IF(SUM(ABS(AG73),ABS(AG74),ABS(AG75))&gt;AG87,1,0)))</f>
        <v>0</v>
      </c>
      <c r="AI73" s="188">
        <v>167</v>
      </c>
      <c r="AJ73" s="109">
        <f>IF(SUM(AI73:AI75)+AI87=0,0,IF(SUM(ABS(AI73),ABS(AI74),ABS(AI75))=AI87,0.5,IF(SUM(ABS(AI73),ABS(AI74),ABS(AI75))&gt;AI87,1,0)))</f>
        <v>0</v>
      </c>
      <c r="AK73" s="188"/>
      <c r="AL73" s="109">
        <f>IF(SUM(AK73:AK75)+AK87=0,0,IF(SUM(ABS(AK73),ABS(AK74),ABS(AK75))=AK87,0.5,IF(SUM(ABS(AK73),ABS(AK74),ABS(AK75))&gt;AK87,1,0)))</f>
        <v>1</v>
      </c>
      <c r="AM73" s="188"/>
      <c r="AN73" s="109">
        <f>IF(SUM(AM73:AM75)+AM87=0,0,IF(SUM(ABS(AM73),ABS(AM74),ABS(AM75))=AM87,0.5,IF(SUM(ABS(AM73),ABS(AM74),ABS(AM75))&gt;AM87,1,0)))</f>
        <v>0</v>
      </c>
      <c r="AO73" s="188"/>
      <c r="AP73" s="109">
        <f>IF(SUM(AO73:AO75)+AO87=0,0,IF(SUM(ABS(AO73),ABS(AO74),ABS(AO75))=AO87,0.5,IF(SUM(ABS(AO73),ABS(AO74),ABS(AO75))&gt;AO87,1,0)))</f>
        <v>0.5</v>
      </c>
      <c r="AQ73" s="188"/>
      <c r="AR73" s="109">
        <f>IF(SUM(AQ73:AQ75)+AQ87=0,0,IF(SUM(ABS(AQ73),ABS(AQ74),ABS(AQ75))=AQ87,0.5,IF(SUM(ABS(AQ73),ABS(AQ74),ABS(AQ75))&gt;AQ87,1,0)))</f>
        <v>1</v>
      </c>
      <c r="AS73" s="188"/>
      <c r="AT73" s="109">
        <f>IF(SUM(AS73:AS75)+AS87=0,0,IF(SUM(ABS(AS73),ABS(AS74),ABS(AS75))=AS87,0.5,IF(SUM(ABS(AS73),ABS(AS74),ABS(AS75))&gt;AS87,1,0)))</f>
        <v>0</v>
      </c>
      <c r="AU73" s="110">
        <f t="shared" si="80"/>
        <v>711</v>
      </c>
      <c r="AV73" s="111">
        <f>SUM(AD73+AF73+AH73+AJ73+AL73+AN73+AP73+AR73+AT73)</f>
        <v>3.5</v>
      </c>
      <c r="AW73" s="101"/>
      <c r="AX73" s="102"/>
      <c r="AZ73" s="63"/>
      <c r="BA73" s="212"/>
      <c r="BB73" s="213"/>
      <c r="BC73" s="214"/>
      <c r="BD73" s="217">
        <f t="shared" si="95"/>
        <v>7597</v>
      </c>
      <c r="BE73" s="213">
        <f t="shared" si="96"/>
        <v>711</v>
      </c>
      <c r="BF73" s="215">
        <f t="shared" si="97"/>
        <v>4</v>
      </c>
      <c r="BG73" s="215">
        <f t="shared" si="98"/>
        <v>4</v>
      </c>
      <c r="BH73" s="215">
        <f t="shared" si="81"/>
        <v>214</v>
      </c>
      <c r="BI73" s="215">
        <f t="shared" si="82"/>
        <v>147</v>
      </c>
      <c r="BJ73" s="215">
        <f t="shared" si="83"/>
        <v>183</v>
      </c>
      <c r="BK73" s="215">
        <f t="shared" si="84"/>
        <v>167</v>
      </c>
      <c r="BL73" s="215" t="str">
        <f t="shared" si="85"/>
        <v/>
      </c>
      <c r="BM73" s="215" t="str">
        <f t="shared" si="86"/>
        <v/>
      </c>
      <c r="BN73" s="215" t="str">
        <f t="shared" si="87"/>
        <v/>
      </c>
      <c r="BO73" s="215" t="str">
        <f t="shared" si="88"/>
        <v/>
      </c>
      <c r="BP73" s="215" t="str">
        <f t="shared" si="89"/>
        <v/>
      </c>
      <c r="BQ73" s="216"/>
      <c r="BR73" s="214"/>
      <c r="BS73" s="215">
        <f t="shared" si="99"/>
        <v>214</v>
      </c>
      <c r="BT73" s="215">
        <f t="shared" si="100"/>
        <v>0</v>
      </c>
      <c r="BU73" s="215" t="str">
        <f t="shared" si="101"/>
        <v>BK München 3</v>
      </c>
      <c r="BV73" s="214">
        <f t="shared" si="102"/>
        <v>2</v>
      </c>
      <c r="BW73" s="215">
        <f t="shared" si="103"/>
        <v>711</v>
      </c>
      <c r="BX73" s="215">
        <f>IF(COUNTIF(BH73:BP73,"&gt;0")&lt;Spielorte!$A$23,0,BE73/Spielorte!$A$23)</f>
        <v>0</v>
      </c>
      <c r="BY73" s="215">
        <f t="shared" si="104"/>
        <v>0</v>
      </c>
      <c r="BZ73" s="214">
        <f t="shared" si="90"/>
        <v>0</v>
      </c>
    </row>
    <row r="74" spans="1:78" ht="17.100000000000001" customHeight="1" x14ac:dyDescent="0.25">
      <c r="A74" s="377"/>
      <c r="B74" s="76" t="str">
        <f t="shared" si="91"/>
        <v>Börding, Daniel</v>
      </c>
      <c r="C74" s="77">
        <f t="shared" si="92"/>
        <v>7591</v>
      </c>
      <c r="D74" s="78" t="str">
        <f t="shared" si="93"/>
        <v/>
      </c>
      <c r="E74" s="349"/>
      <c r="F74" s="78" t="str">
        <f t="shared" si="72"/>
        <v/>
      </c>
      <c r="G74" s="349"/>
      <c r="H74" s="78" t="str">
        <f t="shared" si="73"/>
        <v/>
      </c>
      <c r="I74" s="349"/>
      <c r="J74" s="78" t="str">
        <f t="shared" si="74"/>
        <v/>
      </c>
      <c r="K74" s="349"/>
      <c r="L74" s="78">
        <f t="shared" si="75"/>
        <v>237</v>
      </c>
      <c r="M74" s="349"/>
      <c r="N74" s="78">
        <f t="shared" si="94"/>
        <v>196</v>
      </c>
      <c r="O74" s="349"/>
      <c r="P74" s="78">
        <f t="shared" si="76"/>
        <v>255</v>
      </c>
      <c r="Q74" s="349"/>
      <c r="R74" s="78">
        <f t="shared" si="77"/>
        <v>200</v>
      </c>
      <c r="S74" s="349"/>
      <c r="T74" s="78">
        <f t="shared" si="78"/>
        <v>258</v>
      </c>
      <c r="U74" s="349"/>
      <c r="V74" s="78">
        <f t="shared" si="79"/>
        <v>1146</v>
      </c>
      <c r="W74" s="349"/>
      <c r="Z74" s="352"/>
      <c r="AA74" s="108" t="str">
        <f>IF(AB74=0,"",VLOOKUP(AB74,Starter!$A$1:$D$199,2,FALSE))</f>
        <v>Börding, Daniel</v>
      </c>
      <c r="AB74" s="98">
        <v>7591</v>
      </c>
      <c r="AC74" s="186"/>
      <c r="AD74" s="112"/>
      <c r="AE74" s="186"/>
      <c r="AF74" s="112"/>
      <c r="AG74" s="186"/>
      <c r="AH74" s="112"/>
      <c r="AI74" s="186"/>
      <c r="AJ74" s="112"/>
      <c r="AK74" s="186">
        <v>237</v>
      </c>
      <c r="AL74" s="112"/>
      <c r="AM74" s="186">
        <v>196</v>
      </c>
      <c r="AN74" s="112"/>
      <c r="AO74" s="186">
        <v>255</v>
      </c>
      <c r="AP74" s="112"/>
      <c r="AQ74" s="186">
        <v>200</v>
      </c>
      <c r="AR74" s="112"/>
      <c r="AS74" s="186">
        <v>258</v>
      </c>
      <c r="AT74" s="112"/>
      <c r="AU74" s="113">
        <f t="shared" si="80"/>
        <v>1146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7591</v>
      </c>
      <c r="BE74" s="213">
        <f t="shared" si="96"/>
        <v>1146</v>
      </c>
      <c r="BF74" s="215">
        <f t="shared" si="97"/>
        <v>5</v>
      </c>
      <c r="BG74" s="215">
        <f t="shared" si="98"/>
        <v>5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>
        <f t="shared" si="85"/>
        <v>237</v>
      </c>
      <c r="BM74" s="215">
        <f t="shared" si="86"/>
        <v>196</v>
      </c>
      <c r="BN74" s="215">
        <f t="shared" si="87"/>
        <v>255</v>
      </c>
      <c r="BO74" s="215">
        <f t="shared" si="88"/>
        <v>200</v>
      </c>
      <c r="BP74" s="215">
        <f t="shared" si="89"/>
        <v>258</v>
      </c>
      <c r="BQ74" s="216"/>
      <c r="BR74" s="214"/>
      <c r="BS74" s="215">
        <f t="shared" si="99"/>
        <v>258</v>
      </c>
      <c r="BT74" s="215">
        <f t="shared" si="100"/>
        <v>0</v>
      </c>
      <c r="BU74" s="215" t="str">
        <f t="shared" si="101"/>
        <v>BK München 3</v>
      </c>
      <c r="BV74" s="214">
        <f t="shared" si="102"/>
        <v>2</v>
      </c>
      <c r="BW74" s="215">
        <f t="shared" si="103"/>
        <v>1146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00000000000001" customHeight="1" thickBot="1" x14ac:dyDescent="0.3">
      <c r="A75" s="378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50"/>
      <c r="F75" s="69" t="str">
        <f t="shared" si="72"/>
        <v/>
      </c>
      <c r="G75" s="350"/>
      <c r="H75" s="69" t="str">
        <f t="shared" si="73"/>
        <v/>
      </c>
      <c r="I75" s="350"/>
      <c r="J75" s="69" t="str">
        <f t="shared" si="74"/>
        <v/>
      </c>
      <c r="K75" s="350"/>
      <c r="L75" s="69" t="str">
        <f t="shared" si="75"/>
        <v/>
      </c>
      <c r="M75" s="350"/>
      <c r="N75" s="69" t="str">
        <f t="shared" si="94"/>
        <v/>
      </c>
      <c r="O75" s="350"/>
      <c r="P75" s="69" t="str">
        <f t="shared" si="76"/>
        <v/>
      </c>
      <c r="Q75" s="350"/>
      <c r="R75" s="69" t="str">
        <f t="shared" si="77"/>
        <v/>
      </c>
      <c r="S75" s="350"/>
      <c r="T75" s="69" t="str">
        <f t="shared" si="78"/>
        <v/>
      </c>
      <c r="U75" s="350"/>
      <c r="V75" s="69" t="str">
        <f t="shared" si="79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BK München 3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00000000000001" customHeight="1" x14ac:dyDescent="0.25">
      <c r="A76" s="376" t="s">
        <v>11</v>
      </c>
      <c r="B76" s="73" t="str">
        <f>IF(AA76=0,"",AA76)</f>
        <v>Hinterwimmer, Sebastian</v>
      </c>
      <c r="C76" s="74">
        <f t="shared" si="92"/>
        <v>7885</v>
      </c>
      <c r="D76" s="75">
        <f t="shared" si="93"/>
        <v>237</v>
      </c>
      <c r="E76" s="348">
        <f>IF(AD76="","",AD76)</f>
        <v>1</v>
      </c>
      <c r="F76" s="75">
        <f t="shared" si="72"/>
        <v>193</v>
      </c>
      <c r="G76" s="348">
        <f>IF(AF76="","",AF76)</f>
        <v>1</v>
      </c>
      <c r="H76" s="75">
        <f t="shared" si="73"/>
        <v>236</v>
      </c>
      <c r="I76" s="348">
        <f>IF(AH76="","",AH76)</f>
        <v>1</v>
      </c>
      <c r="J76" s="75">
        <f t="shared" si="74"/>
        <v>233</v>
      </c>
      <c r="K76" s="348">
        <f>IF(AJ76="","",AJ76)</f>
        <v>0</v>
      </c>
      <c r="L76" s="75">
        <f t="shared" si="75"/>
        <v>238</v>
      </c>
      <c r="M76" s="348">
        <f>IF(AL76="","",AL76)</f>
        <v>1</v>
      </c>
      <c r="N76" s="75">
        <f t="shared" si="94"/>
        <v>230</v>
      </c>
      <c r="O76" s="348">
        <f>IF(AN76="","",AN76)</f>
        <v>1</v>
      </c>
      <c r="P76" s="75">
        <f t="shared" si="76"/>
        <v>246</v>
      </c>
      <c r="Q76" s="348">
        <f>IF(AP76="","",AP76)</f>
        <v>1</v>
      </c>
      <c r="R76" s="75">
        <f t="shared" si="77"/>
        <v>202</v>
      </c>
      <c r="S76" s="348">
        <f>IF(AR76="","",AR76)</f>
        <v>0</v>
      </c>
      <c r="T76" s="75">
        <f t="shared" si="78"/>
        <v>242</v>
      </c>
      <c r="U76" s="348">
        <f>IF(AT76="","",AT76)</f>
        <v>1</v>
      </c>
      <c r="V76" s="75">
        <f t="shared" si="79"/>
        <v>2057</v>
      </c>
      <c r="W76" s="348">
        <f>IF(AV76="","",AV76)</f>
        <v>7</v>
      </c>
      <c r="Z76" s="351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237</v>
      </c>
      <c r="AD76" s="109">
        <f>IF(SUM(AC76:AC78)+AC88=0,0,IF(SUM(ABS(AC76),ABS(AC77),ABS(AC78))=AC88,0.5,IF(SUM(ABS(AC76),ABS(AC77),ABS(AC78))&gt;AC88,1,0)))</f>
        <v>1</v>
      </c>
      <c r="AE76" s="188">
        <v>193</v>
      </c>
      <c r="AF76" s="109">
        <f>IF(SUM(AE76:AE78)+AE88=0,0,IF(SUM(ABS(AE76),ABS(AE77),ABS(AE78))=AE88,0.5,IF(SUM(ABS(AE76),ABS(AE77),ABS(AE78))&gt;AE88,1,0)))</f>
        <v>1</v>
      </c>
      <c r="AG76" s="188">
        <v>236</v>
      </c>
      <c r="AH76" s="109">
        <f>IF(SUM(AG76:AG78)+AG88=0,0,IF(SUM(ABS(AG76),ABS(AG77),ABS(AG78))=AG88,0.5,IF(SUM(ABS(AG76),ABS(AG77),ABS(AG78))&gt;AG88,1,0)))</f>
        <v>1</v>
      </c>
      <c r="AI76" s="188">
        <v>233</v>
      </c>
      <c r="AJ76" s="109">
        <f>IF(SUM(AI76:AI78)+AI88=0,0,IF(SUM(ABS(AI76),ABS(AI77),ABS(AI78))=AI88,0.5,IF(SUM(ABS(AI76),ABS(AI77),ABS(AI78))&gt;AI88,1,0)))</f>
        <v>0</v>
      </c>
      <c r="AK76" s="188">
        <v>238</v>
      </c>
      <c r="AL76" s="109">
        <f>IF(SUM(AK76:AK78)+AK88=0,0,IF(SUM(ABS(AK76),ABS(AK77),ABS(AK78))=AK88,0.5,IF(SUM(ABS(AK76),ABS(AK77),ABS(AK78))&gt;AK88,1,0)))</f>
        <v>1</v>
      </c>
      <c r="AM76" s="188">
        <v>230</v>
      </c>
      <c r="AN76" s="109">
        <f>IF(SUM(AM76:AM78)+AM88=0,0,IF(SUM(ABS(AM76),ABS(AM77),ABS(AM78))=AM88,0.5,IF(SUM(ABS(AM76),ABS(AM77),ABS(AM78))&gt;AM88,1,0)))</f>
        <v>1</v>
      </c>
      <c r="AO76" s="188">
        <v>246</v>
      </c>
      <c r="AP76" s="109">
        <f>IF(SUM(AO76:AO78)+AO88=0,0,IF(SUM(ABS(AO76),ABS(AO77),ABS(AO78))=AO88,0.5,IF(SUM(ABS(AO76),ABS(AO77),ABS(AO78))&gt;AO88,1,0)))</f>
        <v>1</v>
      </c>
      <c r="AQ76" s="188">
        <v>202</v>
      </c>
      <c r="AR76" s="109">
        <f>IF(SUM(AQ76:AQ78)+AQ88=0,0,IF(SUM(ABS(AQ76),ABS(AQ77),ABS(AQ78))=AQ88,0.5,IF(SUM(ABS(AQ76),ABS(AQ77),ABS(AQ78))&gt;AQ88,1,0)))</f>
        <v>0</v>
      </c>
      <c r="AS76" s="188">
        <v>242</v>
      </c>
      <c r="AT76" s="109">
        <f>IF(SUM(AS76:AS78)+AS88=0,0,IF(SUM(ABS(AS76),ABS(AS77),ABS(AS78))=AS88,0.5,IF(SUM(ABS(AS76),ABS(AS77),ABS(AS78))&gt;AS88,1,0)))</f>
        <v>1</v>
      </c>
      <c r="AU76" s="110">
        <f t="shared" si="80"/>
        <v>2057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5"/>
        <v>7885</v>
      </c>
      <c r="BE76" s="213">
        <f t="shared" si="96"/>
        <v>2057</v>
      </c>
      <c r="BF76" s="215">
        <f t="shared" si="97"/>
        <v>9</v>
      </c>
      <c r="BG76" s="215">
        <f t="shared" si="98"/>
        <v>9</v>
      </c>
      <c r="BH76" s="215">
        <f t="shared" si="81"/>
        <v>237</v>
      </c>
      <c r="BI76" s="215">
        <f t="shared" si="82"/>
        <v>193</v>
      </c>
      <c r="BJ76" s="215">
        <f t="shared" si="83"/>
        <v>236</v>
      </c>
      <c r="BK76" s="215">
        <f t="shared" si="84"/>
        <v>233</v>
      </c>
      <c r="BL76" s="215">
        <f t="shared" si="85"/>
        <v>238</v>
      </c>
      <c r="BM76" s="215">
        <f t="shared" si="86"/>
        <v>230</v>
      </c>
      <c r="BN76" s="215">
        <f t="shared" si="87"/>
        <v>246</v>
      </c>
      <c r="BO76" s="215">
        <f t="shared" si="88"/>
        <v>202</v>
      </c>
      <c r="BP76" s="215">
        <f t="shared" si="89"/>
        <v>242</v>
      </c>
      <c r="BQ76" s="216"/>
      <c r="BR76" s="214"/>
      <c r="BS76" s="215">
        <f t="shared" si="99"/>
        <v>246</v>
      </c>
      <c r="BT76" s="215">
        <f t="shared" si="100"/>
        <v>0</v>
      </c>
      <c r="BU76" s="215" t="str">
        <f t="shared" si="101"/>
        <v>BK München 3</v>
      </c>
      <c r="BV76" s="214">
        <f t="shared" si="102"/>
        <v>2</v>
      </c>
      <c r="BW76" s="215">
        <f t="shared" si="103"/>
        <v>2057</v>
      </c>
      <c r="BX76" s="215">
        <f>IF(COUNTIF(BH76:BP76,"&gt;0")&lt;Spielorte!$A$23,0,BE76/Spielorte!$A$23)</f>
        <v>228.55555555555554</v>
      </c>
      <c r="BY76" s="215">
        <f t="shared" si="104"/>
        <v>0</v>
      </c>
      <c r="BZ76" s="214">
        <f t="shared" si="90"/>
        <v>0</v>
      </c>
    </row>
    <row r="77" spans="1:78" ht="17.100000000000001" customHeight="1" x14ac:dyDescent="0.25">
      <c r="A77" s="377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49"/>
      <c r="F77" s="78" t="str">
        <f t="shared" si="72"/>
        <v/>
      </c>
      <c r="G77" s="349"/>
      <c r="H77" s="78" t="str">
        <f t="shared" si="73"/>
        <v/>
      </c>
      <c r="I77" s="349"/>
      <c r="J77" s="78" t="str">
        <f t="shared" si="74"/>
        <v/>
      </c>
      <c r="K77" s="349"/>
      <c r="L77" s="78" t="str">
        <f t="shared" si="75"/>
        <v/>
      </c>
      <c r="M77" s="349"/>
      <c r="N77" s="78" t="str">
        <f t="shared" si="94"/>
        <v/>
      </c>
      <c r="O77" s="349"/>
      <c r="P77" s="78" t="str">
        <f t="shared" si="76"/>
        <v/>
      </c>
      <c r="Q77" s="349"/>
      <c r="R77" s="78" t="str">
        <f t="shared" si="77"/>
        <v/>
      </c>
      <c r="S77" s="349"/>
      <c r="T77" s="78" t="str">
        <f t="shared" si="78"/>
        <v/>
      </c>
      <c r="U77" s="349"/>
      <c r="V77" s="78" t="str">
        <f t="shared" si="79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BK München 3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00000000000001" customHeight="1" thickBot="1" x14ac:dyDescent="0.3">
      <c r="A78" s="378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50"/>
      <c r="F78" s="69" t="str">
        <f t="shared" si="72"/>
        <v/>
      </c>
      <c r="G78" s="350"/>
      <c r="H78" s="69" t="str">
        <f t="shared" si="73"/>
        <v/>
      </c>
      <c r="I78" s="350"/>
      <c r="J78" s="69" t="str">
        <f t="shared" si="74"/>
        <v/>
      </c>
      <c r="K78" s="350"/>
      <c r="L78" s="69" t="str">
        <f t="shared" si="75"/>
        <v/>
      </c>
      <c r="M78" s="350"/>
      <c r="N78" s="69" t="str">
        <f t="shared" si="94"/>
        <v/>
      </c>
      <c r="O78" s="350"/>
      <c r="P78" s="69" t="str">
        <f t="shared" si="76"/>
        <v/>
      </c>
      <c r="Q78" s="350"/>
      <c r="R78" s="69" t="str">
        <f t="shared" si="77"/>
        <v/>
      </c>
      <c r="S78" s="350"/>
      <c r="T78" s="69" t="str">
        <f t="shared" si="78"/>
        <v/>
      </c>
      <c r="U78" s="350"/>
      <c r="V78" s="69" t="str">
        <f t="shared" si="79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BK München 3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92"/>
        <v/>
      </c>
      <c r="D79" s="83">
        <f t="shared" si="93"/>
        <v>854</v>
      </c>
      <c r="E79" s="84">
        <f>IF(AD79="","",AD79)</f>
        <v>2</v>
      </c>
      <c r="F79" s="83">
        <f t="shared" si="72"/>
        <v>844</v>
      </c>
      <c r="G79" s="84">
        <f>IF(AF79="","",AF79)</f>
        <v>2</v>
      </c>
      <c r="H79" s="83">
        <f t="shared" si="73"/>
        <v>858</v>
      </c>
      <c r="I79" s="84">
        <f>IF(AH79="","",AH79)</f>
        <v>2</v>
      </c>
      <c r="J79" s="83">
        <f t="shared" si="74"/>
        <v>787</v>
      </c>
      <c r="K79" s="84">
        <f>IF(AJ79="","",AJ79)</f>
        <v>0</v>
      </c>
      <c r="L79" s="83">
        <f t="shared" si="75"/>
        <v>876</v>
      </c>
      <c r="M79" s="84">
        <f>IF(AL79="","",AL79)</f>
        <v>2</v>
      </c>
      <c r="N79" s="83">
        <f t="shared" si="94"/>
        <v>861</v>
      </c>
      <c r="O79" s="84">
        <f>IF(AN79="","",AN79)</f>
        <v>0</v>
      </c>
      <c r="P79" s="83">
        <f t="shared" si="76"/>
        <v>892</v>
      </c>
      <c r="Q79" s="84">
        <f>IF(AP79="","",AP79)</f>
        <v>2</v>
      </c>
      <c r="R79" s="83">
        <f t="shared" si="77"/>
        <v>804</v>
      </c>
      <c r="S79" s="84">
        <f>IF(AR79="","",AR79)</f>
        <v>2</v>
      </c>
      <c r="T79" s="83">
        <f t="shared" si="78"/>
        <v>894</v>
      </c>
      <c r="U79" s="84">
        <f>IF(AT79="","",AT79)</f>
        <v>2</v>
      </c>
      <c r="V79" s="83">
        <f t="shared" si="79"/>
        <v>7670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854</v>
      </c>
      <c r="AD79" s="121">
        <f>IF(AC79+AC89=0,0,IF(AC79=AC89,1,IF(AC79&gt;AC89,2,0)))</f>
        <v>2</v>
      </c>
      <c r="AE79" s="211">
        <f>ABS(SUM(AE67:AE69))+ABS(SUM(AE70:AE72))+ABS(SUM(AE73:AE75))+ABS(SUM(AE76:AE78))</f>
        <v>844</v>
      </c>
      <c r="AF79" s="121">
        <f>IF(AE79+AE89=0,0,IF(AE79=AE89,1,IF(AE79&gt;AE89,2,0)))</f>
        <v>2</v>
      </c>
      <c r="AG79" s="211">
        <f>ABS(SUM(AG67:AG69))+ABS(SUM(AG70:AG72))+ABS(SUM(AG73:AG75))+ABS(SUM(AG76:AG78))</f>
        <v>858</v>
      </c>
      <c r="AH79" s="121">
        <f>IF(AG79+AG89=0,0,IF(AG79=AG89,1,IF(AG79&gt;AG89,2,0)))</f>
        <v>2</v>
      </c>
      <c r="AI79" s="211">
        <f>ABS(SUM(AI67:AI69))+ABS(SUM(AI70:AI72))+ABS(SUM(AI73:AI75))+ABS(SUM(AI76:AI78))</f>
        <v>787</v>
      </c>
      <c r="AJ79" s="121">
        <f>IF(AI79+AI89=0,0,IF(AI79=AI89,1,IF(AI79&gt;AI89,2,0)))</f>
        <v>0</v>
      </c>
      <c r="AK79" s="211">
        <f>ABS(SUM(AK67:AK69))+ABS(SUM(AK70:AK72))+ABS(SUM(AK73:AK75))+ABS(SUM(AK76:AK78))</f>
        <v>876</v>
      </c>
      <c r="AL79" s="121">
        <f>IF(AK79+AK89=0,0,IF(AK79=AK89,1,IF(AK79&gt;AK89,2,0)))</f>
        <v>2</v>
      </c>
      <c r="AM79" s="211">
        <f>ABS(SUM(AM67:AM69))+ABS(SUM(AM70:AM72))+ABS(SUM(AM73:AM75))+ABS(SUM(AM76:AM78))</f>
        <v>861</v>
      </c>
      <c r="AN79" s="121">
        <f>IF(AM79+AM89=0,0,IF(AM79=AM89,1,IF(AM79&gt;AM89,2,0)))</f>
        <v>0</v>
      </c>
      <c r="AO79" s="211">
        <f>ABS(SUM(AO67:AO69))+ABS(SUM(AO70:AO72))+ABS(SUM(AO73:AO75))+ABS(SUM(AO76:AO78))</f>
        <v>892</v>
      </c>
      <c r="AP79" s="121">
        <f>IF(AO79+AO89=0,0,IF(AO79=AO89,1,IF(AO79&gt;AO89,2,0)))</f>
        <v>2</v>
      </c>
      <c r="AQ79" s="211">
        <f>ABS(SUM(AQ67:AQ69))+ABS(SUM(AQ70:AQ72))+ABS(SUM(AQ73:AQ75))+ABS(SUM(AQ76:AQ78))</f>
        <v>804</v>
      </c>
      <c r="AR79" s="121">
        <f>IF(AQ79+AQ89=0,0,IF(AQ79=AQ89,1,IF(AQ79&gt;AQ89,2,0)))</f>
        <v>2</v>
      </c>
      <c r="AS79" s="211">
        <f>ABS(SUM(AS67:AS69))+ABS(SUM(AS70:AS72))+ABS(SUM(AS73:AS75))+ABS(SUM(AS76:AS78))</f>
        <v>894</v>
      </c>
      <c r="AT79" s="121">
        <f>IF(AS79+AS89=0,0,IF(AS79=AS89,1,IF(AS79&gt;AS89,2,0)))</f>
        <v>2</v>
      </c>
      <c r="AU79" s="122">
        <f>SUM(AC79+AE79+AG79+AI79+AK79+AM79+AO79+AQ79+AS79)</f>
        <v>7670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6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5</v>
      </c>
      <c r="J80" s="86" t="str">
        <f t="shared" si="74"/>
        <v/>
      </c>
      <c r="K80" s="87">
        <f>IF(AJ80="","",AJ80)</f>
        <v>1</v>
      </c>
      <c r="L80" s="86" t="str">
        <f t="shared" si="75"/>
        <v/>
      </c>
      <c r="M80" s="87">
        <f>IF(AL80="","",AL80)</f>
        <v>5</v>
      </c>
      <c r="N80" s="86" t="str">
        <f t="shared" si="94"/>
        <v/>
      </c>
      <c r="O80" s="87">
        <f>IF(AN80="","",AN80)</f>
        <v>1</v>
      </c>
      <c r="P80" s="86" t="str">
        <f t="shared" si="76"/>
        <v/>
      </c>
      <c r="Q80" s="87">
        <f>IF(AP80="","",AP80)</f>
        <v>4</v>
      </c>
      <c r="R80" s="86" t="str">
        <f t="shared" si="77"/>
        <v/>
      </c>
      <c r="S80" s="87">
        <f>IF(AR80="","",AR80)</f>
        <v>4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35</v>
      </c>
      <c r="AA80" s="85" t="s">
        <v>1814</v>
      </c>
      <c r="AB80" s="86"/>
      <c r="AC80" s="86"/>
      <c r="AD80" s="124">
        <f>SUM(AD67:AD79)</f>
        <v>6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1</v>
      </c>
      <c r="AK80" s="86"/>
      <c r="AL80" s="124">
        <f>SUM(AL67:AL79)</f>
        <v>5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4</v>
      </c>
      <c r="AS80" s="86"/>
      <c r="AT80" s="124">
        <f>SUM(AT67:AT79)</f>
        <v>4</v>
      </c>
      <c r="AU80" s="86"/>
      <c r="AV80" s="125">
        <f>SUM(AV67:AV79)</f>
        <v>35</v>
      </c>
      <c r="AW80" s="101"/>
      <c r="AX80" s="102"/>
      <c r="BA80" s="212">
        <f>+AV80</f>
        <v>35</v>
      </c>
      <c r="BB80" s="213">
        <f>+AU79</f>
        <v>7670</v>
      </c>
      <c r="BC80" s="214">
        <f>+AA62</f>
        <v>3</v>
      </c>
      <c r="BF80" s="215">
        <f>SUM(BF61:BF79)</f>
        <v>36</v>
      </c>
      <c r="BQ80" s="212">
        <f>+BB80/1000000+BA80</f>
        <v>35.007669999999997</v>
      </c>
      <c r="BR80" s="214">
        <f>RANK(BQ80,BQ:BQ)</f>
        <v>2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56">
        <f t="shared" ref="D82:M84" si="107">IF(AC82=0,"",AC82)</f>
        <v>1</v>
      </c>
      <c r="E82" s="356" t="str">
        <f t="shared" si="107"/>
        <v/>
      </c>
      <c r="F82" s="356">
        <f t="shared" si="107"/>
        <v>10</v>
      </c>
      <c r="G82" s="356" t="str">
        <f t="shared" si="107"/>
        <v/>
      </c>
      <c r="H82" s="356">
        <f t="shared" si="107"/>
        <v>5</v>
      </c>
      <c r="I82" s="356" t="str">
        <f t="shared" si="107"/>
        <v/>
      </c>
      <c r="J82" s="356">
        <f t="shared" si="107"/>
        <v>9</v>
      </c>
      <c r="K82" s="356" t="str">
        <f t="shared" si="107"/>
        <v/>
      </c>
      <c r="L82" s="356">
        <f t="shared" si="107"/>
        <v>2</v>
      </c>
      <c r="M82" s="356" t="str">
        <f t="shared" si="107"/>
        <v/>
      </c>
      <c r="N82" s="356">
        <f t="shared" ref="N82:U84" si="108">IF(AM82=0,"",AM82)</f>
        <v>6</v>
      </c>
      <c r="O82" s="356" t="str">
        <f t="shared" si="108"/>
        <v/>
      </c>
      <c r="P82" s="356">
        <f t="shared" si="108"/>
        <v>8</v>
      </c>
      <c r="Q82" s="356" t="str">
        <f t="shared" si="108"/>
        <v/>
      </c>
      <c r="R82" s="356">
        <f t="shared" si="108"/>
        <v>4</v>
      </c>
      <c r="S82" s="356" t="str">
        <f t="shared" si="108"/>
        <v/>
      </c>
      <c r="T82" s="356">
        <f t="shared" si="108"/>
        <v>7</v>
      </c>
      <c r="U82" s="356" t="str">
        <f t="shared" si="108"/>
        <v/>
      </c>
      <c r="V82" s="357"/>
      <c r="W82" s="357"/>
      <c r="AA82" s="88" t="s">
        <v>1797</v>
      </c>
      <c r="AB82" s="89" t="s">
        <v>1798</v>
      </c>
      <c r="AC82" s="370">
        <f>VLOOKUP($AA62,Schlüssel!$A$5:$K$14,3)</f>
        <v>1</v>
      </c>
      <c r="AD82" s="371"/>
      <c r="AE82" s="370">
        <f>VLOOKUP($AA62,Schlüssel!$A$5:$K$14,4)</f>
        <v>10</v>
      </c>
      <c r="AF82" s="371"/>
      <c r="AG82" s="370">
        <f>VLOOKUP($AA62,Schlüssel!$A$5:$K$14,5)</f>
        <v>5</v>
      </c>
      <c r="AH82" s="371"/>
      <c r="AI82" s="370">
        <f>VLOOKUP($AA62,Schlüssel!$A$5:$K$14,6)</f>
        <v>9</v>
      </c>
      <c r="AJ82" s="371"/>
      <c r="AK82" s="370">
        <f>VLOOKUP($AA62,Schlüssel!$A$5:$K$14,7)</f>
        <v>2</v>
      </c>
      <c r="AL82" s="371"/>
      <c r="AM82" s="370">
        <f>VLOOKUP($AA62,Schlüssel!$A$5:$K$14,8)</f>
        <v>6</v>
      </c>
      <c r="AN82" s="371"/>
      <c r="AO82" s="370">
        <f>VLOOKUP($AA62,Schlüssel!$A$5:$K$14,9)</f>
        <v>8</v>
      </c>
      <c r="AP82" s="371"/>
      <c r="AQ82" s="370">
        <f>VLOOKUP($AA62,Schlüssel!$A$5:$K$14,10)</f>
        <v>4</v>
      </c>
      <c r="AR82" s="371"/>
      <c r="AS82" s="370">
        <f>VLOOKUP($AA62,Schlüssel!$A$5:$K$14,11)</f>
        <v>7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5"/>
        <v/>
      </c>
      <c r="C83" s="86" t="str">
        <f t="shared" si="106"/>
        <v/>
      </c>
      <c r="D83" s="358" t="str">
        <f t="shared" si="107"/>
        <v>BC Comet Nürnberg</v>
      </c>
      <c r="E83" s="359" t="str">
        <f t="shared" si="107"/>
        <v/>
      </c>
      <c r="F83" s="358" t="str">
        <f t="shared" si="107"/>
        <v>High Roller Rosenheim 1</v>
      </c>
      <c r="G83" s="359" t="str">
        <f t="shared" si="107"/>
        <v/>
      </c>
      <c r="H83" s="358" t="str">
        <f t="shared" si="107"/>
        <v>RW Lichtenhof Stein 1</v>
      </c>
      <c r="I83" s="359" t="str">
        <f t="shared" si="107"/>
        <v/>
      </c>
      <c r="J83" s="358" t="str">
        <f t="shared" si="107"/>
        <v>Bowlinghaus Bamberg 1</v>
      </c>
      <c r="K83" s="359" t="str">
        <f t="shared" si="107"/>
        <v/>
      </c>
      <c r="L83" s="358" t="str">
        <f t="shared" si="107"/>
        <v>Bajuwaren München 1</v>
      </c>
      <c r="M83" s="359" t="str">
        <f t="shared" si="107"/>
        <v/>
      </c>
      <c r="N83" s="358" t="str">
        <f t="shared" si="108"/>
        <v>SG Rottendorf 1</v>
      </c>
      <c r="O83" s="359" t="str">
        <f t="shared" si="108"/>
        <v/>
      </c>
      <c r="P83" s="358" t="str">
        <f t="shared" si="108"/>
        <v>BC EMAX Unterföhring 2</v>
      </c>
      <c r="Q83" s="359" t="str">
        <f t="shared" si="108"/>
        <v/>
      </c>
      <c r="R83" s="358" t="str">
        <f t="shared" si="108"/>
        <v>SG DJK Rimpar</v>
      </c>
      <c r="S83" s="359" t="str">
        <f t="shared" si="108"/>
        <v/>
      </c>
      <c r="T83" s="358" t="str">
        <f t="shared" si="108"/>
        <v>Schanzer Ingolstadt 1</v>
      </c>
      <c r="U83" s="359" t="str">
        <f t="shared" si="108"/>
        <v/>
      </c>
      <c r="V83" s="363"/>
      <c r="W83" s="363"/>
      <c r="AA83" s="90"/>
      <c r="AB83" s="86"/>
      <c r="AC83" s="358" t="str">
        <f>VLOOKUP(AC82,Schlüssel!$A$5:$K$14,2)</f>
        <v>BC Comet Nürnberg</v>
      </c>
      <c r="AD83" s="359"/>
      <c r="AE83" s="358" t="str">
        <f>VLOOKUP(AE82,Schlüssel!$A$5:$K$14,2)</f>
        <v>High Roller Rosenheim 1</v>
      </c>
      <c r="AF83" s="359"/>
      <c r="AG83" s="358" t="str">
        <f>VLOOKUP(AG82,Schlüssel!$A$5:$K$14,2)</f>
        <v>RW Lichtenhof Stein 1</v>
      </c>
      <c r="AH83" s="359"/>
      <c r="AI83" s="358" t="str">
        <f>VLOOKUP(AI82,Schlüssel!$A$5:$K$14,2)</f>
        <v>Bowlinghaus Bamberg 1</v>
      </c>
      <c r="AJ83" s="359"/>
      <c r="AK83" s="358" t="str">
        <f>VLOOKUP(AK82,Schlüssel!$A$5:$K$14,2)</f>
        <v>Bajuwaren München 1</v>
      </c>
      <c r="AL83" s="359"/>
      <c r="AM83" s="358" t="str">
        <f>VLOOKUP(AM82,Schlüssel!$A$5:$K$14,2)</f>
        <v>SG Rottendorf 1</v>
      </c>
      <c r="AN83" s="359"/>
      <c r="AO83" s="358" t="str">
        <f>VLOOKUP(AO82,Schlüssel!$A$5:$K$14,2)</f>
        <v>BC EMAX Unterföhring 2</v>
      </c>
      <c r="AP83" s="359"/>
      <c r="AQ83" s="358" t="str">
        <f>VLOOKUP(AQ82,Schlüssel!$A$5:$K$14,2)</f>
        <v>SG DJK Rimpar</v>
      </c>
      <c r="AR83" s="359"/>
      <c r="AS83" s="358" t="str">
        <f>VLOOKUP(AS82,Schlüssel!$A$5:$K$14,2)</f>
        <v>Schanzer Ingolstadt 1</v>
      </c>
      <c r="AT83" s="359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5"/>
        <v/>
      </c>
      <c r="C84" s="86" t="str">
        <f t="shared" si="106"/>
        <v/>
      </c>
      <c r="D84" s="360" t="str">
        <f t="shared" si="107"/>
        <v/>
      </c>
      <c r="E84" s="360" t="str">
        <f t="shared" si="107"/>
        <v/>
      </c>
      <c r="F84" s="360" t="str">
        <f t="shared" si="107"/>
        <v/>
      </c>
      <c r="G84" s="360" t="str">
        <f t="shared" si="107"/>
        <v/>
      </c>
      <c r="H84" s="360" t="str">
        <f t="shared" si="107"/>
        <v/>
      </c>
      <c r="I84" s="360" t="str">
        <f t="shared" si="107"/>
        <v/>
      </c>
      <c r="J84" s="360" t="str">
        <f t="shared" si="107"/>
        <v/>
      </c>
      <c r="K84" s="360" t="str">
        <f t="shared" si="107"/>
        <v/>
      </c>
      <c r="L84" s="360" t="str">
        <f t="shared" si="107"/>
        <v/>
      </c>
      <c r="M84" s="360" t="str">
        <f t="shared" si="107"/>
        <v/>
      </c>
      <c r="N84" s="360" t="str">
        <f t="shared" si="108"/>
        <v/>
      </c>
      <c r="O84" s="360" t="str">
        <f t="shared" si="108"/>
        <v/>
      </c>
      <c r="P84" s="360" t="str">
        <f t="shared" si="108"/>
        <v/>
      </c>
      <c r="Q84" s="360" t="str">
        <f t="shared" si="108"/>
        <v/>
      </c>
      <c r="R84" s="360" t="str">
        <f t="shared" si="108"/>
        <v/>
      </c>
      <c r="S84" s="360" t="str">
        <f t="shared" si="108"/>
        <v/>
      </c>
      <c r="T84" s="360" t="str">
        <f t="shared" si="108"/>
        <v/>
      </c>
      <c r="U84" s="361" t="str">
        <f t="shared" si="108"/>
        <v/>
      </c>
      <c r="V84" s="298"/>
      <c r="W84" s="298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4" t="str">
        <f t="shared" si="105"/>
        <v>Spieler 1</v>
      </c>
      <c r="C85" s="375" t="str">
        <f t="shared" si="106"/>
        <v/>
      </c>
      <c r="D85" s="362">
        <f>IF(AC85=301,"",AC85)</f>
        <v>166</v>
      </c>
      <c r="E85" s="362" t="str">
        <f>IF(AD85=0,"",AD85)</f>
        <v/>
      </c>
      <c r="F85" s="362">
        <f>IF(AE85=301,"",AE85)</f>
        <v>207</v>
      </c>
      <c r="G85" s="362" t="str">
        <f>IF(AF85=0,"",AF85)</f>
        <v/>
      </c>
      <c r="H85" s="362">
        <f>IF(AG85=301,"",AG85)</f>
        <v>154</v>
      </c>
      <c r="I85" s="362" t="str">
        <f>IF(AH85=0,"",AH85)</f>
        <v/>
      </c>
      <c r="J85" s="362">
        <f>IF(AI85=301,"",AI85)</f>
        <v>224</v>
      </c>
      <c r="K85" s="362" t="str">
        <f>IF(AJ85=0,"",AJ85)</f>
        <v/>
      </c>
      <c r="L85" s="362">
        <f>IF(AK85=301,"",AK85)</f>
        <v>258</v>
      </c>
      <c r="M85" s="362" t="str">
        <f>IF(AL85=0,"",AL85)</f>
        <v/>
      </c>
      <c r="N85" s="362">
        <f>IF(AM85=301,"",AM85)</f>
        <v>239</v>
      </c>
      <c r="O85" s="362" t="str">
        <f>IF(AN85=0,"",AN85)</f>
        <v/>
      </c>
      <c r="P85" s="362">
        <f>IF(AO85=301,"",AO85)</f>
        <v>209</v>
      </c>
      <c r="Q85" s="362" t="str">
        <f>IF(AP85=0,"",AP85)</f>
        <v/>
      </c>
      <c r="R85" s="362">
        <f>IF(AQ85=301,"",AQ85)</f>
        <v>159</v>
      </c>
      <c r="S85" s="362" t="str">
        <f>IF(AR85=0,"",AR85)</f>
        <v/>
      </c>
      <c r="T85" s="362">
        <f>IF(AS85=301,"",AS85)</f>
        <v>159</v>
      </c>
      <c r="U85" s="362" t="str">
        <f>IF(AT85=0,"",AT85)</f>
        <v/>
      </c>
      <c r="V85" s="364"/>
      <c r="W85" s="364"/>
      <c r="AA85" s="91" t="s">
        <v>0</v>
      </c>
      <c r="AB85" s="92"/>
      <c r="AC85" s="368">
        <f>ABS(INDEX(AC:AC,MATCH(AC82,$AA:$AA,0)+5)+INDEX(AC:AC,MATCH(AC82,$AA:$AA,0)+6)+INDEX(AC:AC,MATCH(AC82,$AA:$AA,0)+7))</f>
        <v>166</v>
      </c>
      <c r="AD85" s="369"/>
      <c r="AE85" s="368">
        <f>ABS(INDEX(AE:AE,MATCH(AE82,$AA:$AA,0)+5)+INDEX(AE:AE,MATCH(AE82,$AA:$AA,0)+6)+INDEX(AE:AE,MATCH(AE82,$AA:$AA,0)+7))</f>
        <v>207</v>
      </c>
      <c r="AF85" s="369"/>
      <c r="AG85" s="368">
        <f>ABS(INDEX(AG:AG,MATCH(AG82,$AA:$AA,0)+5)+INDEX(AG:AG,MATCH(AG82,$AA:$AA,0)+6)+INDEX(AG:AG,MATCH(AG82,$AA:$AA,0)+7))</f>
        <v>154</v>
      </c>
      <c r="AH85" s="369"/>
      <c r="AI85" s="368">
        <f>ABS(INDEX(AI:AI,MATCH(AI82,$AA:$AA,0)+5)+INDEX(AI:AI,MATCH(AI82,$AA:$AA,0)+6)+INDEX(AI:AI,MATCH(AI82,$AA:$AA,0)+7))</f>
        <v>224</v>
      </c>
      <c r="AJ85" s="369"/>
      <c r="AK85" s="368">
        <f>ABS(INDEX(AK:AK,MATCH(AK82,$AA:$AA,0)+5)+INDEX(AK:AK,MATCH(AK82,$AA:$AA,0)+6)+INDEX(AK:AK,MATCH(AK82,$AA:$AA,0)+7))</f>
        <v>258</v>
      </c>
      <c r="AL85" s="369"/>
      <c r="AM85" s="368">
        <f>ABS(INDEX(AM:AM,MATCH(AM82,$AA:$AA,0)+5)+INDEX(AM:AM,MATCH(AM82,$AA:$AA,0)+6)+INDEX(AM:AM,MATCH(AM82,$AA:$AA,0)+7))</f>
        <v>239</v>
      </c>
      <c r="AN85" s="369"/>
      <c r="AO85" s="368">
        <f>ABS(INDEX(AO:AO,MATCH(AO82,$AA:$AA,0)+5)+INDEX(AO:AO,MATCH(AO82,$AA:$AA,0)+6)+INDEX(AO:AO,MATCH(AO82,$AA:$AA,0)+7))</f>
        <v>209</v>
      </c>
      <c r="AP85" s="369"/>
      <c r="AQ85" s="368">
        <f>ABS(INDEX(AQ:AQ,MATCH(AQ82,$AA:$AA,0)+5)+INDEX(AQ:AQ,MATCH(AQ82,$AA:$AA,0)+6)+INDEX(AQ:AQ,MATCH(AQ82,$AA:$AA,0)+7))</f>
        <v>159</v>
      </c>
      <c r="AR85" s="369"/>
      <c r="AS85" s="368">
        <f>ABS(INDEX(AS:AS,MATCH(AS82,$AA:$AA,0)+5)+INDEX(AS:AS,MATCH(AS82,$AA:$AA,0)+6)+INDEX(AS:AS,MATCH(AS82,$AA:$AA,0)+7))</f>
        <v>159</v>
      </c>
      <c r="AT85" s="369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4" t="str">
        <f t="shared" si="105"/>
        <v>Spieler 2</v>
      </c>
      <c r="C86" s="375" t="str">
        <f t="shared" si="106"/>
        <v/>
      </c>
      <c r="D86" s="362">
        <f>IF(AC86=301,"",AC86)</f>
        <v>183</v>
      </c>
      <c r="E86" s="362" t="str">
        <f>IF(AD86=0,"",AD86)</f>
        <v/>
      </c>
      <c r="F86" s="362">
        <f>IF(AE86=301,"",AE86)</f>
        <v>200</v>
      </c>
      <c r="G86" s="362" t="str">
        <f>IF(AF86=0,"",AF86)</f>
        <v/>
      </c>
      <c r="H86" s="362">
        <f>IF(AG86=301,"",AG86)</f>
        <v>213</v>
      </c>
      <c r="I86" s="362" t="str">
        <f>IF(AH86=0,"",AH86)</f>
        <v/>
      </c>
      <c r="J86" s="362">
        <f>IF(AI86=301,"",AI86)</f>
        <v>172</v>
      </c>
      <c r="K86" s="362" t="str">
        <f>IF(AJ86=0,"",AJ86)</f>
        <v/>
      </c>
      <c r="L86" s="362">
        <f>IF(AK86=301,"",AK86)</f>
        <v>175</v>
      </c>
      <c r="M86" s="362" t="str">
        <f>IF(AL86=0,"",AL86)</f>
        <v/>
      </c>
      <c r="N86" s="362">
        <f>IF(AM86=301,"",AM86)</f>
        <v>213</v>
      </c>
      <c r="O86" s="362" t="str">
        <f>IF(AN86=0,"",AN86)</f>
        <v/>
      </c>
      <c r="P86" s="362">
        <f>IF(AO86=301,"",AO86)</f>
        <v>197</v>
      </c>
      <c r="Q86" s="362" t="str">
        <f>IF(AP86=0,"",AP86)</f>
        <v/>
      </c>
      <c r="R86" s="362">
        <f>IF(AQ86=301,"",AQ86)</f>
        <v>204</v>
      </c>
      <c r="S86" s="362" t="str">
        <f>IF(AR86=0,"",AR86)</f>
        <v/>
      </c>
      <c r="T86" s="362">
        <f>IF(AS86=301,"",AS86)</f>
        <v>201</v>
      </c>
      <c r="U86" s="362" t="str">
        <f>IF(AT86=0,"",AT86)</f>
        <v/>
      </c>
      <c r="V86" s="364"/>
      <c r="W86" s="364"/>
      <c r="AA86" s="91" t="s">
        <v>2</v>
      </c>
      <c r="AB86" s="92"/>
      <c r="AC86" s="366">
        <f>ABS(INDEX(AC:AC,MATCH(AC82,$AA:$AA,0)+8)+INDEX(AC:AC,MATCH(AC82,$AA:$AA,0)+9)+INDEX(AC:AC,MATCH(AC82,$AA:$AA,0)+10))</f>
        <v>183</v>
      </c>
      <c r="AD86" s="367"/>
      <c r="AE86" s="366">
        <f>ABS(INDEX(AE:AE,MATCH(AE82,$AA:$AA,0)+8)+INDEX(AE:AE,MATCH(AE82,$AA:$AA,0)+9)+INDEX(AE:AE,MATCH(AE82,$AA:$AA,0)+10))</f>
        <v>200</v>
      </c>
      <c r="AF86" s="367"/>
      <c r="AG86" s="366">
        <f>ABS(INDEX(AG:AG,MATCH(AG82,$AA:$AA,0)+8)+INDEX(AG:AG,MATCH(AG82,$AA:$AA,0)+9)+INDEX(AG:AG,MATCH(AG82,$AA:$AA,0)+10))</f>
        <v>213</v>
      </c>
      <c r="AH86" s="367"/>
      <c r="AI86" s="366">
        <f>ABS(INDEX(AI:AI,MATCH(AI82,$AA:$AA,0)+8)+INDEX(AI:AI,MATCH(AI82,$AA:$AA,0)+9)+INDEX(AI:AI,MATCH(AI82,$AA:$AA,0)+10))</f>
        <v>172</v>
      </c>
      <c r="AJ86" s="367"/>
      <c r="AK86" s="366">
        <f>ABS(INDEX(AK:AK,MATCH(AK82,$AA:$AA,0)+8)+INDEX(AK:AK,MATCH(AK82,$AA:$AA,0)+9)+INDEX(AK:AK,MATCH(AK82,$AA:$AA,0)+10))</f>
        <v>175</v>
      </c>
      <c r="AL86" s="367"/>
      <c r="AM86" s="366">
        <f>ABS(INDEX(AM:AM,MATCH(AM82,$AA:$AA,0)+8)+INDEX(AM:AM,MATCH(AM82,$AA:$AA,0)+9)+INDEX(AM:AM,MATCH(AM82,$AA:$AA,0)+10))</f>
        <v>213</v>
      </c>
      <c r="AN86" s="367"/>
      <c r="AO86" s="366">
        <f>ABS(INDEX(AO:AO,MATCH(AO82,$AA:$AA,0)+8)+INDEX(AO:AO,MATCH(AO82,$AA:$AA,0)+9)+INDEX(AO:AO,MATCH(AO82,$AA:$AA,0)+10))</f>
        <v>197</v>
      </c>
      <c r="AP86" s="367"/>
      <c r="AQ86" s="366">
        <f>ABS(INDEX(AQ:AQ,MATCH(AQ82,$AA:$AA,0)+8)+INDEX(AQ:AQ,MATCH(AQ82,$AA:$AA,0)+9)+INDEX(AQ:AQ,MATCH(AQ82,$AA:$AA,0)+10))</f>
        <v>204</v>
      </c>
      <c r="AR86" s="367"/>
      <c r="AS86" s="366">
        <f>ABS(INDEX(AS:AS,MATCH(AS82,$AA:$AA,0)+8)+INDEX(AS:AS,MATCH(AS82,$AA:$AA,0)+9)+INDEX(AS:AS,MATCH(AS82,$AA:$AA,0)+10))</f>
        <v>201</v>
      </c>
      <c r="AT86" s="367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4" t="str">
        <f t="shared" si="105"/>
        <v>Spieler 3</v>
      </c>
      <c r="C87" s="375" t="str">
        <f t="shared" si="106"/>
        <v/>
      </c>
      <c r="D87" s="362">
        <f>IF(AC87=301,"",AC87)</f>
        <v>202</v>
      </c>
      <c r="E87" s="362" t="str">
        <f>IF(AD87=0,"",AD87)</f>
        <v/>
      </c>
      <c r="F87" s="362">
        <f>IF(AE87=301,"",AE87)</f>
        <v>178</v>
      </c>
      <c r="G87" s="362" t="str">
        <f>IF(AF87=0,"",AF87)</f>
        <v/>
      </c>
      <c r="H87" s="362">
        <f>IF(AG87=301,"",AG87)</f>
        <v>206</v>
      </c>
      <c r="I87" s="362" t="str">
        <f>IF(AH87=0,"",AH87)</f>
        <v/>
      </c>
      <c r="J87" s="362">
        <f>IF(AI87=301,"",AI87)</f>
        <v>192</v>
      </c>
      <c r="K87" s="362" t="str">
        <f>IF(AJ87=0,"",AJ87)</f>
        <v/>
      </c>
      <c r="L87" s="362">
        <f>IF(AK87=301,"",AK87)</f>
        <v>212</v>
      </c>
      <c r="M87" s="362" t="str">
        <f>IF(AL87=0,"",AL87)</f>
        <v/>
      </c>
      <c r="N87" s="362">
        <f>IF(AM87=301,"",AM87)</f>
        <v>222</v>
      </c>
      <c r="O87" s="362" t="str">
        <f>IF(AN87=0,"",AN87)</f>
        <v/>
      </c>
      <c r="P87" s="362">
        <f>IF(AO87=301,"",AO87)</f>
        <v>255</v>
      </c>
      <c r="Q87" s="362" t="str">
        <f>IF(AP87=0,"",AP87)</f>
        <v/>
      </c>
      <c r="R87" s="362">
        <f>IF(AQ87=301,"",AQ87)</f>
        <v>195</v>
      </c>
      <c r="S87" s="362" t="str">
        <f>IF(AR87=0,"",AR87)</f>
        <v/>
      </c>
      <c r="T87" s="362">
        <f>IF(AS87=301,"",AS87)</f>
        <v>273</v>
      </c>
      <c r="U87" s="362" t="str">
        <f>IF(AT87=0,"",AT87)</f>
        <v/>
      </c>
      <c r="V87" s="364"/>
      <c r="W87" s="364"/>
      <c r="AA87" s="91" t="s">
        <v>3</v>
      </c>
      <c r="AB87" s="92"/>
      <c r="AC87" s="366">
        <f>ABS(INDEX(AC:AC,MATCH(AC82,$AA:$AA,0)+11)+INDEX(AC:AC,MATCH(AC82,$AA:$AA,0)+12)+INDEX(AC:AC,MATCH(AC82,$AA:$AA,0)+13))</f>
        <v>202</v>
      </c>
      <c r="AD87" s="367"/>
      <c r="AE87" s="366">
        <f>ABS(INDEX(AE:AE,MATCH(AE82,$AA:$AA,0)+11)+INDEX(AE:AE,MATCH(AE82,$AA:$AA,0)+12)+INDEX(AE:AE,MATCH(AE82,$AA:$AA,0)+13))</f>
        <v>178</v>
      </c>
      <c r="AF87" s="367"/>
      <c r="AG87" s="366">
        <f>ABS(INDEX(AG:AG,MATCH(AG82,$AA:$AA,0)+11)+INDEX(AG:AG,MATCH(AG82,$AA:$AA,0)+12)+INDEX(AG:AG,MATCH(AG82,$AA:$AA,0)+13))</f>
        <v>206</v>
      </c>
      <c r="AH87" s="367"/>
      <c r="AI87" s="366">
        <f>ABS(INDEX(AI:AI,MATCH(AI82,$AA:$AA,0)+11)+INDEX(AI:AI,MATCH(AI82,$AA:$AA,0)+12)+INDEX(AI:AI,MATCH(AI82,$AA:$AA,0)+13))</f>
        <v>192</v>
      </c>
      <c r="AJ87" s="367"/>
      <c r="AK87" s="366">
        <f>ABS(INDEX(AK:AK,MATCH(AK82,$AA:$AA,0)+11)+INDEX(AK:AK,MATCH(AK82,$AA:$AA,0)+12)+INDEX(AK:AK,MATCH(AK82,$AA:$AA,0)+13))</f>
        <v>212</v>
      </c>
      <c r="AL87" s="367"/>
      <c r="AM87" s="366">
        <f>ABS(INDEX(AM:AM,MATCH(AM82,$AA:$AA,0)+11)+INDEX(AM:AM,MATCH(AM82,$AA:$AA,0)+12)+INDEX(AM:AM,MATCH(AM82,$AA:$AA,0)+13))</f>
        <v>222</v>
      </c>
      <c r="AN87" s="367"/>
      <c r="AO87" s="366">
        <f>ABS(INDEX(AO:AO,MATCH(AO82,$AA:$AA,0)+11)+INDEX(AO:AO,MATCH(AO82,$AA:$AA,0)+12)+INDEX(AO:AO,MATCH(AO82,$AA:$AA,0)+13))</f>
        <v>255</v>
      </c>
      <c r="AP87" s="367"/>
      <c r="AQ87" s="366">
        <f>ABS(INDEX(AQ:AQ,MATCH(AQ82,$AA:$AA,0)+11)+INDEX(AQ:AQ,MATCH(AQ82,$AA:$AA,0)+12)+INDEX(AQ:AQ,MATCH(AQ82,$AA:$AA,0)+13))</f>
        <v>195</v>
      </c>
      <c r="AR87" s="367"/>
      <c r="AS87" s="366">
        <f>ABS(INDEX(AS:AS,MATCH(AS82,$AA:$AA,0)+11)+INDEX(AS:AS,MATCH(AS82,$AA:$AA,0)+12)+INDEX(AS:AS,MATCH(AS82,$AA:$AA,0)+13))</f>
        <v>273</v>
      </c>
      <c r="AT87" s="367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4" t="str">
        <f t="shared" si="105"/>
        <v>Spieler 4</v>
      </c>
      <c r="C88" s="375" t="str">
        <f t="shared" si="106"/>
        <v/>
      </c>
      <c r="D88" s="362">
        <f>IF(AC88=301,"",AC88)</f>
        <v>226</v>
      </c>
      <c r="E88" s="362" t="str">
        <f>IF(AD88=0,"",AD88)</f>
        <v/>
      </c>
      <c r="F88" s="362">
        <f>IF(AE88=301,"",AE88)</f>
        <v>147</v>
      </c>
      <c r="G88" s="362" t="str">
        <f>IF(AF88=0,"",AF88)</f>
        <v/>
      </c>
      <c r="H88" s="362">
        <f>IF(AG88=301,"",AG88)</f>
        <v>223</v>
      </c>
      <c r="I88" s="362" t="str">
        <f>IF(AH88=0,"",AH88)</f>
        <v/>
      </c>
      <c r="J88" s="362">
        <f>IF(AI88=301,"",AI88)</f>
        <v>251</v>
      </c>
      <c r="K88" s="362" t="str">
        <f>IF(AJ88=0,"",AJ88)</f>
        <v/>
      </c>
      <c r="L88" s="362">
        <f>IF(AK88=301,"",AK88)</f>
        <v>164</v>
      </c>
      <c r="M88" s="362" t="str">
        <f>IF(AL88=0,"",AL88)</f>
        <v/>
      </c>
      <c r="N88" s="362">
        <f>IF(AM88=301,"",AM88)</f>
        <v>202</v>
      </c>
      <c r="O88" s="362" t="str">
        <f>IF(AN88=0,"",AN88)</f>
        <v/>
      </c>
      <c r="P88" s="362">
        <f>IF(AO88=301,"",AO88)</f>
        <v>202</v>
      </c>
      <c r="Q88" s="362" t="str">
        <f>IF(AP88=0,"",AP88)</f>
        <v/>
      </c>
      <c r="R88" s="362">
        <f>IF(AQ88=301,"",AQ88)</f>
        <v>222</v>
      </c>
      <c r="S88" s="362" t="str">
        <f>IF(AR88=0,"",AR88)</f>
        <v/>
      </c>
      <c r="T88" s="362">
        <f>IF(AS88=301,"",AS88)</f>
        <v>136</v>
      </c>
      <c r="U88" s="362" t="str">
        <f>IF(AT88=0,"",AT88)</f>
        <v/>
      </c>
      <c r="V88" s="364"/>
      <c r="W88" s="364"/>
      <c r="AA88" s="91" t="s">
        <v>11</v>
      </c>
      <c r="AB88" s="92"/>
      <c r="AC88" s="366">
        <f>ABS(INDEX(AC:AC,MATCH(AC82,$AA:$AA,0)+14)+INDEX(AC:AC,MATCH(AC82,$AA:$AA,0)+15)+INDEX(AC:AC,MATCH(AC82,$AA:$AA,0)+16))</f>
        <v>226</v>
      </c>
      <c r="AD88" s="367"/>
      <c r="AE88" s="366">
        <f>ABS(INDEX(AE:AE,MATCH(AE82,$AA:$AA,0)+14)+INDEX(AE:AE,MATCH(AE82,$AA:$AA,0)+15)+INDEX(AE:AE,MATCH(AE82,$AA:$AA,0)+16))</f>
        <v>147</v>
      </c>
      <c r="AF88" s="367"/>
      <c r="AG88" s="366">
        <f>ABS(INDEX(AG:AG,MATCH(AG82,$AA:$AA,0)+14)+INDEX(AG:AG,MATCH(AG82,$AA:$AA,0)+15)+INDEX(AG:AG,MATCH(AG82,$AA:$AA,0)+16))</f>
        <v>223</v>
      </c>
      <c r="AH88" s="367"/>
      <c r="AI88" s="366">
        <f>ABS(INDEX(AI:AI,MATCH(AI82,$AA:$AA,0)+14)+INDEX(AI:AI,MATCH(AI82,$AA:$AA,0)+15)+INDEX(AI:AI,MATCH(AI82,$AA:$AA,0)+16))</f>
        <v>251</v>
      </c>
      <c r="AJ88" s="367"/>
      <c r="AK88" s="366">
        <f>ABS(INDEX(AK:AK,MATCH(AK82,$AA:$AA,0)+14)+INDEX(AK:AK,MATCH(AK82,$AA:$AA,0)+15)+INDEX(AK:AK,MATCH(AK82,$AA:$AA,0)+16))</f>
        <v>164</v>
      </c>
      <c r="AL88" s="367"/>
      <c r="AM88" s="366">
        <f>ABS(INDEX(AM:AM,MATCH(AM82,$AA:$AA,0)+14)+INDEX(AM:AM,MATCH(AM82,$AA:$AA,0)+15)+INDEX(AM:AM,MATCH(AM82,$AA:$AA,0)+16))</f>
        <v>202</v>
      </c>
      <c r="AN88" s="367"/>
      <c r="AO88" s="366">
        <f>ABS(INDEX(AO:AO,MATCH(AO82,$AA:$AA,0)+14)+INDEX(AO:AO,MATCH(AO82,$AA:$AA,0)+15)+INDEX(AO:AO,MATCH(AO82,$AA:$AA,0)+16))</f>
        <v>202</v>
      </c>
      <c r="AP88" s="367"/>
      <c r="AQ88" s="366">
        <f>ABS(INDEX(AQ:AQ,MATCH(AQ82,$AA:$AA,0)+14)+INDEX(AQ:AQ,MATCH(AQ82,$AA:$AA,0)+15)+INDEX(AQ:AQ,MATCH(AQ82,$AA:$AA,0)+16))</f>
        <v>222</v>
      </c>
      <c r="AR88" s="367"/>
      <c r="AS88" s="366">
        <f>ABS(INDEX(AS:AS,MATCH(AS82,$AA:$AA,0)+14)+INDEX(AS:AS,MATCH(AS82,$AA:$AA,0)+15)+INDEX(AS:AS,MATCH(AS82,$AA:$AA,0)+16))</f>
        <v>136</v>
      </c>
      <c r="AT88" s="367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6" t="str">
        <f t="shared" si="105"/>
        <v>Gesamt</v>
      </c>
      <c r="C89" s="347" t="str">
        <f t="shared" si="106"/>
        <v/>
      </c>
      <c r="D89" s="365">
        <f>IF(AC89=1505,"",AC89)</f>
        <v>777</v>
      </c>
      <c r="E89" s="365" t="str">
        <f>IF(AD89=0,"",AD89)</f>
        <v/>
      </c>
      <c r="F89" s="365">
        <f>IF(AE89=1505,"",AE89)</f>
        <v>732</v>
      </c>
      <c r="G89" s="365" t="str">
        <f>IF(AF89=0,"",AF89)</f>
        <v/>
      </c>
      <c r="H89" s="365">
        <f>IF(AG89=1505,"",AG89)</f>
        <v>796</v>
      </c>
      <c r="I89" s="365" t="str">
        <f>IF(AH89=0,"",AH89)</f>
        <v/>
      </c>
      <c r="J89" s="365">
        <f>IF(AI89=1505,"",AI89)</f>
        <v>839</v>
      </c>
      <c r="K89" s="365" t="str">
        <f>IF(AJ89=0,"",AJ89)</f>
        <v/>
      </c>
      <c r="L89" s="365">
        <f>IF(AK89=1505,"",AK89)</f>
        <v>809</v>
      </c>
      <c r="M89" s="365" t="str">
        <f>IF(AL89=0,"",AL89)</f>
        <v/>
      </c>
      <c r="N89" s="365">
        <f>IF(AM89=1505,"",AM89)</f>
        <v>876</v>
      </c>
      <c r="O89" s="365" t="str">
        <f>IF(AN89=0,"",AN89)</f>
        <v/>
      </c>
      <c r="P89" s="365">
        <f>IF(AO89=1505,"",AO89)</f>
        <v>863</v>
      </c>
      <c r="Q89" s="365" t="str">
        <f>IF(AP89=0,"",AP89)</f>
        <v/>
      </c>
      <c r="R89" s="365">
        <f>IF(AQ89=1505,"",AQ89)</f>
        <v>780</v>
      </c>
      <c r="S89" s="365" t="str">
        <f>IF(AR89=0,"",AR89)</f>
        <v/>
      </c>
      <c r="T89" s="365">
        <f>IF(AS89=1505,"",AS89)</f>
        <v>769</v>
      </c>
      <c r="U89" s="365" t="str">
        <f>IF(AT89=0,"",AT89)</f>
        <v/>
      </c>
      <c r="V89" s="301"/>
      <c r="W89" s="301"/>
      <c r="AA89" s="93" t="s">
        <v>1799</v>
      </c>
      <c r="AB89" s="94"/>
      <c r="AC89" s="346">
        <f>SUM(AC85:AC88)</f>
        <v>777</v>
      </c>
      <c r="AD89" s="347"/>
      <c r="AE89" s="346">
        <f>SUM(AE85:AE88)</f>
        <v>732</v>
      </c>
      <c r="AF89" s="347"/>
      <c r="AG89" s="346">
        <f>SUM(AG85:AG88)</f>
        <v>796</v>
      </c>
      <c r="AH89" s="347"/>
      <c r="AI89" s="346">
        <f>SUM(AI85:AI88)</f>
        <v>839</v>
      </c>
      <c r="AJ89" s="347"/>
      <c r="AK89" s="346">
        <f>SUM(AK85:AK88)</f>
        <v>809</v>
      </c>
      <c r="AL89" s="347"/>
      <c r="AM89" s="346">
        <f>SUM(AM85:AM88)</f>
        <v>876</v>
      </c>
      <c r="AN89" s="347"/>
      <c r="AO89" s="346">
        <f>SUM(AO85:AO88)</f>
        <v>863</v>
      </c>
      <c r="AP89" s="347"/>
      <c r="AQ89" s="346">
        <f>SUM(AQ85:AQ88)</f>
        <v>780</v>
      </c>
      <c r="AR89" s="347"/>
      <c r="AS89" s="346">
        <f>SUM(AS85:AS88)</f>
        <v>769</v>
      </c>
      <c r="AT89" s="347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5" t="str">
        <f>AE91</f>
        <v>Bayernliga Herren</v>
      </c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48"/>
      <c r="S91" s="49" t="s">
        <v>1794</v>
      </c>
      <c r="T91" s="50"/>
      <c r="U91" s="341" t="str">
        <f>AT91</f>
        <v>12.10./13.10.</v>
      </c>
      <c r="V91" s="342"/>
      <c r="W91" s="343"/>
      <c r="X91" s="372"/>
      <c r="Y91" s="373"/>
      <c r="Z91" s="373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41" t="str">
        <f>VLOOKUP(AS92,Spielorte!$A$1:$C$6,2)</f>
        <v>12.10./13.10.</v>
      </c>
      <c r="AU91" s="342"/>
      <c r="AV91" s="34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4" t="str">
        <f>AE92</f>
        <v>Unterföhring Dreambowl Palace</v>
      </c>
      <c r="G92" s="344"/>
      <c r="H92" s="344"/>
      <c r="I92" s="344"/>
      <c r="J92" s="344"/>
      <c r="K92" s="344"/>
      <c r="L92" s="344"/>
      <c r="M92" s="344"/>
      <c r="N92" s="344"/>
      <c r="O92" s="344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6" t="s">
        <v>1800</v>
      </c>
      <c r="E95" s="347"/>
      <c r="F95" s="346" t="s">
        <v>1801</v>
      </c>
      <c r="G95" s="347"/>
      <c r="H95" s="346" t="s">
        <v>1802</v>
      </c>
      <c r="I95" s="347"/>
      <c r="J95" s="346" t="s">
        <v>1803</v>
      </c>
      <c r="K95" s="347"/>
      <c r="L95" s="346" t="s">
        <v>1804</v>
      </c>
      <c r="M95" s="347"/>
      <c r="N95" s="346" t="s">
        <v>1805</v>
      </c>
      <c r="O95" s="347"/>
      <c r="P95" s="346" t="s">
        <v>1806</v>
      </c>
      <c r="Q95" s="347"/>
      <c r="R95" s="346" t="s">
        <v>1807</v>
      </c>
      <c r="S95" s="347"/>
      <c r="T95" s="346" t="s">
        <v>1808</v>
      </c>
      <c r="U95" s="347"/>
      <c r="V95" s="354" t="s">
        <v>1799</v>
      </c>
      <c r="W95" s="355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6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224</v>
      </c>
      <c r="E97" s="348">
        <f>IF(AD97="","",AD97)</f>
        <v>1</v>
      </c>
      <c r="F97" s="75">
        <f t="shared" ref="F97:F110" si="109">IF(AE97=0,"",AE97)</f>
        <v>212</v>
      </c>
      <c r="G97" s="348">
        <f>IF(AF97="","",AF97)</f>
        <v>0</v>
      </c>
      <c r="H97" s="75">
        <f t="shared" ref="H97:H110" si="110">IF(AG97=0,"",AG97)</f>
        <v>180</v>
      </c>
      <c r="I97" s="348">
        <f>IF(AH97="","",AH97)</f>
        <v>0</v>
      </c>
      <c r="J97" s="75">
        <f t="shared" ref="J97:J110" si="111">IF(AI97=0,"",AI97)</f>
        <v>215</v>
      </c>
      <c r="K97" s="348">
        <f>IF(AJ97="","",AJ97)</f>
        <v>0</v>
      </c>
      <c r="L97" s="75">
        <f t="shared" ref="L97:L110" si="112">IF(AK97=0,"",AK97)</f>
        <v>234</v>
      </c>
      <c r="M97" s="348">
        <f>IF(AL97="","",AL97)</f>
        <v>1</v>
      </c>
      <c r="N97" s="75">
        <f>IF(AM97=0,"",AM97)</f>
        <v>219</v>
      </c>
      <c r="O97" s="348">
        <f>IF(AN97="","",AN97)</f>
        <v>1</v>
      </c>
      <c r="P97" s="75">
        <f t="shared" ref="P97:P110" si="113">IF(AO97=0,"",AO97)</f>
        <v>223</v>
      </c>
      <c r="Q97" s="348">
        <f>IF(AP97="","",AP97)</f>
        <v>0</v>
      </c>
      <c r="R97" s="75">
        <f t="shared" ref="R97:R110" si="114">IF(AQ97=0,"",AQ97)</f>
        <v>159</v>
      </c>
      <c r="S97" s="348">
        <f>IF(AR97="","",AR97)</f>
        <v>0</v>
      </c>
      <c r="T97" s="75">
        <f t="shared" ref="T97:T110" si="115">IF(AS97=0,"",AS97)</f>
        <v>188</v>
      </c>
      <c r="U97" s="348">
        <f>IF(AT97="","",AT97)</f>
        <v>1</v>
      </c>
      <c r="V97" s="75">
        <f t="shared" ref="V97:V110" si="116">IF(AU97=0,"",AU97)</f>
        <v>1854</v>
      </c>
      <c r="W97" s="348">
        <f>IF(AV97="","",AV97)</f>
        <v>4</v>
      </c>
      <c r="Z97" s="351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224</v>
      </c>
      <c r="AD97" s="109">
        <f>IF(SUM(AC97:AC99)+AC115=0,0,IF(SUM(ABS(AC97),ABS(AC98),ABS(AC99))=AC115,0.5,IF(SUM(ABS(AC97),ABS(AC98),ABS(AC99))&gt;AC115,1,0)))</f>
        <v>1</v>
      </c>
      <c r="AE97" s="185">
        <v>212</v>
      </c>
      <c r="AF97" s="109">
        <f>IF(SUM(AE97:AE99)+AE115=0,0,IF(SUM(ABS(AE97),ABS(AE98),ABS(AE99))=AE115,0.5,IF(SUM(ABS(AE97),ABS(AE98),ABS(AE99))&gt;AE115,1,0)))</f>
        <v>0</v>
      </c>
      <c r="AG97" s="185">
        <v>180</v>
      </c>
      <c r="AH97" s="109">
        <f>IF(SUM(AG97:AG99)+AG115=0,0,IF(SUM(ABS(AG97),ABS(AG98),ABS(AG99))=AG115,0.5,IF(SUM(ABS(AG97),ABS(AG98),ABS(AG99))&gt;AG115,1,0)))</f>
        <v>0</v>
      </c>
      <c r="AI97" s="185">
        <v>215</v>
      </c>
      <c r="AJ97" s="109">
        <f>IF(SUM(AI97:AI99)+AI115=0,0,IF(SUM(ABS(AI97),ABS(AI98),ABS(AI99))=AI115,0.5,IF(SUM(ABS(AI97),ABS(AI98),ABS(AI99))&gt;AI115,1,0)))</f>
        <v>0</v>
      </c>
      <c r="AK97" s="185">
        <v>234</v>
      </c>
      <c r="AL97" s="109">
        <f>IF(SUM(AK97:AK99)+AK115=0,0,IF(SUM(ABS(AK97),ABS(AK98),ABS(AK99))=AK115,0.5,IF(SUM(ABS(AK97),ABS(AK98),ABS(AK99))&gt;AK115,1,0)))</f>
        <v>1</v>
      </c>
      <c r="AM97" s="185">
        <v>219</v>
      </c>
      <c r="AN97" s="109">
        <f>IF(SUM(AM97:AM99)+AM115=0,0,IF(SUM(ABS(AM97),ABS(AM98),ABS(AM99))=AM115,0.5,IF(SUM(ABS(AM97),ABS(AM98),ABS(AM99))&gt;AM115,1,0)))</f>
        <v>1</v>
      </c>
      <c r="AO97" s="185">
        <v>223</v>
      </c>
      <c r="AP97" s="109">
        <f>IF(SUM(AO97:AO99)+AO115=0,0,IF(SUM(ABS(AO97),ABS(AO98),ABS(AO99))=AO115,0.5,IF(SUM(ABS(AO97),ABS(AO98),ABS(AO99))&gt;AO115,1,0)))</f>
        <v>0</v>
      </c>
      <c r="AQ97" s="185">
        <v>159</v>
      </c>
      <c r="AR97" s="109">
        <f>IF(SUM(AQ97:AQ99)+AQ115=0,0,IF(SUM(ABS(AQ97),ABS(AQ98),ABS(AQ99))=AQ115,0.5,IF(SUM(ABS(AQ97),ABS(AQ98),ABS(AQ99))&gt;AQ115,1,0)))</f>
        <v>0</v>
      </c>
      <c r="AS97" s="185">
        <v>188</v>
      </c>
      <c r="AT97" s="109">
        <f>IF(SUM(AS97:AS99)+AS115=0,0,IF(SUM(ABS(AS97),ABS(AS98),ABS(AS99))=AS115,0.5,IF(SUM(ABS(AS97),ABS(AS98),ABS(AS99))&gt;AS115,1,0)))</f>
        <v>1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1854</v>
      </c>
      <c r="AV97" s="111">
        <f>SUM(AD97+AF97+AH97+AJ97+AL97+AN97+AP97+AR97+AT97)</f>
        <v>4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1854</v>
      </c>
      <c r="BF97" s="215">
        <f>COUNT(BH97:BP97)</f>
        <v>9</v>
      </c>
      <c r="BG97" s="215">
        <f>COUNTIF(BH97:BP97,"&gt;0")</f>
        <v>9</v>
      </c>
      <c r="BH97" s="215">
        <f t="shared" ref="BH97:BH108" si="118">IF(AC97=0,"",AC97)</f>
        <v>224</v>
      </c>
      <c r="BI97" s="215">
        <f t="shared" ref="BI97:BI108" si="119">IF(AE97=0,"",AE97)</f>
        <v>212</v>
      </c>
      <c r="BJ97" s="215">
        <f t="shared" ref="BJ97:BJ108" si="120">IF(AG97=0,"",AG97)</f>
        <v>180</v>
      </c>
      <c r="BK97" s="215">
        <f t="shared" ref="BK97:BK108" si="121">IF(AI97=0,"",AI97)</f>
        <v>215</v>
      </c>
      <c r="BL97" s="215">
        <f t="shared" ref="BL97:BL108" si="122">IF(AK97=0,"",AK97)</f>
        <v>234</v>
      </c>
      <c r="BM97" s="215">
        <f t="shared" ref="BM97:BM108" si="123">IF(AM97=0,"",AM97)</f>
        <v>219</v>
      </c>
      <c r="BN97" s="215">
        <f t="shared" ref="BN97:BN108" si="124">IF(AO97=0,"",AO97)</f>
        <v>223</v>
      </c>
      <c r="BO97" s="215">
        <f t="shared" ref="BO97:BO108" si="125">IF(AQ97=0,"",AQ97)</f>
        <v>159</v>
      </c>
      <c r="BP97" s="215">
        <f t="shared" ref="BP97:BP108" si="126">IF(AS97=0,"",AS97)</f>
        <v>188</v>
      </c>
      <c r="BQ97" s="216"/>
      <c r="BR97" s="214"/>
      <c r="BS97" s="215">
        <f>MAX(BH97:BP97)</f>
        <v>234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1854</v>
      </c>
      <c r="BX97" s="215">
        <f>IF(COUNTIF(BH97:BP97,"&gt;0")&lt;Spielorte!$A$23,0,BE97/Spielorte!$A$23)</f>
        <v>206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00000000000001" customHeight="1" x14ac:dyDescent="0.25">
      <c r="A98" s="377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49"/>
      <c r="F98" s="78" t="str">
        <f t="shared" si="109"/>
        <v/>
      </c>
      <c r="G98" s="349"/>
      <c r="H98" s="78" t="str">
        <f t="shared" si="110"/>
        <v/>
      </c>
      <c r="I98" s="349"/>
      <c r="J98" s="78" t="str">
        <f t="shared" si="111"/>
        <v/>
      </c>
      <c r="K98" s="349"/>
      <c r="L98" s="78" t="str">
        <f t="shared" si="112"/>
        <v/>
      </c>
      <c r="M98" s="349"/>
      <c r="N98" s="78" t="str">
        <f t="shared" ref="N98:N110" si="131">IF(AM98=0,"",AM98)</f>
        <v/>
      </c>
      <c r="O98" s="349"/>
      <c r="P98" s="78" t="str">
        <f t="shared" si="113"/>
        <v/>
      </c>
      <c r="Q98" s="349"/>
      <c r="R98" s="78" t="str">
        <f t="shared" si="114"/>
        <v/>
      </c>
      <c r="S98" s="349"/>
      <c r="T98" s="78" t="str">
        <f t="shared" si="115"/>
        <v/>
      </c>
      <c r="U98" s="349"/>
      <c r="V98" s="78" t="str">
        <f t="shared" si="116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SG DJK Rimpar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00000000000001" customHeight="1" thickBot="1" x14ac:dyDescent="0.3">
      <c r="A99" s="378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50"/>
      <c r="F99" s="69" t="str">
        <f t="shared" si="109"/>
        <v/>
      </c>
      <c r="G99" s="350"/>
      <c r="H99" s="69" t="str">
        <f t="shared" si="110"/>
        <v/>
      </c>
      <c r="I99" s="350"/>
      <c r="J99" s="69" t="str">
        <f t="shared" si="111"/>
        <v/>
      </c>
      <c r="K99" s="350"/>
      <c r="L99" s="69" t="str">
        <f t="shared" si="112"/>
        <v/>
      </c>
      <c r="M99" s="350"/>
      <c r="N99" s="69" t="str">
        <f t="shared" si="131"/>
        <v/>
      </c>
      <c r="O99" s="350"/>
      <c r="P99" s="69" t="str">
        <f t="shared" si="113"/>
        <v/>
      </c>
      <c r="Q99" s="350"/>
      <c r="R99" s="69" t="str">
        <f t="shared" si="114"/>
        <v/>
      </c>
      <c r="S99" s="350"/>
      <c r="T99" s="69" t="str">
        <f t="shared" si="115"/>
        <v/>
      </c>
      <c r="U99" s="350"/>
      <c r="V99" s="69" t="str">
        <f t="shared" si="116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SG DJK Rimpar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00000000000001" customHeight="1" x14ac:dyDescent="0.25">
      <c r="A100" s="376" t="s">
        <v>2</v>
      </c>
      <c r="B100" s="73" t="str">
        <f t="shared" si="128"/>
        <v>Plaschka, Nico</v>
      </c>
      <c r="C100" s="74">
        <f t="shared" si="129"/>
        <v>38039</v>
      </c>
      <c r="D100" s="75">
        <f t="shared" si="130"/>
        <v>244</v>
      </c>
      <c r="E100" s="348">
        <f>IF(AD100="","",AD100)</f>
        <v>1</v>
      </c>
      <c r="F100" s="75">
        <f t="shared" si="109"/>
        <v>194</v>
      </c>
      <c r="G100" s="348">
        <f>IF(AF100="","",AF100)</f>
        <v>1</v>
      </c>
      <c r="H100" s="75">
        <f t="shared" si="110"/>
        <v>180</v>
      </c>
      <c r="I100" s="348">
        <f>IF(AH100="","",AH100)</f>
        <v>1</v>
      </c>
      <c r="J100" s="75">
        <f t="shared" si="111"/>
        <v>191</v>
      </c>
      <c r="K100" s="348">
        <f>IF(AJ100="","",AJ100)</f>
        <v>0</v>
      </c>
      <c r="L100" s="75">
        <f t="shared" si="112"/>
        <v>162</v>
      </c>
      <c r="M100" s="348">
        <f>IF(AL100="","",AL100)</f>
        <v>0</v>
      </c>
      <c r="N100" s="75">
        <f t="shared" si="131"/>
        <v>186</v>
      </c>
      <c r="O100" s="348">
        <f>IF(AN100="","",AN100)</f>
        <v>0</v>
      </c>
      <c r="P100" s="75" t="str">
        <f t="shared" si="113"/>
        <v/>
      </c>
      <c r="Q100" s="348">
        <f>IF(AP100="","",AP100)</f>
        <v>0</v>
      </c>
      <c r="R100" s="75" t="str">
        <f t="shared" si="114"/>
        <v/>
      </c>
      <c r="S100" s="348">
        <f>IF(AR100="","",AR100)</f>
        <v>1</v>
      </c>
      <c r="T100" s="75" t="str">
        <f t="shared" si="115"/>
        <v/>
      </c>
      <c r="U100" s="348">
        <f>IF(AT100="","",AT100)</f>
        <v>1</v>
      </c>
      <c r="V100" s="75">
        <f t="shared" si="116"/>
        <v>1157</v>
      </c>
      <c r="W100" s="348">
        <f>IF(AV100="","",AV100)</f>
        <v>5</v>
      </c>
      <c r="Z100" s="351" t="s">
        <v>2</v>
      </c>
      <c r="AA100" s="108" t="str">
        <f>IF(AB100=0,"",VLOOKUP(AB100,Starter!$A$1:$D$199,2,FALSE))</f>
        <v>Plaschka, Nico</v>
      </c>
      <c r="AB100" s="99">
        <v>38039</v>
      </c>
      <c r="AC100" s="188">
        <v>244</v>
      </c>
      <c r="AD100" s="109">
        <f>IF(SUM(AC100:AC102)+AC116=0,0,IF(SUM(ABS(AC100),ABS(AC101),ABS(AC102))=AC116,0.5,IF(SUM(ABS(AC100),ABS(AC101),ABS(AC102))&gt;AC116,1,0)))</f>
        <v>1</v>
      </c>
      <c r="AE100" s="188">
        <v>194</v>
      </c>
      <c r="AF100" s="109">
        <f>IF(SUM(AE100:AE102)+AE116=0,0,IF(SUM(ABS(AE100),ABS(AE101),ABS(AE102))=AE116,0.5,IF(SUM(ABS(AE100),ABS(AE101),ABS(AE102))&gt;AE116,1,0)))</f>
        <v>1</v>
      </c>
      <c r="AG100" s="188">
        <v>180</v>
      </c>
      <c r="AH100" s="109">
        <f>IF(SUM(AG100:AG102)+AG116=0,0,IF(SUM(ABS(AG100),ABS(AG101),ABS(AG102))=AG116,0.5,IF(SUM(ABS(AG100),ABS(AG101),ABS(AG102))&gt;AG116,1,0)))</f>
        <v>1</v>
      </c>
      <c r="AI100" s="188">
        <v>191</v>
      </c>
      <c r="AJ100" s="109">
        <f>IF(SUM(AI100:AI102)+AI116=0,0,IF(SUM(ABS(AI100),ABS(AI101),ABS(AI102))=AI116,0.5,IF(SUM(ABS(AI100),ABS(AI101),ABS(AI102))&gt;AI116,1,0)))</f>
        <v>0</v>
      </c>
      <c r="AK100" s="188">
        <v>162</v>
      </c>
      <c r="AL100" s="109">
        <f>IF(SUM(AK100:AK102)+AK116=0,0,IF(SUM(ABS(AK100),ABS(AK101),ABS(AK102))=AK116,0.5,IF(SUM(ABS(AK100),ABS(AK101),ABS(AK102))&gt;AK116,1,0)))</f>
        <v>0</v>
      </c>
      <c r="AM100" s="188">
        <v>186</v>
      </c>
      <c r="AN100" s="109">
        <f>IF(SUM(AM100:AM102)+AM116=0,0,IF(SUM(ABS(AM100),ABS(AM101),ABS(AM102))=AM116,0.5,IF(SUM(ABS(AM100),ABS(AM101),ABS(AM102))&gt;AM116,1,0)))</f>
        <v>0</v>
      </c>
      <c r="AO100" s="188"/>
      <c r="AP100" s="109">
        <f>IF(SUM(AO100:AO102)+AO116=0,0,IF(SUM(ABS(AO100),ABS(AO101),ABS(AO102))=AO116,0.5,IF(SUM(ABS(AO100),ABS(AO101),ABS(AO102))&gt;AO116,1,0)))</f>
        <v>0</v>
      </c>
      <c r="AQ100" s="188"/>
      <c r="AR100" s="109">
        <f>IF(SUM(AQ100:AQ102)+AQ116=0,0,IF(SUM(ABS(AQ100),ABS(AQ101),ABS(AQ102))=AQ116,0.5,IF(SUM(ABS(AQ100),ABS(AQ101),ABS(AQ102))&gt;AQ116,1,0)))</f>
        <v>1</v>
      </c>
      <c r="AS100" s="188"/>
      <c r="AT100" s="109">
        <f>IF(SUM(AS100:AS102)+AS116=0,0,IF(SUM(ABS(AS100),ABS(AS101),ABS(AS102))=AS116,0.5,IF(SUM(ABS(AS100),ABS(AS101),ABS(AS102))&gt;AS116,1,0)))</f>
        <v>1</v>
      </c>
      <c r="AU100" s="110">
        <f t="shared" si="117"/>
        <v>1157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32"/>
        <v>38039</v>
      </c>
      <c r="BE100" s="213">
        <f t="shared" si="133"/>
        <v>1157</v>
      </c>
      <c r="BF100" s="215">
        <f t="shared" si="134"/>
        <v>6</v>
      </c>
      <c r="BG100" s="215">
        <f t="shared" si="135"/>
        <v>6</v>
      </c>
      <c r="BH100" s="215">
        <f t="shared" si="118"/>
        <v>244</v>
      </c>
      <c r="BI100" s="215">
        <f t="shared" si="119"/>
        <v>194</v>
      </c>
      <c r="BJ100" s="215">
        <f t="shared" si="120"/>
        <v>180</v>
      </c>
      <c r="BK100" s="215">
        <f t="shared" si="121"/>
        <v>191</v>
      </c>
      <c r="BL100" s="215">
        <f t="shared" si="122"/>
        <v>162</v>
      </c>
      <c r="BM100" s="215">
        <f t="shared" si="123"/>
        <v>186</v>
      </c>
      <c r="BN100" s="215" t="str">
        <f t="shared" si="124"/>
        <v/>
      </c>
      <c r="BO100" s="215" t="str">
        <f t="shared" si="125"/>
        <v/>
      </c>
      <c r="BP100" s="215" t="str">
        <f t="shared" si="126"/>
        <v/>
      </c>
      <c r="BQ100" s="216"/>
      <c r="BR100" s="214"/>
      <c r="BS100" s="215">
        <f t="shared" si="136"/>
        <v>244</v>
      </c>
      <c r="BT100" s="215">
        <f t="shared" si="137"/>
        <v>0</v>
      </c>
      <c r="BU100" s="215" t="str">
        <f t="shared" si="138"/>
        <v>SG DJK Rimpar</v>
      </c>
      <c r="BV100" s="214">
        <f t="shared" si="139"/>
        <v>2</v>
      </c>
      <c r="BW100" s="215">
        <f t="shared" si="140"/>
        <v>1157</v>
      </c>
      <c r="BX100" s="215">
        <f>IF(COUNTIF(BH100:BP100,"&gt;0")&lt;Spielorte!$A$23,0,BE100/Spielorte!$A$23)</f>
        <v>0</v>
      </c>
      <c r="BY100" s="215">
        <f t="shared" si="141"/>
        <v>0</v>
      </c>
      <c r="BZ100" s="214">
        <f t="shared" si="127"/>
        <v>0</v>
      </c>
    </row>
    <row r="101" spans="1:78" ht="17.100000000000001" customHeight="1" x14ac:dyDescent="0.25">
      <c r="A101" s="377"/>
      <c r="B101" s="76" t="str">
        <f t="shared" si="128"/>
        <v>Gräfe, Sebastian</v>
      </c>
      <c r="C101" s="77">
        <f t="shared" si="129"/>
        <v>38687</v>
      </c>
      <c r="D101" s="78" t="str">
        <f t="shared" si="130"/>
        <v/>
      </c>
      <c r="E101" s="349"/>
      <c r="F101" s="78" t="str">
        <f t="shared" si="109"/>
        <v/>
      </c>
      <c r="G101" s="349"/>
      <c r="H101" s="78" t="str">
        <f t="shared" si="110"/>
        <v/>
      </c>
      <c r="I101" s="349"/>
      <c r="J101" s="78" t="str">
        <f t="shared" si="111"/>
        <v/>
      </c>
      <c r="K101" s="349"/>
      <c r="L101" s="78" t="str">
        <f t="shared" si="112"/>
        <v/>
      </c>
      <c r="M101" s="349"/>
      <c r="N101" s="78" t="str">
        <f t="shared" si="131"/>
        <v/>
      </c>
      <c r="O101" s="349"/>
      <c r="P101" s="78">
        <f t="shared" si="113"/>
        <v>193</v>
      </c>
      <c r="Q101" s="349"/>
      <c r="R101" s="78">
        <f t="shared" si="114"/>
        <v>204</v>
      </c>
      <c r="S101" s="349"/>
      <c r="T101" s="78">
        <f t="shared" si="115"/>
        <v>225</v>
      </c>
      <c r="U101" s="349"/>
      <c r="V101" s="78">
        <f t="shared" si="116"/>
        <v>622</v>
      </c>
      <c r="W101" s="349"/>
      <c r="Z101" s="352"/>
      <c r="AA101" s="108" t="str">
        <f>IF(AB101=0,"",VLOOKUP(AB101,Starter!$A$1:$D$199,2,FALSE))</f>
        <v>Gräfe, Sebastian</v>
      </c>
      <c r="AB101" s="98">
        <v>38687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>
        <v>193</v>
      </c>
      <c r="AP101" s="112"/>
      <c r="AQ101" s="190">
        <v>204</v>
      </c>
      <c r="AR101" s="112"/>
      <c r="AS101" s="190">
        <v>225</v>
      </c>
      <c r="AT101" s="112"/>
      <c r="AU101" s="113">
        <f t="shared" si="117"/>
        <v>622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38687</v>
      </c>
      <c r="BE101" s="213">
        <f t="shared" si="133"/>
        <v>622</v>
      </c>
      <c r="BF101" s="215">
        <f t="shared" si="134"/>
        <v>3</v>
      </c>
      <c r="BG101" s="215">
        <f t="shared" si="135"/>
        <v>3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>
        <f t="shared" si="124"/>
        <v>193</v>
      </c>
      <c r="BO101" s="215">
        <f t="shared" si="125"/>
        <v>204</v>
      </c>
      <c r="BP101" s="215">
        <f t="shared" si="126"/>
        <v>225</v>
      </c>
      <c r="BQ101" s="216"/>
      <c r="BR101" s="214"/>
      <c r="BS101" s="215">
        <f t="shared" si="136"/>
        <v>225</v>
      </c>
      <c r="BT101" s="215">
        <f t="shared" si="137"/>
        <v>0</v>
      </c>
      <c r="BU101" s="215" t="str">
        <f t="shared" si="138"/>
        <v>SG DJK Rimpar</v>
      </c>
      <c r="BV101" s="214">
        <f t="shared" si="139"/>
        <v>2</v>
      </c>
      <c r="BW101" s="215">
        <f t="shared" si="140"/>
        <v>622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00000000000001" customHeight="1" thickBot="1" x14ac:dyDescent="0.3">
      <c r="A102" s="378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50"/>
      <c r="F102" s="69" t="str">
        <f t="shared" si="109"/>
        <v/>
      </c>
      <c r="G102" s="350"/>
      <c r="H102" s="69" t="str">
        <f t="shared" si="110"/>
        <v/>
      </c>
      <c r="I102" s="350"/>
      <c r="J102" s="69" t="str">
        <f t="shared" si="111"/>
        <v/>
      </c>
      <c r="K102" s="350"/>
      <c r="L102" s="69" t="str">
        <f t="shared" si="112"/>
        <v/>
      </c>
      <c r="M102" s="350"/>
      <c r="N102" s="69" t="str">
        <f t="shared" si="131"/>
        <v/>
      </c>
      <c r="O102" s="350"/>
      <c r="P102" s="69" t="str">
        <f t="shared" si="113"/>
        <v/>
      </c>
      <c r="Q102" s="350"/>
      <c r="R102" s="69" t="str">
        <f t="shared" si="114"/>
        <v/>
      </c>
      <c r="S102" s="350"/>
      <c r="T102" s="69" t="str">
        <f t="shared" si="115"/>
        <v/>
      </c>
      <c r="U102" s="350"/>
      <c r="V102" s="69" t="str">
        <f t="shared" si="116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SG DJK Rimpar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00000000000001" customHeight="1" x14ac:dyDescent="0.25">
      <c r="A103" s="376" t="s">
        <v>3</v>
      </c>
      <c r="B103" s="73" t="str">
        <f t="shared" si="128"/>
        <v>Gräfe, Sebastian</v>
      </c>
      <c r="C103" s="74">
        <f t="shared" si="129"/>
        <v>38687</v>
      </c>
      <c r="D103" s="75">
        <f t="shared" si="130"/>
        <v>158</v>
      </c>
      <c r="E103" s="348">
        <f>IF(AD103="","",AD103)</f>
        <v>0</v>
      </c>
      <c r="F103" s="75">
        <f t="shared" si="109"/>
        <v>157</v>
      </c>
      <c r="G103" s="348">
        <f>IF(AF103="","",AF103)</f>
        <v>0</v>
      </c>
      <c r="H103" s="75" t="str">
        <f t="shared" si="110"/>
        <v/>
      </c>
      <c r="I103" s="348">
        <f>IF(AH103="","",AH103)</f>
        <v>1</v>
      </c>
      <c r="J103" s="75" t="str">
        <f t="shared" si="111"/>
        <v/>
      </c>
      <c r="K103" s="348">
        <f>IF(AJ103="","",AJ103)</f>
        <v>1</v>
      </c>
      <c r="L103" s="75" t="str">
        <f t="shared" si="112"/>
        <v/>
      </c>
      <c r="M103" s="348">
        <f>IF(AL103="","",AL103)</f>
        <v>0</v>
      </c>
      <c r="N103" s="75" t="str">
        <f t="shared" si="131"/>
        <v/>
      </c>
      <c r="O103" s="348">
        <f>IF(AN103="","",AN103)</f>
        <v>0</v>
      </c>
      <c r="P103" s="75" t="str">
        <f t="shared" si="113"/>
        <v/>
      </c>
      <c r="Q103" s="348">
        <f>IF(AP103="","",AP103)</f>
        <v>1</v>
      </c>
      <c r="R103" s="75" t="str">
        <f t="shared" si="114"/>
        <v/>
      </c>
      <c r="S103" s="348">
        <f>IF(AR103="","",AR103)</f>
        <v>0</v>
      </c>
      <c r="T103" s="75" t="str">
        <f t="shared" si="115"/>
        <v/>
      </c>
      <c r="U103" s="348">
        <f>IF(AT103="","",AT103)</f>
        <v>1</v>
      </c>
      <c r="V103" s="75">
        <f t="shared" si="116"/>
        <v>315</v>
      </c>
      <c r="W103" s="348">
        <f>IF(AV103="","",AV103)</f>
        <v>4</v>
      </c>
      <c r="Z103" s="351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158</v>
      </c>
      <c r="AD103" s="109">
        <f>IF(SUM(AC103:AC105)+AC117=0,0,IF(SUM(ABS(AC103),ABS(AC104),ABS(AC105))=AC117,0.5,IF(SUM(ABS(AC103),ABS(AC104),ABS(AC105))&gt;AC117,1,0)))</f>
        <v>0</v>
      </c>
      <c r="AE103" s="188">
        <v>157</v>
      </c>
      <c r="AF103" s="109">
        <f>IF(SUM(AE103:AE105)+AE117=0,0,IF(SUM(ABS(AE103),ABS(AE104),ABS(AE105))=AE117,0.5,IF(SUM(ABS(AE103),ABS(AE104),ABS(AE105))&gt;AE117,1,0)))</f>
        <v>0</v>
      </c>
      <c r="AG103" s="188"/>
      <c r="AH103" s="109">
        <f>IF(SUM(AG103:AG105)+AG117=0,0,IF(SUM(ABS(AG103),ABS(AG104),ABS(AG105))=AG117,0.5,IF(SUM(ABS(AG103),ABS(AG104),ABS(AG105))&gt;AG117,1,0)))</f>
        <v>1</v>
      </c>
      <c r="AI103" s="188"/>
      <c r="AJ103" s="109">
        <f>IF(SUM(AI103:AI105)+AI117=0,0,IF(SUM(ABS(AI103),ABS(AI104),ABS(AI105))=AI117,0.5,IF(SUM(ABS(AI103),ABS(AI104),ABS(AI105))&gt;AI117,1,0)))</f>
        <v>1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1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1</v>
      </c>
      <c r="AU103" s="110">
        <f t="shared" si="117"/>
        <v>315</v>
      </c>
      <c r="AV103" s="111">
        <f>SUM(AD103+AF103+AH103+AJ103+AL103+AN103+AP103+AR103+AT103)</f>
        <v>4</v>
      </c>
      <c r="AW103" s="101"/>
      <c r="AX103" s="102"/>
      <c r="AZ103" s="63"/>
      <c r="BA103" s="212"/>
      <c r="BB103" s="213"/>
      <c r="BC103" s="214"/>
      <c r="BD103" s="217">
        <f t="shared" si="132"/>
        <v>38687</v>
      </c>
      <c r="BE103" s="213">
        <f t="shared" si="133"/>
        <v>315</v>
      </c>
      <c r="BF103" s="215">
        <f t="shared" si="134"/>
        <v>2</v>
      </c>
      <c r="BG103" s="215">
        <f t="shared" si="135"/>
        <v>2</v>
      </c>
      <c r="BH103" s="215">
        <f t="shared" si="118"/>
        <v>158</v>
      </c>
      <c r="BI103" s="215">
        <f t="shared" si="119"/>
        <v>157</v>
      </c>
      <c r="BJ103" s="215" t="str">
        <f t="shared" si="120"/>
        <v/>
      </c>
      <c r="BK103" s="215" t="str">
        <f t="shared" si="121"/>
        <v/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158</v>
      </c>
      <c r="BT103" s="215">
        <f t="shared" si="137"/>
        <v>0</v>
      </c>
      <c r="BU103" s="215" t="str">
        <f t="shared" si="138"/>
        <v>SG DJK Rimpar</v>
      </c>
      <c r="BV103" s="214">
        <f t="shared" si="139"/>
        <v>2</v>
      </c>
      <c r="BW103" s="215">
        <f t="shared" si="140"/>
        <v>315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00000000000001" customHeight="1" x14ac:dyDescent="0.25">
      <c r="A104" s="377"/>
      <c r="B104" s="76" t="str">
        <f t="shared" si="128"/>
        <v>Werder, Jan-Uwe</v>
      </c>
      <c r="C104" s="77">
        <f t="shared" si="129"/>
        <v>16301</v>
      </c>
      <c r="D104" s="78" t="str">
        <f t="shared" si="130"/>
        <v/>
      </c>
      <c r="E104" s="349"/>
      <c r="F104" s="78" t="str">
        <f t="shared" si="109"/>
        <v/>
      </c>
      <c r="G104" s="349"/>
      <c r="H104" s="78">
        <f t="shared" si="110"/>
        <v>239</v>
      </c>
      <c r="I104" s="349"/>
      <c r="J104" s="78">
        <f t="shared" si="111"/>
        <v>176</v>
      </c>
      <c r="K104" s="349"/>
      <c r="L104" s="78">
        <f t="shared" si="112"/>
        <v>198</v>
      </c>
      <c r="M104" s="349"/>
      <c r="N104" s="78">
        <f t="shared" si="131"/>
        <v>245</v>
      </c>
      <c r="O104" s="349"/>
      <c r="P104" s="78">
        <f t="shared" si="113"/>
        <v>182</v>
      </c>
      <c r="Q104" s="349"/>
      <c r="R104" s="78">
        <f t="shared" si="114"/>
        <v>195</v>
      </c>
      <c r="S104" s="349"/>
      <c r="T104" s="78">
        <f t="shared" si="115"/>
        <v>191</v>
      </c>
      <c r="U104" s="349"/>
      <c r="V104" s="78">
        <f t="shared" si="116"/>
        <v>1426</v>
      </c>
      <c r="W104" s="349"/>
      <c r="Z104" s="352"/>
      <c r="AA104" s="108" t="str">
        <f>IF(AB104=0,"",VLOOKUP(AB104,Starter!$A$1:$D$199,2,FALSE))</f>
        <v>Werder, Jan-Uwe</v>
      </c>
      <c r="AB104" s="98">
        <v>16301</v>
      </c>
      <c r="AC104" s="186"/>
      <c r="AD104" s="112"/>
      <c r="AE104" s="186"/>
      <c r="AF104" s="112"/>
      <c r="AG104" s="186">
        <v>239</v>
      </c>
      <c r="AH104" s="112"/>
      <c r="AI104" s="186">
        <v>176</v>
      </c>
      <c r="AJ104" s="112"/>
      <c r="AK104" s="186">
        <v>198</v>
      </c>
      <c r="AL104" s="112"/>
      <c r="AM104" s="186">
        <v>245</v>
      </c>
      <c r="AN104" s="112"/>
      <c r="AO104" s="186">
        <v>182</v>
      </c>
      <c r="AP104" s="112"/>
      <c r="AQ104" s="186">
        <v>195</v>
      </c>
      <c r="AR104" s="112"/>
      <c r="AS104" s="186">
        <v>191</v>
      </c>
      <c r="AT104" s="112"/>
      <c r="AU104" s="113">
        <f t="shared" si="117"/>
        <v>1426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16301</v>
      </c>
      <c r="BE104" s="213">
        <f t="shared" si="133"/>
        <v>1426</v>
      </c>
      <c r="BF104" s="215">
        <f t="shared" si="134"/>
        <v>7</v>
      </c>
      <c r="BG104" s="215">
        <f t="shared" si="135"/>
        <v>7</v>
      </c>
      <c r="BH104" s="215" t="str">
        <f t="shared" si="118"/>
        <v/>
      </c>
      <c r="BI104" s="215" t="str">
        <f t="shared" si="119"/>
        <v/>
      </c>
      <c r="BJ104" s="215">
        <f t="shared" si="120"/>
        <v>239</v>
      </c>
      <c r="BK104" s="215">
        <f t="shared" si="121"/>
        <v>176</v>
      </c>
      <c r="BL104" s="215">
        <f t="shared" si="122"/>
        <v>198</v>
      </c>
      <c r="BM104" s="215">
        <f t="shared" si="123"/>
        <v>245</v>
      </c>
      <c r="BN104" s="215">
        <f t="shared" si="124"/>
        <v>182</v>
      </c>
      <c r="BO104" s="215">
        <f t="shared" si="125"/>
        <v>195</v>
      </c>
      <c r="BP104" s="215">
        <f t="shared" si="126"/>
        <v>191</v>
      </c>
      <c r="BQ104" s="216"/>
      <c r="BR104" s="214"/>
      <c r="BS104" s="215">
        <f t="shared" si="136"/>
        <v>245</v>
      </c>
      <c r="BT104" s="215">
        <f t="shared" si="137"/>
        <v>0</v>
      </c>
      <c r="BU104" s="215" t="str">
        <f t="shared" si="138"/>
        <v>SG DJK Rimpar</v>
      </c>
      <c r="BV104" s="214">
        <f t="shared" si="139"/>
        <v>2</v>
      </c>
      <c r="BW104" s="215">
        <f t="shared" si="140"/>
        <v>1426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00000000000001" customHeight="1" thickBot="1" x14ac:dyDescent="0.3">
      <c r="A105" s="378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50"/>
      <c r="F105" s="69" t="str">
        <f t="shared" si="109"/>
        <v/>
      </c>
      <c r="G105" s="350"/>
      <c r="H105" s="69" t="str">
        <f t="shared" si="110"/>
        <v/>
      </c>
      <c r="I105" s="350"/>
      <c r="J105" s="69" t="str">
        <f t="shared" si="111"/>
        <v/>
      </c>
      <c r="K105" s="350"/>
      <c r="L105" s="69" t="str">
        <f t="shared" si="112"/>
        <v/>
      </c>
      <c r="M105" s="350"/>
      <c r="N105" s="69" t="str">
        <f t="shared" si="131"/>
        <v/>
      </c>
      <c r="O105" s="350"/>
      <c r="P105" s="69" t="str">
        <f t="shared" si="113"/>
        <v/>
      </c>
      <c r="Q105" s="350"/>
      <c r="R105" s="69" t="str">
        <f t="shared" si="114"/>
        <v/>
      </c>
      <c r="S105" s="350"/>
      <c r="T105" s="69" t="str">
        <f t="shared" si="115"/>
        <v/>
      </c>
      <c r="U105" s="350"/>
      <c r="V105" s="69" t="str">
        <f t="shared" si="116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SG DJK Rimpar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00000000000001" customHeight="1" x14ac:dyDescent="0.25">
      <c r="A106" s="376" t="s">
        <v>11</v>
      </c>
      <c r="B106" s="73" t="str">
        <f>IF(AA106=0,"",AA106)</f>
        <v>Altenfeld, Marco</v>
      </c>
      <c r="C106" s="74">
        <f t="shared" si="129"/>
        <v>16253</v>
      </c>
      <c r="D106" s="75">
        <f t="shared" si="130"/>
        <v>262</v>
      </c>
      <c r="E106" s="348">
        <f>IF(AD106="","",AD106)</f>
        <v>1</v>
      </c>
      <c r="F106" s="75">
        <f t="shared" si="109"/>
        <v>204</v>
      </c>
      <c r="G106" s="348">
        <f>IF(AF106="","",AF106)</f>
        <v>1</v>
      </c>
      <c r="H106" s="75">
        <f t="shared" si="110"/>
        <v>280</v>
      </c>
      <c r="I106" s="348">
        <f>IF(AH106="","",AH106)</f>
        <v>1</v>
      </c>
      <c r="J106" s="75">
        <f t="shared" si="111"/>
        <v>236</v>
      </c>
      <c r="K106" s="348">
        <f>IF(AJ106="","",AJ106)</f>
        <v>1</v>
      </c>
      <c r="L106" s="75">
        <f t="shared" si="112"/>
        <v>223</v>
      </c>
      <c r="M106" s="348">
        <f>IF(AL106="","",AL106)</f>
        <v>0</v>
      </c>
      <c r="N106" s="75">
        <f t="shared" si="131"/>
        <v>195</v>
      </c>
      <c r="O106" s="348">
        <f>IF(AN106="","",AN106)</f>
        <v>1</v>
      </c>
      <c r="P106" s="75">
        <f t="shared" si="113"/>
        <v>242</v>
      </c>
      <c r="Q106" s="348">
        <f>IF(AP106="","",AP106)</f>
        <v>1</v>
      </c>
      <c r="R106" s="75">
        <f t="shared" si="114"/>
        <v>222</v>
      </c>
      <c r="S106" s="348">
        <f>IF(AR106="","",AR106)</f>
        <v>1</v>
      </c>
      <c r="T106" s="75">
        <f t="shared" si="115"/>
        <v>201</v>
      </c>
      <c r="U106" s="348">
        <f>IF(AT106="","",AT106)</f>
        <v>1</v>
      </c>
      <c r="V106" s="75">
        <f t="shared" si="116"/>
        <v>2065</v>
      </c>
      <c r="W106" s="348">
        <f>IF(AV106="","",AV106)</f>
        <v>8</v>
      </c>
      <c r="Z106" s="351" t="s">
        <v>11</v>
      </c>
      <c r="AA106" s="108" t="str">
        <f>IF(AB106=0,"",VLOOKUP(AB106,Starter!$A$1:$D$199,2,FALSE))</f>
        <v>Altenfeld, Marco</v>
      </c>
      <c r="AB106" s="99">
        <v>16253</v>
      </c>
      <c r="AC106" s="188">
        <v>262</v>
      </c>
      <c r="AD106" s="109">
        <f>IF(SUM(AC106:AC108)+AC118=0,0,IF(SUM(ABS(AC106),ABS(AC107),ABS(AC108))=AC118,0.5,IF(SUM(ABS(AC106),ABS(AC107),ABS(AC108))&gt;AC118,1,0)))</f>
        <v>1</v>
      </c>
      <c r="AE106" s="188">
        <v>204</v>
      </c>
      <c r="AF106" s="109">
        <f>IF(SUM(AE106:AE108)+AE118=0,0,IF(SUM(ABS(AE106),ABS(AE107),ABS(AE108))=AE118,0.5,IF(SUM(ABS(AE106),ABS(AE107),ABS(AE108))&gt;AE118,1,0)))</f>
        <v>1</v>
      </c>
      <c r="AG106" s="188">
        <v>280</v>
      </c>
      <c r="AH106" s="109">
        <f>IF(SUM(AG106:AG108)+AG118=0,0,IF(SUM(ABS(AG106),ABS(AG107),ABS(AG108))=AG118,0.5,IF(SUM(ABS(AG106),ABS(AG107),ABS(AG108))&gt;AG118,1,0)))</f>
        <v>1</v>
      </c>
      <c r="AI106" s="188">
        <v>236</v>
      </c>
      <c r="AJ106" s="109">
        <f>IF(SUM(AI106:AI108)+AI118=0,0,IF(SUM(ABS(AI106),ABS(AI107),ABS(AI108))=AI118,0.5,IF(SUM(ABS(AI106),ABS(AI107),ABS(AI108))&gt;AI118,1,0)))</f>
        <v>1</v>
      </c>
      <c r="AK106" s="188">
        <v>223</v>
      </c>
      <c r="AL106" s="109">
        <f>IF(SUM(AK106:AK108)+AK118=0,0,IF(SUM(ABS(AK106),ABS(AK107),ABS(AK108))=AK118,0.5,IF(SUM(ABS(AK106),ABS(AK107),ABS(AK108))&gt;AK118,1,0)))</f>
        <v>0</v>
      </c>
      <c r="AM106" s="188">
        <v>195</v>
      </c>
      <c r="AN106" s="109">
        <f>IF(SUM(AM106:AM108)+AM118=0,0,IF(SUM(ABS(AM106),ABS(AM107),ABS(AM108))=AM118,0.5,IF(SUM(ABS(AM106),ABS(AM107),ABS(AM108))&gt;AM118,1,0)))</f>
        <v>1</v>
      </c>
      <c r="AO106" s="188">
        <v>242</v>
      </c>
      <c r="AP106" s="109">
        <f>IF(SUM(AO106:AO108)+AO118=0,0,IF(SUM(ABS(AO106),ABS(AO107),ABS(AO108))=AO118,0.5,IF(SUM(ABS(AO106),ABS(AO107),ABS(AO108))&gt;AO118,1,0)))</f>
        <v>1</v>
      </c>
      <c r="AQ106" s="188">
        <v>222</v>
      </c>
      <c r="AR106" s="109">
        <f>IF(SUM(AQ106:AQ108)+AQ118=0,0,IF(SUM(ABS(AQ106),ABS(AQ107),ABS(AQ108))=AQ118,0.5,IF(SUM(ABS(AQ106),ABS(AQ107),ABS(AQ108))&gt;AQ118,1,0)))</f>
        <v>1</v>
      </c>
      <c r="AS106" s="188">
        <v>201</v>
      </c>
      <c r="AT106" s="109">
        <f>IF(SUM(AS106:AS108)+AS118=0,0,IF(SUM(ABS(AS106),ABS(AS107),ABS(AS108))=AS118,0.5,IF(SUM(ABS(AS106),ABS(AS107),ABS(AS108))&gt;AS118,1,0)))</f>
        <v>1</v>
      </c>
      <c r="AU106" s="110">
        <f t="shared" si="117"/>
        <v>2065</v>
      </c>
      <c r="AV106" s="111">
        <f>SUM(AD106+AF106+AH106+AJ106+AL106+AN106+AP106+AR106+AT106)</f>
        <v>8</v>
      </c>
      <c r="AW106" s="101"/>
      <c r="AX106" s="102"/>
      <c r="AZ106" s="63"/>
      <c r="BA106" s="212"/>
      <c r="BB106" s="213"/>
      <c r="BC106" s="214"/>
      <c r="BD106" s="217">
        <f t="shared" si="132"/>
        <v>16253</v>
      </c>
      <c r="BE106" s="213">
        <f t="shared" si="133"/>
        <v>2065</v>
      </c>
      <c r="BF106" s="215">
        <f t="shared" si="134"/>
        <v>9</v>
      </c>
      <c r="BG106" s="215">
        <f t="shared" si="135"/>
        <v>9</v>
      </c>
      <c r="BH106" s="215">
        <f t="shared" si="118"/>
        <v>262</v>
      </c>
      <c r="BI106" s="215">
        <f t="shared" si="119"/>
        <v>204</v>
      </c>
      <c r="BJ106" s="215">
        <f t="shared" si="120"/>
        <v>280</v>
      </c>
      <c r="BK106" s="215">
        <f t="shared" si="121"/>
        <v>236</v>
      </c>
      <c r="BL106" s="215">
        <f t="shared" si="122"/>
        <v>223</v>
      </c>
      <c r="BM106" s="215">
        <f t="shared" si="123"/>
        <v>195</v>
      </c>
      <c r="BN106" s="215">
        <f t="shared" si="124"/>
        <v>242</v>
      </c>
      <c r="BO106" s="215">
        <f t="shared" si="125"/>
        <v>222</v>
      </c>
      <c r="BP106" s="215">
        <f t="shared" si="126"/>
        <v>201</v>
      </c>
      <c r="BQ106" s="216"/>
      <c r="BR106" s="214"/>
      <c r="BS106" s="215">
        <f t="shared" si="136"/>
        <v>280</v>
      </c>
      <c r="BT106" s="215">
        <f t="shared" si="137"/>
        <v>280.00000010600002</v>
      </c>
      <c r="BU106" s="215" t="str">
        <f t="shared" si="138"/>
        <v>SG DJK Rimpar</v>
      </c>
      <c r="BV106" s="214">
        <f t="shared" si="139"/>
        <v>1</v>
      </c>
      <c r="BW106" s="215">
        <f t="shared" si="140"/>
        <v>2065</v>
      </c>
      <c r="BX106" s="215">
        <f>IF(COUNTIF(BH106:BP106,"&gt;0")&lt;Spielorte!$A$23,0,BE106/Spielorte!$A$23)</f>
        <v>229.44444444444446</v>
      </c>
      <c r="BY106" s="215">
        <f t="shared" si="141"/>
        <v>0</v>
      </c>
      <c r="BZ106" s="214">
        <f t="shared" si="127"/>
        <v>0</v>
      </c>
    </row>
    <row r="107" spans="1:78" ht="17.100000000000001" customHeight="1" x14ac:dyDescent="0.25">
      <c r="A107" s="377"/>
      <c r="B107" s="76" t="str">
        <f>IF(AA107=0,"",AA107)</f>
        <v/>
      </c>
      <c r="C107" s="77" t="str">
        <f t="shared" si="129"/>
        <v/>
      </c>
      <c r="D107" s="78" t="str">
        <f t="shared" si="130"/>
        <v/>
      </c>
      <c r="E107" s="349"/>
      <c r="F107" s="78" t="str">
        <f t="shared" si="109"/>
        <v/>
      </c>
      <c r="G107" s="349"/>
      <c r="H107" s="78" t="str">
        <f t="shared" si="110"/>
        <v/>
      </c>
      <c r="I107" s="349"/>
      <c r="J107" s="78" t="str">
        <f t="shared" si="111"/>
        <v/>
      </c>
      <c r="K107" s="349"/>
      <c r="L107" s="78" t="str">
        <f t="shared" si="112"/>
        <v/>
      </c>
      <c r="M107" s="349"/>
      <c r="N107" s="78" t="str">
        <f t="shared" si="131"/>
        <v/>
      </c>
      <c r="O107" s="349"/>
      <c r="P107" s="78" t="str">
        <f t="shared" si="113"/>
        <v/>
      </c>
      <c r="Q107" s="349"/>
      <c r="R107" s="78" t="str">
        <f t="shared" si="114"/>
        <v/>
      </c>
      <c r="S107" s="349"/>
      <c r="T107" s="78" t="str">
        <f t="shared" si="115"/>
        <v/>
      </c>
      <c r="U107" s="349"/>
      <c r="V107" s="78" t="str">
        <f t="shared" si="116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7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0</v>
      </c>
      <c r="BE107" s="213">
        <f t="shared" si="133"/>
        <v>0</v>
      </c>
      <c r="BF107" s="215">
        <f t="shared" si="134"/>
        <v>0</v>
      </c>
      <c r="BG107" s="215">
        <f t="shared" si="135"/>
        <v>0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 t="str">
        <f t="shared" si="126"/>
        <v/>
      </c>
      <c r="BQ107" s="216"/>
      <c r="BR107" s="214"/>
      <c r="BS107" s="215">
        <f t="shared" si="136"/>
        <v>0</v>
      </c>
      <c r="BT107" s="215">
        <f t="shared" si="137"/>
        <v>0</v>
      </c>
      <c r="BU107" s="215" t="str">
        <f t="shared" si="138"/>
        <v>SG DJK Rimpar</v>
      </c>
      <c r="BV107" s="214">
        <f t="shared" si="139"/>
        <v>2</v>
      </c>
      <c r="BW107" s="215">
        <f t="shared" si="140"/>
        <v>0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00000000000001" customHeight="1" thickBot="1" x14ac:dyDescent="0.3">
      <c r="A108" s="378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50"/>
      <c r="F108" s="69" t="str">
        <f t="shared" si="109"/>
        <v/>
      </c>
      <c r="G108" s="350"/>
      <c r="H108" s="69" t="str">
        <f t="shared" si="110"/>
        <v/>
      </c>
      <c r="I108" s="350"/>
      <c r="J108" s="69" t="str">
        <f t="shared" si="111"/>
        <v/>
      </c>
      <c r="K108" s="350"/>
      <c r="L108" s="69" t="str">
        <f t="shared" si="112"/>
        <v/>
      </c>
      <c r="M108" s="350"/>
      <c r="N108" s="69" t="str">
        <f t="shared" si="131"/>
        <v/>
      </c>
      <c r="O108" s="350"/>
      <c r="P108" s="69" t="str">
        <f t="shared" si="113"/>
        <v/>
      </c>
      <c r="Q108" s="350"/>
      <c r="R108" s="69" t="str">
        <f t="shared" si="114"/>
        <v/>
      </c>
      <c r="S108" s="350"/>
      <c r="T108" s="69" t="str">
        <f t="shared" si="115"/>
        <v/>
      </c>
      <c r="U108" s="350"/>
      <c r="V108" s="69" t="str">
        <f t="shared" si="116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SG DJK Rimpar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9"/>
        <v/>
      </c>
      <c r="D109" s="83">
        <f t="shared" si="130"/>
        <v>888</v>
      </c>
      <c r="E109" s="84">
        <f>IF(AD109="","",AD109)</f>
        <v>2</v>
      </c>
      <c r="F109" s="83">
        <f t="shared" si="109"/>
        <v>767</v>
      </c>
      <c r="G109" s="84">
        <f>IF(AF109="","",AF109)</f>
        <v>0</v>
      </c>
      <c r="H109" s="83">
        <f t="shared" si="110"/>
        <v>879</v>
      </c>
      <c r="I109" s="84">
        <f>IF(AH109="","",AH109)</f>
        <v>2</v>
      </c>
      <c r="J109" s="83">
        <f t="shared" si="111"/>
        <v>818</v>
      </c>
      <c r="K109" s="84">
        <f>IF(AJ109="","",AJ109)</f>
        <v>0</v>
      </c>
      <c r="L109" s="83">
        <f t="shared" si="112"/>
        <v>817</v>
      </c>
      <c r="M109" s="84">
        <f>IF(AL109="","",AL109)</f>
        <v>0</v>
      </c>
      <c r="N109" s="83">
        <f t="shared" si="131"/>
        <v>845</v>
      </c>
      <c r="O109" s="84">
        <f>IF(AN109="","",AN109)</f>
        <v>0</v>
      </c>
      <c r="P109" s="83">
        <f t="shared" si="113"/>
        <v>840</v>
      </c>
      <c r="Q109" s="84">
        <f>IF(AP109="","",AP109)</f>
        <v>2</v>
      </c>
      <c r="R109" s="83">
        <f t="shared" si="114"/>
        <v>780</v>
      </c>
      <c r="S109" s="84">
        <f>IF(AR109="","",AR109)</f>
        <v>0</v>
      </c>
      <c r="T109" s="83">
        <f t="shared" si="115"/>
        <v>805</v>
      </c>
      <c r="U109" s="84">
        <f>IF(AT109="","",AT109)</f>
        <v>2</v>
      </c>
      <c r="V109" s="83">
        <f t="shared" si="116"/>
        <v>7439</v>
      </c>
      <c r="W109" s="84">
        <f>IF(AV109="","",AV109)</f>
        <v>8</v>
      </c>
      <c r="AA109" s="81" t="s">
        <v>1799</v>
      </c>
      <c r="AB109" s="120"/>
      <c r="AC109" s="211">
        <f>ABS(SUM(AC97:AC99))+ABS(SUM(AC100:AC102))+ABS(SUM(AC103:AC105))+ABS(SUM(AC106:AC108))</f>
        <v>888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767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879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818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817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845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840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780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805</v>
      </c>
      <c r="AT109" s="121">
        <f>IF(AS109+AS119=0,0,IF(AS109=AS119,1,IF(AS109&gt;AS119,2,0)))</f>
        <v>2</v>
      </c>
      <c r="AU109" s="122">
        <f>SUM(AC109+AE109+AG109+AI109+AK109+AM109+AO109+AQ109+AS109)</f>
        <v>7439</v>
      </c>
      <c r="AV109" s="123">
        <f>SUM(AD109+AF109+AH109+AJ109+AL109+AN109+AP109+AR109+AT109)</f>
        <v>8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5</v>
      </c>
      <c r="F110" s="86" t="str">
        <f t="shared" si="109"/>
        <v/>
      </c>
      <c r="G110" s="87">
        <f>IF(AF110="","",AF110)</f>
        <v>2</v>
      </c>
      <c r="H110" s="86" t="str">
        <f t="shared" si="110"/>
        <v/>
      </c>
      <c r="I110" s="87">
        <f>IF(AH110="","",AH110)</f>
        <v>5</v>
      </c>
      <c r="J110" s="86" t="str">
        <f t="shared" si="111"/>
        <v/>
      </c>
      <c r="K110" s="87">
        <f>IF(AJ110="","",AJ110)</f>
        <v>2</v>
      </c>
      <c r="L110" s="86" t="str">
        <f t="shared" si="112"/>
        <v/>
      </c>
      <c r="M110" s="87">
        <f>IF(AL110="","",AL110)</f>
        <v>1</v>
      </c>
      <c r="N110" s="86" t="str">
        <f t="shared" si="131"/>
        <v/>
      </c>
      <c r="O110" s="87">
        <f>IF(AN110="","",AN110)</f>
        <v>2</v>
      </c>
      <c r="P110" s="86" t="str">
        <f t="shared" si="113"/>
        <v/>
      </c>
      <c r="Q110" s="87">
        <f>IF(AP110="","",AP110)</f>
        <v>4</v>
      </c>
      <c r="R110" s="86" t="str">
        <f t="shared" si="114"/>
        <v/>
      </c>
      <c r="S110" s="87">
        <f>IF(AR110="","",AR110)</f>
        <v>2</v>
      </c>
      <c r="T110" s="86" t="str">
        <f t="shared" si="115"/>
        <v/>
      </c>
      <c r="U110" s="87">
        <f>IF(AT110="","",AT110)</f>
        <v>6</v>
      </c>
      <c r="V110" s="86" t="str">
        <f t="shared" si="116"/>
        <v/>
      </c>
      <c r="W110" s="87">
        <f>IF(AV110="","",AV110)</f>
        <v>29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2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2</v>
      </c>
      <c r="AO110" s="86"/>
      <c r="AP110" s="124">
        <f>SUM(AP97:AP109)</f>
        <v>4</v>
      </c>
      <c r="AQ110" s="86"/>
      <c r="AR110" s="124">
        <f>SUM(AR97:AR109)</f>
        <v>2</v>
      </c>
      <c r="AS110" s="86"/>
      <c r="AT110" s="124">
        <f>SUM(AT97:AT109)</f>
        <v>6</v>
      </c>
      <c r="AU110" s="86"/>
      <c r="AV110" s="125">
        <f>SUM(AV97:AV109)</f>
        <v>29</v>
      </c>
      <c r="AW110" s="101"/>
      <c r="AX110" s="102"/>
      <c r="BA110" s="212">
        <f>+AV110</f>
        <v>29</v>
      </c>
      <c r="BB110" s="213">
        <f>+AU109</f>
        <v>7439</v>
      </c>
      <c r="BC110" s="214">
        <f>+AA92</f>
        <v>4</v>
      </c>
      <c r="BF110" s="215">
        <f>SUM(BF91:BF109)</f>
        <v>36</v>
      </c>
      <c r="BQ110" s="212">
        <f>+BB110/1000000+BA110</f>
        <v>29.007439000000002</v>
      </c>
      <c r="BR110" s="214">
        <f>RANK(BQ110,BQ:BQ)</f>
        <v>4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56">
        <f t="shared" ref="D112:M114" si="144">IF(AC112=0,"",AC112)</f>
        <v>7</v>
      </c>
      <c r="E112" s="356" t="str">
        <f t="shared" si="144"/>
        <v/>
      </c>
      <c r="F112" s="356">
        <f t="shared" si="144"/>
        <v>2</v>
      </c>
      <c r="G112" s="356" t="str">
        <f t="shared" si="144"/>
        <v/>
      </c>
      <c r="H112" s="356">
        <f t="shared" si="144"/>
        <v>9</v>
      </c>
      <c r="I112" s="356" t="str">
        <f t="shared" si="144"/>
        <v/>
      </c>
      <c r="J112" s="356">
        <f t="shared" si="144"/>
        <v>10</v>
      </c>
      <c r="K112" s="356" t="str">
        <f t="shared" si="144"/>
        <v/>
      </c>
      <c r="L112" s="356">
        <f t="shared" si="144"/>
        <v>6</v>
      </c>
      <c r="M112" s="356" t="str">
        <f t="shared" si="144"/>
        <v/>
      </c>
      <c r="N112" s="356">
        <f t="shared" ref="N112:U114" si="145">IF(AM112=0,"",AM112)</f>
        <v>8</v>
      </c>
      <c r="O112" s="356" t="str">
        <f t="shared" si="145"/>
        <v/>
      </c>
      <c r="P112" s="356">
        <f t="shared" si="145"/>
        <v>1</v>
      </c>
      <c r="Q112" s="356" t="str">
        <f t="shared" si="145"/>
        <v/>
      </c>
      <c r="R112" s="356">
        <f t="shared" si="145"/>
        <v>3</v>
      </c>
      <c r="S112" s="356" t="str">
        <f t="shared" si="145"/>
        <v/>
      </c>
      <c r="T112" s="356">
        <f t="shared" si="145"/>
        <v>5</v>
      </c>
      <c r="U112" s="356" t="str">
        <f t="shared" si="145"/>
        <v/>
      </c>
      <c r="V112" s="357"/>
      <c r="W112" s="357"/>
      <c r="AA112" s="88" t="s">
        <v>1797</v>
      </c>
      <c r="AB112" s="89" t="s">
        <v>1798</v>
      </c>
      <c r="AC112" s="370">
        <f>VLOOKUP($AA92,Schlüssel!$A$5:$K$14,3)</f>
        <v>7</v>
      </c>
      <c r="AD112" s="371"/>
      <c r="AE112" s="370">
        <f>VLOOKUP($AA92,Schlüssel!$A$5:$K$14,4)</f>
        <v>2</v>
      </c>
      <c r="AF112" s="371"/>
      <c r="AG112" s="370">
        <f>VLOOKUP($AA92,Schlüssel!$A$5:$K$14,5)</f>
        <v>9</v>
      </c>
      <c r="AH112" s="371"/>
      <c r="AI112" s="370">
        <f>VLOOKUP($AA92,Schlüssel!$A$5:$K$14,6)</f>
        <v>10</v>
      </c>
      <c r="AJ112" s="371"/>
      <c r="AK112" s="370">
        <f>VLOOKUP($AA92,Schlüssel!$A$5:$K$14,7)</f>
        <v>6</v>
      </c>
      <c r="AL112" s="371"/>
      <c r="AM112" s="370">
        <f>VLOOKUP($AA92,Schlüssel!$A$5:$K$14,8)</f>
        <v>8</v>
      </c>
      <c r="AN112" s="371"/>
      <c r="AO112" s="370">
        <f>VLOOKUP($AA92,Schlüssel!$A$5:$K$14,9)</f>
        <v>1</v>
      </c>
      <c r="AP112" s="371"/>
      <c r="AQ112" s="370">
        <f>VLOOKUP($AA92,Schlüssel!$A$5:$K$14,10)</f>
        <v>3</v>
      </c>
      <c r="AR112" s="371"/>
      <c r="AS112" s="370">
        <f>VLOOKUP($AA92,Schlüssel!$A$5:$K$14,11)</f>
        <v>5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42"/>
        <v/>
      </c>
      <c r="C113" s="86" t="str">
        <f t="shared" si="143"/>
        <v/>
      </c>
      <c r="D113" s="358" t="str">
        <f t="shared" si="144"/>
        <v>Schanzer Ingolstadt 1</v>
      </c>
      <c r="E113" s="359" t="str">
        <f t="shared" si="144"/>
        <v/>
      </c>
      <c r="F113" s="358" t="str">
        <f t="shared" si="144"/>
        <v>Bajuwaren München 1</v>
      </c>
      <c r="G113" s="359" t="str">
        <f t="shared" si="144"/>
        <v/>
      </c>
      <c r="H113" s="358" t="str">
        <f t="shared" si="144"/>
        <v>Bowlinghaus Bamberg 1</v>
      </c>
      <c r="I113" s="359" t="str">
        <f t="shared" si="144"/>
        <v/>
      </c>
      <c r="J113" s="358" t="str">
        <f t="shared" si="144"/>
        <v>High Roller Rosenheim 1</v>
      </c>
      <c r="K113" s="359" t="str">
        <f t="shared" si="144"/>
        <v/>
      </c>
      <c r="L113" s="358" t="str">
        <f t="shared" si="144"/>
        <v>SG Rottendorf 1</v>
      </c>
      <c r="M113" s="359" t="str">
        <f t="shared" si="144"/>
        <v/>
      </c>
      <c r="N113" s="358" t="str">
        <f t="shared" si="145"/>
        <v>BC EMAX Unterföhring 2</v>
      </c>
      <c r="O113" s="359" t="str">
        <f t="shared" si="145"/>
        <v/>
      </c>
      <c r="P113" s="358" t="str">
        <f t="shared" si="145"/>
        <v>BC Comet Nürnberg</v>
      </c>
      <c r="Q113" s="359" t="str">
        <f t="shared" si="145"/>
        <v/>
      </c>
      <c r="R113" s="358" t="str">
        <f t="shared" si="145"/>
        <v>BK München 3</v>
      </c>
      <c r="S113" s="359" t="str">
        <f t="shared" si="145"/>
        <v/>
      </c>
      <c r="T113" s="358" t="str">
        <f t="shared" si="145"/>
        <v>RW Lichtenhof Stein 1</v>
      </c>
      <c r="U113" s="359" t="str">
        <f t="shared" si="145"/>
        <v/>
      </c>
      <c r="V113" s="363"/>
      <c r="W113" s="363"/>
      <c r="AA113" s="90"/>
      <c r="AB113" s="86"/>
      <c r="AC113" s="358" t="str">
        <f>VLOOKUP(AC112,Schlüssel!$A$5:$K$14,2)</f>
        <v>Schanzer Ingolstadt 1</v>
      </c>
      <c r="AD113" s="359"/>
      <c r="AE113" s="358" t="str">
        <f>VLOOKUP(AE112,Schlüssel!$A$5:$K$14,2)</f>
        <v>Bajuwaren München 1</v>
      </c>
      <c r="AF113" s="359"/>
      <c r="AG113" s="358" t="str">
        <f>VLOOKUP(AG112,Schlüssel!$A$5:$K$14,2)</f>
        <v>Bowlinghaus Bamberg 1</v>
      </c>
      <c r="AH113" s="359"/>
      <c r="AI113" s="358" t="str">
        <f>VLOOKUP(AI112,Schlüssel!$A$5:$K$14,2)</f>
        <v>High Roller Rosenheim 1</v>
      </c>
      <c r="AJ113" s="359"/>
      <c r="AK113" s="358" t="str">
        <f>VLOOKUP(AK112,Schlüssel!$A$5:$K$14,2)</f>
        <v>SG Rottendorf 1</v>
      </c>
      <c r="AL113" s="359"/>
      <c r="AM113" s="358" t="str">
        <f>VLOOKUP(AM112,Schlüssel!$A$5:$K$14,2)</f>
        <v>BC EMAX Unterföhring 2</v>
      </c>
      <c r="AN113" s="359"/>
      <c r="AO113" s="358" t="str">
        <f>VLOOKUP(AO112,Schlüssel!$A$5:$K$14,2)</f>
        <v>BC Comet Nürnberg</v>
      </c>
      <c r="AP113" s="359"/>
      <c r="AQ113" s="358" t="str">
        <f>VLOOKUP(AQ112,Schlüssel!$A$5:$K$14,2)</f>
        <v>BK München 3</v>
      </c>
      <c r="AR113" s="359"/>
      <c r="AS113" s="358" t="str">
        <f>VLOOKUP(AS112,Schlüssel!$A$5:$EK$14,2)</f>
        <v>RW Lichtenhof Stein 1</v>
      </c>
      <c r="AT113" s="359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42"/>
        <v/>
      </c>
      <c r="C114" s="86" t="str">
        <f t="shared" si="143"/>
        <v/>
      </c>
      <c r="D114" s="360" t="str">
        <f t="shared" si="144"/>
        <v/>
      </c>
      <c r="E114" s="360" t="str">
        <f t="shared" si="144"/>
        <v/>
      </c>
      <c r="F114" s="360" t="str">
        <f t="shared" si="144"/>
        <v/>
      </c>
      <c r="G114" s="360" t="str">
        <f t="shared" si="144"/>
        <v/>
      </c>
      <c r="H114" s="360" t="str">
        <f t="shared" si="144"/>
        <v/>
      </c>
      <c r="I114" s="360" t="str">
        <f t="shared" si="144"/>
        <v/>
      </c>
      <c r="J114" s="360" t="str">
        <f t="shared" si="144"/>
        <v/>
      </c>
      <c r="K114" s="360" t="str">
        <f t="shared" si="144"/>
        <v/>
      </c>
      <c r="L114" s="360" t="str">
        <f t="shared" si="144"/>
        <v/>
      </c>
      <c r="M114" s="360" t="str">
        <f t="shared" si="144"/>
        <v/>
      </c>
      <c r="N114" s="360" t="str">
        <f t="shared" si="145"/>
        <v/>
      </c>
      <c r="O114" s="360" t="str">
        <f t="shared" si="145"/>
        <v/>
      </c>
      <c r="P114" s="360" t="str">
        <f t="shared" si="145"/>
        <v/>
      </c>
      <c r="Q114" s="360" t="str">
        <f t="shared" si="145"/>
        <v/>
      </c>
      <c r="R114" s="360" t="str">
        <f t="shared" si="145"/>
        <v/>
      </c>
      <c r="S114" s="360" t="str">
        <f t="shared" si="145"/>
        <v/>
      </c>
      <c r="T114" s="360" t="str">
        <f t="shared" si="145"/>
        <v/>
      </c>
      <c r="U114" s="361" t="str">
        <f t="shared" si="145"/>
        <v/>
      </c>
      <c r="V114" s="298"/>
      <c r="W114" s="298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4" t="str">
        <f t="shared" si="142"/>
        <v>Spieler 1</v>
      </c>
      <c r="C115" s="375" t="str">
        <f t="shared" si="143"/>
        <v/>
      </c>
      <c r="D115" s="362">
        <f>IF(AC115=301,"",AC115)</f>
        <v>169</v>
      </c>
      <c r="E115" s="362" t="str">
        <f>IF(AD115=0,"",AD115)</f>
        <v/>
      </c>
      <c r="F115" s="362">
        <f>IF(AE115=301,"",AE115)</f>
        <v>216</v>
      </c>
      <c r="G115" s="362" t="str">
        <f>IF(AF115=0,"",AF115)</f>
        <v/>
      </c>
      <c r="H115" s="362">
        <f>IF(AG115=301,"",AG115)</f>
        <v>189</v>
      </c>
      <c r="I115" s="362" t="str">
        <f>IF(AH115=0,"",AH115)</f>
        <v/>
      </c>
      <c r="J115" s="362">
        <f>IF(AI115=301,"",AI115)</f>
        <v>223</v>
      </c>
      <c r="K115" s="362" t="str">
        <f>IF(AJ115=0,"",AJ115)</f>
        <v/>
      </c>
      <c r="L115" s="362">
        <f>IF(AK115=301,"",AK115)</f>
        <v>164</v>
      </c>
      <c r="M115" s="362" t="str">
        <f>IF(AL115=0,"",AL115)</f>
        <v/>
      </c>
      <c r="N115" s="362">
        <f>IF(AM115=301,"",AM115)</f>
        <v>207</v>
      </c>
      <c r="O115" s="362" t="str">
        <f>IF(AN115=0,"",AN115)</f>
        <v/>
      </c>
      <c r="P115" s="362">
        <f>IF(AO115=301,"",AO115)</f>
        <v>226</v>
      </c>
      <c r="Q115" s="362" t="str">
        <f>IF(AP115=0,"",AP115)</f>
        <v/>
      </c>
      <c r="R115" s="362">
        <f>IF(AQ115=301,"",AQ115)</f>
        <v>225</v>
      </c>
      <c r="S115" s="362" t="str">
        <f>IF(AR115=0,"",AR115)</f>
        <v/>
      </c>
      <c r="T115" s="362">
        <f>IF(AS115=301,"",AS115)</f>
        <v>150</v>
      </c>
      <c r="U115" s="362" t="str">
        <f>IF(AT115=0,"",AT115)</f>
        <v/>
      </c>
      <c r="V115" s="364"/>
      <c r="W115" s="364"/>
      <c r="AA115" s="91" t="s">
        <v>0</v>
      </c>
      <c r="AB115" s="92"/>
      <c r="AC115" s="368">
        <f>ABS(INDEX(AC:AC,MATCH(AC112,$AA:$AA,0)+5)+INDEX(AC:AC,MATCH(AC112,$AA:$AA,0)+6)+INDEX(AC:AC,MATCH(AC112,$AA:$AA,0)+7))</f>
        <v>169</v>
      </c>
      <c r="AD115" s="369"/>
      <c r="AE115" s="368">
        <f>ABS(INDEX(AE:AE,MATCH(AE112,$AA:$AA,0)+5)+INDEX(AE:AE,MATCH(AE112,$AA:$AA,0)+6)+INDEX(AE:AE,MATCH(AE112,$AA:$AA,0)+7))</f>
        <v>216</v>
      </c>
      <c r="AF115" s="369"/>
      <c r="AG115" s="368">
        <f>ABS(INDEX(AG:AG,MATCH(AG112,$AA:$AA,0)+5)+INDEX(AG:AG,MATCH(AG112,$AA:$AA,0)+6)+INDEX(AG:AG,MATCH(AG112,$AA:$AA,0)+7))</f>
        <v>189</v>
      </c>
      <c r="AH115" s="369"/>
      <c r="AI115" s="368">
        <f>ABS(INDEX(AI:AI,MATCH(AI112,$AA:$AA,0)+5)+INDEX(AI:AI,MATCH(AI112,$AA:$AA,0)+6)+INDEX(AI:AI,MATCH(AI112,$AA:$AA,0)+7))</f>
        <v>223</v>
      </c>
      <c r="AJ115" s="369"/>
      <c r="AK115" s="368">
        <f>ABS(INDEX(AK:AK,MATCH(AK112,$AA:$AA,0)+5)+INDEX(AK:AK,MATCH(AK112,$AA:$AA,0)+6)+INDEX(AK:AK,MATCH(AK112,$AA:$AA,0)+7))</f>
        <v>164</v>
      </c>
      <c r="AL115" s="369"/>
      <c r="AM115" s="368">
        <f>ABS(INDEX(AM:AM,MATCH(AM112,$AA:$AA,0)+5)+INDEX(AM:AM,MATCH(AM112,$AA:$AA,0)+6)+INDEX(AM:AM,MATCH(AM112,$AA:$AA,0)+7))</f>
        <v>207</v>
      </c>
      <c r="AN115" s="369"/>
      <c r="AO115" s="368">
        <f>ABS(INDEX(AO:AO,MATCH(AO112,$AA:$AA,0)+5)+INDEX(AO:AO,MATCH(AO112,$AA:$AA,0)+6)+INDEX(AO:AO,MATCH(AO112,$AA:$AA,0)+7))</f>
        <v>226</v>
      </c>
      <c r="AP115" s="369"/>
      <c r="AQ115" s="368">
        <f>ABS(INDEX(AQ:AQ,MATCH(AQ112,$AA:$AA,0)+5)+INDEX(AQ:AQ,MATCH(AQ112,$AA:$AA,0)+6)+INDEX(AQ:AQ,MATCH(AQ112,$AA:$AA,0)+7))</f>
        <v>225</v>
      </c>
      <c r="AR115" s="369"/>
      <c r="AS115" s="368">
        <f>ABS(INDEX(AS:AS,MATCH(AS112,$AA:$AA,0)+5)+INDEX(AS:AS,MATCH(AS112,$AA:$AA,0)+6)+INDEX(AS:AS,MATCH(AS112,$AA:$AA,0)+7))</f>
        <v>150</v>
      </c>
      <c r="AT115" s="369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4" t="str">
        <f t="shared" si="142"/>
        <v>Spieler 2</v>
      </c>
      <c r="C116" s="375" t="str">
        <f t="shared" si="143"/>
        <v/>
      </c>
      <c r="D116" s="362">
        <f>IF(AC116=301,"",AC116)</f>
        <v>201</v>
      </c>
      <c r="E116" s="362" t="str">
        <f>IF(AD116=0,"",AD116)</f>
        <v/>
      </c>
      <c r="F116" s="362">
        <f>IF(AE116=301,"",AE116)</f>
        <v>174</v>
      </c>
      <c r="G116" s="362" t="str">
        <f>IF(AF116=0,"",AF116)</f>
        <v/>
      </c>
      <c r="H116" s="362">
        <f>IF(AG116=301,"",AG116)</f>
        <v>172</v>
      </c>
      <c r="I116" s="362" t="str">
        <f>IF(AH116=0,"",AH116)</f>
        <v/>
      </c>
      <c r="J116" s="362">
        <f>IF(AI116=301,"",AI116)</f>
        <v>225</v>
      </c>
      <c r="K116" s="362" t="str">
        <f>IF(AJ116=0,"",AJ116)</f>
        <v/>
      </c>
      <c r="L116" s="362">
        <f>IF(AK116=301,"",AK116)</f>
        <v>211</v>
      </c>
      <c r="M116" s="362" t="str">
        <f>IF(AL116=0,"",AL116)</f>
        <v/>
      </c>
      <c r="N116" s="362">
        <f>IF(AM116=301,"",AM116)</f>
        <v>224</v>
      </c>
      <c r="O116" s="362" t="str">
        <f>IF(AN116=0,"",AN116)</f>
        <v/>
      </c>
      <c r="P116" s="362">
        <f>IF(AO116=301,"",AO116)</f>
        <v>228</v>
      </c>
      <c r="Q116" s="362" t="str">
        <f>IF(AP116=0,"",AP116)</f>
        <v/>
      </c>
      <c r="R116" s="362">
        <f>IF(AQ116=301,"",AQ116)</f>
        <v>177</v>
      </c>
      <c r="S116" s="362" t="str">
        <f>IF(AR116=0,"",AR116)</f>
        <v/>
      </c>
      <c r="T116" s="362">
        <f>IF(AS116=301,"",AS116)</f>
        <v>190</v>
      </c>
      <c r="U116" s="362" t="str">
        <f>IF(AT116=0,"",AT116)</f>
        <v/>
      </c>
      <c r="V116" s="364"/>
      <c r="W116" s="364"/>
      <c r="AA116" s="91" t="s">
        <v>2</v>
      </c>
      <c r="AB116" s="92"/>
      <c r="AC116" s="366">
        <f>ABS(INDEX(AC:AC,MATCH(AC112,$AA:$AA,0)+8)+INDEX(AC:AC,MATCH(AC112,$AA:$AA,0)+9)+INDEX(AC:AC,MATCH(AC112,$AA:$AA,0)+10))</f>
        <v>201</v>
      </c>
      <c r="AD116" s="367"/>
      <c r="AE116" s="366">
        <f>ABS(INDEX(AE:AE,MATCH(AE112,$AA:$AA,0)+8)+INDEX(AE:AE,MATCH(AE112,$AA:$AA,0)+9)+INDEX(AE:AE,MATCH(AE112,$AA:$AA,0)+10))</f>
        <v>174</v>
      </c>
      <c r="AF116" s="367"/>
      <c r="AG116" s="366">
        <f>ABS(INDEX(AG:AG,MATCH(AG112,$AA:$AA,0)+8)+INDEX(AG:AG,MATCH(AG112,$AA:$AA,0)+9)+INDEX(AG:AG,MATCH(AG112,$AA:$AA,0)+10))</f>
        <v>172</v>
      </c>
      <c r="AH116" s="367"/>
      <c r="AI116" s="366">
        <f>ABS(INDEX(AI:AI,MATCH(AI112,$AA:$AA,0)+8)+INDEX(AI:AI,MATCH(AI112,$AA:$AA,0)+9)+INDEX(AI:AI,MATCH(AI112,$AA:$AA,0)+10))</f>
        <v>225</v>
      </c>
      <c r="AJ116" s="367"/>
      <c r="AK116" s="366">
        <f>ABS(INDEX(AK:AK,MATCH(AK112,$AA:$AA,0)+8)+INDEX(AK:AK,MATCH(AK112,$AA:$AA,0)+9)+INDEX(AK:AK,MATCH(AK112,$AA:$AA,0)+10))</f>
        <v>211</v>
      </c>
      <c r="AL116" s="367"/>
      <c r="AM116" s="366">
        <f>ABS(INDEX(AM:AM,MATCH(AM112,$AA:$AA,0)+8)+INDEX(AM:AM,MATCH(AM112,$AA:$AA,0)+9)+INDEX(AM:AM,MATCH(AM112,$AA:$AA,0)+10))</f>
        <v>224</v>
      </c>
      <c r="AN116" s="367"/>
      <c r="AO116" s="366">
        <f>ABS(INDEX(AO:AO,MATCH(AO112,$AA:$AA,0)+8)+INDEX(AO:AO,MATCH(AO112,$AA:$AA,0)+9)+INDEX(AO:AO,MATCH(AO112,$AA:$AA,0)+10))</f>
        <v>228</v>
      </c>
      <c r="AP116" s="367"/>
      <c r="AQ116" s="366">
        <f>ABS(INDEX(AQ:AQ,MATCH(AQ112,$AA:$AA,0)+8)+INDEX(AQ:AQ,MATCH(AQ112,$AA:$AA,0)+9)+INDEX(AQ:AQ,MATCH(AQ112,$AA:$AA,0)+10))</f>
        <v>177</v>
      </c>
      <c r="AR116" s="367"/>
      <c r="AS116" s="366">
        <f>ABS(INDEX(AS:AS,MATCH(AS112,$AA:$AA,0)+8)+INDEX(AS:AS,MATCH(AS112,$AA:$AA,0)+9)+INDEX(AS:AS,MATCH(AS112,$AA:$AA,0)+10))</f>
        <v>190</v>
      </c>
      <c r="AT116" s="367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4" t="str">
        <f t="shared" si="142"/>
        <v>Spieler 3</v>
      </c>
      <c r="C117" s="375" t="str">
        <f t="shared" si="143"/>
        <v/>
      </c>
      <c r="D117" s="362">
        <f>IF(AC117=301,"",AC117)</f>
        <v>181</v>
      </c>
      <c r="E117" s="362" t="str">
        <f>IF(AD117=0,"",AD117)</f>
        <v/>
      </c>
      <c r="F117" s="362">
        <f>IF(AE117=301,"",AE117)</f>
        <v>233</v>
      </c>
      <c r="G117" s="362" t="str">
        <f>IF(AF117=0,"",AF117)</f>
        <v/>
      </c>
      <c r="H117" s="362">
        <f>IF(AG117=301,"",AG117)</f>
        <v>168</v>
      </c>
      <c r="I117" s="362" t="str">
        <f>IF(AH117=0,"",AH117)</f>
        <v/>
      </c>
      <c r="J117" s="362">
        <f>IF(AI117=301,"",AI117)</f>
        <v>172</v>
      </c>
      <c r="K117" s="362" t="str">
        <f>IF(AJ117=0,"",AJ117)</f>
        <v/>
      </c>
      <c r="L117" s="362">
        <f>IF(AK117=301,"",AK117)</f>
        <v>243</v>
      </c>
      <c r="M117" s="362" t="str">
        <f>IF(AL117=0,"",AL117)</f>
        <v/>
      </c>
      <c r="N117" s="362">
        <f>IF(AM117=301,"",AM117)</f>
        <v>249</v>
      </c>
      <c r="O117" s="362" t="str">
        <f>IF(AN117=0,"",AN117)</f>
        <v/>
      </c>
      <c r="P117" s="362">
        <f>IF(AO117=301,"",AO117)</f>
        <v>180</v>
      </c>
      <c r="Q117" s="362" t="str">
        <f>IF(AP117=0,"",AP117)</f>
        <v/>
      </c>
      <c r="R117" s="362">
        <f>IF(AQ117=301,"",AQ117)</f>
        <v>200</v>
      </c>
      <c r="S117" s="362" t="str">
        <f>IF(AR117=0,"",AR117)</f>
        <v/>
      </c>
      <c r="T117" s="362">
        <f>IF(AS117=301,"",AS117)</f>
        <v>165</v>
      </c>
      <c r="U117" s="362" t="str">
        <f>IF(AT117=0,"",AT117)</f>
        <v/>
      </c>
      <c r="V117" s="364"/>
      <c r="W117" s="364"/>
      <c r="AA117" s="91" t="s">
        <v>3</v>
      </c>
      <c r="AB117" s="92"/>
      <c r="AC117" s="366">
        <f>ABS(INDEX(AC:AC,MATCH(AC112,$AA:$AA,0)+11)+INDEX(AC:AC,MATCH(AC112,$AA:$AA,0)+12)+INDEX(AC:AC,MATCH(AC112,$AA:$AA,0)+13))</f>
        <v>181</v>
      </c>
      <c r="AD117" s="367"/>
      <c r="AE117" s="366">
        <f>ABS(INDEX(AE:AE,MATCH(AE112,$AA:$AA,0)+11)+INDEX(AE:AE,MATCH(AE112,$AA:$AA,0)+12)+INDEX(AE:AE,MATCH(AE112,$AA:$AA,0)+13))</f>
        <v>233</v>
      </c>
      <c r="AF117" s="367"/>
      <c r="AG117" s="366">
        <f>ABS(INDEX(AG:AG,MATCH(AG112,$AA:$AA,0)+11)+INDEX(AG:AG,MATCH(AG112,$AA:$AA,0)+12)+INDEX(AG:AG,MATCH(AG112,$AA:$AA,0)+13))</f>
        <v>168</v>
      </c>
      <c r="AH117" s="367"/>
      <c r="AI117" s="366">
        <f>ABS(INDEX(AI:AI,MATCH(AI112,$AA:$AA,0)+11)+INDEX(AI:AI,MATCH(AI112,$AA:$AA,0)+12)+INDEX(AI:AI,MATCH(AI112,$AA:$AA,0)+13))</f>
        <v>172</v>
      </c>
      <c r="AJ117" s="367"/>
      <c r="AK117" s="366">
        <f>ABS(INDEX(AK:AK,MATCH(AK112,$AA:$AA,0)+11)+INDEX(AK:AK,MATCH(AK112,$AA:$AA,0)+12)+INDEX(AK:AK,MATCH(AK112,$AA:$AA,0)+13))</f>
        <v>243</v>
      </c>
      <c r="AL117" s="367"/>
      <c r="AM117" s="366">
        <f>ABS(INDEX(AM:AM,MATCH(AM112,$AA:$AA,0)+11)+INDEX(AM:AM,MATCH(AM112,$AA:$AA,0)+12)+INDEX(AM:AM,MATCH(AM112,$AA:$AA,0)+13))</f>
        <v>249</v>
      </c>
      <c r="AN117" s="367"/>
      <c r="AO117" s="366">
        <f>ABS(INDEX(AO:AO,MATCH(AO112,$AA:$AA,0)+11)+INDEX(AO:AO,MATCH(AO112,$AA:$AA,0)+12)+INDEX(AO:AO,MATCH(AO112,$AA:$AA,0)+13))</f>
        <v>180</v>
      </c>
      <c r="AP117" s="367"/>
      <c r="AQ117" s="366">
        <f>ABS(INDEX(AQ:AQ,MATCH(AQ112,$AA:$AA,0)+11)+INDEX(AQ:AQ,MATCH(AQ112,$AA:$AA,0)+12)+INDEX(AQ:AQ,MATCH(AQ112,$AA:$AA,0)+13))</f>
        <v>200</v>
      </c>
      <c r="AR117" s="367"/>
      <c r="AS117" s="366">
        <f>ABS(INDEX(AS:AS,MATCH(AS112,$AA:$AA,0)+11)+INDEX(AS:AS,MATCH(AS112,$AA:$AA,0)+12)+INDEX(AS:AS,MATCH(AS112,$AA:$AA,0)+13))</f>
        <v>165</v>
      </c>
      <c r="AT117" s="367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4" t="str">
        <f t="shared" si="142"/>
        <v>Spieler 4</v>
      </c>
      <c r="C118" s="375" t="str">
        <f t="shared" si="143"/>
        <v/>
      </c>
      <c r="D118" s="362">
        <f>IF(AC118=301,"",AC118)</f>
        <v>170</v>
      </c>
      <c r="E118" s="362" t="str">
        <f>IF(AD118=0,"",AD118)</f>
        <v/>
      </c>
      <c r="F118" s="362">
        <f>IF(AE118=301,"",AE118)</f>
        <v>158</v>
      </c>
      <c r="G118" s="362" t="str">
        <f>IF(AF118=0,"",AF118)</f>
        <v/>
      </c>
      <c r="H118" s="362">
        <f>IF(AG118=301,"",AG118)</f>
        <v>216</v>
      </c>
      <c r="I118" s="362" t="str">
        <f>IF(AH118=0,"",AH118)</f>
        <v/>
      </c>
      <c r="J118" s="362">
        <f>IF(AI118=301,"",AI118)</f>
        <v>214</v>
      </c>
      <c r="K118" s="362" t="str">
        <f>IF(AJ118=0,"",AJ118)</f>
        <v/>
      </c>
      <c r="L118" s="362">
        <f>IF(AK118=301,"",AK118)</f>
        <v>231</v>
      </c>
      <c r="M118" s="362" t="str">
        <f>IF(AL118=0,"",AL118)</f>
        <v/>
      </c>
      <c r="N118" s="362">
        <f>IF(AM118=301,"",AM118)</f>
        <v>168</v>
      </c>
      <c r="O118" s="362" t="str">
        <f>IF(AN118=0,"",AN118)</f>
        <v/>
      </c>
      <c r="P118" s="362">
        <f>IF(AO118=301,"",AO118)</f>
        <v>194</v>
      </c>
      <c r="Q118" s="362" t="str">
        <f>IF(AP118=0,"",AP118)</f>
        <v/>
      </c>
      <c r="R118" s="362">
        <f>IF(AQ118=301,"",AQ118)</f>
        <v>202</v>
      </c>
      <c r="S118" s="362" t="str">
        <f>IF(AR118=0,"",AR118)</f>
        <v/>
      </c>
      <c r="T118" s="362">
        <f>IF(AS118=301,"",AS118)</f>
        <v>186</v>
      </c>
      <c r="U118" s="362" t="str">
        <f>IF(AT118=0,"",AT118)</f>
        <v/>
      </c>
      <c r="V118" s="364"/>
      <c r="W118" s="364"/>
      <c r="AA118" s="91" t="s">
        <v>11</v>
      </c>
      <c r="AB118" s="92"/>
      <c r="AC118" s="366">
        <f>ABS(INDEX(AC:AC,MATCH(AC112,$AA:$AA,0)+14)+INDEX(AC:AC,MATCH(AC112,$AA:$AA,0)+15)+INDEX(AC:AC,MATCH(AC112,$AA:$AA,0)+16))</f>
        <v>170</v>
      </c>
      <c r="AD118" s="367"/>
      <c r="AE118" s="366">
        <f>ABS(INDEX(AE:AE,MATCH(AE112,$AA:$AA,0)+14)+INDEX(AE:AE,MATCH(AE112,$AA:$AA,0)+15)+INDEX(AE:AE,MATCH(AE112,$AA:$AA,0)+16))</f>
        <v>158</v>
      </c>
      <c r="AF118" s="367"/>
      <c r="AG118" s="366">
        <f>ABS(INDEX(AG:AG,MATCH(AG112,$AA:$AA,0)+14)+INDEX(AG:AG,MATCH(AG112,$AA:$AA,0)+15)+INDEX(AG:AG,MATCH(AG112,$AA:$AA,0)+16))</f>
        <v>216</v>
      </c>
      <c r="AH118" s="367"/>
      <c r="AI118" s="366">
        <f>ABS(INDEX(AI:AI,MATCH(AI112,$AA:$AA,0)+14)+INDEX(AI:AI,MATCH(AI112,$AA:$AA,0)+15)+INDEX(AI:AI,MATCH(AI112,$AA:$AA,0)+16))</f>
        <v>214</v>
      </c>
      <c r="AJ118" s="367"/>
      <c r="AK118" s="366">
        <f>ABS(INDEX(AK:AK,MATCH(AK112,$AA:$AA,0)+14)+INDEX(AK:AK,MATCH(AK112,$AA:$AA,0)+15)+INDEX(AK:AK,MATCH(AK112,$AA:$AA,0)+16))</f>
        <v>231</v>
      </c>
      <c r="AL118" s="367"/>
      <c r="AM118" s="366">
        <f>ABS(INDEX(AM:AM,MATCH(AM112,$AA:$AA,0)+14)+INDEX(AM:AM,MATCH(AM112,$AA:$AA,0)+15)+INDEX(AM:AM,MATCH(AM112,$AA:$AA,0)+16))</f>
        <v>168</v>
      </c>
      <c r="AN118" s="367"/>
      <c r="AO118" s="366">
        <f>ABS(INDEX(AO:AO,MATCH(AO112,$AA:$AA,0)+14)+INDEX(AO:AO,MATCH(AO112,$AA:$AA,0)+15)+INDEX(AO:AO,MATCH(AO112,$AA:$AA,0)+16))</f>
        <v>194</v>
      </c>
      <c r="AP118" s="367"/>
      <c r="AQ118" s="366">
        <f>ABS(INDEX(AQ:AQ,MATCH(AQ112,$AA:$AA,0)+14)+INDEX(AQ:AQ,MATCH(AQ112,$AA:$AA,0)+15)+INDEX(AQ:AQ,MATCH(AQ112,$AA:$AA,0)+16))</f>
        <v>202</v>
      </c>
      <c r="AR118" s="367"/>
      <c r="AS118" s="366">
        <f>ABS(INDEX(AS:AS,MATCH(AS112,$AA:$AA,0)+14)+INDEX(AS:AS,MATCH(AS112,$AA:$AA,0)+15)+INDEX(AS:AS,MATCH(AS112,$AA:$AA,0)+16))</f>
        <v>186</v>
      </c>
      <c r="AT118" s="367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6" t="str">
        <f t="shared" si="142"/>
        <v>Gesamt</v>
      </c>
      <c r="C119" s="347" t="str">
        <f t="shared" si="143"/>
        <v/>
      </c>
      <c r="D119" s="365">
        <f>IF(AC119=1505,"",AC119)</f>
        <v>721</v>
      </c>
      <c r="E119" s="365" t="str">
        <f>IF(AD119=0,"",AD119)</f>
        <v/>
      </c>
      <c r="F119" s="365">
        <f>IF(AE119=1505,"",AE119)</f>
        <v>781</v>
      </c>
      <c r="G119" s="365" t="str">
        <f>IF(AF119=0,"",AF119)</f>
        <v/>
      </c>
      <c r="H119" s="365">
        <f>IF(AG119=1505,"",AG119)</f>
        <v>745</v>
      </c>
      <c r="I119" s="365" t="str">
        <f>IF(AH119=0,"",AH119)</f>
        <v/>
      </c>
      <c r="J119" s="365">
        <f>IF(AI119=1505,"",AI119)</f>
        <v>834</v>
      </c>
      <c r="K119" s="365" t="str">
        <f>IF(AJ119=0,"",AJ119)</f>
        <v/>
      </c>
      <c r="L119" s="365">
        <f>IF(AK119=1505,"",AK119)</f>
        <v>849</v>
      </c>
      <c r="M119" s="365" t="str">
        <f>IF(AL119=0,"",AL119)</f>
        <v/>
      </c>
      <c r="N119" s="365">
        <f>IF(AM119=1505,"",AM119)</f>
        <v>848</v>
      </c>
      <c r="O119" s="365" t="str">
        <f>IF(AN119=0,"",AN119)</f>
        <v/>
      </c>
      <c r="P119" s="365">
        <f>IF(AO119=1505,"",AO119)</f>
        <v>828</v>
      </c>
      <c r="Q119" s="365" t="str">
        <f>IF(AP119=0,"",AP119)</f>
        <v/>
      </c>
      <c r="R119" s="365">
        <f>IF(AQ119=1505,"",AQ119)</f>
        <v>804</v>
      </c>
      <c r="S119" s="365" t="str">
        <f>IF(AR119=0,"",AR119)</f>
        <v/>
      </c>
      <c r="T119" s="365">
        <f>IF(AS119=1505,"",AS119)</f>
        <v>691</v>
      </c>
      <c r="U119" s="365" t="str">
        <f>IF(AT119=0,"",AT119)</f>
        <v/>
      </c>
      <c r="V119" s="301"/>
      <c r="W119" s="301"/>
      <c r="AA119" s="93" t="s">
        <v>1799</v>
      </c>
      <c r="AB119" s="94"/>
      <c r="AC119" s="346">
        <f>SUM(AC115:AC118)</f>
        <v>721</v>
      </c>
      <c r="AD119" s="347"/>
      <c r="AE119" s="346">
        <f>SUM(AE115:AE118)</f>
        <v>781</v>
      </c>
      <c r="AF119" s="347"/>
      <c r="AG119" s="346">
        <f>SUM(AG115:AG118)</f>
        <v>745</v>
      </c>
      <c r="AH119" s="347"/>
      <c r="AI119" s="346">
        <f>SUM(AI115:AI118)</f>
        <v>834</v>
      </c>
      <c r="AJ119" s="347"/>
      <c r="AK119" s="346">
        <f>SUM(AK115:AK118)</f>
        <v>849</v>
      </c>
      <c r="AL119" s="347"/>
      <c r="AM119" s="346">
        <f>SUM(AM115:AM118)</f>
        <v>848</v>
      </c>
      <c r="AN119" s="347"/>
      <c r="AO119" s="346">
        <f>SUM(AO115:AO118)</f>
        <v>828</v>
      </c>
      <c r="AP119" s="347"/>
      <c r="AQ119" s="346">
        <f>SUM(AQ115:AQ118)</f>
        <v>804</v>
      </c>
      <c r="AR119" s="347"/>
      <c r="AS119" s="346">
        <f>SUM(AS115:AS118)</f>
        <v>691</v>
      </c>
      <c r="AT119" s="347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5" t="str">
        <f>AE121</f>
        <v>Bayernliga Herren</v>
      </c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48"/>
      <c r="S121" s="49" t="s">
        <v>1794</v>
      </c>
      <c r="T121" s="50"/>
      <c r="U121" s="341" t="str">
        <f>AT121</f>
        <v>12.10./13.10.</v>
      </c>
      <c r="V121" s="342"/>
      <c r="W121" s="343"/>
      <c r="X121" s="372"/>
      <c r="Y121" s="373"/>
      <c r="Z121" s="373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41" t="str">
        <f>VLOOKUP(AS122,Spielorte!$A$1:$C$6,2)</f>
        <v>12.10./13.10.</v>
      </c>
      <c r="AU121" s="342"/>
      <c r="AV121" s="34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4" t="str">
        <f>AE122</f>
        <v>Unterföhring Dreambowl Palace</v>
      </c>
      <c r="G122" s="344"/>
      <c r="H122" s="344"/>
      <c r="I122" s="344"/>
      <c r="J122" s="344"/>
      <c r="K122" s="344"/>
      <c r="L122" s="344"/>
      <c r="M122" s="344"/>
      <c r="N122" s="344"/>
      <c r="O122" s="344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6" t="s">
        <v>1800</v>
      </c>
      <c r="E125" s="347"/>
      <c r="F125" s="346" t="s">
        <v>1801</v>
      </c>
      <c r="G125" s="347"/>
      <c r="H125" s="346" t="s">
        <v>1802</v>
      </c>
      <c r="I125" s="347"/>
      <c r="J125" s="346" t="s">
        <v>1803</v>
      </c>
      <c r="K125" s="347"/>
      <c r="L125" s="346" t="s">
        <v>1804</v>
      </c>
      <c r="M125" s="347"/>
      <c r="N125" s="346" t="s">
        <v>1805</v>
      </c>
      <c r="O125" s="347"/>
      <c r="P125" s="346" t="s">
        <v>1806</v>
      </c>
      <c r="Q125" s="347"/>
      <c r="R125" s="346" t="s">
        <v>1807</v>
      </c>
      <c r="S125" s="347"/>
      <c r="T125" s="346" t="s">
        <v>1808</v>
      </c>
      <c r="U125" s="347"/>
      <c r="V125" s="354" t="s">
        <v>1799</v>
      </c>
      <c r="W125" s="355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6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189</v>
      </c>
      <c r="E127" s="348">
        <f>IF(AD127="","",AD127)</f>
        <v>0</v>
      </c>
      <c r="F127" s="75">
        <f t="shared" ref="F127:F140" si="146">IF(AE127=0,"",AE127)</f>
        <v>168</v>
      </c>
      <c r="G127" s="348">
        <f>IF(AF127="","",AF127)</f>
        <v>0</v>
      </c>
      <c r="H127" s="75">
        <f t="shared" ref="H127:H140" si="147">IF(AG127=0,"",AG127)</f>
        <v>154</v>
      </c>
      <c r="I127" s="348">
        <f>IF(AH127="","",AH127)</f>
        <v>0</v>
      </c>
      <c r="J127" s="75">
        <f t="shared" ref="J127:J140" si="148">IF(AI127=0,"",AI127)</f>
        <v>170</v>
      </c>
      <c r="K127" s="348">
        <f>IF(AJ127="","",AJ127)</f>
        <v>0</v>
      </c>
      <c r="L127" s="75">
        <f t="shared" ref="L127:L140" si="149">IF(AK127=0,"",AK127)</f>
        <v>210</v>
      </c>
      <c r="M127" s="348">
        <f>IF(AL127="","",AL127)</f>
        <v>1</v>
      </c>
      <c r="N127" s="75">
        <f>IF(AM127=0,"",AM127)</f>
        <v>127</v>
      </c>
      <c r="O127" s="348">
        <f>IF(AN127="","",AN127)</f>
        <v>0</v>
      </c>
      <c r="P127" s="75">
        <f t="shared" ref="P127:P140" si="150">IF(AO127=0,"",AO127)</f>
        <v>174</v>
      </c>
      <c r="Q127" s="348">
        <f>IF(AP127="","",AP127)</f>
        <v>1</v>
      </c>
      <c r="R127" s="75">
        <f t="shared" ref="R127:R140" si="151">IF(AQ127=0,"",AQ127)</f>
        <v>201</v>
      </c>
      <c r="S127" s="348">
        <f>IF(AR127="","",AR127)</f>
        <v>0</v>
      </c>
      <c r="T127" s="75">
        <f t="shared" ref="T127:T140" si="152">IF(AS127=0,"",AS127)</f>
        <v>150</v>
      </c>
      <c r="U127" s="348">
        <f>IF(AT127="","",AT127)</f>
        <v>0</v>
      </c>
      <c r="V127" s="75">
        <f t="shared" ref="V127:V140" si="153">IF(AU127=0,"",AU127)</f>
        <v>1543</v>
      </c>
      <c r="W127" s="348">
        <f>IF(AV127="","",AV127)</f>
        <v>2</v>
      </c>
      <c r="Z127" s="351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189</v>
      </c>
      <c r="AD127" s="109">
        <f>IF(SUM(AC127:AC129)+AC145=0,0,IF(SUM(ABS(AC127),ABS(AC128),ABS(AC129))=AC145,0.5,IF(SUM(ABS(AC127),ABS(AC128),ABS(AC129))&gt;AC145,1,0)))</f>
        <v>0</v>
      </c>
      <c r="AE127" s="185">
        <v>168</v>
      </c>
      <c r="AF127" s="109">
        <f>IF(SUM(AE127:AE129)+AE145=0,0,IF(SUM(ABS(AE127),ABS(AE128),ABS(AE129))=AE145,0.5,IF(SUM(ABS(AE127),ABS(AE128),ABS(AE129))&gt;AE145,1,0)))</f>
        <v>0</v>
      </c>
      <c r="AG127" s="185">
        <v>154</v>
      </c>
      <c r="AH127" s="109">
        <f>IF(SUM(AG127:AG129)+AG145=0,0,IF(SUM(ABS(AG127),ABS(AG128),ABS(AG129))=AG145,0.5,IF(SUM(ABS(AG127),ABS(AG128),ABS(AG129))&gt;AG145,1,0)))</f>
        <v>0</v>
      </c>
      <c r="AI127" s="185">
        <v>170</v>
      </c>
      <c r="AJ127" s="109">
        <f>IF(SUM(AI127:AI129)+AI145=0,0,IF(SUM(ABS(AI127),ABS(AI128),ABS(AI129))=AI145,0.5,IF(SUM(ABS(AI127),ABS(AI128),ABS(AI129))&gt;AI145,1,0)))</f>
        <v>0</v>
      </c>
      <c r="AK127" s="185">
        <v>210</v>
      </c>
      <c r="AL127" s="109">
        <f>IF(SUM(AK127:AK129)+AK145=0,0,IF(SUM(ABS(AK127),ABS(AK128),ABS(AK129))=AK145,0.5,IF(SUM(ABS(AK127),ABS(AK128),ABS(AK129))&gt;AK145,1,0)))</f>
        <v>1</v>
      </c>
      <c r="AM127" s="185">
        <v>127</v>
      </c>
      <c r="AN127" s="109">
        <f>IF(SUM(AM127:AM129)+AM145=0,0,IF(SUM(ABS(AM127),ABS(AM128),ABS(AM129))=AM145,0.5,IF(SUM(ABS(AM127),ABS(AM128),ABS(AM129))&gt;AM145,1,0)))</f>
        <v>0</v>
      </c>
      <c r="AO127" s="185">
        <v>174</v>
      </c>
      <c r="AP127" s="109">
        <f>IF(SUM(AO127:AO129)+AO145=0,0,IF(SUM(ABS(AO127),ABS(AO128),ABS(AO129))=AO145,0.5,IF(SUM(ABS(AO127),ABS(AO128),ABS(AO129))&gt;AO145,1,0)))</f>
        <v>1</v>
      </c>
      <c r="AQ127" s="185">
        <v>201</v>
      </c>
      <c r="AR127" s="109">
        <f>IF(SUM(AQ127:AQ129)+AQ145=0,0,IF(SUM(ABS(AQ127),ABS(AQ128),ABS(AQ129))=AQ145,0.5,IF(SUM(ABS(AQ127),ABS(AQ128),ABS(AQ129))&gt;AQ145,1,0)))</f>
        <v>0</v>
      </c>
      <c r="AS127" s="185">
        <v>150</v>
      </c>
      <c r="AT127" s="109">
        <f>IF(SUM(AS127:AS129)+AS145=0,0,IF(SUM(ABS(AS127),ABS(AS128),ABS(AS129))=AS145,0.5,IF(SUM(ABS(AS127),ABS(AS128),ABS(AS129))&gt;AS145,1,0)))</f>
        <v>0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1543</v>
      </c>
      <c r="AV127" s="111">
        <f>SUM(AD127+AF127+AH127+AJ127+AL127+AN127+AP127+AR127+AT127)</f>
        <v>2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1543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189</v>
      </c>
      <c r="BI127" s="215">
        <f t="shared" ref="BI127:BI138" si="156">IF(AE127=0,"",AE127)</f>
        <v>168</v>
      </c>
      <c r="BJ127" s="215">
        <f t="shared" ref="BJ127:BJ138" si="157">IF(AG127=0,"",AG127)</f>
        <v>154</v>
      </c>
      <c r="BK127" s="215">
        <f t="shared" ref="BK127:BK138" si="158">IF(AI127=0,"",AI127)</f>
        <v>170</v>
      </c>
      <c r="BL127" s="215">
        <f t="shared" ref="BL127:BL138" si="159">IF(AK127=0,"",AK127)</f>
        <v>210</v>
      </c>
      <c r="BM127" s="215">
        <f t="shared" ref="BM127:BM138" si="160">IF(AM127=0,"",AM127)</f>
        <v>127</v>
      </c>
      <c r="BN127" s="215">
        <f t="shared" ref="BN127:BN138" si="161">IF(AO127=0,"",AO127)</f>
        <v>174</v>
      </c>
      <c r="BO127" s="215">
        <f t="shared" ref="BO127:BO138" si="162">IF(AQ127=0,"",AQ127)</f>
        <v>201</v>
      </c>
      <c r="BP127" s="215">
        <f t="shared" ref="BP127:BP138" si="163">IF(AS127=0,"",AS127)</f>
        <v>150</v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1543</v>
      </c>
      <c r="BX127" s="215">
        <f>IF(COUNTIF(BH127:BP127,"&gt;0")&lt;Spielorte!$A$23,0,BE127/Spielorte!$A$23)</f>
        <v>171.44444444444446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00000000000001" customHeight="1" x14ac:dyDescent="0.25">
      <c r="A128" s="377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49"/>
      <c r="F128" s="78" t="str">
        <f t="shared" si="146"/>
        <v/>
      </c>
      <c r="G128" s="349"/>
      <c r="H128" s="78" t="str">
        <f t="shared" si="147"/>
        <v/>
      </c>
      <c r="I128" s="349"/>
      <c r="J128" s="78" t="str">
        <f t="shared" si="148"/>
        <v/>
      </c>
      <c r="K128" s="349"/>
      <c r="L128" s="78" t="str">
        <f t="shared" si="149"/>
        <v/>
      </c>
      <c r="M128" s="349"/>
      <c r="N128" s="78" t="str">
        <f t="shared" ref="N128:N140" si="168">IF(AM128=0,"",AM128)</f>
        <v/>
      </c>
      <c r="O128" s="349"/>
      <c r="P128" s="78" t="str">
        <f t="shared" si="150"/>
        <v/>
      </c>
      <c r="Q128" s="349"/>
      <c r="R128" s="78" t="str">
        <f t="shared" si="151"/>
        <v/>
      </c>
      <c r="S128" s="349"/>
      <c r="T128" s="78" t="str">
        <f t="shared" si="152"/>
        <v/>
      </c>
      <c r="U128" s="349"/>
      <c r="V128" s="78" t="str">
        <f t="shared" si="153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>RW Lichtenhof Stein 1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00000000000001" customHeight="1" thickBot="1" x14ac:dyDescent="0.3">
      <c r="A129" s="378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50"/>
      <c r="F129" s="69" t="str">
        <f t="shared" si="146"/>
        <v/>
      </c>
      <c r="G129" s="350"/>
      <c r="H129" s="69" t="str">
        <f t="shared" si="147"/>
        <v/>
      </c>
      <c r="I129" s="350"/>
      <c r="J129" s="69" t="str">
        <f t="shared" si="148"/>
        <v/>
      </c>
      <c r="K129" s="350"/>
      <c r="L129" s="69" t="str">
        <f t="shared" si="149"/>
        <v/>
      </c>
      <c r="M129" s="350"/>
      <c r="N129" s="69" t="str">
        <f t="shared" si="168"/>
        <v/>
      </c>
      <c r="O129" s="350"/>
      <c r="P129" s="69" t="str">
        <f t="shared" si="150"/>
        <v/>
      </c>
      <c r="Q129" s="350"/>
      <c r="R129" s="69" t="str">
        <f t="shared" si="151"/>
        <v/>
      </c>
      <c r="S129" s="350"/>
      <c r="T129" s="69" t="str">
        <f t="shared" si="152"/>
        <v/>
      </c>
      <c r="U129" s="350"/>
      <c r="V129" s="69" t="str">
        <f t="shared" si="153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>RW Lichtenhof Stein 1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00000000000001" customHeight="1" x14ac:dyDescent="0.25">
      <c r="A130" s="376" t="s">
        <v>2</v>
      </c>
      <c r="B130" s="73" t="str">
        <f t="shared" si="165"/>
        <v>Stöhr, Jürgen</v>
      </c>
      <c r="C130" s="74">
        <f t="shared" si="166"/>
        <v>7738</v>
      </c>
      <c r="D130" s="75">
        <f t="shared" si="167"/>
        <v>183</v>
      </c>
      <c r="E130" s="348">
        <f>IF(AD130="","",AD130)</f>
        <v>0</v>
      </c>
      <c r="F130" s="75">
        <f t="shared" si="146"/>
        <v>156</v>
      </c>
      <c r="G130" s="348">
        <f>IF(AF130="","",AF130)</f>
        <v>0</v>
      </c>
      <c r="H130" s="75">
        <f t="shared" si="147"/>
        <v>213</v>
      </c>
      <c r="I130" s="348">
        <f>IF(AH130="","",AH130)</f>
        <v>0</v>
      </c>
      <c r="J130" s="75">
        <f t="shared" si="148"/>
        <v>152</v>
      </c>
      <c r="K130" s="348">
        <f>IF(AJ130="","",AJ130)</f>
        <v>0</v>
      </c>
      <c r="L130" s="75" t="str">
        <f t="shared" si="149"/>
        <v/>
      </c>
      <c r="M130" s="348">
        <f>IF(AL130="","",AL130)</f>
        <v>0</v>
      </c>
      <c r="N130" s="75" t="str">
        <f t="shared" si="168"/>
        <v/>
      </c>
      <c r="O130" s="348">
        <f>IF(AN130="","",AN130)</f>
        <v>0</v>
      </c>
      <c r="P130" s="75" t="str">
        <f t="shared" si="150"/>
        <v/>
      </c>
      <c r="Q130" s="348">
        <f>IF(AP130="","",AP130)</f>
        <v>0</v>
      </c>
      <c r="R130" s="75" t="str">
        <f t="shared" si="151"/>
        <v/>
      </c>
      <c r="S130" s="348">
        <f>IF(AR130="","",AR130)</f>
        <v>1</v>
      </c>
      <c r="T130" s="75" t="str">
        <f t="shared" si="152"/>
        <v/>
      </c>
      <c r="U130" s="348">
        <f>IF(AT130="","",AT130)</f>
        <v>0</v>
      </c>
      <c r="V130" s="75">
        <f t="shared" si="153"/>
        <v>704</v>
      </c>
      <c r="W130" s="348">
        <f>IF(AV130="","",AV130)</f>
        <v>1</v>
      </c>
      <c r="Z130" s="351" t="s">
        <v>2</v>
      </c>
      <c r="AA130" s="108" t="str">
        <f>IF(AB130=0,"",VLOOKUP(AB130,Starter!$A$1:$D$199,2,FALSE))</f>
        <v>Stöhr, Jürgen</v>
      </c>
      <c r="AB130" s="99">
        <v>7738</v>
      </c>
      <c r="AC130" s="188">
        <v>183</v>
      </c>
      <c r="AD130" s="109">
        <f>IF(SUM(AC130:AC132)+AC146=0,0,IF(SUM(ABS(AC130),ABS(AC131),ABS(AC132))=AC146,0.5,IF(SUM(ABS(AC130),ABS(AC131),ABS(AC132))&gt;AC146,1,0)))</f>
        <v>0</v>
      </c>
      <c r="AE130" s="188">
        <v>156</v>
      </c>
      <c r="AF130" s="109">
        <f>IF(SUM(AE130:AE132)+AE146=0,0,IF(SUM(ABS(AE130),ABS(AE131),ABS(AE132))=AE146,0.5,IF(SUM(ABS(AE130),ABS(AE131),ABS(AE132))&gt;AE146,1,0)))</f>
        <v>0</v>
      </c>
      <c r="AG130" s="188">
        <v>213</v>
      </c>
      <c r="AH130" s="109">
        <f>IF(SUM(AG130:AG132)+AG146=0,0,IF(SUM(ABS(AG130),ABS(AG131),ABS(AG132))=AG146,0.5,IF(SUM(ABS(AG130),ABS(AG131),ABS(AG132))&gt;AG146,1,0)))</f>
        <v>0</v>
      </c>
      <c r="AI130" s="188">
        <v>152</v>
      </c>
      <c r="AJ130" s="109">
        <f>IF(SUM(AI130:AI132)+AI146=0,0,IF(SUM(ABS(AI130),ABS(AI131),ABS(AI132))=AI146,0.5,IF(SUM(ABS(AI130),ABS(AI131),ABS(AI132))&gt;AI146,1,0)))</f>
        <v>0</v>
      </c>
      <c r="AK130" s="188"/>
      <c r="AL130" s="109">
        <f>IF(SUM(AK130:AK132)+AK146=0,0,IF(SUM(ABS(AK130),ABS(AK131),ABS(AK132))=AK146,0.5,IF(SUM(ABS(AK130),ABS(AK131),ABS(AK132))&gt;AK146,1,0)))</f>
        <v>0</v>
      </c>
      <c r="AM130" s="188"/>
      <c r="AN130" s="109">
        <f>IF(SUM(AM130:AM132)+AM146=0,0,IF(SUM(ABS(AM130),ABS(AM131),ABS(AM132))=AM146,0.5,IF(SUM(ABS(AM130),ABS(AM131),ABS(AM132))&gt;AM146,1,0)))</f>
        <v>0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/>
      <c r="AR130" s="109">
        <f>IF(SUM(AQ130:AQ132)+AQ146=0,0,IF(SUM(ABS(AQ130),ABS(AQ131),ABS(AQ132))=AQ146,0.5,IF(SUM(ABS(AQ130),ABS(AQ131),ABS(AQ132))&gt;AQ146,1,0)))</f>
        <v>1</v>
      </c>
      <c r="AS130" s="188"/>
      <c r="AT130" s="109">
        <f>IF(SUM(AS130:AS132)+AS146=0,0,IF(SUM(ABS(AS130),ABS(AS131),ABS(AS132))=AS146,0.5,IF(SUM(ABS(AS130),ABS(AS131),ABS(AS132))&gt;AS146,1,0)))</f>
        <v>0</v>
      </c>
      <c r="AU130" s="110">
        <f t="shared" si="154"/>
        <v>704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69"/>
        <v>7738</v>
      </c>
      <c r="BE130" s="213">
        <f t="shared" si="170"/>
        <v>704</v>
      </c>
      <c r="BF130" s="215">
        <f t="shared" si="171"/>
        <v>4</v>
      </c>
      <c r="BG130" s="215">
        <f t="shared" si="172"/>
        <v>4</v>
      </c>
      <c r="BH130" s="215">
        <f t="shared" si="155"/>
        <v>183</v>
      </c>
      <c r="BI130" s="215">
        <f t="shared" si="156"/>
        <v>156</v>
      </c>
      <c r="BJ130" s="215">
        <f t="shared" si="157"/>
        <v>213</v>
      </c>
      <c r="BK130" s="215">
        <f t="shared" si="158"/>
        <v>152</v>
      </c>
      <c r="BL130" s="215" t="str">
        <f t="shared" si="159"/>
        <v/>
      </c>
      <c r="BM130" s="215" t="str">
        <f t="shared" si="160"/>
        <v/>
      </c>
      <c r="BN130" s="215" t="str">
        <f t="shared" si="161"/>
        <v/>
      </c>
      <c r="BO130" s="215" t="str">
        <f t="shared" si="162"/>
        <v/>
      </c>
      <c r="BP130" s="215" t="str">
        <f t="shared" si="163"/>
        <v/>
      </c>
      <c r="BQ130" s="216"/>
      <c r="BR130" s="214"/>
      <c r="BS130" s="215">
        <f t="shared" si="173"/>
        <v>213</v>
      </c>
      <c r="BT130" s="215">
        <f t="shared" si="174"/>
        <v>0</v>
      </c>
      <c r="BU130" s="215" t="str">
        <f t="shared" si="175"/>
        <v>RW Lichtenhof Stein 1</v>
      </c>
      <c r="BV130" s="214">
        <f t="shared" si="176"/>
        <v>2</v>
      </c>
      <c r="BW130" s="215">
        <f t="shared" si="177"/>
        <v>704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00000000000001" customHeight="1" x14ac:dyDescent="0.25">
      <c r="A131" s="377"/>
      <c r="B131" s="76" t="str">
        <f t="shared" si="165"/>
        <v>Netscheporenko, Marco</v>
      </c>
      <c r="C131" s="77">
        <f t="shared" si="166"/>
        <v>7959</v>
      </c>
      <c r="D131" s="78" t="str">
        <f t="shared" si="167"/>
        <v/>
      </c>
      <c r="E131" s="349"/>
      <c r="F131" s="78" t="str">
        <f t="shared" si="146"/>
        <v/>
      </c>
      <c r="G131" s="349"/>
      <c r="H131" s="78" t="str">
        <f t="shared" si="147"/>
        <v/>
      </c>
      <c r="I131" s="349"/>
      <c r="J131" s="78" t="str">
        <f t="shared" si="148"/>
        <v/>
      </c>
      <c r="K131" s="349"/>
      <c r="L131" s="78">
        <f t="shared" si="149"/>
        <v>146</v>
      </c>
      <c r="M131" s="349"/>
      <c r="N131" s="78">
        <f t="shared" si="168"/>
        <v>195</v>
      </c>
      <c r="O131" s="349"/>
      <c r="P131" s="78">
        <f t="shared" si="150"/>
        <v>167</v>
      </c>
      <c r="Q131" s="349"/>
      <c r="R131" s="78">
        <f t="shared" si="151"/>
        <v>179</v>
      </c>
      <c r="S131" s="349"/>
      <c r="T131" s="78">
        <f t="shared" si="152"/>
        <v>190</v>
      </c>
      <c r="U131" s="349"/>
      <c r="V131" s="78">
        <f t="shared" si="153"/>
        <v>877</v>
      </c>
      <c r="W131" s="349"/>
      <c r="Z131" s="352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146</v>
      </c>
      <c r="AL131" s="112"/>
      <c r="AM131" s="186">
        <v>195</v>
      </c>
      <c r="AN131" s="112"/>
      <c r="AO131" s="190">
        <v>167</v>
      </c>
      <c r="AP131" s="112"/>
      <c r="AQ131" s="190">
        <v>179</v>
      </c>
      <c r="AR131" s="112"/>
      <c r="AS131" s="190">
        <v>190</v>
      </c>
      <c r="AT131" s="112"/>
      <c r="AU131" s="113">
        <f t="shared" si="154"/>
        <v>877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7959</v>
      </c>
      <c r="BE131" s="213">
        <f t="shared" si="170"/>
        <v>877</v>
      </c>
      <c r="BF131" s="215">
        <f t="shared" si="171"/>
        <v>5</v>
      </c>
      <c r="BG131" s="215">
        <f t="shared" si="172"/>
        <v>5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 t="str">
        <f t="shared" si="158"/>
        <v/>
      </c>
      <c r="BL131" s="215">
        <f t="shared" si="159"/>
        <v>146</v>
      </c>
      <c r="BM131" s="215">
        <f t="shared" si="160"/>
        <v>195</v>
      </c>
      <c r="BN131" s="215">
        <f t="shared" si="161"/>
        <v>167</v>
      </c>
      <c r="BO131" s="215">
        <f t="shared" si="162"/>
        <v>179</v>
      </c>
      <c r="BP131" s="215">
        <f t="shared" si="163"/>
        <v>190</v>
      </c>
      <c r="BQ131" s="216"/>
      <c r="BR131" s="214"/>
      <c r="BS131" s="215">
        <f t="shared" si="173"/>
        <v>195</v>
      </c>
      <c r="BT131" s="215">
        <f t="shared" si="174"/>
        <v>0</v>
      </c>
      <c r="BU131" s="215" t="str">
        <f t="shared" si="175"/>
        <v>RW Lichtenhof Stein 1</v>
      </c>
      <c r="BV131" s="214">
        <f t="shared" si="176"/>
        <v>2</v>
      </c>
      <c r="BW131" s="215">
        <f t="shared" si="177"/>
        <v>877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00000000000001" customHeight="1" thickBot="1" x14ac:dyDescent="0.3">
      <c r="A132" s="378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50"/>
      <c r="F132" s="69" t="str">
        <f t="shared" si="146"/>
        <v/>
      </c>
      <c r="G132" s="350"/>
      <c r="H132" s="69" t="str">
        <f t="shared" si="147"/>
        <v/>
      </c>
      <c r="I132" s="350"/>
      <c r="J132" s="69" t="str">
        <f t="shared" si="148"/>
        <v/>
      </c>
      <c r="K132" s="350"/>
      <c r="L132" s="69" t="str">
        <f t="shared" si="149"/>
        <v/>
      </c>
      <c r="M132" s="350"/>
      <c r="N132" s="69" t="str">
        <f t="shared" si="168"/>
        <v/>
      </c>
      <c r="O132" s="350"/>
      <c r="P132" s="69" t="str">
        <f t="shared" si="150"/>
        <v/>
      </c>
      <c r="Q132" s="350"/>
      <c r="R132" s="69" t="str">
        <f t="shared" si="151"/>
        <v/>
      </c>
      <c r="S132" s="350"/>
      <c r="T132" s="69" t="str">
        <f t="shared" si="152"/>
        <v/>
      </c>
      <c r="U132" s="350"/>
      <c r="V132" s="69" t="str">
        <f t="shared" si="153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>RW Lichtenhof Stein 1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00000000000001" customHeight="1" x14ac:dyDescent="0.25">
      <c r="A133" s="376" t="s">
        <v>3</v>
      </c>
      <c r="B133" s="73" t="str">
        <f t="shared" si="165"/>
        <v>Jackwerth, Enno</v>
      </c>
      <c r="C133" s="74">
        <f t="shared" si="166"/>
        <v>16263</v>
      </c>
      <c r="D133" s="75">
        <f t="shared" si="167"/>
        <v>181</v>
      </c>
      <c r="E133" s="348">
        <f>IF(AD133="","",AD133)</f>
        <v>0.5</v>
      </c>
      <c r="F133" s="75">
        <f t="shared" si="146"/>
        <v>217</v>
      </c>
      <c r="G133" s="348">
        <f>IF(AF133="","",AF133)</f>
        <v>0</v>
      </c>
      <c r="H133" s="75">
        <f t="shared" si="147"/>
        <v>206</v>
      </c>
      <c r="I133" s="348">
        <f>IF(AH133="","",AH133)</f>
        <v>1</v>
      </c>
      <c r="J133" s="75">
        <f t="shared" si="148"/>
        <v>190</v>
      </c>
      <c r="K133" s="348">
        <f>IF(AJ133="","",AJ133)</f>
        <v>0</v>
      </c>
      <c r="L133" s="75">
        <f t="shared" si="149"/>
        <v>236</v>
      </c>
      <c r="M133" s="348">
        <f>IF(AL133="","",AL133)</f>
        <v>1</v>
      </c>
      <c r="N133" s="75">
        <f t="shared" si="168"/>
        <v>184</v>
      </c>
      <c r="O133" s="348">
        <f>IF(AN133="","",AN133)</f>
        <v>0</v>
      </c>
      <c r="P133" s="75">
        <f t="shared" si="150"/>
        <v>178</v>
      </c>
      <c r="Q133" s="348">
        <f>IF(AP133="","",AP133)</f>
        <v>1</v>
      </c>
      <c r="R133" s="75">
        <f t="shared" si="151"/>
        <v>162</v>
      </c>
      <c r="S133" s="348">
        <f>IF(AR133="","",AR133)</f>
        <v>0</v>
      </c>
      <c r="T133" s="75">
        <f t="shared" si="152"/>
        <v>165</v>
      </c>
      <c r="U133" s="348">
        <f>IF(AT133="","",AT133)</f>
        <v>0</v>
      </c>
      <c r="V133" s="75">
        <f t="shared" si="153"/>
        <v>1719</v>
      </c>
      <c r="W133" s="348">
        <f>IF(AV133="","",AV133)</f>
        <v>3.5</v>
      </c>
      <c r="Z133" s="351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181</v>
      </c>
      <c r="AD133" s="109">
        <f>IF(SUM(AC133:AC135)+AC147=0,0,IF(SUM(ABS(AC133),ABS(AC134),ABS(AC135))=AC147,0.5,IF(SUM(ABS(AC133),ABS(AC134),ABS(AC135))&gt;AC147,1,0)))</f>
        <v>0.5</v>
      </c>
      <c r="AE133" s="188">
        <v>217</v>
      </c>
      <c r="AF133" s="109">
        <f>IF(SUM(AE133:AE135)+AE147=0,0,IF(SUM(ABS(AE133),ABS(AE134),ABS(AE135))=AE147,0.5,IF(SUM(ABS(AE133),ABS(AE134),ABS(AE135))&gt;AE147,1,0)))</f>
        <v>0</v>
      </c>
      <c r="AG133" s="188">
        <v>206</v>
      </c>
      <c r="AH133" s="109">
        <f>IF(SUM(AG133:AG135)+AG147=0,0,IF(SUM(ABS(AG133),ABS(AG134),ABS(AG135))=AG147,0.5,IF(SUM(ABS(AG133),ABS(AG134),ABS(AG135))&gt;AG147,1,0)))</f>
        <v>1</v>
      </c>
      <c r="AI133" s="188">
        <v>190</v>
      </c>
      <c r="AJ133" s="109">
        <f>IF(SUM(AI133:AI135)+AI147=0,0,IF(SUM(ABS(AI133),ABS(AI134),ABS(AI135))=AI147,0.5,IF(SUM(ABS(AI133),ABS(AI134),ABS(AI135))&gt;AI147,1,0)))</f>
        <v>0</v>
      </c>
      <c r="AK133" s="188">
        <v>236</v>
      </c>
      <c r="AL133" s="109">
        <f>IF(SUM(AK133:AK135)+AK147=0,0,IF(SUM(ABS(AK133),ABS(AK134),ABS(AK135))=AK147,0.5,IF(SUM(ABS(AK133),ABS(AK134),ABS(AK135))&gt;AK147,1,0)))</f>
        <v>1</v>
      </c>
      <c r="AM133" s="188">
        <v>184</v>
      </c>
      <c r="AN133" s="109">
        <f>IF(SUM(AM133:AM135)+AM147=0,0,IF(SUM(ABS(AM133),ABS(AM134),ABS(AM135))=AM147,0.5,IF(SUM(ABS(AM133),ABS(AM134),ABS(AM135))&gt;AM147,1,0)))</f>
        <v>0</v>
      </c>
      <c r="AO133" s="188">
        <v>178</v>
      </c>
      <c r="AP133" s="109">
        <f>IF(SUM(AO133:AO135)+AO147=0,0,IF(SUM(ABS(AO133),ABS(AO134),ABS(AO135))=AO147,0.5,IF(SUM(ABS(AO133),ABS(AO134),ABS(AO135))&gt;AO147,1,0)))</f>
        <v>1</v>
      </c>
      <c r="AQ133" s="188">
        <v>162</v>
      </c>
      <c r="AR133" s="109">
        <f>IF(SUM(AQ133:AQ135)+AQ147=0,0,IF(SUM(ABS(AQ133),ABS(AQ134),ABS(AQ135))=AQ147,0.5,IF(SUM(ABS(AQ133),ABS(AQ134),ABS(AQ135))&gt;AQ147,1,0)))</f>
        <v>0</v>
      </c>
      <c r="AS133" s="188">
        <v>165</v>
      </c>
      <c r="AT133" s="109">
        <f>IF(SUM(AS133:AS135)+AS147=0,0,IF(SUM(ABS(AS133),ABS(AS134),ABS(AS135))=AS147,0.5,IF(SUM(ABS(AS133),ABS(AS134),ABS(AS135))&gt;AS147,1,0)))</f>
        <v>0</v>
      </c>
      <c r="AU133" s="110">
        <f t="shared" si="154"/>
        <v>1719</v>
      </c>
      <c r="AV133" s="111">
        <f>SUM(AD133+AF133+AH133+AJ133+AL133+AN133+AP133+AR133+AT133)</f>
        <v>3.5</v>
      </c>
      <c r="AW133" s="101"/>
      <c r="AX133" s="102"/>
      <c r="AZ133" s="63"/>
      <c r="BA133" s="212"/>
      <c r="BB133" s="213"/>
      <c r="BC133" s="214"/>
      <c r="BD133" s="217">
        <f t="shared" si="169"/>
        <v>16263</v>
      </c>
      <c r="BE133" s="213">
        <f t="shared" si="170"/>
        <v>1719</v>
      </c>
      <c r="BF133" s="215">
        <f t="shared" si="171"/>
        <v>9</v>
      </c>
      <c r="BG133" s="215">
        <f t="shared" si="172"/>
        <v>9</v>
      </c>
      <c r="BH133" s="215">
        <f t="shared" si="155"/>
        <v>181</v>
      </c>
      <c r="BI133" s="215">
        <f t="shared" si="156"/>
        <v>217</v>
      </c>
      <c r="BJ133" s="215">
        <f t="shared" si="157"/>
        <v>206</v>
      </c>
      <c r="BK133" s="215">
        <f t="shared" si="158"/>
        <v>190</v>
      </c>
      <c r="BL133" s="215">
        <f t="shared" si="159"/>
        <v>236</v>
      </c>
      <c r="BM133" s="215">
        <f t="shared" si="160"/>
        <v>184</v>
      </c>
      <c r="BN133" s="215">
        <f t="shared" si="161"/>
        <v>178</v>
      </c>
      <c r="BO133" s="215">
        <f t="shared" si="162"/>
        <v>162</v>
      </c>
      <c r="BP133" s="215">
        <f t="shared" si="163"/>
        <v>165</v>
      </c>
      <c r="BQ133" s="216"/>
      <c r="BR133" s="214"/>
      <c r="BS133" s="215">
        <f t="shared" si="173"/>
        <v>236</v>
      </c>
      <c r="BT133" s="215">
        <f t="shared" si="174"/>
        <v>0</v>
      </c>
      <c r="BU133" s="215" t="str">
        <f t="shared" si="175"/>
        <v>RW Lichtenhof Stein 1</v>
      </c>
      <c r="BV133" s="214">
        <f t="shared" si="176"/>
        <v>2</v>
      </c>
      <c r="BW133" s="215">
        <f t="shared" si="177"/>
        <v>1719</v>
      </c>
      <c r="BX133" s="215">
        <f>IF(COUNTIF(BH133:BP133,"&gt;0")&lt;Spielorte!$A$23,0,BE133/Spielorte!$A$23)</f>
        <v>191</v>
      </c>
      <c r="BY133" s="215">
        <f t="shared" si="178"/>
        <v>0</v>
      </c>
      <c r="BZ133" s="214">
        <f t="shared" si="164"/>
        <v>0</v>
      </c>
    </row>
    <row r="134" spans="1:78" ht="17.100000000000001" customHeight="1" x14ac:dyDescent="0.25">
      <c r="A134" s="377"/>
      <c r="B134" s="76" t="str">
        <f t="shared" si="165"/>
        <v/>
      </c>
      <c r="C134" s="77" t="str">
        <f t="shared" si="166"/>
        <v/>
      </c>
      <c r="D134" s="78" t="str">
        <f t="shared" si="167"/>
        <v/>
      </c>
      <c r="E134" s="349"/>
      <c r="F134" s="78" t="str">
        <f t="shared" si="146"/>
        <v/>
      </c>
      <c r="G134" s="349"/>
      <c r="H134" s="78" t="str">
        <f t="shared" si="147"/>
        <v/>
      </c>
      <c r="I134" s="349"/>
      <c r="J134" s="78" t="str">
        <f t="shared" si="148"/>
        <v/>
      </c>
      <c r="K134" s="349"/>
      <c r="L134" s="78" t="str">
        <f t="shared" si="149"/>
        <v/>
      </c>
      <c r="M134" s="349"/>
      <c r="N134" s="78" t="str">
        <f t="shared" si="168"/>
        <v/>
      </c>
      <c r="O134" s="349"/>
      <c r="P134" s="78" t="str">
        <f t="shared" si="150"/>
        <v/>
      </c>
      <c r="Q134" s="349"/>
      <c r="R134" s="78" t="str">
        <f t="shared" si="151"/>
        <v/>
      </c>
      <c r="S134" s="349"/>
      <c r="T134" s="78" t="str">
        <f t="shared" si="152"/>
        <v/>
      </c>
      <c r="U134" s="349"/>
      <c r="V134" s="78" t="str">
        <f t="shared" si="153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54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0</v>
      </c>
      <c r="BE134" s="213">
        <f t="shared" si="170"/>
        <v>0</v>
      </c>
      <c r="BF134" s="215">
        <f t="shared" si="171"/>
        <v>0</v>
      </c>
      <c r="BG134" s="215">
        <f t="shared" si="172"/>
        <v>0</v>
      </c>
      <c r="BH134" s="215" t="str">
        <f t="shared" si="155"/>
        <v/>
      </c>
      <c r="BI134" s="215" t="str">
        <f t="shared" si="156"/>
        <v/>
      </c>
      <c r="BJ134" s="215" t="str">
        <f t="shared" si="157"/>
        <v/>
      </c>
      <c r="BK134" s="215" t="str">
        <f t="shared" si="158"/>
        <v/>
      </c>
      <c r="BL134" s="215" t="str">
        <f t="shared" si="159"/>
        <v/>
      </c>
      <c r="BM134" s="215" t="str">
        <f t="shared" si="160"/>
        <v/>
      </c>
      <c r="BN134" s="215" t="str">
        <f t="shared" si="161"/>
        <v/>
      </c>
      <c r="BO134" s="215" t="str">
        <f t="shared" si="162"/>
        <v/>
      </c>
      <c r="BP134" s="215" t="str">
        <f t="shared" si="163"/>
        <v/>
      </c>
      <c r="BQ134" s="216"/>
      <c r="BR134" s="214"/>
      <c r="BS134" s="215">
        <f t="shared" si="173"/>
        <v>0</v>
      </c>
      <c r="BT134" s="215">
        <f t="shared" si="174"/>
        <v>0</v>
      </c>
      <c r="BU134" s="215" t="str">
        <f t="shared" si="175"/>
        <v>RW Lichtenhof Stein 1</v>
      </c>
      <c r="BV134" s="214">
        <f t="shared" si="176"/>
        <v>2</v>
      </c>
      <c r="BW134" s="215">
        <f t="shared" si="177"/>
        <v>0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00000000000001" customHeight="1" thickBot="1" x14ac:dyDescent="0.3">
      <c r="A135" s="378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50"/>
      <c r="F135" s="69" t="str">
        <f t="shared" si="146"/>
        <v/>
      </c>
      <c r="G135" s="350"/>
      <c r="H135" s="69" t="str">
        <f t="shared" si="147"/>
        <v/>
      </c>
      <c r="I135" s="350"/>
      <c r="J135" s="69" t="str">
        <f t="shared" si="148"/>
        <v/>
      </c>
      <c r="K135" s="350"/>
      <c r="L135" s="69" t="str">
        <f t="shared" si="149"/>
        <v/>
      </c>
      <c r="M135" s="350"/>
      <c r="N135" s="69" t="str">
        <f t="shared" si="168"/>
        <v/>
      </c>
      <c r="O135" s="350"/>
      <c r="P135" s="69" t="str">
        <f t="shared" si="150"/>
        <v/>
      </c>
      <c r="Q135" s="350"/>
      <c r="R135" s="69" t="str">
        <f t="shared" si="151"/>
        <v/>
      </c>
      <c r="S135" s="350"/>
      <c r="T135" s="69" t="str">
        <f t="shared" si="152"/>
        <v/>
      </c>
      <c r="U135" s="350"/>
      <c r="V135" s="69" t="str">
        <f t="shared" si="153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>RW Lichtenhof Stein 1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00000000000001" customHeight="1" x14ac:dyDescent="0.25">
      <c r="A136" s="376" t="s">
        <v>11</v>
      </c>
      <c r="B136" s="73" t="str">
        <f>IF(AA136=0,"",AA136)</f>
        <v>Birkner, Jochen</v>
      </c>
      <c r="C136" s="74">
        <f t="shared" si="166"/>
        <v>7937</v>
      </c>
      <c r="D136" s="75">
        <f t="shared" si="167"/>
        <v>200</v>
      </c>
      <c r="E136" s="348">
        <f>IF(AD136="","",AD136)</f>
        <v>1</v>
      </c>
      <c r="F136" s="75">
        <f t="shared" si="146"/>
        <v>236</v>
      </c>
      <c r="G136" s="348">
        <f>IF(AF136="","",AF136)</f>
        <v>1</v>
      </c>
      <c r="H136" s="75">
        <f t="shared" si="147"/>
        <v>223</v>
      </c>
      <c r="I136" s="348">
        <f>IF(AH136="","",AH136)</f>
        <v>0</v>
      </c>
      <c r="J136" s="75">
        <f t="shared" si="148"/>
        <v>227</v>
      </c>
      <c r="K136" s="348">
        <f>IF(AJ136="","",AJ136)</f>
        <v>1</v>
      </c>
      <c r="L136" s="75">
        <f t="shared" si="149"/>
        <v>174</v>
      </c>
      <c r="M136" s="348">
        <f>IF(AL136="","",AL136)</f>
        <v>1</v>
      </c>
      <c r="N136" s="75">
        <f t="shared" si="168"/>
        <v>242</v>
      </c>
      <c r="O136" s="348">
        <f>IF(AN136="","",AN136)</f>
        <v>1</v>
      </c>
      <c r="P136" s="75">
        <f t="shared" si="150"/>
        <v>252</v>
      </c>
      <c r="Q136" s="348">
        <f>IF(AP136="","",AP136)</f>
        <v>1</v>
      </c>
      <c r="R136" s="75">
        <f t="shared" si="151"/>
        <v>218</v>
      </c>
      <c r="S136" s="348">
        <f>IF(AR136="","",AR136)</f>
        <v>1</v>
      </c>
      <c r="T136" s="75">
        <f t="shared" si="152"/>
        <v>186</v>
      </c>
      <c r="U136" s="348">
        <f>IF(AT136="","",AT136)</f>
        <v>0</v>
      </c>
      <c r="V136" s="75">
        <f t="shared" si="153"/>
        <v>1958</v>
      </c>
      <c r="W136" s="348">
        <f>IF(AV136="","",AV136)</f>
        <v>7</v>
      </c>
      <c r="Z136" s="351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200</v>
      </c>
      <c r="AD136" s="109">
        <f>IF(SUM(AC136:AC138)+AC148=0,0,IF(SUM(ABS(AC136),ABS(AC137),ABS(AC138))=AC148,0.5,IF(SUM(ABS(AC136),ABS(AC137),ABS(AC138))&gt;AC148,1,0)))</f>
        <v>1</v>
      </c>
      <c r="AE136" s="188">
        <v>236</v>
      </c>
      <c r="AF136" s="109">
        <f>IF(SUM(AE136:AE138)+AE148=0,0,IF(SUM(ABS(AE136),ABS(AE137),ABS(AE138))=AE148,0.5,IF(SUM(ABS(AE136),ABS(AE137),ABS(AE138))&gt;AE148,1,0)))</f>
        <v>1</v>
      </c>
      <c r="AG136" s="188">
        <v>223</v>
      </c>
      <c r="AH136" s="109">
        <f>IF(SUM(AG136:AG138)+AG148=0,0,IF(SUM(ABS(AG136),ABS(AG137),ABS(AG138))=AG148,0.5,IF(SUM(ABS(AG136),ABS(AG137),ABS(AG138))&gt;AG148,1,0)))</f>
        <v>0</v>
      </c>
      <c r="AI136" s="188">
        <v>227</v>
      </c>
      <c r="AJ136" s="109">
        <f>IF(SUM(AI136:AI138)+AI148=0,0,IF(SUM(ABS(AI136),ABS(AI137),ABS(AI138))=AI148,0.5,IF(SUM(ABS(AI136),ABS(AI137),ABS(AI138))&gt;AI148,1,0)))</f>
        <v>1</v>
      </c>
      <c r="AK136" s="188">
        <v>174</v>
      </c>
      <c r="AL136" s="109">
        <f>IF(SUM(AK136:AK138)+AK148=0,0,IF(SUM(ABS(AK136),ABS(AK137),ABS(AK138))=AK148,0.5,IF(SUM(ABS(AK136),ABS(AK137),ABS(AK138))&gt;AK148,1,0)))</f>
        <v>1</v>
      </c>
      <c r="AM136" s="188">
        <v>242</v>
      </c>
      <c r="AN136" s="109">
        <f>IF(SUM(AM136:AM138)+AM148=0,0,IF(SUM(ABS(AM136),ABS(AM137),ABS(AM138))=AM148,0.5,IF(SUM(ABS(AM136),ABS(AM137),ABS(AM138))&gt;AM148,1,0)))</f>
        <v>1</v>
      </c>
      <c r="AO136" s="188">
        <v>252</v>
      </c>
      <c r="AP136" s="109">
        <f>IF(SUM(AO136:AO138)+AO148=0,0,IF(SUM(ABS(AO136),ABS(AO137),ABS(AO138))=AO148,0.5,IF(SUM(ABS(AO136),ABS(AO137),ABS(AO138))&gt;AO148,1,0)))</f>
        <v>1</v>
      </c>
      <c r="AQ136" s="188">
        <v>218</v>
      </c>
      <c r="AR136" s="109">
        <f>IF(SUM(AQ136:AQ138)+AQ148=0,0,IF(SUM(ABS(AQ136),ABS(AQ137),ABS(AQ138))=AQ148,0.5,IF(SUM(ABS(AQ136),ABS(AQ137),ABS(AQ138))&gt;AQ148,1,0)))</f>
        <v>1</v>
      </c>
      <c r="AS136" s="188">
        <v>186</v>
      </c>
      <c r="AT136" s="109">
        <f>IF(SUM(AS136:AS138)+AS148=0,0,IF(SUM(ABS(AS136),ABS(AS137),ABS(AS138))=AS148,0.5,IF(SUM(ABS(AS136),ABS(AS137),ABS(AS138))&gt;AS148,1,0)))</f>
        <v>0</v>
      </c>
      <c r="AU136" s="110">
        <f t="shared" si="154"/>
        <v>1958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9"/>
        <v>7937</v>
      </c>
      <c r="BE136" s="213">
        <f t="shared" si="170"/>
        <v>1958</v>
      </c>
      <c r="BF136" s="215">
        <f t="shared" si="171"/>
        <v>9</v>
      </c>
      <c r="BG136" s="215">
        <f t="shared" si="172"/>
        <v>9</v>
      </c>
      <c r="BH136" s="215">
        <f t="shared" si="155"/>
        <v>200</v>
      </c>
      <c r="BI136" s="215">
        <f t="shared" si="156"/>
        <v>236</v>
      </c>
      <c r="BJ136" s="215">
        <f t="shared" si="157"/>
        <v>223</v>
      </c>
      <c r="BK136" s="215">
        <f t="shared" si="158"/>
        <v>227</v>
      </c>
      <c r="BL136" s="215">
        <f t="shared" si="159"/>
        <v>174</v>
      </c>
      <c r="BM136" s="215">
        <f t="shared" si="160"/>
        <v>242</v>
      </c>
      <c r="BN136" s="215">
        <f t="shared" si="161"/>
        <v>252</v>
      </c>
      <c r="BO136" s="215">
        <f t="shared" si="162"/>
        <v>218</v>
      </c>
      <c r="BP136" s="215">
        <f t="shared" si="163"/>
        <v>186</v>
      </c>
      <c r="BQ136" s="216"/>
      <c r="BR136" s="214"/>
      <c r="BS136" s="215">
        <f t="shared" si="173"/>
        <v>252</v>
      </c>
      <c r="BT136" s="215">
        <f t="shared" si="174"/>
        <v>0</v>
      </c>
      <c r="BU136" s="215" t="str">
        <f t="shared" si="175"/>
        <v>RW Lichtenhof Stein 1</v>
      </c>
      <c r="BV136" s="214">
        <f t="shared" si="176"/>
        <v>2</v>
      </c>
      <c r="BW136" s="215">
        <f t="shared" si="177"/>
        <v>1958</v>
      </c>
      <c r="BX136" s="215">
        <f>IF(COUNTIF(BH136:BP136,"&gt;0")&lt;Spielorte!$A$23,0,BE136/Spielorte!$A$23)</f>
        <v>217.55555555555554</v>
      </c>
      <c r="BY136" s="215">
        <f t="shared" si="178"/>
        <v>0</v>
      </c>
      <c r="BZ136" s="214">
        <f t="shared" si="164"/>
        <v>0</v>
      </c>
    </row>
    <row r="137" spans="1:78" ht="17.100000000000001" customHeight="1" x14ac:dyDescent="0.25">
      <c r="A137" s="377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49"/>
      <c r="F137" s="78" t="str">
        <f t="shared" si="146"/>
        <v/>
      </c>
      <c r="G137" s="349"/>
      <c r="H137" s="78" t="str">
        <f t="shared" si="147"/>
        <v/>
      </c>
      <c r="I137" s="349"/>
      <c r="J137" s="78" t="str">
        <f t="shared" si="148"/>
        <v/>
      </c>
      <c r="K137" s="349"/>
      <c r="L137" s="78" t="str">
        <f t="shared" si="149"/>
        <v/>
      </c>
      <c r="M137" s="349"/>
      <c r="N137" s="78" t="str">
        <f t="shared" si="168"/>
        <v/>
      </c>
      <c r="O137" s="349"/>
      <c r="P137" s="78" t="str">
        <f t="shared" si="150"/>
        <v/>
      </c>
      <c r="Q137" s="349"/>
      <c r="R137" s="78" t="str">
        <f t="shared" si="151"/>
        <v/>
      </c>
      <c r="S137" s="349"/>
      <c r="T137" s="78" t="str">
        <f t="shared" si="152"/>
        <v/>
      </c>
      <c r="U137" s="349"/>
      <c r="V137" s="78" t="str">
        <f t="shared" si="153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>RW Lichtenhof Stein 1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00000000000001" customHeight="1" thickBot="1" x14ac:dyDescent="0.3">
      <c r="A138" s="378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50"/>
      <c r="F138" s="69" t="str">
        <f t="shared" si="146"/>
        <v/>
      </c>
      <c r="G138" s="350"/>
      <c r="H138" s="69" t="str">
        <f t="shared" si="147"/>
        <v/>
      </c>
      <c r="I138" s="350"/>
      <c r="J138" s="69" t="str">
        <f t="shared" si="148"/>
        <v/>
      </c>
      <c r="K138" s="350"/>
      <c r="L138" s="69" t="str">
        <f t="shared" si="149"/>
        <v/>
      </c>
      <c r="M138" s="350"/>
      <c r="N138" s="69" t="str">
        <f t="shared" si="168"/>
        <v/>
      </c>
      <c r="O138" s="350"/>
      <c r="P138" s="69" t="str">
        <f t="shared" si="150"/>
        <v/>
      </c>
      <c r="Q138" s="350"/>
      <c r="R138" s="69" t="str">
        <f t="shared" si="151"/>
        <v/>
      </c>
      <c r="S138" s="350"/>
      <c r="T138" s="69" t="str">
        <f t="shared" si="152"/>
        <v/>
      </c>
      <c r="U138" s="350"/>
      <c r="V138" s="69" t="str">
        <f t="shared" si="153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>RW Lichtenhof Stein 1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66"/>
        <v/>
      </c>
      <c r="D139" s="83">
        <f t="shared" si="167"/>
        <v>753</v>
      </c>
      <c r="E139" s="84">
        <f>IF(AD139="","",AD139)</f>
        <v>2</v>
      </c>
      <c r="F139" s="83">
        <f t="shared" si="146"/>
        <v>777</v>
      </c>
      <c r="G139" s="84">
        <f>IF(AF139="","",AF139)</f>
        <v>0</v>
      </c>
      <c r="H139" s="83">
        <f t="shared" si="147"/>
        <v>796</v>
      </c>
      <c r="I139" s="84">
        <f>IF(AH139="","",AH139)</f>
        <v>0</v>
      </c>
      <c r="J139" s="83">
        <f t="shared" si="148"/>
        <v>739</v>
      </c>
      <c r="K139" s="84">
        <f>IF(AJ139="","",AJ139)</f>
        <v>0</v>
      </c>
      <c r="L139" s="83">
        <f t="shared" si="149"/>
        <v>766</v>
      </c>
      <c r="M139" s="84">
        <f>IF(AL139="","",AL139)</f>
        <v>2</v>
      </c>
      <c r="N139" s="83">
        <f t="shared" si="168"/>
        <v>748</v>
      </c>
      <c r="O139" s="84">
        <f>IF(AN139="","",AN139)</f>
        <v>0</v>
      </c>
      <c r="P139" s="83">
        <f t="shared" si="150"/>
        <v>771</v>
      </c>
      <c r="Q139" s="84">
        <f>IF(AP139="","",AP139)</f>
        <v>2</v>
      </c>
      <c r="R139" s="83">
        <f t="shared" si="151"/>
        <v>760</v>
      </c>
      <c r="S139" s="84">
        <f>IF(AR139="","",AR139)</f>
        <v>2</v>
      </c>
      <c r="T139" s="83">
        <f t="shared" si="152"/>
        <v>691</v>
      </c>
      <c r="U139" s="84">
        <f>IF(AT139="","",AT139)</f>
        <v>0</v>
      </c>
      <c r="V139" s="83">
        <f t="shared" si="153"/>
        <v>6801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753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777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796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739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766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748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771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760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691</v>
      </c>
      <c r="AT139" s="121">
        <f>IF(AS139+AS149=0,0,IF(AS139=AS149,1,IF(AS139&gt;AS149,2,0)))</f>
        <v>0</v>
      </c>
      <c r="AU139" s="122">
        <f>SUM(AC139+AE139+AG139+AI139+AK139+AM139+AO139+AQ139+AS139)</f>
        <v>6801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3.5</v>
      </c>
      <c r="F140" s="86" t="str">
        <f t="shared" si="146"/>
        <v/>
      </c>
      <c r="G140" s="87">
        <f>IF(AF140="","",AF140)</f>
        <v>1</v>
      </c>
      <c r="H140" s="86" t="str">
        <f t="shared" si="147"/>
        <v/>
      </c>
      <c r="I140" s="87">
        <f>IF(AH140="","",AH140)</f>
        <v>1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5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5</v>
      </c>
      <c r="R140" s="86" t="str">
        <f t="shared" si="151"/>
        <v/>
      </c>
      <c r="S140" s="87">
        <f>IF(AR140="","",AR140)</f>
        <v>4</v>
      </c>
      <c r="T140" s="86" t="str">
        <f t="shared" si="152"/>
        <v/>
      </c>
      <c r="U140" s="87">
        <f>IF(AT140="","",AT140)</f>
        <v>0</v>
      </c>
      <c r="V140" s="86" t="str">
        <f t="shared" si="153"/>
        <v/>
      </c>
      <c r="W140" s="87">
        <f>IF(AV140="","",AV140)</f>
        <v>21.5</v>
      </c>
      <c r="AA140" s="85" t="s">
        <v>1814</v>
      </c>
      <c r="AB140" s="86"/>
      <c r="AC140" s="86"/>
      <c r="AD140" s="124">
        <f>SUM(AD127:AD139)</f>
        <v>3.5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1</v>
      </c>
      <c r="AK140" s="86"/>
      <c r="AL140" s="124">
        <f>SUM(AL127:AL139)</f>
        <v>5</v>
      </c>
      <c r="AM140" s="86"/>
      <c r="AN140" s="124">
        <f>SUM(AN127:AN139)</f>
        <v>1</v>
      </c>
      <c r="AO140" s="86"/>
      <c r="AP140" s="124">
        <f>SUM(AP127:AP139)</f>
        <v>5</v>
      </c>
      <c r="AQ140" s="86"/>
      <c r="AR140" s="124">
        <f>SUM(AR127:AR139)</f>
        <v>4</v>
      </c>
      <c r="AS140" s="86"/>
      <c r="AT140" s="124">
        <f>SUM(AT127:AT139)</f>
        <v>0</v>
      </c>
      <c r="AU140" s="86"/>
      <c r="AV140" s="125">
        <f>SUM(AV127:AV139)</f>
        <v>21.5</v>
      </c>
      <c r="AW140" s="101"/>
      <c r="AX140" s="102"/>
      <c r="BA140" s="212">
        <f>+AV140</f>
        <v>21.5</v>
      </c>
      <c r="BB140" s="213">
        <f>+AU139</f>
        <v>6801</v>
      </c>
      <c r="BC140" s="214">
        <f>+AA122</f>
        <v>5</v>
      </c>
      <c r="BF140" s="215">
        <f>SUM(BF121:BF139)</f>
        <v>36</v>
      </c>
      <c r="BQ140" s="212">
        <f>+BB140/1000000+BA140</f>
        <v>21.506800999999999</v>
      </c>
      <c r="BR140" s="214">
        <f>RANK(BQ140,BQ:BQ)</f>
        <v>8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56">
        <f t="shared" ref="D142:M144" si="181">IF(AC142=0,"",AC142)</f>
        <v>9</v>
      </c>
      <c r="E142" s="356" t="str">
        <f t="shared" si="181"/>
        <v/>
      </c>
      <c r="F142" s="356">
        <f t="shared" si="181"/>
        <v>8</v>
      </c>
      <c r="G142" s="356" t="str">
        <f t="shared" si="181"/>
        <v/>
      </c>
      <c r="H142" s="356">
        <f t="shared" si="181"/>
        <v>3</v>
      </c>
      <c r="I142" s="356" t="str">
        <f t="shared" si="181"/>
        <v/>
      </c>
      <c r="J142" s="356">
        <f t="shared" si="181"/>
        <v>1</v>
      </c>
      <c r="K142" s="356" t="str">
        <f t="shared" si="181"/>
        <v/>
      </c>
      <c r="L142" s="356">
        <f t="shared" si="181"/>
        <v>7</v>
      </c>
      <c r="M142" s="356" t="str">
        <f t="shared" si="181"/>
        <v/>
      </c>
      <c r="N142" s="356">
        <f t="shared" ref="N142:U144" si="182">IF(AM142=0,"",AM142)</f>
        <v>2</v>
      </c>
      <c r="O142" s="356" t="str">
        <f t="shared" si="182"/>
        <v/>
      </c>
      <c r="P142" s="356">
        <f t="shared" si="182"/>
        <v>6</v>
      </c>
      <c r="Q142" s="356" t="str">
        <f t="shared" si="182"/>
        <v/>
      </c>
      <c r="R142" s="356">
        <f t="shared" si="182"/>
        <v>10</v>
      </c>
      <c r="S142" s="356" t="str">
        <f t="shared" si="182"/>
        <v/>
      </c>
      <c r="T142" s="356">
        <f t="shared" si="182"/>
        <v>4</v>
      </c>
      <c r="U142" s="356" t="str">
        <f t="shared" si="182"/>
        <v/>
      </c>
      <c r="V142" s="357"/>
      <c r="W142" s="357"/>
      <c r="AA142" s="88" t="s">
        <v>1797</v>
      </c>
      <c r="AB142" s="89" t="s">
        <v>1798</v>
      </c>
      <c r="AC142" s="370">
        <f>VLOOKUP($AA122,Schlüssel!$A$5:$K$14,3)</f>
        <v>9</v>
      </c>
      <c r="AD142" s="371"/>
      <c r="AE142" s="370">
        <f>VLOOKUP($AA122,Schlüssel!$A$5:$K$14,4)</f>
        <v>8</v>
      </c>
      <c r="AF142" s="371"/>
      <c r="AG142" s="370">
        <f>VLOOKUP($AA122,Schlüssel!$A$5:$K$14,5)</f>
        <v>3</v>
      </c>
      <c r="AH142" s="371"/>
      <c r="AI142" s="370">
        <f>VLOOKUP($AA122,Schlüssel!$A$5:$K$14,6)</f>
        <v>1</v>
      </c>
      <c r="AJ142" s="371"/>
      <c r="AK142" s="370">
        <f>VLOOKUP($AA122,Schlüssel!$A$5:$K$14,7)</f>
        <v>7</v>
      </c>
      <c r="AL142" s="371"/>
      <c r="AM142" s="370">
        <f>VLOOKUP($AA122,Schlüssel!$A$5:$K$14,8)</f>
        <v>2</v>
      </c>
      <c r="AN142" s="371"/>
      <c r="AO142" s="370">
        <f>VLOOKUP($AA122,Schlüssel!$A$5:$K$14,9)</f>
        <v>6</v>
      </c>
      <c r="AP142" s="371"/>
      <c r="AQ142" s="370">
        <f>VLOOKUP($AA122,Schlüssel!$A$5:$K$14,10)</f>
        <v>10</v>
      </c>
      <c r="AR142" s="371"/>
      <c r="AS142" s="370">
        <f>VLOOKUP($AA122,Schlüssel!$A$5:$K$14,11)</f>
        <v>4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79"/>
        <v/>
      </c>
      <c r="C143" s="86" t="str">
        <f t="shared" si="180"/>
        <v/>
      </c>
      <c r="D143" s="358" t="str">
        <f t="shared" si="181"/>
        <v>Bowlinghaus Bamberg 1</v>
      </c>
      <c r="E143" s="359" t="str">
        <f t="shared" si="181"/>
        <v/>
      </c>
      <c r="F143" s="358" t="str">
        <f t="shared" si="181"/>
        <v>BC EMAX Unterföhring 2</v>
      </c>
      <c r="G143" s="359" t="str">
        <f t="shared" si="181"/>
        <v/>
      </c>
      <c r="H143" s="358" t="str">
        <f t="shared" si="181"/>
        <v>BK München 3</v>
      </c>
      <c r="I143" s="359" t="str">
        <f t="shared" si="181"/>
        <v/>
      </c>
      <c r="J143" s="358" t="str">
        <f t="shared" si="181"/>
        <v>BC Comet Nürnberg</v>
      </c>
      <c r="K143" s="359" t="str">
        <f t="shared" si="181"/>
        <v/>
      </c>
      <c r="L143" s="358" t="str">
        <f t="shared" si="181"/>
        <v>Schanzer Ingolstadt 1</v>
      </c>
      <c r="M143" s="359" t="str">
        <f t="shared" si="181"/>
        <v/>
      </c>
      <c r="N143" s="358" t="str">
        <f t="shared" si="182"/>
        <v>Bajuwaren München 1</v>
      </c>
      <c r="O143" s="359" t="str">
        <f t="shared" si="182"/>
        <v/>
      </c>
      <c r="P143" s="358" t="str">
        <f t="shared" si="182"/>
        <v>SG Rottendorf 1</v>
      </c>
      <c r="Q143" s="359" t="str">
        <f t="shared" si="182"/>
        <v/>
      </c>
      <c r="R143" s="358" t="str">
        <f t="shared" si="182"/>
        <v>High Roller Rosenheim 1</v>
      </c>
      <c r="S143" s="359" t="str">
        <f t="shared" si="182"/>
        <v/>
      </c>
      <c r="T143" s="358" t="str">
        <f t="shared" si="182"/>
        <v>SG DJK Rimpar</v>
      </c>
      <c r="U143" s="359" t="str">
        <f t="shared" si="182"/>
        <v/>
      </c>
      <c r="V143" s="363"/>
      <c r="W143" s="363"/>
      <c r="AA143" s="90"/>
      <c r="AB143" s="86"/>
      <c r="AC143" s="358" t="str">
        <f>VLOOKUP(AC142,Schlüssel!$A$5:$K$14,2)</f>
        <v>Bowlinghaus Bamberg 1</v>
      </c>
      <c r="AD143" s="359"/>
      <c r="AE143" s="358" t="str">
        <f>VLOOKUP(AE142,Schlüssel!$A$5:$K$14,2)</f>
        <v>BC EMAX Unterföhring 2</v>
      </c>
      <c r="AF143" s="359"/>
      <c r="AG143" s="358" t="str">
        <f>VLOOKUP(AG142,Schlüssel!$A$5:$K$14,2)</f>
        <v>BK München 3</v>
      </c>
      <c r="AH143" s="359"/>
      <c r="AI143" s="358" t="str">
        <f>VLOOKUP(AI142,Schlüssel!$A$5:$K$14,2)</f>
        <v>BC Comet Nürnberg</v>
      </c>
      <c r="AJ143" s="359"/>
      <c r="AK143" s="358" t="str">
        <f>VLOOKUP(AK142,Schlüssel!$A$5:$K$14,2)</f>
        <v>Schanzer Ingolstadt 1</v>
      </c>
      <c r="AL143" s="359"/>
      <c r="AM143" s="358" t="str">
        <f>VLOOKUP(AM142,Schlüssel!$A$5:$K$14,2)</f>
        <v>Bajuwaren München 1</v>
      </c>
      <c r="AN143" s="359"/>
      <c r="AO143" s="358" t="str">
        <f>VLOOKUP(AO142,Schlüssel!$A$5:$K$14,2)</f>
        <v>SG Rottendorf 1</v>
      </c>
      <c r="AP143" s="359"/>
      <c r="AQ143" s="358" t="str">
        <f>VLOOKUP(AQ142,Schlüssel!$A$5:$K$14,2)</f>
        <v>High Roller Rosenheim 1</v>
      </c>
      <c r="AR143" s="359"/>
      <c r="AS143" s="358" t="str">
        <f>VLOOKUP(AS142,Schlüssel!$A$5:$K$14,2)</f>
        <v>SG DJK Rimpar</v>
      </c>
      <c r="AT143" s="359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9"/>
        <v/>
      </c>
      <c r="C144" s="86" t="str">
        <f t="shared" si="180"/>
        <v/>
      </c>
      <c r="D144" s="360" t="str">
        <f t="shared" si="181"/>
        <v/>
      </c>
      <c r="E144" s="360" t="str">
        <f t="shared" si="181"/>
        <v/>
      </c>
      <c r="F144" s="360" t="str">
        <f t="shared" si="181"/>
        <v/>
      </c>
      <c r="G144" s="360" t="str">
        <f t="shared" si="181"/>
        <v/>
      </c>
      <c r="H144" s="360" t="str">
        <f t="shared" si="181"/>
        <v/>
      </c>
      <c r="I144" s="360" t="str">
        <f t="shared" si="181"/>
        <v/>
      </c>
      <c r="J144" s="360" t="str">
        <f t="shared" si="181"/>
        <v/>
      </c>
      <c r="K144" s="360" t="str">
        <f t="shared" si="181"/>
        <v/>
      </c>
      <c r="L144" s="360" t="str">
        <f t="shared" si="181"/>
        <v/>
      </c>
      <c r="M144" s="360" t="str">
        <f t="shared" si="181"/>
        <v/>
      </c>
      <c r="N144" s="360" t="str">
        <f t="shared" si="182"/>
        <v/>
      </c>
      <c r="O144" s="360" t="str">
        <f t="shared" si="182"/>
        <v/>
      </c>
      <c r="P144" s="360" t="str">
        <f t="shared" si="182"/>
        <v/>
      </c>
      <c r="Q144" s="360" t="str">
        <f t="shared" si="182"/>
        <v/>
      </c>
      <c r="R144" s="360" t="str">
        <f t="shared" si="182"/>
        <v/>
      </c>
      <c r="S144" s="360" t="str">
        <f t="shared" si="182"/>
        <v/>
      </c>
      <c r="T144" s="360" t="str">
        <f t="shared" si="182"/>
        <v/>
      </c>
      <c r="U144" s="361" t="str">
        <f t="shared" si="182"/>
        <v/>
      </c>
      <c r="V144" s="298"/>
      <c r="W144" s="298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4" t="str">
        <f t="shared" si="179"/>
        <v>Spieler 1</v>
      </c>
      <c r="C145" s="375" t="str">
        <f t="shared" si="180"/>
        <v/>
      </c>
      <c r="D145" s="362">
        <f>IF(AC145=301,"",AC145)</f>
        <v>211</v>
      </c>
      <c r="E145" s="362" t="str">
        <f>IF(AD145=0,"",AD145)</f>
        <v/>
      </c>
      <c r="F145" s="362">
        <f>IF(AE145=301,"",AE145)</f>
        <v>183</v>
      </c>
      <c r="G145" s="362" t="str">
        <f>IF(AF145=0,"",AF145)</f>
        <v/>
      </c>
      <c r="H145" s="362">
        <f>IF(AG145=301,"",AG145)</f>
        <v>206</v>
      </c>
      <c r="I145" s="362" t="str">
        <f>IF(AH145=0,"",AH145)</f>
        <v/>
      </c>
      <c r="J145" s="362">
        <f>IF(AI145=301,"",AI145)</f>
        <v>232</v>
      </c>
      <c r="K145" s="362" t="str">
        <f>IF(AJ145=0,"",AJ145)</f>
        <v/>
      </c>
      <c r="L145" s="362">
        <f>IF(AK145=301,"",AK145)</f>
        <v>125</v>
      </c>
      <c r="M145" s="362" t="str">
        <f>IF(AL145=0,"",AL145)</f>
        <v/>
      </c>
      <c r="N145" s="362">
        <f>IF(AM145=301,"",AM145)</f>
        <v>216</v>
      </c>
      <c r="O145" s="362" t="str">
        <f>IF(AN145=0,"",AN145)</f>
        <v/>
      </c>
      <c r="P145" s="362">
        <f>IF(AO145=301,"",AO145)</f>
        <v>157</v>
      </c>
      <c r="Q145" s="362" t="str">
        <f>IF(AP145=0,"",AP145)</f>
        <v/>
      </c>
      <c r="R145" s="362">
        <f>IF(AQ145=301,"",AQ145)</f>
        <v>241</v>
      </c>
      <c r="S145" s="362" t="str">
        <f>IF(AR145=0,"",AR145)</f>
        <v/>
      </c>
      <c r="T145" s="362">
        <f>IF(AS145=301,"",AS145)</f>
        <v>188</v>
      </c>
      <c r="U145" s="362" t="str">
        <f>IF(AT145=0,"",AT145)</f>
        <v/>
      </c>
      <c r="V145" s="364"/>
      <c r="W145" s="364"/>
      <c r="AA145" s="91" t="s">
        <v>0</v>
      </c>
      <c r="AB145" s="92"/>
      <c r="AC145" s="368">
        <f>ABS(INDEX(AC:AC,MATCH(AC142,$AA:$AA,0)+5)+INDEX(AC:AC,MATCH(AC142,$AA:$AA,0)+6)+INDEX(AC:AC,MATCH(AC142,$AA:$AA,0)+7))</f>
        <v>211</v>
      </c>
      <c r="AD145" s="369"/>
      <c r="AE145" s="368">
        <f>ABS(INDEX(AE:AE,MATCH(AE142,$AA:$AA,0)+5)+INDEX(AE:AE,MATCH(AE142,$AA:$AA,0)+6)+INDEX(AE:AE,MATCH(AE142,$AA:$AA,0)+7))</f>
        <v>183</v>
      </c>
      <c r="AF145" s="369"/>
      <c r="AG145" s="368">
        <f>ABS(INDEX(AG:AG,MATCH(AG142,$AA:$AA,0)+5)+INDEX(AG:AG,MATCH(AG142,$AA:$AA,0)+6)+INDEX(AG:AG,MATCH(AG142,$AA:$AA,0)+7))</f>
        <v>206</v>
      </c>
      <c r="AH145" s="369"/>
      <c r="AI145" s="368">
        <f>ABS(INDEX(AI:AI,MATCH(AI142,$AA:$AA,0)+5)+INDEX(AI:AI,MATCH(AI142,$AA:$AA,0)+6)+INDEX(AI:AI,MATCH(AI142,$AA:$AA,0)+7))</f>
        <v>232</v>
      </c>
      <c r="AJ145" s="369"/>
      <c r="AK145" s="368">
        <f>ABS(INDEX(AK:AK,MATCH(AK142,$AA:$AA,0)+5)+INDEX(AK:AK,MATCH(AK142,$AA:$AA,0)+6)+INDEX(AK:AK,MATCH(AK142,$AA:$AA,0)+7))</f>
        <v>125</v>
      </c>
      <c r="AL145" s="369"/>
      <c r="AM145" s="368">
        <f>ABS(INDEX(AM:AM,MATCH(AM142,$AA:$AA,0)+5)+INDEX(AM:AM,MATCH(AM142,$AA:$AA,0)+6)+INDEX(AM:AM,MATCH(AM142,$AA:$AA,0)+7))</f>
        <v>216</v>
      </c>
      <c r="AN145" s="369"/>
      <c r="AO145" s="368">
        <f>ABS(INDEX(AO:AO,MATCH(AO142,$AA:$AA,0)+5)+INDEX(AO:AO,MATCH(AO142,$AA:$AA,0)+6)+INDEX(AO:AO,MATCH(AO142,$AA:$AA,0)+7))</f>
        <v>157</v>
      </c>
      <c r="AP145" s="369"/>
      <c r="AQ145" s="368">
        <f>ABS(INDEX(AQ:AQ,MATCH(AQ142,$AA:$AA,0)+5)+INDEX(AQ:AQ,MATCH(AQ142,$AA:$AA,0)+6)+INDEX(AQ:AQ,MATCH(AQ142,$AA:$AA,0)+7))</f>
        <v>241</v>
      </c>
      <c r="AR145" s="369"/>
      <c r="AS145" s="368">
        <f>ABS(INDEX(AS:AS,MATCH(AS142,$AA:$AA,0)+5)+INDEX(AS:AS,MATCH(AS142,$AA:$AA,0)+6)+INDEX(AS:AS,MATCH(AS142,$AA:$AA,0)+7))</f>
        <v>188</v>
      </c>
      <c r="AT145" s="369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4" t="str">
        <f t="shared" si="179"/>
        <v>Spieler 2</v>
      </c>
      <c r="C146" s="375" t="str">
        <f t="shared" si="180"/>
        <v/>
      </c>
      <c r="D146" s="362">
        <f>IF(AC146=301,"",AC146)</f>
        <v>192</v>
      </c>
      <c r="E146" s="362" t="str">
        <f>IF(AD146=0,"",AD146)</f>
        <v/>
      </c>
      <c r="F146" s="362">
        <f>IF(AE146=301,"",AE146)</f>
        <v>236</v>
      </c>
      <c r="G146" s="362" t="str">
        <f>IF(AF146=0,"",AF146)</f>
        <v/>
      </c>
      <c r="H146" s="362">
        <f>IF(AG146=301,"",AG146)</f>
        <v>233</v>
      </c>
      <c r="I146" s="362" t="str">
        <f>IF(AH146=0,"",AH146)</f>
        <v/>
      </c>
      <c r="J146" s="362">
        <f>IF(AI146=301,"",AI146)</f>
        <v>225</v>
      </c>
      <c r="K146" s="362" t="str">
        <f>IF(AJ146=0,"",AJ146)</f>
        <v/>
      </c>
      <c r="L146" s="362">
        <f>IF(AK146=301,"",AK146)</f>
        <v>185</v>
      </c>
      <c r="M146" s="362" t="str">
        <f>IF(AL146=0,"",AL146)</f>
        <v/>
      </c>
      <c r="N146" s="362">
        <f>IF(AM146=301,"",AM146)</f>
        <v>202</v>
      </c>
      <c r="O146" s="362" t="str">
        <f>IF(AN146=0,"",AN146)</f>
        <v/>
      </c>
      <c r="P146" s="362">
        <f>IF(AO146=301,"",AO146)</f>
        <v>199</v>
      </c>
      <c r="Q146" s="362" t="str">
        <f>IF(AP146=0,"",AP146)</f>
        <v/>
      </c>
      <c r="R146" s="362">
        <f>IF(AQ146=301,"",AQ146)</f>
        <v>176</v>
      </c>
      <c r="S146" s="362" t="str">
        <f>IF(AR146=0,"",AR146)</f>
        <v/>
      </c>
      <c r="T146" s="362">
        <f>IF(AS146=301,"",AS146)</f>
        <v>225</v>
      </c>
      <c r="U146" s="362" t="str">
        <f>IF(AT146=0,"",AT146)</f>
        <v/>
      </c>
      <c r="V146" s="364"/>
      <c r="W146" s="364"/>
      <c r="AA146" s="91" t="s">
        <v>2</v>
      </c>
      <c r="AB146" s="92"/>
      <c r="AC146" s="366">
        <f>ABS(INDEX(AC:AC,MATCH(AC142,$AA:$AA,0)+8)+INDEX(AC:AC,MATCH(AC142,$AA:$AA,0)+9)+INDEX(AC:AC,MATCH(AC142,$AA:$AA,0)+10))</f>
        <v>192</v>
      </c>
      <c r="AD146" s="367"/>
      <c r="AE146" s="366">
        <f>ABS(INDEX(AE:AE,MATCH(AE142,$AA:$AA,0)+8)+INDEX(AE:AE,MATCH(AE142,$AA:$AA,0)+9)+INDEX(AE:AE,MATCH(AE142,$AA:$AA,0)+10))</f>
        <v>236</v>
      </c>
      <c r="AF146" s="367"/>
      <c r="AG146" s="366">
        <f>ABS(INDEX(AG:AG,MATCH(AG142,$AA:$AA,0)+8)+INDEX(AG:AG,MATCH(AG142,$AA:$AA,0)+9)+INDEX(AG:AG,MATCH(AG142,$AA:$AA,0)+10))</f>
        <v>233</v>
      </c>
      <c r="AH146" s="367"/>
      <c r="AI146" s="366">
        <f>ABS(INDEX(AI:AI,MATCH(AI142,$AA:$AA,0)+8)+INDEX(AI:AI,MATCH(AI142,$AA:$AA,0)+9)+INDEX(AI:AI,MATCH(AI142,$AA:$AA,0)+10))</f>
        <v>225</v>
      </c>
      <c r="AJ146" s="367"/>
      <c r="AK146" s="366">
        <f>ABS(INDEX(AK:AK,MATCH(AK142,$AA:$AA,0)+8)+INDEX(AK:AK,MATCH(AK142,$AA:$AA,0)+9)+INDEX(AK:AK,MATCH(AK142,$AA:$AA,0)+10))</f>
        <v>185</v>
      </c>
      <c r="AL146" s="367"/>
      <c r="AM146" s="366">
        <f>ABS(INDEX(AM:AM,MATCH(AM142,$AA:$AA,0)+8)+INDEX(AM:AM,MATCH(AM142,$AA:$AA,0)+9)+INDEX(AM:AM,MATCH(AM142,$AA:$AA,0)+10))</f>
        <v>202</v>
      </c>
      <c r="AN146" s="367"/>
      <c r="AO146" s="366">
        <f>ABS(INDEX(AO:AO,MATCH(AO142,$AA:$AA,0)+8)+INDEX(AO:AO,MATCH(AO142,$AA:$AA,0)+9)+INDEX(AO:AO,MATCH(AO142,$AA:$AA,0)+10))</f>
        <v>199</v>
      </c>
      <c r="AP146" s="367"/>
      <c r="AQ146" s="366">
        <f>ABS(INDEX(AQ:AQ,MATCH(AQ142,$AA:$AA,0)+8)+INDEX(AQ:AQ,MATCH(AQ142,$AA:$AA,0)+9)+INDEX(AQ:AQ,MATCH(AQ142,$AA:$AA,0)+10))</f>
        <v>176</v>
      </c>
      <c r="AR146" s="367"/>
      <c r="AS146" s="366">
        <f>ABS(INDEX(AS:AS,MATCH(AS142,$AA:$AA,0)+8)+INDEX(AS:AS,MATCH(AS142,$AA:$AA,0)+9)+INDEX(AS:AS,MATCH(AS142,$AA:$AA,0)+10))</f>
        <v>225</v>
      </c>
      <c r="AT146" s="367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4" t="str">
        <f t="shared" si="179"/>
        <v>Spieler 3</v>
      </c>
      <c r="C147" s="375" t="str">
        <f t="shared" si="180"/>
        <v/>
      </c>
      <c r="D147" s="362">
        <f>IF(AC147=301,"",AC147)</f>
        <v>181</v>
      </c>
      <c r="E147" s="362" t="str">
        <f>IF(AD147=0,"",AD147)</f>
        <v/>
      </c>
      <c r="F147" s="362">
        <f>IF(AE147=301,"",AE147)</f>
        <v>238</v>
      </c>
      <c r="G147" s="362" t="str">
        <f>IF(AF147=0,"",AF147)</f>
        <v/>
      </c>
      <c r="H147" s="362">
        <f>IF(AG147=301,"",AG147)</f>
        <v>183</v>
      </c>
      <c r="I147" s="362" t="str">
        <f>IF(AH147=0,"",AH147)</f>
        <v/>
      </c>
      <c r="J147" s="362">
        <f>IF(AI147=301,"",AI147)</f>
        <v>198</v>
      </c>
      <c r="K147" s="362" t="str">
        <f>IF(AJ147=0,"",AJ147)</f>
        <v/>
      </c>
      <c r="L147" s="362">
        <f>IF(AK147=301,"",AK147)</f>
        <v>200</v>
      </c>
      <c r="M147" s="362" t="str">
        <f>IF(AL147=0,"",AL147)</f>
        <v/>
      </c>
      <c r="N147" s="362">
        <f>IF(AM147=301,"",AM147)</f>
        <v>192</v>
      </c>
      <c r="O147" s="362" t="str">
        <f>IF(AN147=0,"",AN147)</f>
        <v/>
      </c>
      <c r="P147" s="362">
        <f>IF(AO147=301,"",AO147)</f>
        <v>157</v>
      </c>
      <c r="Q147" s="362" t="str">
        <f>IF(AP147=0,"",AP147)</f>
        <v/>
      </c>
      <c r="R147" s="362">
        <f>IF(AQ147=301,"",AQ147)</f>
        <v>172</v>
      </c>
      <c r="S147" s="362" t="str">
        <f>IF(AR147=0,"",AR147)</f>
        <v/>
      </c>
      <c r="T147" s="362">
        <f>IF(AS147=301,"",AS147)</f>
        <v>191</v>
      </c>
      <c r="U147" s="362" t="str">
        <f>IF(AT147=0,"",AT147)</f>
        <v/>
      </c>
      <c r="V147" s="364"/>
      <c r="W147" s="364"/>
      <c r="AA147" s="91" t="s">
        <v>3</v>
      </c>
      <c r="AB147" s="92"/>
      <c r="AC147" s="366">
        <f>ABS(INDEX(AC:AC,MATCH(AC142,$AA:$AA,0)+11)+INDEX(AC:AC,MATCH(AC142,$AA:$AA,0)+12)+INDEX(AC:AC,MATCH(AC142,$AA:$AA,0)+13))</f>
        <v>181</v>
      </c>
      <c r="AD147" s="367"/>
      <c r="AE147" s="366">
        <f>ABS(INDEX(AE:AE,MATCH(AE142,$AA:$AA,0)+11)+INDEX(AE:AE,MATCH(AE142,$AA:$AA,0)+12)+INDEX(AE:AE,MATCH(AE142,$AA:$AA,0)+13))</f>
        <v>238</v>
      </c>
      <c r="AF147" s="367"/>
      <c r="AG147" s="366">
        <f>ABS(INDEX(AG:AG,MATCH(AG142,$AA:$AA,0)+11)+INDEX(AG:AG,MATCH(AG142,$AA:$AA,0)+12)+INDEX(AG:AG,MATCH(AG142,$AA:$AA,0)+13))</f>
        <v>183</v>
      </c>
      <c r="AH147" s="367"/>
      <c r="AI147" s="366">
        <f>ABS(INDEX(AI:AI,MATCH(AI142,$AA:$AA,0)+11)+INDEX(AI:AI,MATCH(AI142,$AA:$AA,0)+12)+INDEX(AI:AI,MATCH(AI142,$AA:$AA,0)+13))</f>
        <v>198</v>
      </c>
      <c r="AJ147" s="367"/>
      <c r="AK147" s="366">
        <f>ABS(INDEX(AK:AK,MATCH(AK142,$AA:$AA,0)+11)+INDEX(AK:AK,MATCH(AK142,$AA:$AA,0)+12)+INDEX(AK:AK,MATCH(AK142,$AA:$AA,0)+13))</f>
        <v>200</v>
      </c>
      <c r="AL147" s="367"/>
      <c r="AM147" s="366">
        <f>ABS(INDEX(AM:AM,MATCH(AM142,$AA:$AA,0)+11)+INDEX(AM:AM,MATCH(AM142,$AA:$AA,0)+12)+INDEX(AM:AM,MATCH(AM142,$AA:$AA,0)+13))</f>
        <v>192</v>
      </c>
      <c r="AN147" s="367"/>
      <c r="AO147" s="366">
        <f>ABS(INDEX(AO:AO,MATCH(AO142,$AA:$AA,0)+11)+INDEX(AO:AO,MATCH(AO142,$AA:$AA,0)+12)+INDEX(AO:AO,MATCH(AO142,$AA:$AA,0)+13))</f>
        <v>157</v>
      </c>
      <c r="AP147" s="367"/>
      <c r="AQ147" s="366">
        <f>ABS(INDEX(AQ:AQ,MATCH(AQ142,$AA:$AA,0)+11)+INDEX(AQ:AQ,MATCH(AQ142,$AA:$AA,0)+12)+INDEX(AQ:AQ,MATCH(AQ142,$AA:$AA,0)+13))</f>
        <v>172</v>
      </c>
      <c r="AR147" s="367"/>
      <c r="AS147" s="366">
        <f>ABS(INDEX(AS:AS,MATCH(AS142,$AA:$AA,0)+11)+INDEX(AS:AS,MATCH(AS142,$AA:$AA,0)+12)+INDEX(AS:AS,MATCH(AS142,$AA:$AA,0)+13))</f>
        <v>191</v>
      </c>
      <c r="AT147" s="367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4" t="str">
        <f t="shared" si="179"/>
        <v>Spieler 4</v>
      </c>
      <c r="C148" s="375" t="str">
        <f t="shared" si="180"/>
        <v/>
      </c>
      <c r="D148" s="362">
        <f>IF(AC148=301,"",AC148)</f>
        <v>148</v>
      </c>
      <c r="E148" s="362" t="str">
        <f>IF(AD148=0,"",AD148)</f>
        <v/>
      </c>
      <c r="F148" s="362">
        <f>IF(AE148=301,"",AE148)</f>
        <v>189</v>
      </c>
      <c r="G148" s="362" t="str">
        <f>IF(AF148=0,"",AF148)</f>
        <v/>
      </c>
      <c r="H148" s="362">
        <f>IF(AG148=301,"",AG148)</f>
        <v>236</v>
      </c>
      <c r="I148" s="362" t="str">
        <f>IF(AH148=0,"",AH148)</f>
        <v/>
      </c>
      <c r="J148" s="362">
        <f>IF(AI148=301,"",AI148)</f>
        <v>194</v>
      </c>
      <c r="K148" s="362" t="str">
        <f>IF(AJ148=0,"",AJ148)</f>
        <v/>
      </c>
      <c r="L148" s="362">
        <f>IF(AK148=301,"",AK148)</f>
        <v>170</v>
      </c>
      <c r="M148" s="362" t="str">
        <f>IF(AL148=0,"",AL148)</f>
        <v/>
      </c>
      <c r="N148" s="362">
        <f>IF(AM148=301,"",AM148)</f>
        <v>225</v>
      </c>
      <c r="O148" s="362" t="str">
        <f>IF(AN148=0,"",AN148)</f>
        <v/>
      </c>
      <c r="P148" s="362">
        <f>IF(AO148=301,"",AO148)</f>
        <v>156</v>
      </c>
      <c r="Q148" s="362" t="str">
        <f>IF(AP148=0,"",AP148)</f>
        <v/>
      </c>
      <c r="R148" s="362">
        <f>IF(AQ148=301,"",AQ148)</f>
        <v>159</v>
      </c>
      <c r="S148" s="362" t="str">
        <f>IF(AR148=0,"",AR148)</f>
        <v/>
      </c>
      <c r="T148" s="362">
        <f>IF(AS148=301,"",AS148)</f>
        <v>201</v>
      </c>
      <c r="U148" s="362" t="str">
        <f>IF(AT148=0,"",AT148)</f>
        <v/>
      </c>
      <c r="V148" s="364"/>
      <c r="W148" s="364"/>
      <c r="AA148" s="91" t="s">
        <v>11</v>
      </c>
      <c r="AB148" s="92"/>
      <c r="AC148" s="366">
        <f>ABS(INDEX(AC:AC,MATCH(AC142,$AA:$AA,0)+14)+INDEX(AC:AC,MATCH(AC142,$AA:$AA,0)+15)+INDEX(AC:AC,MATCH(AC142,$AA:$AA,0)+16))</f>
        <v>148</v>
      </c>
      <c r="AD148" s="367"/>
      <c r="AE148" s="366">
        <f>ABS(INDEX(AE:AE,MATCH(AE142,$AA:$AA,0)+14)+INDEX(AE:AE,MATCH(AE142,$AA:$AA,0)+15)+INDEX(AE:AE,MATCH(AE142,$AA:$AA,0)+16))</f>
        <v>189</v>
      </c>
      <c r="AF148" s="367"/>
      <c r="AG148" s="366">
        <f>ABS(INDEX(AG:AG,MATCH(AG142,$AA:$AA,0)+14)+INDEX(AG:AG,MATCH(AG142,$AA:$AA,0)+15)+INDEX(AG:AG,MATCH(AG142,$AA:$AA,0)+16))</f>
        <v>236</v>
      </c>
      <c r="AH148" s="367"/>
      <c r="AI148" s="366">
        <f>ABS(INDEX(AI:AI,MATCH(AI142,$AA:$AA,0)+14)+INDEX(AI:AI,MATCH(AI142,$AA:$AA,0)+15)+INDEX(AI:AI,MATCH(AI142,$AA:$AA,0)+16))</f>
        <v>194</v>
      </c>
      <c r="AJ148" s="367"/>
      <c r="AK148" s="366">
        <f>ABS(INDEX(AK:AK,MATCH(AK142,$AA:$AA,0)+14)+INDEX(AK:AK,MATCH(AK142,$AA:$AA,0)+15)+INDEX(AK:AK,MATCH(AK142,$AA:$AA,0)+16))</f>
        <v>170</v>
      </c>
      <c r="AL148" s="367"/>
      <c r="AM148" s="366">
        <f>ABS(INDEX(AM:AM,MATCH(AM142,$AA:$AA,0)+14)+INDEX(AM:AM,MATCH(AM142,$AA:$AA,0)+15)+INDEX(AM:AM,MATCH(AM142,$AA:$AA,0)+16))</f>
        <v>225</v>
      </c>
      <c r="AN148" s="367"/>
      <c r="AO148" s="366">
        <f>ABS(INDEX(AO:AO,MATCH(AO142,$AA:$AA,0)+14)+INDEX(AO:AO,MATCH(AO142,$AA:$AA,0)+15)+INDEX(AO:AO,MATCH(AO142,$AA:$AA,0)+16))</f>
        <v>156</v>
      </c>
      <c r="AP148" s="367"/>
      <c r="AQ148" s="366">
        <f>ABS(INDEX(AQ:AQ,MATCH(AQ142,$AA:$AA,0)+14)+INDEX(AQ:AQ,MATCH(AQ142,$AA:$AA,0)+15)+INDEX(AQ:AQ,MATCH(AQ142,$AA:$AA,0)+16))</f>
        <v>159</v>
      </c>
      <c r="AR148" s="367"/>
      <c r="AS148" s="366">
        <f>ABS(INDEX(AS:AS,MATCH(AS142,$AA:$AA,0)+14)+INDEX(AS:AS,MATCH(AS142,$AA:$AA,0)+15)+INDEX(AS:AS,MATCH(AS142,$AA:$AA,0)+16))</f>
        <v>201</v>
      </c>
      <c r="AT148" s="367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6" t="str">
        <f t="shared" si="179"/>
        <v>Gesamt</v>
      </c>
      <c r="C149" s="347" t="str">
        <f t="shared" si="180"/>
        <v/>
      </c>
      <c r="D149" s="365">
        <f>IF(AC149=1505,"",AC149)</f>
        <v>732</v>
      </c>
      <c r="E149" s="365" t="str">
        <f>IF(AD149=0,"",AD149)</f>
        <v/>
      </c>
      <c r="F149" s="365">
        <f>IF(AE149=1505,"",AE149)</f>
        <v>846</v>
      </c>
      <c r="G149" s="365" t="str">
        <f>IF(AF149=0,"",AF149)</f>
        <v/>
      </c>
      <c r="H149" s="365">
        <f>IF(AG149=1505,"",AG149)</f>
        <v>858</v>
      </c>
      <c r="I149" s="365" t="str">
        <f>IF(AH149=0,"",AH149)</f>
        <v/>
      </c>
      <c r="J149" s="365">
        <f>IF(AI149=1505,"",AI149)</f>
        <v>849</v>
      </c>
      <c r="K149" s="365" t="str">
        <f>IF(AJ149=0,"",AJ149)</f>
        <v/>
      </c>
      <c r="L149" s="365">
        <f>IF(AK149=1505,"",AK149)</f>
        <v>680</v>
      </c>
      <c r="M149" s="365" t="str">
        <f>IF(AL149=0,"",AL149)</f>
        <v/>
      </c>
      <c r="N149" s="365">
        <f>IF(AM149=1505,"",AM149)</f>
        <v>835</v>
      </c>
      <c r="O149" s="365" t="str">
        <f>IF(AN149=0,"",AN149)</f>
        <v/>
      </c>
      <c r="P149" s="365">
        <f>IF(AO149=1505,"",AO149)</f>
        <v>669</v>
      </c>
      <c r="Q149" s="365" t="str">
        <f>IF(AP149=0,"",AP149)</f>
        <v/>
      </c>
      <c r="R149" s="365">
        <f>IF(AQ149=1505,"",AQ149)</f>
        <v>748</v>
      </c>
      <c r="S149" s="365" t="str">
        <f>IF(AR149=0,"",AR149)</f>
        <v/>
      </c>
      <c r="T149" s="365">
        <f>IF(AS149=1505,"",AS149)</f>
        <v>805</v>
      </c>
      <c r="U149" s="365" t="str">
        <f>IF(AT149=0,"",AT149)</f>
        <v/>
      </c>
      <c r="V149" s="301"/>
      <c r="W149" s="301"/>
      <c r="AA149" s="93" t="s">
        <v>1799</v>
      </c>
      <c r="AB149" s="94"/>
      <c r="AC149" s="346">
        <f>SUM(AC145:AC148)</f>
        <v>732</v>
      </c>
      <c r="AD149" s="347"/>
      <c r="AE149" s="346">
        <f>SUM(AE145:AE148)</f>
        <v>846</v>
      </c>
      <c r="AF149" s="347"/>
      <c r="AG149" s="346">
        <f>SUM(AG145:AG148)</f>
        <v>858</v>
      </c>
      <c r="AH149" s="347"/>
      <c r="AI149" s="346">
        <f>SUM(AI145:AI148)</f>
        <v>849</v>
      </c>
      <c r="AJ149" s="347"/>
      <c r="AK149" s="346">
        <f>SUM(AK145:AK148)</f>
        <v>680</v>
      </c>
      <c r="AL149" s="347"/>
      <c r="AM149" s="346">
        <f>SUM(AM145:AM148)</f>
        <v>835</v>
      </c>
      <c r="AN149" s="347"/>
      <c r="AO149" s="346">
        <f>SUM(AO145:AO148)</f>
        <v>669</v>
      </c>
      <c r="AP149" s="347"/>
      <c r="AQ149" s="346">
        <f>SUM(AQ145:AQ148)</f>
        <v>748</v>
      </c>
      <c r="AR149" s="347"/>
      <c r="AS149" s="346">
        <f>SUM(AS145:AS148)</f>
        <v>805</v>
      </c>
      <c r="AT149" s="347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5" t="str">
        <f>AE151</f>
        <v>Bayernliga Herren</v>
      </c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48"/>
      <c r="S151" s="49" t="s">
        <v>1794</v>
      </c>
      <c r="T151" s="50"/>
      <c r="U151" s="341" t="str">
        <f>AT151</f>
        <v>12.10./13.10.</v>
      </c>
      <c r="V151" s="342"/>
      <c r="W151" s="343"/>
      <c r="X151" s="372"/>
      <c r="Y151" s="373"/>
      <c r="Z151" s="373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41" t="str">
        <f>VLOOKUP(AS152,Spielorte!$A$1:$C$6,2)</f>
        <v>12.10./13.10.</v>
      </c>
      <c r="AU151" s="342"/>
      <c r="AV151" s="34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4" t="str">
        <f>AE152</f>
        <v>Unterföhring Dreambowl Palace</v>
      </c>
      <c r="G152" s="344"/>
      <c r="H152" s="344"/>
      <c r="I152" s="344"/>
      <c r="J152" s="344"/>
      <c r="K152" s="344"/>
      <c r="L152" s="344"/>
      <c r="M152" s="344"/>
      <c r="N152" s="344"/>
      <c r="O152" s="344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6" t="s">
        <v>1800</v>
      </c>
      <c r="E155" s="347"/>
      <c r="F155" s="346" t="s">
        <v>1801</v>
      </c>
      <c r="G155" s="347"/>
      <c r="H155" s="346" t="s">
        <v>1802</v>
      </c>
      <c r="I155" s="347"/>
      <c r="J155" s="346" t="s">
        <v>1803</v>
      </c>
      <c r="K155" s="347"/>
      <c r="L155" s="346" t="s">
        <v>1804</v>
      </c>
      <c r="M155" s="347"/>
      <c r="N155" s="346" t="s">
        <v>1805</v>
      </c>
      <c r="O155" s="347"/>
      <c r="P155" s="346" t="s">
        <v>1806</v>
      </c>
      <c r="Q155" s="347"/>
      <c r="R155" s="346" t="s">
        <v>1807</v>
      </c>
      <c r="S155" s="347"/>
      <c r="T155" s="346" t="s">
        <v>1808</v>
      </c>
      <c r="U155" s="347"/>
      <c r="V155" s="354" t="s">
        <v>1799</v>
      </c>
      <c r="W155" s="355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6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211</v>
      </c>
      <c r="E157" s="348">
        <f>IF(AD157="","",AD157)</f>
        <v>0</v>
      </c>
      <c r="F157" s="75">
        <f t="shared" ref="F157:F170" si="183">IF(AE157=0,"",AE157)</f>
        <v>179</v>
      </c>
      <c r="G157" s="348">
        <f>IF(AF157="","",AF157)</f>
        <v>1</v>
      </c>
      <c r="H157" s="75">
        <f t="shared" ref="H157:H170" si="184">IF(AG157=0,"",AG157)</f>
        <v>158</v>
      </c>
      <c r="I157" s="348">
        <f>IF(AH157="","",AH157)</f>
        <v>0</v>
      </c>
      <c r="J157" s="75">
        <f t="shared" ref="J157:J170" si="185">IF(AI157=0,"",AI157)</f>
        <v>242</v>
      </c>
      <c r="K157" s="348">
        <f>IF(AJ157="","",AJ157)</f>
        <v>1</v>
      </c>
      <c r="L157" s="75">
        <f t="shared" ref="L157:L170" si="186">IF(AK157=0,"",AK157)</f>
        <v>164</v>
      </c>
      <c r="M157" s="348">
        <f>IF(AL157="","",AL157)</f>
        <v>0</v>
      </c>
      <c r="N157" s="75">
        <f>IF(AM157=0,"",AM157)</f>
        <v>239</v>
      </c>
      <c r="O157" s="348">
        <f>IF(AN157="","",AN157)</f>
        <v>1</v>
      </c>
      <c r="P157" s="75">
        <f t="shared" ref="P157:P170" si="187">IF(AO157=0,"",AO157)</f>
        <v>157</v>
      </c>
      <c r="Q157" s="348">
        <f>IF(AP157="","",AP157)</f>
        <v>0</v>
      </c>
      <c r="R157" s="75">
        <f t="shared" ref="R157:R170" si="188">IF(AQ157=0,"",AQ157)</f>
        <v>204</v>
      </c>
      <c r="S157" s="348">
        <f>IF(AR157="","",AR157)</f>
        <v>1</v>
      </c>
      <c r="T157" s="75">
        <f t="shared" ref="T157:T170" si="189">IF(AS157=0,"",AS157)</f>
        <v>236</v>
      </c>
      <c r="U157" s="348">
        <f>IF(AT157="","",AT157)</f>
        <v>1</v>
      </c>
      <c r="V157" s="75">
        <f t="shared" ref="V157:V170" si="190">IF(AU157=0,"",AU157)</f>
        <v>1790</v>
      </c>
      <c r="W157" s="348">
        <f>IF(AV157="","",AV157)</f>
        <v>5</v>
      </c>
      <c r="Z157" s="351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211</v>
      </c>
      <c r="AD157" s="109">
        <f>IF(SUM(AC157:AC159)+AC175=0,0,IF(SUM(ABS(AC157),ABS(AC158),ABS(AC159))=AC175,0.5,IF(SUM(ABS(AC157),ABS(AC158),ABS(AC159))&gt;AC175,1,0)))</f>
        <v>0</v>
      </c>
      <c r="AE157" s="185">
        <v>179</v>
      </c>
      <c r="AF157" s="109">
        <f>IF(SUM(AE157:AE159)+AE175=0,0,IF(SUM(ABS(AE157),ABS(AE158),ABS(AE159))=AE175,0.5,IF(SUM(ABS(AE157),ABS(AE158),ABS(AE159))&gt;AE175,1,0)))</f>
        <v>1</v>
      </c>
      <c r="AG157" s="185">
        <v>158</v>
      </c>
      <c r="AH157" s="109">
        <f>IF(SUM(AG157:AG159)+AG175=0,0,IF(SUM(ABS(AG157),ABS(AG158),ABS(AG159))=AG175,0.5,IF(SUM(ABS(AG157),ABS(AG158),ABS(AG159))&gt;AG175,1,0)))</f>
        <v>0</v>
      </c>
      <c r="AI157" s="185">
        <v>242</v>
      </c>
      <c r="AJ157" s="109">
        <f>IF(SUM(AI157:AI159)+AI175=0,0,IF(SUM(ABS(AI157),ABS(AI158),ABS(AI159))=AI175,0.5,IF(SUM(ABS(AI157),ABS(AI158),ABS(AI159))&gt;AI175,1,0)))</f>
        <v>1</v>
      </c>
      <c r="AK157" s="185">
        <v>164</v>
      </c>
      <c r="AL157" s="109">
        <f>IF(SUM(AK157:AK159)+AK175=0,0,IF(SUM(ABS(AK157),ABS(AK158),ABS(AK159))=AK175,0.5,IF(SUM(ABS(AK157),ABS(AK158),ABS(AK159))&gt;AK175,1,0)))</f>
        <v>0</v>
      </c>
      <c r="AM157" s="185">
        <v>239</v>
      </c>
      <c r="AN157" s="109">
        <f>IF(SUM(AM157:AM159)+AM175=0,0,IF(SUM(ABS(AM157),ABS(AM158),ABS(AM159))=AM175,0.5,IF(SUM(ABS(AM157),ABS(AM158),ABS(AM159))&gt;AM175,1,0)))</f>
        <v>1</v>
      </c>
      <c r="AO157" s="185">
        <v>157</v>
      </c>
      <c r="AP157" s="109">
        <f>IF(SUM(AO157:AO159)+AO175=0,0,IF(SUM(ABS(AO157),ABS(AO158),ABS(AO159))=AO175,0.5,IF(SUM(ABS(AO157),ABS(AO158),ABS(AO159))&gt;AO175,1,0)))</f>
        <v>0</v>
      </c>
      <c r="AQ157" s="185">
        <v>204</v>
      </c>
      <c r="AR157" s="109">
        <f>IF(SUM(AQ157:AQ159)+AQ175=0,0,IF(SUM(ABS(AQ157),ABS(AQ158),ABS(AQ159))=AQ175,0.5,IF(SUM(ABS(AQ157),ABS(AQ158),ABS(AQ159))&gt;AQ175,1,0)))</f>
        <v>1</v>
      </c>
      <c r="AS157" s="185">
        <v>236</v>
      </c>
      <c r="AT157" s="109">
        <f>IF(SUM(AS157:AS159)+AS175=0,0,IF(SUM(ABS(AS157),ABS(AS158),ABS(AS159))=AS175,0.5,IF(SUM(ABS(AS157),ABS(AS158),ABS(AS159))&gt;AS175,1,0)))</f>
        <v>1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1790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1790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211</v>
      </c>
      <c r="BI157" s="215">
        <f t="shared" ref="BI157:BI168" si="193">IF(AE157=0,"",AE157)</f>
        <v>179</v>
      </c>
      <c r="BJ157" s="215">
        <f t="shared" ref="BJ157:BJ168" si="194">IF(AG157=0,"",AG157)</f>
        <v>158</v>
      </c>
      <c r="BK157" s="215">
        <f t="shared" ref="BK157:BK168" si="195">IF(AI157=0,"",AI157)</f>
        <v>242</v>
      </c>
      <c r="BL157" s="215">
        <f t="shared" ref="BL157:BL168" si="196">IF(AK157=0,"",AK157)</f>
        <v>164</v>
      </c>
      <c r="BM157" s="215">
        <f t="shared" ref="BM157:BM168" si="197">IF(AM157=0,"",AM157)</f>
        <v>239</v>
      </c>
      <c r="BN157" s="215">
        <f t="shared" ref="BN157:BN168" si="198">IF(AO157=0,"",AO157)</f>
        <v>157</v>
      </c>
      <c r="BO157" s="215">
        <f t="shared" ref="BO157:BO168" si="199">IF(AQ157=0,"",AQ157)</f>
        <v>204</v>
      </c>
      <c r="BP157" s="215">
        <f t="shared" ref="BP157:BP168" si="200">IF(AS157=0,"",AS157)</f>
        <v>236</v>
      </c>
      <c r="BQ157" s="216"/>
      <c r="BR157" s="214"/>
      <c r="BS157" s="215">
        <f>MAX(BH157:BP157)</f>
        <v>242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1790</v>
      </c>
      <c r="BX157" s="215">
        <f>IF(COUNTIF(BH157:BP157,"&gt;0")&lt;Spielorte!$A$23,0,BE157/Spielorte!$A$23)</f>
        <v>198.88888888888889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00000000000001" customHeight="1" x14ac:dyDescent="0.25">
      <c r="A158" s="377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49"/>
      <c r="F158" s="78" t="str">
        <f t="shared" si="183"/>
        <v/>
      </c>
      <c r="G158" s="349"/>
      <c r="H158" s="78" t="str">
        <f t="shared" si="184"/>
        <v/>
      </c>
      <c r="I158" s="349"/>
      <c r="J158" s="78" t="str">
        <f t="shared" si="185"/>
        <v/>
      </c>
      <c r="K158" s="349"/>
      <c r="L158" s="78" t="str">
        <f t="shared" si="186"/>
        <v/>
      </c>
      <c r="M158" s="349"/>
      <c r="N158" s="78" t="str">
        <f t="shared" ref="N158:N170" si="205">IF(AM158=0,"",AM158)</f>
        <v/>
      </c>
      <c r="O158" s="349"/>
      <c r="P158" s="78" t="str">
        <f t="shared" si="187"/>
        <v/>
      </c>
      <c r="Q158" s="349"/>
      <c r="R158" s="78" t="str">
        <f t="shared" si="188"/>
        <v/>
      </c>
      <c r="S158" s="349"/>
      <c r="T158" s="78" t="str">
        <f t="shared" si="189"/>
        <v/>
      </c>
      <c r="U158" s="349"/>
      <c r="V158" s="78" t="str">
        <f t="shared" si="190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SG Rottendorf 1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00000000000001" customHeight="1" thickBot="1" x14ac:dyDescent="0.3">
      <c r="A159" s="378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50"/>
      <c r="F159" s="69" t="str">
        <f t="shared" si="183"/>
        <v/>
      </c>
      <c r="G159" s="350"/>
      <c r="H159" s="69" t="str">
        <f t="shared" si="184"/>
        <v/>
      </c>
      <c r="I159" s="350"/>
      <c r="J159" s="69" t="str">
        <f t="shared" si="185"/>
        <v/>
      </c>
      <c r="K159" s="350"/>
      <c r="L159" s="69" t="str">
        <f t="shared" si="186"/>
        <v/>
      </c>
      <c r="M159" s="350"/>
      <c r="N159" s="69" t="str">
        <f t="shared" si="205"/>
        <v/>
      </c>
      <c r="O159" s="350"/>
      <c r="P159" s="69" t="str">
        <f t="shared" si="187"/>
        <v/>
      </c>
      <c r="Q159" s="350"/>
      <c r="R159" s="69" t="str">
        <f t="shared" si="188"/>
        <v/>
      </c>
      <c r="S159" s="350"/>
      <c r="T159" s="69" t="str">
        <f t="shared" si="189"/>
        <v/>
      </c>
      <c r="U159" s="350"/>
      <c r="V159" s="69" t="str">
        <f t="shared" si="190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SG Rottendorf 1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00000000000001" customHeight="1" x14ac:dyDescent="0.25">
      <c r="A160" s="376" t="s">
        <v>2</v>
      </c>
      <c r="B160" s="73" t="str">
        <f t="shared" si="202"/>
        <v>Reichardt, Stefan</v>
      </c>
      <c r="C160" s="74">
        <f t="shared" si="203"/>
        <v>16945</v>
      </c>
      <c r="D160" s="75">
        <f t="shared" si="204"/>
        <v>174</v>
      </c>
      <c r="E160" s="348">
        <f>IF(AD160="","",AD160)</f>
        <v>0</v>
      </c>
      <c r="F160" s="75">
        <f t="shared" si="183"/>
        <v>161</v>
      </c>
      <c r="G160" s="348">
        <f>IF(AF160="","",AF160)</f>
        <v>1</v>
      </c>
      <c r="H160" s="75">
        <f t="shared" si="184"/>
        <v>170</v>
      </c>
      <c r="I160" s="348">
        <f>IF(AH160="","",AH160)</f>
        <v>0</v>
      </c>
      <c r="J160" s="75">
        <f t="shared" si="185"/>
        <v>241</v>
      </c>
      <c r="K160" s="348">
        <f>IF(AJ160="","",AJ160)</f>
        <v>1</v>
      </c>
      <c r="L160" s="75">
        <f t="shared" si="186"/>
        <v>211</v>
      </c>
      <c r="M160" s="348">
        <f>IF(AL160="","",AL160)</f>
        <v>1</v>
      </c>
      <c r="N160" s="75">
        <f t="shared" si="205"/>
        <v>213</v>
      </c>
      <c r="O160" s="348">
        <f>IF(AN160="","",AN160)</f>
        <v>1</v>
      </c>
      <c r="P160" s="75">
        <f t="shared" si="187"/>
        <v>199</v>
      </c>
      <c r="Q160" s="348">
        <f>IF(AP160="","",AP160)</f>
        <v>1</v>
      </c>
      <c r="R160" s="75">
        <f t="shared" si="188"/>
        <v>231</v>
      </c>
      <c r="S160" s="348">
        <f>IF(AR160="","",AR160)</f>
        <v>1</v>
      </c>
      <c r="T160" s="75">
        <f t="shared" si="189"/>
        <v>204</v>
      </c>
      <c r="U160" s="348">
        <f>IF(AT160="","",AT160)</f>
        <v>0.5</v>
      </c>
      <c r="V160" s="75">
        <f t="shared" si="190"/>
        <v>1804</v>
      </c>
      <c r="W160" s="348">
        <f>IF(AV160="","",AV160)</f>
        <v>6.5</v>
      </c>
      <c r="Z160" s="351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174</v>
      </c>
      <c r="AD160" s="109">
        <f>IF(SUM(AC160:AC162)+AC176=0,0,IF(SUM(ABS(AC160),ABS(AC161),ABS(AC162))=AC176,0.5,IF(SUM(ABS(AC160),ABS(AC161),ABS(AC162))&gt;AC176,1,0)))</f>
        <v>0</v>
      </c>
      <c r="AE160" s="188">
        <v>161</v>
      </c>
      <c r="AF160" s="109">
        <f>IF(SUM(AE160:AE162)+AE176=0,0,IF(SUM(ABS(AE160),ABS(AE161),ABS(AE162))=AE176,0.5,IF(SUM(ABS(AE160),ABS(AE161),ABS(AE162))&gt;AE176,1,0)))</f>
        <v>1</v>
      </c>
      <c r="AG160" s="188">
        <v>170</v>
      </c>
      <c r="AH160" s="109">
        <f>IF(SUM(AG160:AG162)+AG176=0,0,IF(SUM(ABS(AG160),ABS(AG161),ABS(AG162))=AG176,0.5,IF(SUM(ABS(AG160),ABS(AG161),ABS(AG162))&gt;AG176,1,0)))</f>
        <v>0</v>
      </c>
      <c r="AI160" s="188">
        <v>241</v>
      </c>
      <c r="AJ160" s="109">
        <f>IF(SUM(AI160:AI162)+AI176=0,0,IF(SUM(ABS(AI160),ABS(AI161),ABS(AI162))=AI176,0.5,IF(SUM(ABS(AI160),ABS(AI161),ABS(AI162))&gt;AI176,1,0)))</f>
        <v>1</v>
      </c>
      <c r="AK160" s="188">
        <v>211</v>
      </c>
      <c r="AL160" s="109">
        <f>IF(SUM(AK160:AK162)+AK176=0,0,IF(SUM(ABS(AK160),ABS(AK161),ABS(AK162))=AK176,0.5,IF(SUM(ABS(AK160),ABS(AK161),ABS(AK162))&gt;AK176,1,0)))</f>
        <v>1</v>
      </c>
      <c r="AM160" s="188">
        <v>213</v>
      </c>
      <c r="AN160" s="109">
        <f>IF(SUM(AM160:AM162)+AM176=0,0,IF(SUM(ABS(AM160),ABS(AM161),ABS(AM162))=AM176,0.5,IF(SUM(ABS(AM160),ABS(AM161),ABS(AM162))&gt;AM176,1,0)))</f>
        <v>1</v>
      </c>
      <c r="AO160" s="188">
        <v>199</v>
      </c>
      <c r="AP160" s="109">
        <f>IF(SUM(AO160:AO162)+AO176=0,0,IF(SUM(ABS(AO160),ABS(AO161),ABS(AO162))=AO176,0.5,IF(SUM(ABS(AO160),ABS(AO161),ABS(AO162))&gt;AO176,1,0)))</f>
        <v>1</v>
      </c>
      <c r="AQ160" s="188">
        <v>231</v>
      </c>
      <c r="AR160" s="109">
        <f>IF(SUM(AQ160:AQ162)+AQ176=0,0,IF(SUM(ABS(AQ160),ABS(AQ161),ABS(AQ162))=AQ176,0.5,IF(SUM(ABS(AQ160),ABS(AQ161),ABS(AQ162))&gt;AQ176,1,0)))</f>
        <v>1</v>
      </c>
      <c r="AS160" s="188">
        <v>204</v>
      </c>
      <c r="AT160" s="109">
        <f>IF(SUM(AS160:AS162)+AS176=0,0,IF(SUM(ABS(AS160),ABS(AS161),ABS(AS162))=AS176,0.5,IF(SUM(ABS(AS160),ABS(AS161),ABS(AS162))&gt;AS176,1,0)))</f>
        <v>0.5</v>
      </c>
      <c r="AU160" s="110">
        <f t="shared" si="191"/>
        <v>1804</v>
      </c>
      <c r="AV160" s="111">
        <f>SUM(AD160+AF160+AH160+AJ160+AL160+AN160+AP160+AR160+AT160)</f>
        <v>6.5</v>
      </c>
      <c r="AW160" s="101"/>
      <c r="AX160" s="102"/>
      <c r="AZ160" s="63"/>
      <c r="BA160" s="212"/>
      <c r="BB160" s="213"/>
      <c r="BC160" s="214"/>
      <c r="BD160" s="217">
        <f t="shared" si="206"/>
        <v>16945</v>
      </c>
      <c r="BE160" s="213">
        <f t="shared" si="207"/>
        <v>1804</v>
      </c>
      <c r="BF160" s="215">
        <f t="shared" si="208"/>
        <v>9</v>
      </c>
      <c r="BG160" s="215">
        <f t="shared" si="209"/>
        <v>9</v>
      </c>
      <c r="BH160" s="215">
        <f t="shared" si="192"/>
        <v>174</v>
      </c>
      <c r="BI160" s="215">
        <f t="shared" si="193"/>
        <v>161</v>
      </c>
      <c r="BJ160" s="215">
        <f t="shared" si="194"/>
        <v>170</v>
      </c>
      <c r="BK160" s="215">
        <f t="shared" si="195"/>
        <v>241</v>
      </c>
      <c r="BL160" s="215">
        <f t="shared" si="196"/>
        <v>211</v>
      </c>
      <c r="BM160" s="215">
        <f t="shared" si="197"/>
        <v>213</v>
      </c>
      <c r="BN160" s="215">
        <f t="shared" si="198"/>
        <v>199</v>
      </c>
      <c r="BO160" s="215">
        <f t="shared" si="199"/>
        <v>231</v>
      </c>
      <c r="BP160" s="215">
        <f t="shared" si="200"/>
        <v>204</v>
      </c>
      <c r="BQ160" s="216"/>
      <c r="BR160" s="214"/>
      <c r="BS160" s="215">
        <f t="shared" si="210"/>
        <v>241</v>
      </c>
      <c r="BT160" s="215">
        <f t="shared" si="211"/>
        <v>0</v>
      </c>
      <c r="BU160" s="215" t="str">
        <f t="shared" si="212"/>
        <v>SG Rottendorf 1</v>
      </c>
      <c r="BV160" s="214">
        <f t="shared" si="213"/>
        <v>2</v>
      </c>
      <c r="BW160" s="215">
        <f t="shared" si="214"/>
        <v>1804</v>
      </c>
      <c r="BX160" s="215">
        <f>IF(COUNTIF(BH160:BP160,"&gt;0")&lt;Spielorte!$A$23,0,BE160/Spielorte!$A$23)</f>
        <v>200.44444444444446</v>
      </c>
      <c r="BY160" s="215">
        <f t="shared" si="215"/>
        <v>0</v>
      </c>
      <c r="BZ160" s="214">
        <f t="shared" si="201"/>
        <v>0</v>
      </c>
    </row>
    <row r="161" spans="1:78" ht="17.100000000000001" customHeight="1" x14ac:dyDescent="0.25">
      <c r="A161" s="377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49"/>
      <c r="F161" s="78" t="str">
        <f t="shared" si="183"/>
        <v/>
      </c>
      <c r="G161" s="349"/>
      <c r="H161" s="78" t="str">
        <f t="shared" si="184"/>
        <v/>
      </c>
      <c r="I161" s="349"/>
      <c r="J161" s="78" t="str">
        <f t="shared" si="185"/>
        <v/>
      </c>
      <c r="K161" s="349"/>
      <c r="L161" s="78" t="str">
        <f t="shared" si="186"/>
        <v/>
      </c>
      <c r="M161" s="349"/>
      <c r="N161" s="78" t="str">
        <f t="shared" si="205"/>
        <v/>
      </c>
      <c r="O161" s="349"/>
      <c r="P161" s="78" t="str">
        <f t="shared" si="187"/>
        <v/>
      </c>
      <c r="Q161" s="349"/>
      <c r="R161" s="78" t="str">
        <f t="shared" si="188"/>
        <v/>
      </c>
      <c r="S161" s="349"/>
      <c r="T161" s="78" t="str">
        <f t="shared" si="189"/>
        <v/>
      </c>
      <c r="U161" s="349"/>
      <c r="V161" s="78" t="str">
        <f t="shared" si="190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SG Rottendorf 1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00000000000001" customHeight="1" thickBot="1" x14ac:dyDescent="0.3">
      <c r="A162" s="378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50"/>
      <c r="F162" s="69" t="str">
        <f t="shared" si="183"/>
        <v/>
      </c>
      <c r="G162" s="350"/>
      <c r="H162" s="69" t="str">
        <f t="shared" si="184"/>
        <v/>
      </c>
      <c r="I162" s="350"/>
      <c r="J162" s="69" t="str">
        <f t="shared" si="185"/>
        <v/>
      </c>
      <c r="K162" s="350"/>
      <c r="L162" s="69" t="str">
        <f t="shared" si="186"/>
        <v/>
      </c>
      <c r="M162" s="350"/>
      <c r="N162" s="69" t="str">
        <f t="shared" si="205"/>
        <v/>
      </c>
      <c r="O162" s="350"/>
      <c r="P162" s="69" t="str">
        <f t="shared" si="187"/>
        <v/>
      </c>
      <c r="Q162" s="350"/>
      <c r="R162" s="69" t="str">
        <f t="shared" si="188"/>
        <v/>
      </c>
      <c r="S162" s="350"/>
      <c r="T162" s="69" t="str">
        <f t="shared" si="189"/>
        <v/>
      </c>
      <c r="U162" s="350"/>
      <c r="V162" s="69" t="str">
        <f t="shared" si="190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SG Rottendorf 1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00000000000001" customHeight="1" x14ac:dyDescent="0.25">
      <c r="A163" s="376" t="s">
        <v>3</v>
      </c>
      <c r="B163" s="73" t="str">
        <f t="shared" si="202"/>
        <v>Stemmler, Patrick</v>
      </c>
      <c r="C163" s="74">
        <f t="shared" si="203"/>
        <v>16495</v>
      </c>
      <c r="D163" s="75">
        <f t="shared" si="204"/>
        <v>184</v>
      </c>
      <c r="E163" s="348">
        <f>IF(AD163="","",AD163)</f>
        <v>0</v>
      </c>
      <c r="F163" s="75">
        <f t="shared" si="183"/>
        <v>166</v>
      </c>
      <c r="G163" s="348">
        <f>IF(AF163="","",AF163)</f>
        <v>0</v>
      </c>
      <c r="H163" s="75">
        <f t="shared" si="184"/>
        <v>174</v>
      </c>
      <c r="I163" s="348">
        <f>IF(AH163="","",AH163)</f>
        <v>0</v>
      </c>
      <c r="J163" s="75">
        <f t="shared" si="185"/>
        <v>178</v>
      </c>
      <c r="K163" s="348">
        <f>IF(AJ163="","",AJ163)</f>
        <v>0</v>
      </c>
      <c r="L163" s="75">
        <f t="shared" si="186"/>
        <v>243</v>
      </c>
      <c r="M163" s="348">
        <f>IF(AL163="","",AL163)</f>
        <v>1</v>
      </c>
      <c r="N163" s="75">
        <f t="shared" si="205"/>
        <v>222</v>
      </c>
      <c r="O163" s="348">
        <f>IF(AN163="","",AN163)</f>
        <v>1</v>
      </c>
      <c r="P163" s="75">
        <f t="shared" si="187"/>
        <v>157</v>
      </c>
      <c r="Q163" s="348">
        <f>IF(AP163="","",AP163)</f>
        <v>0</v>
      </c>
      <c r="R163" s="75">
        <f t="shared" si="188"/>
        <v>201</v>
      </c>
      <c r="S163" s="348">
        <f>IF(AR163="","",AR163)</f>
        <v>0</v>
      </c>
      <c r="T163" s="75">
        <f t="shared" si="189"/>
        <v>177</v>
      </c>
      <c r="U163" s="348">
        <f>IF(AT163="","",AT163)</f>
        <v>0</v>
      </c>
      <c r="V163" s="75">
        <f t="shared" si="190"/>
        <v>1702</v>
      </c>
      <c r="W163" s="348">
        <f>IF(AV163="","",AV163)</f>
        <v>2</v>
      </c>
      <c r="Z163" s="351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184</v>
      </c>
      <c r="AD163" s="109">
        <f>IF(SUM(AC163:AC165)+AC177=0,0,IF(SUM(ABS(AC163),ABS(AC164),ABS(AC165))=AC177,0.5,IF(SUM(ABS(AC163),ABS(AC164),ABS(AC165))&gt;AC177,1,0)))</f>
        <v>0</v>
      </c>
      <c r="AE163" s="188">
        <v>166</v>
      </c>
      <c r="AF163" s="109">
        <f>IF(SUM(AE163:AE165)+AE177=0,0,IF(SUM(ABS(AE163),ABS(AE164),ABS(AE165))=AE177,0.5,IF(SUM(ABS(AE163),ABS(AE164),ABS(AE165))&gt;AE177,1,0)))</f>
        <v>0</v>
      </c>
      <c r="AG163" s="188">
        <v>174</v>
      </c>
      <c r="AH163" s="109">
        <f>IF(SUM(AG163:AG165)+AG177=0,0,IF(SUM(ABS(AG163),ABS(AG164),ABS(AG165))=AG177,0.5,IF(SUM(ABS(AG163),ABS(AG164),ABS(AG165))&gt;AG177,1,0)))</f>
        <v>0</v>
      </c>
      <c r="AI163" s="188">
        <v>178</v>
      </c>
      <c r="AJ163" s="109">
        <f>IF(SUM(AI163:AI165)+AI177=0,0,IF(SUM(ABS(AI163),ABS(AI164),ABS(AI165))=AI177,0.5,IF(SUM(ABS(AI163),ABS(AI164),ABS(AI165))&gt;AI177,1,0)))</f>
        <v>0</v>
      </c>
      <c r="AK163" s="188">
        <v>243</v>
      </c>
      <c r="AL163" s="109">
        <f>IF(SUM(AK163:AK165)+AK177=0,0,IF(SUM(ABS(AK163),ABS(AK164),ABS(AK165))=AK177,0.5,IF(SUM(ABS(AK163),ABS(AK164),ABS(AK165))&gt;AK177,1,0)))</f>
        <v>1</v>
      </c>
      <c r="AM163" s="188">
        <v>222</v>
      </c>
      <c r="AN163" s="109">
        <f>IF(SUM(AM163:AM165)+AM177=0,0,IF(SUM(ABS(AM163),ABS(AM164),ABS(AM165))=AM177,0.5,IF(SUM(ABS(AM163),ABS(AM164),ABS(AM165))&gt;AM177,1,0)))</f>
        <v>1</v>
      </c>
      <c r="AO163" s="188">
        <v>157</v>
      </c>
      <c r="AP163" s="109">
        <f>IF(SUM(AO163:AO165)+AO177=0,0,IF(SUM(ABS(AO163),ABS(AO164),ABS(AO165))=AO177,0.5,IF(SUM(ABS(AO163),ABS(AO164),ABS(AO165))&gt;AO177,1,0)))</f>
        <v>0</v>
      </c>
      <c r="AQ163" s="188">
        <v>201</v>
      </c>
      <c r="AR163" s="109">
        <f>IF(SUM(AQ163:AQ165)+AQ177=0,0,IF(SUM(ABS(AQ163),ABS(AQ164),ABS(AQ165))=AQ177,0.5,IF(SUM(ABS(AQ163),ABS(AQ164),ABS(AQ165))&gt;AQ177,1,0)))</f>
        <v>0</v>
      </c>
      <c r="AS163" s="188">
        <v>177</v>
      </c>
      <c r="AT163" s="109">
        <f>IF(SUM(AS163:AS165)+AS177=0,0,IF(SUM(ABS(AS163),ABS(AS164),ABS(AS165))=AS177,0.5,IF(SUM(ABS(AS163),ABS(AS164),ABS(AS165))&gt;AS177,1,0)))</f>
        <v>0</v>
      </c>
      <c r="AU163" s="110">
        <f t="shared" si="191"/>
        <v>1702</v>
      </c>
      <c r="AV163" s="111">
        <f>SUM(AD163+AF163+AH163+AJ163+AL163+AN163+AP163+AR163+AT163)</f>
        <v>2</v>
      </c>
      <c r="AW163" s="101"/>
      <c r="AX163" s="102"/>
      <c r="AZ163" s="63"/>
      <c r="BA163" s="212"/>
      <c r="BB163" s="213"/>
      <c r="BC163" s="214"/>
      <c r="BD163" s="217">
        <f t="shared" si="206"/>
        <v>16495</v>
      </c>
      <c r="BE163" s="213">
        <f t="shared" si="207"/>
        <v>1702</v>
      </c>
      <c r="BF163" s="215">
        <f t="shared" si="208"/>
        <v>9</v>
      </c>
      <c r="BG163" s="215">
        <f t="shared" si="209"/>
        <v>9</v>
      </c>
      <c r="BH163" s="215">
        <f t="shared" si="192"/>
        <v>184</v>
      </c>
      <c r="BI163" s="215">
        <f t="shared" si="193"/>
        <v>166</v>
      </c>
      <c r="BJ163" s="215">
        <f t="shared" si="194"/>
        <v>174</v>
      </c>
      <c r="BK163" s="215">
        <f t="shared" si="195"/>
        <v>178</v>
      </c>
      <c r="BL163" s="215">
        <f t="shared" si="196"/>
        <v>243</v>
      </c>
      <c r="BM163" s="215">
        <f t="shared" si="197"/>
        <v>222</v>
      </c>
      <c r="BN163" s="215">
        <f t="shared" si="198"/>
        <v>157</v>
      </c>
      <c r="BO163" s="215">
        <f t="shared" si="199"/>
        <v>201</v>
      </c>
      <c r="BP163" s="215">
        <f t="shared" si="200"/>
        <v>177</v>
      </c>
      <c r="BQ163" s="216"/>
      <c r="BR163" s="214"/>
      <c r="BS163" s="215">
        <f t="shared" si="210"/>
        <v>243</v>
      </c>
      <c r="BT163" s="215">
        <f t="shared" si="211"/>
        <v>0</v>
      </c>
      <c r="BU163" s="215" t="str">
        <f t="shared" si="212"/>
        <v>SG Rottendorf 1</v>
      </c>
      <c r="BV163" s="214">
        <f t="shared" si="213"/>
        <v>2</v>
      </c>
      <c r="BW163" s="215">
        <f t="shared" si="214"/>
        <v>1702</v>
      </c>
      <c r="BX163" s="215">
        <f>IF(COUNTIF(BH163:BP163,"&gt;0")&lt;Spielorte!$A$23,0,BE163/Spielorte!$A$23)</f>
        <v>189.11111111111111</v>
      </c>
      <c r="BY163" s="215">
        <f t="shared" si="215"/>
        <v>0</v>
      </c>
      <c r="BZ163" s="214">
        <f t="shared" si="201"/>
        <v>0</v>
      </c>
    </row>
    <row r="164" spans="1:78" ht="17.100000000000001" customHeight="1" x14ac:dyDescent="0.25">
      <c r="A164" s="377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49"/>
      <c r="F164" s="78" t="str">
        <f t="shared" si="183"/>
        <v/>
      </c>
      <c r="G164" s="349"/>
      <c r="H164" s="78" t="str">
        <f t="shared" si="184"/>
        <v/>
      </c>
      <c r="I164" s="349"/>
      <c r="J164" s="78" t="str">
        <f t="shared" si="185"/>
        <v/>
      </c>
      <c r="K164" s="349"/>
      <c r="L164" s="78" t="str">
        <f t="shared" si="186"/>
        <v/>
      </c>
      <c r="M164" s="349"/>
      <c r="N164" s="78" t="str">
        <f t="shared" si="205"/>
        <v/>
      </c>
      <c r="O164" s="349"/>
      <c r="P164" s="78" t="str">
        <f t="shared" si="187"/>
        <v/>
      </c>
      <c r="Q164" s="349"/>
      <c r="R164" s="78" t="str">
        <f t="shared" si="188"/>
        <v/>
      </c>
      <c r="S164" s="349"/>
      <c r="T164" s="78" t="str">
        <f t="shared" si="189"/>
        <v/>
      </c>
      <c r="U164" s="349"/>
      <c r="V164" s="78" t="str">
        <f t="shared" si="190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SG Rottendorf 1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00000000000001" customHeight="1" thickBot="1" x14ac:dyDescent="0.3">
      <c r="A165" s="378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50"/>
      <c r="F165" s="69" t="str">
        <f t="shared" si="183"/>
        <v/>
      </c>
      <c r="G165" s="350"/>
      <c r="H165" s="69" t="str">
        <f t="shared" si="184"/>
        <v/>
      </c>
      <c r="I165" s="350"/>
      <c r="J165" s="69" t="str">
        <f t="shared" si="185"/>
        <v/>
      </c>
      <c r="K165" s="350"/>
      <c r="L165" s="69" t="str">
        <f t="shared" si="186"/>
        <v/>
      </c>
      <c r="M165" s="350"/>
      <c r="N165" s="69" t="str">
        <f t="shared" si="205"/>
        <v/>
      </c>
      <c r="O165" s="350"/>
      <c r="P165" s="69" t="str">
        <f t="shared" si="187"/>
        <v/>
      </c>
      <c r="Q165" s="350"/>
      <c r="R165" s="69" t="str">
        <f t="shared" si="188"/>
        <v/>
      </c>
      <c r="S165" s="350"/>
      <c r="T165" s="69" t="str">
        <f t="shared" si="189"/>
        <v/>
      </c>
      <c r="U165" s="350"/>
      <c r="V165" s="69" t="str">
        <f t="shared" si="190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SG Rottendorf 1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00000000000001" customHeight="1" x14ac:dyDescent="0.25">
      <c r="A166" s="376" t="s">
        <v>11</v>
      </c>
      <c r="B166" s="73" t="str">
        <f>IF(AA166=0,"",AA166)</f>
        <v>Wendel, Dominik</v>
      </c>
      <c r="C166" s="74">
        <f t="shared" si="203"/>
        <v>16852</v>
      </c>
      <c r="D166" s="75">
        <f t="shared" si="204"/>
        <v>177</v>
      </c>
      <c r="E166" s="348">
        <f>IF(AD166="","",AD166)</f>
        <v>0</v>
      </c>
      <c r="F166" s="75">
        <f t="shared" si="183"/>
        <v>194</v>
      </c>
      <c r="G166" s="348">
        <f>IF(AF166="","",AF166)</f>
        <v>1</v>
      </c>
      <c r="H166" s="75">
        <f t="shared" si="184"/>
        <v>255</v>
      </c>
      <c r="I166" s="348">
        <f>IF(AH166="","",AH166)</f>
        <v>1</v>
      </c>
      <c r="J166" s="75">
        <f t="shared" si="185"/>
        <v>134</v>
      </c>
      <c r="K166" s="348">
        <f>IF(AJ166="","",AJ166)</f>
        <v>0</v>
      </c>
      <c r="L166" s="75">
        <f t="shared" si="186"/>
        <v>231</v>
      </c>
      <c r="M166" s="348">
        <f>IF(AL166="","",AL166)</f>
        <v>1</v>
      </c>
      <c r="N166" s="75">
        <f t="shared" si="205"/>
        <v>202</v>
      </c>
      <c r="O166" s="348">
        <f>IF(AN166="","",AN166)</f>
        <v>0</v>
      </c>
      <c r="P166" s="75">
        <f t="shared" si="187"/>
        <v>156</v>
      </c>
      <c r="Q166" s="348">
        <f>IF(AP166="","",AP166)</f>
        <v>0</v>
      </c>
      <c r="R166" s="75" t="str">
        <f t="shared" si="188"/>
        <v/>
      </c>
      <c r="S166" s="348">
        <f>IF(AR166="","",AR166)</f>
        <v>0</v>
      </c>
      <c r="T166" s="75">
        <f t="shared" si="189"/>
        <v>185</v>
      </c>
      <c r="U166" s="348">
        <f>IF(AT166="","",AT166)</f>
        <v>0</v>
      </c>
      <c r="V166" s="75">
        <f t="shared" si="190"/>
        <v>1534</v>
      </c>
      <c r="W166" s="348">
        <f>IF(AV166="","",AV166)</f>
        <v>3</v>
      </c>
      <c r="Z166" s="351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177</v>
      </c>
      <c r="AD166" s="109">
        <f>IF(SUM(AC166:AC168)+AC178=0,0,IF(SUM(ABS(AC166),ABS(AC167),ABS(AC168))=AC178,0.5,IF(SUM(ABS(AC166),ABS(AC167),ABS(AC168))&gt;AC178,1,0)))</f>
        <v>0</v>
      </c>
      <c r="AE166" s="188">
        <v>194</v>
      </c>
      <c r="AF166" s="109">
        <f>IF(SUM(AE166:AE168)+AE178=0,0,IF(SUM(ABS(AE166),ABS(AE167),ABS(AE168))=AE178,0.5,IF(SUM(ABS(AE166),ABS(AE167),ABS(AE168))&gt;AE178,1,0)))</f>
        <v>1</v>
      </c>
      <c r="AG166" s="188">
        <v>255</v>
      </c>
      <c r="AH166" s="109">
        <f>IF(SUM(AG166:AG168)+AG178=0,0,IF(SUM(ABS(AG166),ABS(AG167),ABS(AG168))=AG178,0.5,IF(SUM(ABS(AG166),ABS(AG167),ABS(AG168))&gt;AG178,1,0)))</f>
        <v>1</v>
      </c>
      <c r="AI166" s="188">
        <v>134</v>
      </c>
      <c r="AJ166" s="109">
        <f>IF(SUM(AI166:AI168)+AI178=0,0,IF(SUM(ABS(AI166),ABS(AI167),ABS(AI168))=AI178,0.5,IF(SUM(ABS(AI166),ABS(AI167),ABS(AI168))&gt;AI178,1,0)))</f>
        <v>0</v>
      </c>
      <c r="AK166" s="188">
        <v>231</v>
      </c>
      <c r="AL166" s="109">
        <f>IF(SUM(AK166:AK168)+AK178=0,0,IF(SUM(ABS(AK166),ABS(AK167),ABS(AK168))=AK178,0.5,IF(SUM(ABS(AK166),ABS(AK167),ABS(AK168))&gt;AK178,1,0)))</f>
        <v>1</v>
      </c>
      <c r="AM166" s="188">
        <v>202</v>
      </c>
      <c r="AN166" s="109">
        <f>IF(SUM(AM166:AM168)+AM178=0,0,IF(SUM(ABS(AM166),ABS(AM167),ABS(AM168))=AM178,0.5,IF(SUM(ABS(AM166),ABS(AM167),ABS(AM168))&gt;AM178,1,0)))</f>
        <v>0</v>
      </c>
      <c r="AO166" s="188">
        <v>156</v>
      </c>
      <c r="AP166" s="109">
        <f>IF(SUM(AO166:AO168)+AO178=0,0,IF(SUM(ABS(AO166),ABS(AO167),ABS(AO168))=AO178,0.5,IF(SUM(ABS(AO166),ABS(AO167),ABS(AO168))&gt;AO178,1,0)))</f>
        <v>0</v>
      </c>
      <c r="AQ166" s="288">
        <v>0</v>
      </c>
      <c r="AR166" s="109">
        <f>IF(SUM(AQ166:AQ168)+AQ178=0,0,IF(SUM(ABS(AQ166),ABS(AQ167),ABS(AQ168))=AQ178,0.5,IF(SUM(ABS(AQ166),ABS(AQ167),ABS(AQ168))&gt;AQ178,1,0)))</f>
        <v>0</v>
      </c>
      <c r="AS166" s="188">
        <v>185</v>
      </c>
      <c r="AT166" s="109">
        <f>IF(SUM(AS166:AS168)+AS178=0,0,IF(SUM(ABS(AS166),ABS(AS167),ABS(AS168))=AS178,0.5,IF(SUM(ABS(AS166),ABS(AS167),ABS(AS168))&gt;AS178,1,0)))</f>
        <v>0</v>
      </c>
      <c r="AU166" s="110">
        <f t="shared" si="191"/>
        <v>1534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206"/>
        <v>16852</v>
      </c>
      <c r="BE166" s="213">
        <f t="shared" si="207"/>
        <v>1534</v>
      </c>
      <c r="BF166" s="215">
        <f t="shared" si="208"/>
        <v>8</v>
      </c>
      <c r="BG166" s="215">
        <f t="shared" si="209"/>
        <v>8</v>
      </c>
      <c r="BH166" s="215">
        <f t="shared" si="192"/>
        <v>177</v>
      </c>
      <c r="BI166" s="215">
        <f t="shared" si="193"/>
        <v>194</v>
      </c>
      <c r="BJ166" s="215">
        <f t="shared" si="194"/>
        <v>255</v>
      </c>
      <c r="BK166" s="215">
        <f t="shared" si="195"/>
        <v>134</v>
      </c>
      <c r="BL166" s="215">
        <f t="shared" si="196"/>
        <v>231</v>
      </c>
      <c r="BM166" s="215">
        <f t="shared" si="197"/>
        <v>202</v>
      </c>
      <c r="BN166" s="215">
        <f t="shared" si="198"/>
        <v>156</v>
      </c>
      <c r="BO166" s="215" t="str">
        <f t="shared" si="199"/>
        <v/>
      </c>
      <c r="BP166" s="215">
        <f t="shared" si="200"/>
        <v>185</v>
      </c>
      <c r="BQ166" s="216"/>
      <c r="BR166" s="214"/>
      <c r="BS166" s="215">
        <f t="shared" si="210"/>
        <v>255</v>
      </c>
      <c r="BT166" s="215">
        <f t="shared" si="211"/>
        <v>0</v>
      </c>
      <c r="BU166" s="215" t="str">
        <f t="shared" si="212"/>
        <v>SG Rottendorf 1</v>
      </c>
      <c r="BV166" s="214">
        <f t="shared" si="213"/>
        <v>2</v>
      </c>
      <c r="BW166" s="215">
        <f t="shared" si="214"/>
        <v>1534</v>
      </c>
      <c r="BX166" s="215">
        <f>IF(COUNTIF(BH166:BP166,"&gt;0")&lt;Spielorte!$A$23,0,BE166/Spielorte!$A$23)</f>
        <v>0</v>
      </c>
      <c r="BY166" s="215">
        <f t="shared" si="215"/>
        <v>0</v>
      </c>
      <c r="BZ166" s="214">
        <f t="shared" si="201"/>
        <v>0</v>
      </c>
    </row>
    <row r="167" spans="1:78" ht="17.100000000000001" customHeight="1" x14ac:dyDescent="0.25">
      <c r="A167" s="377"/>
      <c r="B167" s="76" t="str">
        <f>IF(AA167=0,"",AA167)</f>
        <v>Schön, Horst</v>
      </c>
      <c r="C167" s="77">
        <f t="shared" si="203"/>
        <v>16346</v>
      </c>
      <c r="D167" s="78" t="str">
        <f t="shared" si="204"/>
        <v/>
      </c>
      <c r="E167" s="349"/>
      <c r="F167" s="78" t="str">
        <f t="shared" si="183"/>
        <v/>
      </c>
      <c r="G167" s="349"/>
      <c r="H167" s="78" t="str">
        <f t="shared" si="184"/>
        <v/>
      </c>
      <c r="I167" s="349"/>
      <c r="J167" s="78" t="str">
        <f t="shared" si="185"/>
        <v/>
      </c>
      <c r="K167" s="349"/>
      <c r="L167" s="78" t="str">
        <f t="shared" si="186"/>
        <v/>
      </c>
      <c r="M167" s="349"/>
      <c r="N167" s="78" t="str">
        <f t="shared" si="205"/>
        <v/>
      </c>
      <c r="O167" s="349"/>
      <c r="P167" s="78" t="str">
        <f t="shared" si="187"/>
        <v/>
      </c>
      <c r="Q167" s="349"/>
      <c r="R167" s="78" t="str">
        <f t="shared" si="188"/>
        <v/>
      </c>
      <c r="S167" s="349"/>
      <c r="T167" s="78" t="str">
        <f t="shared" si="189"/>
        <v/>
      </c>
      <c r="U167" s="349"/>
      <c r="V167" s="78" t="str">
        <f t="shared" si="190"/>
        <v/>
      </c>
      <c r="W167" s="349"/>
      <c r="Z167" s="352"/>
      <c r="AA167" s="108" t="str">
        <f>IF(AB167=0,"",VLOOKUP(AB167,Starter!$A$1:$D$199,2,FALSE))</f>
        <v>Schön, Horst</v>
      </c>
      <c r="AB167" s="98">
        <v>16346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16346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SG Rottendorf 1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00000000000001" customHeight="1" thickBot="1" x14ac:dyDescent="0.3">
      <c r="A168" s="378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50"/>
      <c r="F168" s="69" t="str">
        <f t="shared" si="183"/>
        <v/>
      </c>
      <c r="G168" s="350"/>
      <c r="H168" s="69" t="str">
        <f t="shared" si="184"/>
        <v/>
      </c>
      <c r="I168" s="350"/>
      <c r="J168" s="69" t="str">
        <f t="shared" si="185"/>
        <v/>
      </c>
      <c r="K168" s="350"/>
      <c r="L168" s="69" t="str">
        <f t="shared" si="186"/>
        <v/>
      </c>
      <c r="M168" s="350"/>
      <c r="N168" s="69" t="str">
        <f t="shared" si="205"/>
        <v/>
      </c>
      <c r="O168" s="350"/>
      <c r="P168" s="69" t="str">
        <f t="shared" si="187"/>
        <v/>
      </c>
      <c r="Q168" s="350"/>
      <c r="R168" s="69" t="str">
        <f t="shared" si="188"/>
        <v/>
      </c>
      <c r="S168" s="350"/>
      <c r="T168" s="69" t="str">
        <f t="shared" si="189"/>
        <v/>
      </c>
      <c r="U168" s="350"/>
      <c r="V168" s="69" t="str">
        <f t="shared" si="190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SG Rottendorf 1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203"/>
        <v/>
      </c>
      <c r="D169" s="83">
        <f t="shared" si="204"/>
        <v>746</v>
      </c>
      <c r="E169" s="84">
        <f>IF(AD169="","",AD169)</f>
        <v>0</v>
      </c>
      <c r="F169" s="83">
        <f t="shared" si="183"/>
        <v>700</v>
      </c>
      <c r="G169" s="84">
        <f>IF(AF169="","",AF169)</f>
        <v>2</v>
      </c>
      <c r="H169" s="83">
        <f t="shared" si="184"/>
        <v>757</v>
      </c>
      <c r="I169" s="84">
        <f>IF(AH169="","",AH169)</f>
        <v>0</v>
      </c>
      <c r="J169" s="83">
        <f t="shared" si="185"/>
        <v>795</v>
      </c>
      <c r="K169" s="84">
        <f>IF(AJ169="","",AJ169)</f>
        <v>2</v>
      </c>
      <c r="L169" s="83">
        <f t="shared" si="186"/>
        <v>849</v>
      </c>
      <c r="M169" s="84">
        <f>IF(AL169="","",AL169)</f>
        <v>2</v>
      </c>
      <c r="N169" s="83">
        <f t="shared" si="205"/>
        <v>876</v>
      </c>
      <c r="O169" s="84">
        <f>IF(AN169="","",AN169)</f>
        <v>2</v>
      </c>
      <c r="P169" s="83">
        <f t="shared" si="187"/>
        <v>669</v>
      </c>
      <c r="Q169" s="84">
        <f>IF(AP169="","",AP169)</f>
        <v>0</v>
      </c>
      <c r="R169" s="83">
        <f t="shared" si="188"/>
        <v>636</v>
      </c>
      <c r="S169" s="84">
        <f>IF(AR169="","",AR169)</f>
        <v>0</v>
      </c>
      <c r="T169" s="83">
        <f t="shared" si="189"/>
        <v>802</v>
      </c>
      <c r="U169" s="84">
        <f>IF(AT169="","",AT169)</f>
        <v>2</v>
      </c>
      <c r="V169" s="83">
        <f t="shared" si="190"/>
        <v>6830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746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757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795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849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876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669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636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802</v>
      </c>
      <c r="AT169" s="121">
        <f>IF(AS169+AS179=0,0,IF(AS169=AS179,1,IF(AS169&gt;AS179,2,0)))</f>
        <v>2</v>
      </c>
      <c r="AU169" s="122">
        <f>SUM(AC169+AE169+AG169+AI169+AK169+AM169+AO169+AQ169+AS169)</f>
        <v>6830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0</v>
      </c>
      <c r="F170" s="86" t="str">
        <f t="shared" si="183"/>
        <v/>
      </c>
      <c r="G170" s="87">
        <f>IF(AF170="","",AF170)</f>
        <v>5</v>
      </c>
      <c r="H170" s="86" t="str">
        <f t="shared" si="184"/>
        <v/>
      </c>
      <c r="I170" s="87">
        <f>IF(AH170="","",AH170)</f>
        <v>1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5</v>
      </c>
      <c r="N170" s="86" t="str">
        <f t="shared" si="205"/>
        <v/>
      </c>
      <c r="O170" s="87">
        <f>IF(AN170="","",AN170)</f>
        <v>5</v>
      </c>
      <c r="P170" s="86" t="str">
        <f t="shared" si="187"/>
        <v/>
      </c>
      <c r="Q170" s="87">
        <f>IF(AP170="","",AP170)</f>
        <v>1</v>
      </c>
      <c r="R170" s="86" t="str">
        <f t="shared" si="188"/>
        <v/>
      </c>
      <c r="S170" s="87">
        <f>IF(AR170="","",AR170)</f>
        <v>2</v>
      </c>
      <c r="T170" s="86" t="str">
        <f t="shared" si="189"/>
        <v/>
      </c>
      <c r="U170" s="87">
        <f>IF(AT170="","",AT170)</f>
        <v>3.5</v>
      </c>
      <c r="V170" s="86" t="str">
        <f t="shared" si="190"/>
        <v/>
      </c>
      <c r="W170" s="87">
        <f>IF(AV170="","",AV170)</f>
        <v>26.5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4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3.5</v>
      </c>
      <c r="AU170" s="86"/>
      <c r="AV170" s="125">
        <f>SUM(AV157:AV169)</f>
        <v>26.5</v>
      </c>
      <c r="AW170" s="101"/>
      <c r="AX170" s="102"/>
      <c r="BA170" s="212">
        <f>+AV170</f>
        <v>26.5</v>
      </c>
      <c r="BB170" s="213">
        <f>+AU169</f>
        <v>6830</v>
      </c>
      <c r="BC170" s="214">
        <f>+AA152</f>
        <v>6</v>
      </c>
      <c r="BF170" s="215">
        <f>SUM(BF151:BF169)</f>
        <v>35</v>
      </c>
      <c r="BQ170" s="212">
        <f>+BB170/1000000+BA170</f>
        <v>26.506830000000001</v>
      </c>
      <c r="BR170" s="214">
        <f>RANK(BQ170,BQ:BQ)</f>
        <v>6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56">
        <f t="shared" ref="D172:M174" si="218">IF(AC172=0,"",AC172)</f>
        <v>2</v>
      </c>
      <c r="E172" s="356" t="str">
        <f t="shared" si="218"/>
        <v/>
      </c>
      <c r="F172" s="356">
        <f t="shared" si="218"/>
        <v>7</v>
      </c>
      <c r="G172" s="356" t="str">
        <f t="shared" si="218"/>
        <v/>
      </c>
      <c r="H172" s="356">
        <f t="shared" si="218"/>
        <v>1</v>
      </c>
      <c r="I172" s="356" t="str">
        <f t="shared" si="218"/>
        <v/>
      </c>
      <c r="J172" s="356">
        <f t="shared" si="218"/>
        <v>8</v>
      </c>
      <c r="K172" s="356" t="str">
        <f t="shared" si="218"/>
        <v/>
      </c>
      <c r="L172" s="356">
        <f t="shared" si="218"/>
        <v>4</v>
      </c>
      <c r="M172" s="356" t="str">
        <f t="shared" si="218"/>
        <v/>
      </c>
      <c r="N172" s="356">
        <f t="shared" ref="N172:U174" si="219">IF(AM172=0,"",AM172)</f>
        <v>3</v>
      </c>
      <c r="O172" s="356" t="str">
        <f t="shared" si="219"/>
        <v/>
      </c>
      <c r="P172" s="356">
        <f t="shared" si="219"/>
        <v>5</v>
      </c>
      <c r="Q172" s="356" t="str">
        <f t="shared" si="219"/>
        <v/>
      </c>
      <c r="R172" s="356">
        <f t="shared" si="219"/>
        <v>9</v>
      </c>
      <c r="S172" s="356" t="str">
        <f t="shared" si="219"/>
        <v/>
      </c>
      <c r="T172" s="356">
        <f t="shared" si="219"/>
        <v>10</v>
      </c>
      <c r="U172" s="356" t="str">
        <f t="shared" si="219"/>
        <v/>
      </c>
      <c r="V172" s="357"/>
      <c r="W172" s="357"/>
      <c r="AA172" s="88" t="s">
        <v>1797</v>
      </c>
      <c r="AB172" s="89" t="s">
        <v>1798</v>
      </c>
      <c r="AC172" s="370">
        <f>VLOOKUP($AA152,Schlüssel!$A$5:$K$14,3)</f>
        <v>2</v>
      </c>
      <c r="AD172" s="371"/>
      <c r="AE172" s="370">
        <f>VLOOKUP($AA152,Schlüssel!$A$5:$K$14,4)</f>
        <v>7</v>
      </c>
      <c r="AF172" s="371"/>
      <c r="AG172" s="370">
        <f>VLOOKUP($AA152,Schlüssel!$A$5:$K$14,5)</f>
        <v>1</v>
      </c>
      <c r="AH172" s="371"/>
      <c r="AI172" s="370">
        <f>VLOOKUP($AA152,Schlüssel!$A$5:$K$14,6)</f>
        <v>8</v>
      </c>
      <c r="AJ172" s="371"/>
      <c r="AK172" s="370">
        <f>VLOOKUP($AA152,Schlüssel!$A$5:$K$14,7)</f>
        <v>4</v>
      </c>
      <c r="AL172" s="371"/>
      <c r="AM172" s="370">
        <f>VLOOKUP($AA152,Schlüssel!$A$5:$K$14,8)</f>
        <v>3</v>
      </c>
      <c r="AN172" s="371"/>
      <c r="AO172" s="370">
        <f>VLOOKUP($AA152,Schlüssel!$A$5:$K$14,9)</f>
        <v>5</v>
      </c>
      <c r="AP172" s="371"/>
      <c r="AQ172" s="370">
        <f>VLOOKUP($AA152,Schlüssel!$A$5:$K$14,10)</f>
        <v>9</v>
      </c>
      <c r="AR172" s="371"/>
      <c r="AS172" s="370">
        <f>VLOOKUP($AA152,Schlüssel!$A$5:$K$14,11)</f>
        <v>10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16"/>
        <v/>
      </c>
      <c r="C173" s="86" t="str">
        <f t="shared" si="217"/>
        <v/>
      </c>
      <c r="D173" s="358" t="str">
        <f t="shared" si="218"/>
        <v>Bajuwaren München 1</v>
      </c>
      <c r="E173" s="359" t="str">
        <f t="shared" si="218"/>
        <v/>
      </c>
      <c r="F173" s="358" t="str">
        <f t="shared" si="218"/>
        <v>Schanzer Ingolstadt 1</v>
      </c>
      <c r="G173" s="359" t="str">
        <f t="shared" si="218"/>
        <v/>
      </c>
      <c r="H173" s="358" t="str">
        <f t="shared" si="218"/>
        <v>BC Comet Nürnberg</v>
      </c>
      <c r="I173" s="359" t="str">
        <f t="shared" si="218"/>
        <v/>
      </c>
      <c r="J173" s="358" t="str">
        <f t="shared" si="218"/>
        <v>BC EMAX Unterföhring 2</v>
      </c>
      <c r="K173" s="359" t="str">
        <f t="shared" si="218"/>
        <v/>
      </c>
      <c r="L173" s="358" t="str">
        <f t="shared" si="218"/>
        <v>SG DJK Rimpar</v>
      </c>
      <c r="M173" s="359" t="str">
        <f t="shared" si="218"/>
        <v/>
      </c>
      <c r="N173" s="358" t="str">
        <f t="shared" si="219"/>
        <v>BK München 3</v>
      </c>
      <c r="O173" s="359" t="str">
        <f t="shared" si="219"/>
        <v/>
      </c>
      <c r="P173" s="358" t="str">
        <f t="shared" si="219"/>
        <v>RW Lichtenhof Stein 1</v>
      </c>
      <c r="Q173" s="359" t="str">
        <f t="shared" si="219"/>
        <v/>
      </c>
      <c r="R173" s="358" t="str">
        <f t="shared" si="219"/>
        <v>Bowlinghaus Bamberg 1</v>
      </c>
      <c r="S173" s="359" t="str">
        <f t="shared" si="219"/>
        <v/>
      </c>
      <c r="T173" s="358" t="str">
        <f t="shared" si="219"/>
        <v>High Roller Rosenheim 1</v>
      </c>
      <c r="U173" s="359" t="str">
        <f t="shared" si="219"/>
        <v/>
      </c>
      <c r="V173" s="363"/>
      <c r="W173" s="363"/>
      <c r="AA173" s="90"/>
      <c r="AB173" s="86"/>
      <c r="AC173" s="358" t="str">
        <f>VLOOKUP(AC172,Schlüssel!$A$5:$K$14,2)</f>
        <v>Bajuwaren München 1</v>
      </c>
      <c r="AD173" s="359"/>
      <c r="AE173" s="358" t="str">
        <f>VLOOKUP(AE172,Schlüssel!$A$5:$K$14,2)</f>
        <v>Schanzer Ingolstadt 1</v>
      </c>
      <c r="AF173" s="359"/>
      <c r="AG173" s="358" t="str">
        <f>VLOOKUP(AG172,Schlüssel!$A$5:$K$14,2)</f>
        <v>BC Comet Nürnberg</v>
      </c>
      <c r="AH173" s="359"/>
      <c r="AI173" s="358" t="str">
        <f>VLOOKUP(AI172,Schlüssel!$A$5:$K$14,2)</f>
        <v>BC EMAX Unterföhring 2</v>
      </c>
      <c r="AJ173" s="359"/>
      <c r="AK173" s="358" t="str">
        <f>VLOOKUP(AK172,Schlüssel!$A$5:$K$14,2)</f>
        <v>SG DJK Rimpar</v>
      </c>
      <c r="AL173" s="359"/>
      <c r="AM173" s="358" t="str">
        <f>VLOOKUP(AM172,Schlüssel!$A$5:$K$14,2)</f>
        <v>BK München 3</v>
      </c>
      <c r="AN173" s="359"/>
      <c r="AO173" s="358" t="str">
        <f>VLOOKUP(AO172,Schlüssel!$A$5:$K$14,2)</f>
        <v>RW Lichtenhof Stein 1</v>
      </c>
      <c r="AP173" s="359"/>
      <c r="AQ173" s="358" t="str">
        <f>VLOOKUP(AQ172,Schlüssel!$A$5:$K$14,2)</f>
        <v>Bowlinghaus Bamberg 1</v>
      </c>
      <c r="AR173" s="359"/>
      <c r="AS173" s="358" t="str">
        <f>VLOOKUP(AS172,Schlüssel!$A$5:$K$14,2)</f>
        <v>High Roller Rosenheim 1</v>
      </c>
      <c r="AT173" s="359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16"/>
        <v/>
      </c>
      <c r="C174" s="86" t="str">
        <f t="shared" si="217"/>
        <v/>
      </c>
      <c r="D174" s="360" t="str">
        <f t="shared" si="218"/>
        <v/>
      </c>
      <c r="E174" s="360" t="str">
        <f t="shared" si="218"/>
        <v/>
      </c>
      <c r="F174" s="360" t="str">
        <f t="shared" si="218"/>
        <v/>
      </c>
      <c r="G174" s="360" t="str">
        <f t="shared" si="218"/>
        <v/>
      </c>
      <c r="H174" s="360" t="str">
        <f t="shared" si="218"/>
        <v/>
      </c>
      <c r="I174" s="360" t="str">
        <f t="shared" si="218"/>
        <v/>
      </c>
      <c r="J174" s="360" t="str">
        <f t="shared" si="218"/>
        <v/>
      </c>
      <c r="K174" s="360" t="str">
        <f t="shared" si="218"/>
        <v/>
      </c>
      <c r="L174" s="360" t="str">
        <f t="shared" si="218"/>
        <v/>
      </c>
      <c r="M174" s="360" t="str">
        <f t="shared" si="218"/>
        <v/>
      </c>
      <c r="N174" s="360" t="str">
        <f t="shared" si="219"/>
        <v/>
      </c>
      <c r="O174" s="360" t="str">
        <f t="shared" si="219"/>
        <v/>
      </c>
      <c r="P174" s="360" t="str">
        <f t="shared" si="219"/>
        <v/>
      </c>
      <c r="Q174" s="360" t="str">
        <f t="shared" si="219"/>
        <v/>
      </c>
      <c r="R174" s="360" t="str">
        <f t="shared" si="219"/>
        <v/>
      </c>
      <c r="S174" s="360" t="str">
        <f t="shared" si="219"/>
        <v/>
      </c>
      <c r="T174" s="360" t="str">
        <f t="shared" si="219"/>
        <v/>
      </c>
      <c r="U174" s="361" t="str">
        <f t="shared" si="219"/>
        <v/>
      </c>
      <c r="V174" s="298"/>
      <c r="W174" s="298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4" t="str">
        <f t="shared" si="216"/>
        <v>Spieler 1</v>
      </c>
      <c r="C175" s="375" t="str">
        <f t="shared" si="217"/>
        <v/>
      </c>
      <c r="D175" s="362">
        <f>IF(AC175=301,"",AC175)</f>
        <v>277</v>
      </c>
      <c r="E175" s="362" t="str">
        <f>IF(AD175=0,"",AD175)</f>
        <v/>
      </c>
      <c r="F175" s="362">
        <f>IF(AE175=301,"",AE175)</f>
        <v>145</v>
      </c>
      <c r="G175" s="362" t="str">
        <f>IF(AF175=0,"",AF175)</f>
        <v/>
      </c>
      <c r="H175" s="362">
        <f>IF(AG175=301,"",AG175)</f>
        <v>214</v>
      </c>
      <c r="I175" s="362" t="str">
        <f>IF(AH175=0,"",AH175)</f>
        <v/>
      </c>
      <c r="J175" s="362">
        <f>IF(AI175=301,"",AI175)</f>
        <v>195</v>
      </c>
      <c r="K175" s="362" t="str">
        <f>IF(AJ175=0,"",AJ175)</f>
        <v/>
      </c>
      <c r="L175" s="362">
        <f>IF(AK175=301,"",AK175)</f>
        <v>234</v>
      </c>
      <c r="M175" s="362" t="str">
        <f>IF(AL175=0,"",AL175)</f>
        <v/>
      </c>
      <c r="N175" s="362">
        <f>IF(AM175=301,"",AM175)</f>
        <v>224</v>
      </c>
      <c r="O175" s="362" t="str">
        <f>IF(AN175=0,"",AN175)</f>
        <v/>
      </c>
      <c r="P175" s="362">
        <f>IF(AO175=301,"",AO175)</f>
        <v>174</v>
      </c>
      <c r="Q175" s="362" t="str">
        <f>IF(AP175=0,"",AP175)</f>
        <v/>
      </c>
      <c r="R175" s="362">
        <f>IF(AQ175=301,"",AQ175)</f>
        <v>172</v>
      </c>
      <c r="S175" s="362" t="str">
        <f>IF(AR175=0,"",AR175)</f>
        <v/>
      </c>
      <c r="T175" s="362">
        <f>IF(AS175=301,"",AS175)</f>
        <v>135</v>
      </c>
      <c r="U175" s="362" t="str">
        <f>IF(AT175=0,"",AT175)</f>
        <v/>
      </c>
      <c r="V175" s="364"/>
      <c r="W175" s="364"/>
      <c r="AA175" s="91" t="s">
        <v>0</v>
      </c>
      <c r="AB175" s="92"/>
      <c r="AC175" s="368">
        <f>ABS(INDEX(AC:AC,MATCH(AC172,$AA:$AA,0)+5)+INDEX(AC:AC,MATCH(AC172,$AA:$AA,0)+6)+INDEX(AC:AC,MATCH(AC172,$AA:$AA,0)+7))</f>
        <v>277</v>
      </c>
      <c r="AD175" s="369"/>
      <c r="AE175" s="368">
        <f>ABS(INDEX(AE:AE,MATCH(AE172,$AA:$AA,0)+5)+INDEX(AE:AE,MATCH(AE172,$AA:$AA,0)+6)+INDEX(AE:AE,MATCH(AE172,$AA:$AA,0)+7))</f>
        <v>145</v>
      </c>
      <c r="AF175" s="369"/>
      <c r="AG175" s="368">
        <f>ABS(INDEX(AG:AG,MATCH(AG172,$AA:$AA,0)+5)+INDEX(AG:AG,MATCH(AG172,$AA:$AA,0)+6)+INDEX(AG:AG,MATCH(AG172,$AA:$AA,0)+7))</f>
        <v>214</v>
      </c>
      <c r="AH175" s="369"/>
      <c r="AI175" s="368">
        <f>ABS(INDEX(AI:AI,MATCH(AI172,$AA:$AA,0)+5)+INDEX(AI:AI,MATCH(AI172,$AA:$AA,0)+6)+INDEX(AI:AI,MATCH(AI172,$AA:$AA,0)+7))</f>
        <v>195</v>
      </c>
      <c r="AJ175" s="369"/>
      <c r="AK175" s="368">
        <f>ABS(INDEX(AK:AK,MATCH(AK172,$AA:$AA,0)+5)+INDEX(AK:AK,MATCH(AK172,$AA:$AA,0)+6)+INDEX(AK:AK,MATCH(AK172,$AA:$AA,0)+7))</f>
        <v>234</v>
      </c>
      <c r="AL175" s="369"/>
      <c r="AM175" s="368">
        <f>ABS(INDEX(AM:AM,MATCH(AM172,$AA:$AA,0)+5)+INDEX(AM:AM,MATCH(AM172,$AA:$AA,0)+6)+INDEX(AM:AM,MATCH(AM172,$AA:$AA,0)+7))</f>
        <v>224</v>
      </c>
      <c r="AN175" s="369"/>
      <c r="AO175" s="368">
        <f>ABS(INDEX(AO:AO,MATCH(AO172,$AA:$AA,0)+5)+INDEX(AO:AO,MATCH(AO172,$AA:$AA,0)+6)+INDEX(AO:AO,MATCH(AO172,$AA:$AA,0)+7))</f>
        <v>174</v>
      </c>
      <c r="AP175" s="369"/>
      <c r="AQ175" s="368">
        <f>ABS(INDEX(AQ:AQ,MATCH(AQ172,$AA:$AA,0)+5)+INDEX(AQ:AQ,MATCH(AQ172,$AA:$AA,0)+6)+INDEX(AQ:AQ,MATCH(AQ172,$AA:$AA,0)+7))</f>
        <v>172</v>
      </c>
      <c r="AR175" s="369"/>
      <c r="AS175" s="368">
        <f>ABS(INDEX(AS:AS,MATCH(AS172,$AA:$AA,0)+5)+INDEX(AS:AS,MATCH(AS172,$AA:$AA,0)+6)+INDEX(AS:AS,MATCH(AS172,$AA:$AA,0)+7))</f>
        <v>135</v>
      </c>
      <c r="AT175" s="369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4" t="str">
        <f t="shared" si="216"/>
        <v>Spieler 2</v>
      </c>
      <c r="C176" s="375" t="str">
        <f t="shared" si="217"/>
        <v/>
      </c>
      <c r="D176" s="362">
        <f>IF(AC176=301,"",AC176)</f>
        <v>185</v>
      </c>
      <c r="E176" s="362" t="str">
        <f>IF(AD176=0,"",AD176)</f>
        <v/>
      </c>
      <c r="F176" s="362">
        <f>IF(AE176=301,"",AE176)</f>
        <v>138</v>
      </c>
      <c r="G176" s="362" t="str">
        <f>IF(AF176=0,"",AF176)</f>
        <v/>
      </c>
      <c r="H176" s="362">
        <f>IF(AG176=301,"",AG176)</f>
        <v>258</v>
      </c>
      <c r="I176" s="362" t="str">
        <f>IF(AH176=0,"",AH176)</f>
        <v/>
      </c>
      <c r="J176" s="362">
        <f>IF(AI176=301,"",AI176)</f>
        <v>194</v>
      </c>
      <c r="K176" s="362" t="str">
        <f>IF(AJ176=0,"",AJ176)</f>
        <v/>
      </c>
      <c r="L176" s="362">
        <f>IF(AK176=301,"",AK176)</f>
        <v>162</v>
      </c>
      <c r="M176" s="362" t="str">
        <f>IF(AL176=0,"",AL176)</f>
        <v/>
      </c>
      <c r="N176" s="362">
        <f>IF(AM176=301,"",AM176)</f>
        <v>211</v>
      </c>
      <c r="O176" s="362" t="str">
        <f>IF(AN176=0,"",AN176)</f>
        <v/>
      </c>
      <c r="P176" s="362">
        <f>IF(AO176=301,"",AO176)</f>
        <v>167</v>
      </c>
      <c r="Q176" s="362" t="str">
        <f>IF(AP176=0,"",AP176)</f>
        <v/>
      </c>
      <c r="R176" s="362">
        <f>IF(AQ176=301,"",AQ176)</f>
        <v>189</v>
      </c>
      <c r="S176" s="362" t="str">
        <f>IF(AR176=0,"",AR176)</f>
        <v/>
      </c>
      <c r="T176" s="362">
        <f>IF(AS176=301,"",AS176)</f>
        <v>204</v>
      </c>
      <c r="U176" s="362" t="str">
        <f>IF(AT176=0,"",AT176)</f>
        <v/>
      </c>
      <c r="V176" s="364"/>
      <c r="W176" s="364"/>
      <c r="AA176" s="91" t="s">
        <v>2</v>
      </c>
      <c r="AB176" s="92"/>
      <c r="AC176" s="366">
        <f>ABS(INDEX(AC:AC,MATCH(AC172,$AA:$AA,0)+8)+INDEX(AC:AC,MATCH(AC172,$AA:$AA,0)+9)+INDEX(AC:AC,MATCH(AC172,$AA:$AA,0)+10))</f>
        <v>185</v>
      </c>
      <c r="AD176" s="367"/>
      <c r="AE176" s="366">
        <f>ABS(INDEX(AE:AE,MATCH(AE172,$AA:$AA,0)+8)+INDEX(AE:AE,MATCH(AE172,$AA:$AA,0)+9)+INDEX(AE:AE,MATCH(AE172,$AA:$AA,0)+10))</f>
        <v>138</v>
      </c>
      <c r="AF176" s="367"/>
      <c r="AG176" s="366">
        <f>ABS(INDEX(AG:AG,MATCH(AG172,$AA:$AA,0)+8)+INDEX(AG:AG,MATCH(AG172,$AA:$AA,0)+9)+INDEX(AG:AG,MATCH(AG172,$AA:$AA,0)+10))</f>
        <v>258</v>
      </c>
      <c r="AH176" s="367"/>
      <c r="AI176" s="366">
        <f>ABS(INDEX(AI:AI,MATCH(AI172,$AA:$AA,0)+8)+INDEX(AI:AI,MATCH(AI172,$AA:$AA,0)+9)+INDEX(AI:AI,MATCH(AI172,$AA:$AA,0)+10))</f>
        <v>194</v>
      </c>
      <c r="AJ176" s="367"/>
      <c r="AK176" s="366">
        <f>ABS(INDEX(AK:AK,MATCH(AK172,$AA:$AA,0)+8)+INDEX(AK:AK,MATCH(AK172,$AA:$AA,0)+9)+INDEX(AK:AK,MATCH(AK172,$AA:$AA,0)+10))</f>
        <v>162</v>
      </c>
      <c r="AL176" s="367"/>
      <c r="AM176" s="366">
        <f>ABS(INDEX(AM:AM,MATCH(AM172,$AA:$AA,0)+8)+INDEX(AM:AM,MATCH(AM172,$AA:$AA,0)+9)+INDEX(AM:AM,MATCH(AM172,$AA:$AA,0)+10))</f>
        <v>211</v>
      </c>
      <c r="AN176" s="367"/>
      <c r="AO176" s="366">
        <f>ABS(INDEX(AO:AO,MATCH(AO172,$AA:$AA,0)+8)+INDEX(AO:AO,MATCH(AO172,$AA:$AA,0)+9)+INDEX(AO:AO,MATCH(AO172,$AA:$AA,0)+10))</f>
        <v>167</v>
      </c>
      <c r="AP176" s="367"/>
      <c r="AQ176" s="366">
        <f>ABS(INDEX(AQ:AQ,MATCH(AQ172,$AA:$AA,0)+8)+INDEX(AQ:AQ,MATCH(AQ172,$AA:$AA,0)+9)+INDEX(AQ:AQ,MATCH(AQ172,$AA:$AA,0)+10))</f>
        <v>189</v>
      </c>
      <c r="AR176" s="367"/>
      <c r="AS176" s="366">
        <f>ABS(INDEX(AS:AS,MATCH(AS172,$AA:$AA,0)+8)+INDEX(AS:AS,MATCH(AS172,$AA:$AA,0)+9)+INDEX(AS:AS,MATCH(AS172,$AA:$AA,0)+10))</f>
        <v>204</v>
      </c>
      <c r="AT176" s="367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4" t="str">
        <f t="shared" si="216"/>
        <v>Spieler 3</v>
      </c>
      <c r="C177" s="375" t="str">
        <f t="shared" si="217"/>
        <v/>
      </c>
      <c r="D177" s="362">
        <f>IF(AC177=301,"",AC177)</f>
        <v>246</v>
      </c>
      <c r="E177" s="362" t="str">
        <f>IF(AD177=0,"",AD177)</f>
        <v/>
      </c>
      <c r="F177" s="362">
        <f>IF(AE177=301,"",AE177)</f>
        <v>176</v>
      </c>
      <c r="G177" s="362" t="str">
        <f>IF(AF177=0,"",AF177)</f>
        <v/>
      </c>
      <c r="H177" s="362">
        <f>IF(AG177=301,"",AG177)</f>
        <v>225</v>
      </c>
      <c r="I177" s="362" t="str">
        <f>IF(AH177=0,"",AH177)</f>
        <v/>
      </c>
      <c r="J177" s="362">
        <f>IF(AI177=301,"",AI177)</f>
        <v>203</v>
      </c>
      <c r="K177" s="362" t="str">
        <f>IF(AJ177=0,"",AJ177)</f>
        <v/>
      </c>
      <c r="L177" s="362">
        <f>IF(AK177=301,"",AK177)</f>
        <v>198</v>
      </c>
      <c r="M177" s="362" t="str">
        <f>IF(AL177=0,"",AL177)</f>
        <v/>
      </c>
      <c r="N177" s="362">
        <f>IF(AM177=301,"",AM177)</f>
        <v>196</v>
      </c>
      <c r="O177" s="362" t="str">
        <f>IF(AN177=0,"",AN177)</f>
        <v/>
      </c>
      <c r="P177" s="362">
        <f>IF(AO177=301,"",AO177)</f>
        <v>178</v>
      </c>
      <c r="Q177" s="362" t="str">
        <f>IF(AP177=0,"",AP177)</f>
        <v/>
      </c>
      <c r="R177" s="362">
        <f>IF(AQ177=301,"",AQ177)</f>
        <v>219</v>
      </c>
      <c r="S177" s="362" t="str">
        <f>IF(AR177=0,"",AR177)</f>
        <v/>
      </c>
      <c r="T177" s="362">
        <f>IF(AS177=301,"",AS177)</f>
        <v>200</v>
      </c>
      <c r="U177" s="362" t="str">
        <f>IF(AT177=0,"",AT177)</f>
        <v/>
      </c>
      <c r="V177" s="364"/>
      <c r="W177" s="364"/>
      <c r="AA177" s="91" t="s">
        <v>3</v>
      </c>
      <c r="AB177" s="92"/>
      <c r="AC177" s="366">
        <f>ABS(INDEX(AC:AC,MATCH(AC172,$AA:$AA,0)+11)+INDEX(AC:AC,MATCH(AC172,$AA:$AA,0)+12)+INDEX(AC:AC,MATCH(AC172,$AA:$AA,0)+13))</f>
        <v>246</v>
      </c>
      <c r="AD177" s="367"/>
      <c r="AE177" s="366">
        <f>ABS(INDEX(AE:AE,MATCH(AE172,$AA:$AA,0)+11)+INDEX(AE:AE,MATCH(AE172,$AA:$AA,0)+12)+INDEX(AE:AE,MATCH(AE172,$AA:$AA,0)+13))</f>
        <v>176</v>
      </c>
      <c r="AF177" s="367"/>
      <c r="AG177" s="366">
        <f>ABS(INDEX(AG:AG,MATCH(AG172,$AA:$AA,0)+11)+INDEX(AG:AG,MATCH(AG172,$AA:$AA,0)+12)+INDEX(AG:AG,MATCH(AG172,$AA:$AA,0)+13))</f>
        <v>225</v>
      </c>
      <c r="AH177" s="367"/>
      <c r="AI177" s="366">
        <f>ABS(INDEX(AI:AI,MATCH(AI172,$AA:$AA,0)+11)+INDEX(AI:AI,MATCH(AI172,$AA:$AA,0)+12)+INDEX(AI:AI,MATCH(AI172,$AA:$AA,0)+13))</f>
        <v>203</v>
      </c>
      <c r="AJ177" s="367"/>
      <c r="AK177" s="366">
        <f>ABS(INDEX(AK:AK,MATCH(AK172,$AA:$AA,0)+11)+INDEX(AK:AK,MATCH(AK172,$AA:$AA,0)+12)+INDEX(AK:AK,MATCH(AK172,$AA:$AA,0)+13))</f>
        <v>198</v>
      </c>
      <c r="AL177" s="367"/>
      <c r="AM177" s="366">
        <f>ABS(INDEX(AM:AM,MATCH(AM172,$AA:$AA,0)+11)+INDEX(AM:AM,MATCH(AM172,$AA:$AA,0)+12)+INDEX(AM:AM,MATCH(AM172,$AA:$AA,0)+13))</f>
        <v>196</v>
      </c>
      <c r="AN177" s="367"/>
      <c r="AO177" s="366">
        <f>ABS(INDEX(AO:AO,MATCH(AO172,$AA:$AA,0)+11)+INDEX(AO:AO,MATCH(AO172,$AA:$AA,0)+12)+INDEX(AO:AO,MATCH(AO172,$AA:$AA,0)+13))</f>
        <v>178</v>
      </c>
      <c r="AP177" s="367"/>
      <c r="AQ177" s="366">
        <f>ABS(INDEX(AQ:AQ,MATCH(AQ172,$AA:$AA,0)+11)+INDEX(AQ:AQ,MATCH(AQ172,$AA:$AA,0)+12)+INDEX(AQ:AQ,MATCH(AQ172,$AA:$AA,0)+13))</f>
        <v>219</v>
      </c>
      <c r="AR177" s="367"/>
      <c r="AS177" s="366">
        <f>ABS(INDEX(AS:AS,MATCH(AS172,$AA:$AA,0)+11)+INDEX(AS:AS,MATCH(AS172,$AA:$AA,0)+12)+INDEX(AS:AS,MATCH(AS172,$AA:$AA,0)+13))</f>
        <v>200</v>
      </c>
      <c r="AT177" s="367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4" t="str">
        <f t="shared" si="216"/>
        <v>Spieler 4</v>
      </c>
      <c r="C178" s="375" t="str">
        <f t="shared" si="217"/>
        <v/>
      </c>
      <c r="D178" s="362">
        <f>IF(AC178=301,"",AC178)</f>
        <v>204</v>
      </c>
      <c r="E178" s="362" t="str">
        <f>IF(AD178=0,"",AD178)</f>
        <v/>
      </c>
      <c r="F178" s="362">
        <f>IF(AE178=301,"",AE178)</f>
        <v>166</v>
      </c>
      <c r="G178" s="362" t="str">
        <f>IF(AF178=0,"",AF178)</f>
        <v/>
      </c>
      <c r="H178" s="362">
        <f>IF(AG178=301,"",AG178)</f>
        <v>182</v>
      </c>
      <c r="I178" s="362" t="str">
        <f>IF(AH178=0,"",AH178)</f>
        <v/>
      </c>
      <c r="J178" s="362">
        <f>IF(AI178=301,"",AI178)</f>
        <v>172</v>
      </c>
      <c r="K178" s="362" t="str">
        <f>IF(AJ178=0,"",AJ178)</f>
        <v/>
      </c>
      <c r="L178" s="362">
        <f>IF(AK178=301,"",AK178)</f>
        <v>223</v>
      </c>
      <c r="M178" s="362" t="str">
        <f>IF(AL178=0,"",AL178)</f>
        <v/>
      </c>
      <c r="N178" s="362">
        <f>IF(AM178=301,"",AM178)</f>
        <v>230</v>
      </c>
      <c r="O178" s="362" t="str">
        <f>IF(AN178=0,"",AN178)</f>
        <v/>
      </c>
      <c r="P178" s="362">
        <f>IF(AO178=301,"",AO178)</f>
        <v>252</v>
      </c>
      <c r="Q178" s="362" t="str">
        <f>IF(AP178=0,"",AP178)</f>
        <v/>
      </c>
      <c r="R178" s="362">
        <f>IF(AQ178=301,"",AQ178)</f>
        <v>212</v>
      </c>
      <c r="S178" s="362" t="str">
        <f>IF(AR178=0,"",AR178)</f>
        <v/>
      </c>
      <c r="T178" s="362">
        <f>IF(AS178=301,"",AS178)</f>
        <v>216</v>
      </c>
      <c r="U178" s="362" t="str">
        <f>IF(AT178=0,"",AT178)</f>
        <v/>
      </c>
      <c r="V178" s="364"/>
      <c r="W178" s="364"/>
      <c r="AA178" s="91" t="s">
        <v>11</v>
      </c>
      <c r="AB178" s="92"/>
      <c r="AC178" s="366">
        <f>ABS(INDEX(AC:AC,MATCH(AC172,$AA:$AA,0)+14)+INDEX(AC:AC,MATCH(AC172,$AA:$AA,0)+15)+INDEX(AC:AC,MATCH(AC172,$AA:$AA,0)+16))</f>
        <v>204</v>
      </c>
      <c r="AD178" s="367"/>
      <c r="AE178" s="366">
        <f>ABS(INDEX(AE:AE,MATCH(AE172,$AA:$AA,0)+14)+INDEX(AE:AE,MATCH(AE172,$AA:$AA,0)+15)+INDEX(AE:AE,MATCH(AE172,$AA:$AA,0)+16))</f>
        <v>166</v>
      </c>
      <c r="AF178" s="367"/>
      <c r="AG178" s="366">
        <f>ABS(INDEX(AG:AG,MATCH(AG172,$AA:$AA,0)+14)+INDEX(AG:AG,MATCH(AG172,$AA:$AA,0)+15)+INDEX(AG:AG,MATCH(AG172,$AA:$AA,0)+16))</f>
        <v>182</v>
      </c>
      <c r="AH178" s="367"/>
      <c r="AI178" s="366">
        <f>ABS(INDEX(AI:AI,MATCH(AI172,$AA:$AA,0)+14)+INDEX(AI:AI,MATCH(AI172,$AA:$AA,0)+15)+INDEX(AI:AI,MATCH(AI172,$AA:$AA,0)+16))</f>
        <v>172</v>
      </c>
      <c r="AJ178" s="367"/>
      <c r="AK178" s="366">
        <f>ABS(INDEX(AK:AK,MATCH(AK172,$AA:$AA,0)+14)+INDEX(AK:AK,MATCH(AK172,$AA:$AA,0)+15)+INDEX(AK:AK,MATCH(AK172,$AA:$AA,0)+16))</f>
        <v>223</v>
      </c>
      <c r="AL178" s="367"/>
      <c r="AM178" s="366">
        <f>ABS(INDEX(AM:AM,MATCH(AM172,$AA:$AA,0)+14)+INDEX(AM:AM,MATCH(AM172,$AA:$AA,0)+15)+INDEX(AM:AM,MATCH(AM172,$AA:$AA,0)+16))</f>
        <v>230</v>
      </c>
      <c r="AN178" s="367"/>
      <c r="AO178" s="366">
        <f>ABS(INDEX(AO:AO,MATCH(AO172,$AA:$AA,0)+14)+INDEX(AO:AO,MATCH(AO172,$AA:$AA,0)+15)+INDEX(AO:AO,MATCH(AO172,$AA:$AA,0)+16))</f>
        <v>252</v>
      </c>
      <c r="AP178" s="367"/>
      <c r="AQ178" s="366">
        <f>ABS(INDEX(AQ:AQ,MATCH(AQ172,$AA:$AA,0)+14)+INDEX(AQ:AQ,MATCH(AQ172,$AA:$AA,0)+15)+INDEX(AQ:AQ,MATCH(AQ172,$AA:$AA,0)+16))</f>
        <v>212</v>
      </c>
      <c r="AR178" s="367"/>
      <c r="AS178" s="366">
        <f>ABS(INDEX(AS:AS,MATCH(AS172,$AA:$AA,0)+14)+INDEX(AS:AS,MATCH(AS172,$AA:$AA,0)+15)+INDEX(AS:AS,MATCH(AS172,$AA:$AA,0)+16))</f>
        <v>216</v>
      </c>
      <c r="AT178" s="367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6" t="str">
        <f t="shared" si="216"/>
        <v>Gesamt</v>
      </c>
      <c r="C179" s="347" t="str">
        <f t="shared" si="217"/>
        <v/>
      </c>
      <c r="D179" s="365">
        <f>IF(AC179=1505,"",AC179)</f>
        <v>912</v>
      </c>
      <c r="E179" s="365" t="str">
        <f>IF(AD179=0,"",AD179)</f>
        <v/>
      </c>
      <c r="F179" s="365">
        <f>IF(AE179=1505,"",AE179)</f>
        <v>625</v>
      </c>
      <c r="G179" s="365" t="str">
        <f>IF(AF179=0,"",AF179)</f>
        <v/>
      </c>
      <c r="H179" s="365">
        <f>IF(AG179=1505,"",AG179)</f>
        <v>879</v>
      </c>
      <c r="I179" s="365" t="str">
        <f>IF(AH179=0,"",AH179)</f>
        <v/>
      </c>
      <c r="J179" s="365">
        <f>IF(AI179=1505,"",AI179)</f>
        <v>764</v>
      </c>
      <c r="K179" s="365" t="str">
        <f>IF(AJ179=0,"",AJ179)</f>
        <v/>
      </c>
      <c r="L179" s="365">
        <f>IF(AK179=1505,"",AK179)</f>
        <v>817</v>
      </c>
      <c r="M179" s="365" t="str">
        <f>IF(AL179=0,"",AL179)</f>
        <v/>
      </c>
      <c r="N179" s="365">
        <f>IF(AM179=1505,"",AM179)</f>
        <v>861</v>
      </c>
      <c r="O179" s="365" t="str">
        <f>IF(AN179=0,"",AN179)</f>
        <v/>
      </c>
      <c r="P179" s="365">
        <f>IF(AO179=1505,"",AO179)</f>
        <v>771</v>
      </c>
      <c r="Q179" s="365" t="str">
        <f>IF(AP179=0,"",AP179)</f>
        <v/>
      </c>
      <c r="R179" s="365">
        <f>IF(AQ179=1505,"",AQ179)</f>
        <v>792</v>
      </c>
      <c r="S179" s="365" t="str">
        <f>IF(AR179=0,"",AR179)</f>
        <v/>
      </c>
      <c r="T179" s="365">
        <f>IF(AS179=1505,"",AS179)</f>
        <v>755</v>
      </c>
      <c r="U179" s="365" t="str">
        <f>IF(AT179=0,"",AT179)</f>
        <v/>
      </c>
      <c r="V179" s="301"/>
      <c r="W179" s="301"/>
      <c r="AA179" s="93" t="s">
        <v>1799</v>
      </c>
      <c r="AB179" s="94"/>
      <c r="AC179" s="346">
        <f>SUM(AC175:AC178)</f>
        <v>912</v>
      </c>
      <c r="AD179" s="347"/>
      <c r="AE179" s="346">
        <f>SUM(AE175:AE178)</f>
        <v>625</v>
      </c>
      <c r="AF179" s="347"/>
      <c r="AG179" s="346">
        <f>SUM(AG175:AG178)</f>
        <v>879</v>
      </c>
      <c r="AH179" s="347"/>
      <c r="AI179" s="346">
        <f>SUM(AI175:AI178)</f>
        <v>764</v>
      </c>
      <c r="AJ179" s="347"/>
      <c r="AK179" s="346">
        <f>SUM(AK175:AK178)</f>
        <v>817</v>
      </c>
      <c r="AL179" s="347"/>
      <c r="AM179" s="346">
        <f>SUM(AM175:AM178)</f>
        <v>861</v>
      </c>
      <c r="AN179" s="347"/>
      <c r="AO179" s="346">
        <f>SUM(AO175:AO178)</f>
        <v>771</v>
      </c>
      <c r="AP179" s="347"/>
      <c r="AQ179" s="346">
        <f>SUM(AQ175:AQ178)</f>
        <v>792</v>
      </c>
      <c r="AR179" s="347"/>
      <c r="AS179" s="346">
        <f>SUM(AS175:AS178)</f>
        <v>755</v>
      </c>
      <c r="AT179" s="347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5" t="str">
        <f>AE181</f>
        <v>Bayernliga Herren</v>
      </c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48"/>
      <c r="S181" s="49" t="s">
        <v>1794</v>
      </c>
      <c r="T181" s="50"/>
      <c r="U181" s="341" t="str">
        <f>AT181</f>
        <v>12.10./13.10.</v>
      </c>
      <c r="V181" s="342"/>
      <c r="W181" s="343"/>
      <c r="X181" s="372"/>
      <c r="Y181" s="373"/>
      <c r="Z181" s="373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41" t="str">
        <f>VLOOKUP(AS182,Spielorte!$A$1:$C$6,2)</f>
        <v>12.10./13.10.</v>
      </c>
      <c r="AU181" s="342"/>
      <c r="AV181" s="34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4" t="str">
        <f>AE182</f>
        <v>Unterföhring Dreambowl Palace</v>
      </c>
      <c r="G182" s="344"/>
      <c r="H182" s="344"/>
      <c r="I182" s="344"/>
      <c r="J182" s="344"/>
      <c r="K182" s="344"/>
      <c r="L182" s="344"/>
      <c r="M182" s="344"/>
      <c r="N182" s="344"/>
      <c r="O182" s="344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6" t="s">
        <v>1800</v>
      </c>
      <c r="E185" s="347"/>
      <c r="F185" s="346" t="s">
        <v>1801</v>
      </c>
      <c r="G185" s="347"/>
      <c r="H185" s="346" t="s">
        <v>1802</v>
      </c>
      <c r="I185" s="347"/>
      <c r="J185" s="346" t="s">
        <v>1803</v>
      </c>
      <c r="K185" s="347"/>
      <c r="L185" s="346" t="s">
        <v>1804</v>
      </c>
      <c r="M185" s="347"/>
      <c r="N185" s="346" t="s">
        <v>1805</v>
      </c>
      <c r="O185" s="347"/>
      <c r="P185" s="346" t="s">
        <v>1806</v>
      </c>
      <c r="Q185" s="347"/>
      <c r="R185" s="346" t="s">
        <v>1807</v>
      </c>
      <c r="S185" s="347"/>
      <c r="T185" s="346" t="s">
        <v>1808</v>
      </c>
      <c r="U185" s="347"/>
      <c r="V185" s="354" t="s">
        <v>1799</v>
      </c>
      <c r="W185" s="355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6" t="s">
        <v>0</v>
      </c>
      <c r="B187" s="73" t="str">
        <f>IF(AA187=0,"",AA187)</f>
        <v>Klapper, Michael</v>
      </c>
      <c r="C187" s="74">
        <f>IF(AB187=0,"",AB187)</f>
        <v>25024</v>
      </c>
      <c r="D187" s="75">
        <f>IF(AC187=0,"",AC187)</f>
        <v>169</v>
      </c>
      <c r="E187" s="348">
        <f>IF(AD187="","",AD187)</f>
        <v>0</v>
      </c>
      <c r="F187" s="75">
        <f t="shared" ref="F187:F200" si="220">IF(AE187=0,"",AE187)</f>
        <v>145</v>
      </c>
      <c r="G187" s="348">
        <f>IF(AF187="","",AF187)</f>
        <v>0</v>
      </c>
      <c r="H187" s="75">
        <f t="shared" ref="H187:H200" si="221">IF(AG187=0,"",AG187)</f>
        <v>148</v>
      </c>
      <c r="I187" s="348">
        <f>IF(AH187="","",AH187)</f>
        <v>0</v>
      </c>
      <c r="J187" s="75">
        <f t="shared" ref="J187:J200" si="222">IF(AI187=0,"",AI187)</f>
        <v>163</v>
      </c>
      <c r="K187" s="348">
        <f>IF(AJ187="","",AJ187)</f>
        <v>0</v>
      </c>
      <c r="L187" s="75">
        <f t="shared" ref="L187:L200" si="223">IF(AK187=0,"",AK187)</f>
        <v>125</v>
      </c>
      <c r="M187" s="348">
        <f>IF(AL187="","",AL187)</f>
        <v>0</v>
      </c>
      <c r="N187" s="75">
        <f>IF(AM187=0,"",AM187)</f>
        <v>191</v>
      </c>
      <c r="O187" s="348">
        <f>IF(AN187="","",AN187)</f>
        <v>0</v>
      </c>
      <c r="P187" s="75">
        <f t="shared" ref="P187:P200" si="224">IF(AO187=0,"",AO187)</f>
        <v>166</v>
      </c>
      <c r="Q187" s="348">
        <f>IF(AP187="","",AP187)</f>
        <v>0</v>
      </c>
      <c r="R187" s="75">
        <f t="shared" ref="R187:R200" si="225">IF(AQ187=0,"",AQ187)</f>
        <v>168</v>
      </c>
      <c r="S187" s="348">
        <f>IF(AR187="","",AR187)</f>
        <v>0</v>
      </c>
      <c r="T187" s="75">
        <f t="shared" ref="T187:T200" si="226">IF(AS187=0,"",AS187)</f>
        <v>159</v>
      </c>
      <c r="U187" s="348">
        <f>IF(AT187="","",AT187)</f>
        <v>0</v>
      </c>
      <c r="V187" s="75">
        <f t="shared" ref="V187:V200" si="227">IF(AU187=0,"",AU187)</f>
        <v>1434</v>
      </c>
      <c r="W187" s="348">
        <f>IF(AV187="","",AV187)</f>
        <v>0</v>
      </c>
      <c r="Z187" s="351" t="s">
        <v>0</v>
      </c>
      <c r="AA187" s="108" t="str">
        <f>IF(AB187=0,"",VLOOKUP(AB187,Starter!$A$1:$D$199,2,FALSE))</f>
        <v>Klapper, Michael</v>
      </c>
      <c r="AB187" s="99">
        <v>25024</v>
      </c>
      <c r="AC187" s="185">
        <v>169</v>
      </c>
      <c r="AD187" s="109">
        <f>IF(SUM(AC187:AC189)+AC205=0,0,IF(SUM(ABS(AC187),ABS(AC188),ABS(AC189))=AC205,0.5,IF(SUM(ABS(AC187),ABS(AC188),ABS(AC189))&gt;AC205,1,0)))</f>
        <v>0</v>
      </c>
      <c r="AE187" s="185">
        <v>145</v>
      </c>
      <c r="AF187" s="109">
        <f>IF(SUM(AE187:AE189)+AE205=0,0,IF(SUM(ABS(AE187),ABS(AE188),ABS(AE189))=AE205,0.5,IF(SUM(ABS(AE187),ABS(AE188),ABS(AE189))&gt;AE205,1,0)))</f>
        <v>0</v>
      </c>
      <c r="AG187" s="185">
        <v>148</v>
      </c>
      <c r="AH187" s="109">
        <f>IF(SUM(AG187:AG189)+AG205=0,0,IF(SUM(ABS(AG187),ABS(AG188),ABS(AG189))=AG205,0.5,IF(SUM(ABS(AG187),ABS(AG188),ABS(AG189))&gt;AG205,1,0)))</f>
        <v>0</v>
      </c>
      <c r="AI187" s="185">
        <v>163</v>
      </c>
      <c r="AJ187" s="109">
        <f>IF(SUM(AI187:AI189)+AI205=0,0,IF(SUM(ABS(AI187),ABS(AI188),ABS(AI189))=AI205,0.5,IF(SUM(ABS(AI187),ABS(AI188),ABS(AI189))&gt;AI205,1,0)))</f>
        <v>0</v>
      </c>
      <c r="AK187" s="185">
        <v>125</v>
      </c>
      <c r="AL187" s="109">
        <f>IF(SUM(AK187:AK189)+AK205=0,0,IF(SUM(ABS(AK187),ABS(AK188),ABS(AK189))=AK205,0.5,IF(SUM(ABS(AK187),ABS(AK188),ABS(AK189))&gt;AK205,1,0)))</f>
        <v>0</v>
      </c>
      <c r="AM187" s="185">
        <v>191</v>
      </c>
      <c r="AN187" s="109">
        <f>IF(SUM(AM187:AM189)+AM205=0,0,IF(SUM(ABS(AM187),ABS(AM188),ABS(AM189))=AM205,0.5,IF(SUM(ABS(AM187),ABS(AM188),ABS(AM189))&gt;AM205,1,0)))</f>
        <v>0</v>
      </c>
      <c r="AO187" s="185">
        <v>166</v>
      </c>
      <c r="AP187" s="109">
        <f>IF(SUM(AO187:AO189)+AO205=0,0,IF(SUM(ABS(AO187),ABS(AO188),ABS(AO189))=AO205,0.5,IF(SUM(ABS(AO187),ABS(AO188),ABS(AO189))&gt;AO205,1,0)))</f>
        <v>0</v>
      </c>
      <c r="AQ187" s="185">
        <v>168</v>
      </c>
      <c r="AR187" s="109">
        <f>IF(SUM(AQ187:AQ189)+AQ205=0,0,IF(SUM(ABS(AQ187),ABS(AQ188),ABS(AQ189))=AQ205,0.5,IF(SUM(ABS(AQ187),ABS(AQ188),ABS(AQ189))&gt;AQ205,1,0)))</f>
        <v>0</v>
      </c>
      <c r="AS187" s="185">
        <v>159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1434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25024</v>
      </c>
      <c r="BE187" s="213">
        <f>+AU187</f>
        <v>1434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169</v>
      </c>
      <c r="BI187" s="215">
        <f t="shared" ref="BI187:BI198" si="230">IF(AE187=0,"",AE187)</f>
        <v>145</v>
      </c>
      <c r="BJ187" s="215">
        <f t="shared" ref="BJ187:BJ198" si="231">IF(AG187=0,"",AG187)</f>
        <v>148</v>
      </c>
      <c r="BK187" s="215">
        <f t="shared" ref="BK187:BK198" si="232">IF(AI187=0,"",AI187)</f>
        <v>163</v>
      </c>
      <c r="BL187" s="215">
        <f t="shared" ref="BL187:BL198" si="233">IF(AK187=0,"",AK187)</f>
        <v>125</v>
      </c>
      <c r="BM187" s="215">
        <f t="shared" ref="BM187:BM198" si="234">IF(AM187=0,"",AM187)</f>
        <v>191</v>
      </c>
      <c r="BN187" s="215">
        <f t="shared" ref="BN187:BN198" si="235">IF(AO187=0,"",AO187)</f>
        <v>166</v>
      </c>
      <c r="BO187" s="215">
        <f t="shared" ref="BO187:BO198" si="236">IF(AQ187=0,"",AQ187)</f>
        <v>168</v>
      </c>
      <c r="BP187" s="215">
        <f t="shared" ref="BP187:BP198" si="237">IF(AS187=0,"",AS187)</f>
        <v>159</v>
      </c>
      <c r="BQ187" s="216"/>
      <c r="BR187" s="214"/>
      <c r="BS187" s="215">
        <f>MAX(BH187:BP187)</f>
        <v>191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1434</v>
      </c>
      <c r="BX187" s="215">
        <f>IF(COUNTIF(BH187:BP187,"&gt;0")&lt;Spielorte!$A$23,0,BE187/Spielorte!$A$23)</f>
        <v>159.33333333333334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00000000000001" customHeight="1" x14ac:dyDescent="0.25">
      <c r="A188" s="377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49"/>
      <c r="F188" s="78" t="str">
        <f t="shared" si="220"/>
        <v/>
      </c>
      <c r="G188" s="349"/>
      <c r="H188" s="78" t="str">
        <f t="shared" si="221"/>
        <v/>
      </c>
      <c r="I188" s="349"/>
      <c r="J188" s="78" t="str">
        <f t="shared" si="222"/>
        <v/>
      </c>
      <c r="K188" s="349"/>
      <c r="L188" s="78" t="str">
        <f t="shared" si="223"/>
        <v/>
      </c>
      <c r="M188" s="349"/>
      <c r="N188" s="78" t="str">
        <f t="shared" ref="N188:N200" si="242">IF(AM188=0,"",AM188)</f>
        <v/>
      </c>
      <c r="O188" s="349"/>
      <c r="P188" s="78" t="str">
        <f t="shared" si="224"/>
        <v/>
      </c>
      <c r="Q188" s="349"/>
      <c r="R188" s="78" t="str">
        <f t="shared" si="225"/>
        <v/>
      </c>
      <c r="S188" s="349"/>
      <c r="T188" s="78" t="str">
        <f t="shared" si="226"/>
        <v/>
      </c>
      <c r="U188" s="349"/>
      <c r="V188" s="78" t="str">
        <f t="shared" si="227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Schanzer Ingolstadt 1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00000000000001" customHeight="1" thickBot="1" x14ac:dyDescent="0.3">
      <c r="A189" s="378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50"/>
      <c r="F189" s="69" t="str">
        <f t="shared" si="220"/>
        <v/>
      </c>
      <c r="G189" s="350"/>
      <c r="H189" s="69" t="str">
        <f t="shared" si="221"/>
        <v/>
      </c>
      <c r="I189" s="350"/>
      <c r="J189" s="69" t="str">
        <f t="shared" si="222"/>
        <v/>
      </c>
      <c r="K189" s="350"/>
      <c r="L189" s="69" t="str">
        <f t="shared" si="223"/>
        <v/>
      </c>
      <c r="M189" s="350"/>
      <c r="N189" s="69" t="str">
        <f t="shared" si="242"/>
        <v/>
      </c>
      <c r="O189" s="350"/>
      <c r="P189" s="69" t="str">
        <f t="shared" si="224"/>
        <v/>
      </c>
      <c r="Q189" s="350"/>
      <c r="R189" s="69" t="str">
        <f t="shared" si="225"/>
        <v/>
      </c>
      <c r="S189" s="350"/>
      <c r="T189" s="69" t="str">
        <f t="shared" si="226"/>
        <v/>
      </c>
      <c r="U189" s="350"/>
      <c r="V189" s="69" t="str">
        <f t="shared" si="227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Schanzer Ingolstadt 1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00000000000001" customHeight="1" x14ac:dyDescent="0.25">
      <c r="A190" s="376" t="s">
        <v>2</v>
      </c>
      <c r="B190" s="73" t="str">
        <f t="shared" si="239"/>
        <v>Schmied, Markus</v>
      </c>
      <c r="C190" s="74">
        <f t="shared" si="240"/>
        <v>38361</v>
      </c>
      <c r="D190" s="75">
        <f t="shared" si="241"/>
        <v>201</v>
      </c>
      <c r="E190" s="348">
        <f>IF(AD190="","",AD190)</f>
        <v>0</v>
      </c>
      <c r="F190" s="75">
        <f t="shared" si="220"/>
        <v>138</v>
      </c>
      <c r="G190" s="348">
        <f>IF(AF190="","",AF190)</f>
        <v>0</v>
      </c>
      <c r="H190" s="75">
        <f t="shared" si="221"/>
        <v>138</v>
      </c>
      <c r="I190" s="348">
        <f>IF(AH190="","",AH190)</f>
        <v>0</v>
      </c>
      <c r="J190" s="75">
        <f t="shared" si="222"/>
        <v>156</v>
      </c>
      <c r="K190" s="348">
        <f>IF(AJ190="","",AJ190)</f>
        <v>0</v>
      </c>
      <c r="L190" s="75">
        <f t="shared" si="223"/>
        <v>185</v>
      </c>
      <c r="M190" s="348">
        <f>IF(AL190="","",AL190)</f>
        <v>1</v>
      </c>
      <c r="N190" s="75">
        <f t="shared" si="242"/>
        <v>193</v>
      </c>
      <c r="O190" s="348">
        <f>IF(AN190="","",AN190)</f>
        <v>0</v>
      </c>
      <c r="P190" s="75">
        <f t="shared" si="224"/>
        <v>170</v>
      </c>
      <c r="Q190" s="348">
        <f>IF(AP190="","",AP190)</f>
        <v>0</v>
      </c>
      <c r="R190" s="75">
        <f t="shared" si="225"/>
        <v>169</v>
      </c>
      <c r="S190" s="348">
        <f>IF(AR190="","",AR190)</f>
        <v>1</v>
      </c>
      <c r="T190" s="75">
        <f t="shared" si="226"/>
        <v>201</v>
      </c>
      <c r="U190" s="348">
        <f>IF(AT190="","",AT190)</f>
        <v>1</v>
      </c>
      <c r="V190" s="75">
        <f t="shared" si="227"/>
        <v>1551</v>
      </c>
      <c r="W190" s="348">
        <f>IF(AV190="","",AV190)</f>
        <v>3</v>
      </c>
      <c r="Z190" s="351" t="s">
        <v>2</v>
      </c>
      <c r="AA190" s="108" t="str">
        <f>IF(AB190=0,"",VLOOKUP(AB190,Starter!$A$1:$D$199,2,FALSE))</f>
        <v>Schmied, Markus</v>
      </c>
      <c r="AB190" s="99">
        <v>38361</v>
      </c>
      <c r="AC190" s="188">
        <v>201</v>
      </c>
      <c r="AD190" s="109">
        <f>IF(SUM(AC190:AC192)+AC206=0,0,IF(SUM(ABS(AC190),ABS(AC191),ABS(AC192))=AC206,0.5,IF(SUM(ABS(AC190),ABS(AC191),ABS(AC192))&gt;AC206,1,0)))</f>
        <v>0</v>
      </c>
      <c r="AE190" s="188">
        <v>138</v>
      </c>
      <c r="AF190" s="109">
        <f>IF(SUM(AE190:AE192)+AE206=0,0,IF(SUM(ABS(AE190),ABS(AE191),ABS(AE192))=AE206,0.5,IF(SUM(ABS(AE190),ABS(AE191),ABS(AE192))&gt;AE206,1,0)))</f>
        <v>0</v>
      </c>
      <c r="AG190" s="188">
        <v>138</v>
      </c>
      <c r="AH190" s="109">
        <f>IF(SUM(AG190:AG192)+AG206=0,0,IF(SUM(ABS(AG190),ABS(AG191),ABS(AG192))=AG206,0.5,IF(SUM(ABS(AG190),ABS(AG191),ABS(AG192))&gt;AG206,1,0)))</f>
        <v>0</v>
      </c>
      <c r="AI190" s="188">
        <v>156</v>
      </c>
      <c r="AJ190" s="109">
        <f>IF(SUM(AI190:AI192)+AI206=0,0,IF(SUM(ABS(AI190),ABS(AI191),ABS(AI192))=AI206,0.5,IF(SUM(ABS(AI190),ABS(AI191),ABS(AI192))&gt;AI206,1,0)))</f>
        <v>0</v>
      </c>
      <c r="AK190" s="188">
        <v>185</v>
      </c>
      <c r="AL190" s="109">
        <f>IF(SUM(AK190:AK192)+AK206=0,0,IF(SUM(ABS(AK190),ABS(AK191),ABS(AK192))=AK206,0.5,IF(SUM(ABS(AK190),ABS(AK191),ABS(AK192))&gt;AK206,1,0)))</f>
        <v>1</v>
      </c>
      <c r="AM190" s="188">
        <v>193</v>
      </c>
      <c r="AN190" s="109">
        <f>IF(SUM(AM190:AM192)+AM206=0,0,IF(SUM(ABS(AM190),ABS(AM191),ABS(AM192))=AM206,0.5,IF(SUM(ABS(AM190),ABS(AM191),ABS(AM192))&gt;AM206,1,0)))</f>
        <v>0</v>
      </c>
      <c r="AO190" s="188">
        <v>170</v>
      </c>
      <c r="AP190" s="109">
        <f>IF(SUM(AO190:AO192)+AO206=0,0,IF(SUM(ABS(AO190),ABS(AO191),ABS(AO192))=AO206,0.5,IF(SUM(ABS(AO190),ABS(AO191),ABS(AO192))&gt;AO206,1,0)))</f>
        <v>0</v>
      </c>
      <c r="AQ190" s="188">
        <v>169</v>
      </c>
      <c r="AR190" s="109">
        <f>IF(SUM(AQ190:AQ192)+AQ206=0,0,IF(SUM(ABS(AQ190),ABS(AQ191),ABS(AQ192))=AQ206,0.5,IF(SUM(ABS(AQ190),ABS(AQ191),ABS(AQ192))&gt;AQ206,1,0)))</f>
        <v>1</v>
      </c>
      <c r="AS190" s="188">
        <v>201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1551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43"/>
        <v>38361</v>
      </c>
      <c r="BE190" s="213">
        <f t="shared" si="244"/>
        <v>1551</v>
      </c>
      <c r="BF190" s="215">
        <f t="shared" si="245"/>
        <v>9</v>
      </c>
      <c r="BG190" s="215">
        <f t="shared" si="246"/>
        <v>9</v>
      </c>
      <c r="BH190" s="215">
        <f t="shared" si="229"/>
        <v>201</v>
      </c>
      <c r="BI190" s="215">
        <f t="shared" si="230"/>
        <v>138</v>
      </c>
      <c r="BJ190" s="215">
        <f t="shared" si="231"/>
        <v>138</v>
      </c>
      <c r="BK190" s="215">
        <f t="shared" si="232"/>
        <v>156</v>
      </c>
      <c r="BL190" s="215">
        <f t="shared" si="233"/>
        <v>185</v>
      </c>
      <c r="BM190" s="215">
        <f t="shared" si="234"/>
        <v>193</v>
      </c>
      <c r="BN190" s="215">
        <f t="shared" si="235"/>
        <v>170</v>
      </c>
      <c r="BO190" s="215">
        <f t="shared" si="236"/>
        <v>169</v>
      </c>
      <c r="BP190" s="215">
        <f t="shared" si="237"/>
        <v>201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Schanzer Ingolstadt 1</v>
      </c>
      <c r="BV190" s="214">
        <f t="shared" si="250"/>
        <v>2</v>
      </c>
      <c r="BW190" s="215">
        <f t="shared" si="251"/>
        <v>1551</v>
      </c>
      <c r="BX190" s="215">
        <f>IF(COUNTIF(BH190:BP190,"&gt;0")&lt;Spielorte!$A$23,0,BE190/Spielorte!$A$23)</f>
        <v>172.33333333333334</v>
      </c>
      <c r="BY190" s="215">
        <f t="shared" si="252"/>
        <v>0</v>
      </c>
      <c r="BZ190" s="214">
        <f t="shared" si="238"/>
        <v>0</v>
      </c>
    </row>
    <row r="191" spans="1:78" ht="17.100000000000001" customHeight="1" x14ac:dyDescent="0.25">
      <c r="A191" s="377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49"/>
      <c r="F191" s="78" t="str">
        <f t="shared" si="220"/>
        <v/>
      </c>
      <c r="G191" s="349"/>
      <c r="H191" s="78" t="str">
        <f t="shared" si="221"/>
        <v/>
      </c>
      <c r="I191" s="349"/>
      <c r="J191" s="78" t="str">
        <f t="shared" si="222"/>
        <v/>
      </c>
      <c r="K191" s="349"/>
      <c r="L191" s="78" t="str">
        <f t="shared" si="223"/>
        <v/>
      </c>
      <c r="M191" s="349"/>
      <c r="N191" s="78" t="str">
        <f t="shared" si="242"/>
        <v/>
      </c>
      <c r="O191" s="349"/>
      <c r="P191" s="78" t="str">
        <f t="shared" si="224"/>
        <v/>
      </c>
      <c r="Q191" s="349"/>
      <c r="R191" s="78" t="str">
        <f t="shared" si="225"/>
        <v/>
      </c>
      <c r="S191" s="349"/>
      <c r="T191" s="78" t="str">
        <f t="shared" si="226"/>
        <v/>
      </c>
      <c r="U191" s="349"/>
      <c r="V191" s="78" t="str">
        <f t="shared" si="227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Schanzer Ingolstadt 1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00000000000001" customHeight="1" thickBot="1" x14ac:dyDescent="0.3">
      <c r="A192" s="378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50"/>
      <c r="F192" s="69" t="str">
        <f t="shared" si="220"/>
        <v/>
      </c>
      <c r="G192" s="350"/>
      <c r="H192" s="69" t="str">
        <f t="shared" si="221"/>
        <v/>
      </c>
      <c r="I192" s="350"/>
      <c r="J192" s="69" t="str">
        <f t="shared" si="222"/>
        <v/>
      </c>
      <c r="K192" s="350"/>
      <c r="L192" s="69" t="str">
        <f t="shared" si="223"/>
        <v/>
      </c>
      <c r="M192" s="350"/>
      <c r="N192" s="69" t="str">
        <f t="shared" si="242"/>
        <v/>
      </c>
      <c r="O192" s="350"/>
      <c r="P192" s="69" t="str">
        <f t="shared" si="224"/>
        <v/>
      </c>
      <c r="Q192" s="350"/>
      <c r="R192" s="69" t="str">
        <f t="shared" si="225"/>
        <v/>
      </c>
      <c r="S192" s="350"/>
      <c r="T192" s="69" t="str">
        <f t="shared" si="226"/>
        <v/>
      </c>
      <c r="U192" s="350"/>
      <c r="V192" s="69" t="str">
        <f t="shared" si="227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Schanzer Ingolstadt 1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00000000000001" customHeight="1" x14ac:dyDescent="0.25">
      <c r="A193" s="376" t="s">
        <v>3</v>
      </c>
      <c r="B193" s="73" t="str">
        <f t="shared" si="239"/>
        <v>Spielvogel, Jochen</v>
      </c>
      <c r="C193" s="74">
        <f t="shared" si="240"/>
        <v>7348</v>
      </c>
      <c r="D193" s="75">
        <f t="shared" si="241"/>
        <v>181</v>
      </c>
      <c r="E193" s="348">
        <f>IF(AD193="","",AD193)</f>
        <v>1</v>
      </c>
      <c r="F193" s="75">
        <f t="shared" si="220"/>
        <v>176</v>
      </c>
      <c r="G193" s="348">
        <f>IF(AF193="","",AF193)</f>
        <v>1</v>
      </c>
      <c r="H193" s="75">
        <f t="shared" si="221"/>
        <v>168</v>
      </c>
      <c r="I193" s="348">
        <f>IF(AH193="","",AH193)</f>
        <v>1</v>
      </c>
      <c r="J193" s="75">
        <f t="shared" si="222"/>
        <v>177</v>
      </c>
      <c r="K193" s="348">
        <f>IF(AJ193="","",AJ193)</f>
        <v>0</v>
      </c>
      <c r="L193" s="75">
        <f t="shared" si="223"/>
        <v>200</v>
      </c>
      <c r="M193" s="348">
        <f>IF(AL193="","",AL193)</f>
        <v>0</v>
      </c>
      <c r="N193" s="75">
        <f t="shared" si="242"/>
        <v>214</v>
      </c>
      <c r="O193" s="348">
        <f>IF(AN193="","",AN193)</f>
        <v>1</v>
      </c>
      <c r="P193" s="75">
        <f t="shared" si="224"/>
        <v>183</v>
      </c>
      <c r="Q193" s="348">
        <f>IF(AP193="","",AP193)</f>
        <v>1</v>
      </c>
      <c r="R193" s="75">
        <f t="shared" si="225"/>
        <v>169</v>
      </c>
      <c r="S193" s="348">
        <f>IF(AR193="","",AR193)</f>
        <v>1</v>
      </c>
      <c r="T193" s="75">
        <f t="shared" si="226"/>
        <v>273</v>
      </c>
      <c r="U193" s="348">
        <f>IF(AT193="","",AT193)</f>
        <v>1</v>
      </c>
      <c r="V193" s="75">
        <f t="shared" si="227"/>
        <v>1741</v>
      </c>
      <c r="W193" s="348">
        <f>IF(AV193="","",AV193)</f>
        <v>7</v>
      </c>
      <c r="Z193" s="351" t="s">
        <v>3</v>
      </c>
      <c r="AA193" s="108" t="str">
        <f>IF(AB193=0,"",VLOOKUP(AB193,Starter!$A$1:$D$199,2,FALSE))</f>
        <v>Spielvogel, Jochen</v>
      </c>
      <c r="AB193" s="99">
        <v>7348</v>
      </c>
      <c r="AC193" s="188">
        <v>181</v>
      </c>
      <c r="AD193" s="109">
        <f>IF(SUM(AC193:AC195)+AC207=0,0,IF(SUM(ABS(AC193),ABS(AC194),ABS(AC195))=AC207,0.5,IF(SUM(ABS(AC193),ABS(AC194),ABS(AC195))&gt;AC207,1,0)))</f>
        <v>1</v>
      </c>
      <c r="AE193" s="188">
        <v>176</v>
      </c>
      <c r="AF193" s="109">
        <f>IF(SUM(AE193:AE195)+AE207=0,0,IF(SUM(ABS(AE193),ABS(AE194),ABS(AE195))=AE207,0.5,IF(SUM(ABS(AE193),ABS(AE194),ABS(AE195))&gt;AE207,1,0)))</f>
        <v>1</v>
      </c>
      <c r="AG193" s="188">
        <v>168</v>
      </c>
      <c r="AH193" s="109">
        <f>IF(SUM(AG193:AG195)+AG207=0,0,IF(SUM(ABS(AG193),ABS(AG194),ABS(AG195))=AG207,0.5,IF(SUM(ABS(AG193),ABS(AG194),ABS(AG195))&gt;AG207,1,0)))</f>
        <v>1</v>
      </c>
      <c r="AI193" s="188">
        <v>177</v>
      </c>
      <c r="AJ193" s="109">
        <f>IF(SUM(AI193:AI195)+AI207=0,0,IF(SUM(ABS(AI193),ABS(AI194),ABS(AI195))=AI207,0.5,IF(SUM(ABS(AI193),ABS(AI194),ABS(AI195))&gt;AI207,1,0)))</f>
        <v>0</v>
      </c>
      <c r="AK193" s="188">
        <v>200</v>
      </c>
      <c r="AL193" s="109">
        <f>IF(SUM(AK193:AK195)+AK207=0,0,IF(SUM(ABS(AK193),ABS(AK194),ABS(AK195))=AK207,0.5,IF(SUM(ABS(AK193),ABS(AK194),ABS(AK195))&gt;AK207,1,0)))</f>
        <v>0</v>
      </c>
      <c r="AM193" s="188">
        <v>214</v>
      </c>
      <c r="AN193" s="109">
        <f>IF(SUM(AM193:AM195)+AM207=0,0,IF(SUM(ABS(AM193),ABS(AM194),ABS(AM195))=AM207,0.5,IF(SUM(ABS(AM193),ABS(AM194),ABS(AM195))&gt;AM207,1,0)))</f>
        <v>1</v>
      </c>
      <c r="AO193" s="188">
        <v>183</v>
      </c>
      <c r="AP193" s="109">
        <f>IF(SUM(AO193:AO195)+AO207=0,0,IF(SUM(ABS(AO193),ABS(AO194),ABS(AO195))=AO207,0.5,IF(SUM(ABS(AO193),ABS(AO194),ABS(AO195))&gt;AO207,1,0)))</f>
        <v>1</v>
      </c>
      <c r="AQ193" s="188">
        <v>169</v>
      </c>
      <c r="AR193" s="109">
        <f>IF(SUM(AQ193:AQ195)+AQ207=0,0,IF(SUM(ABS(AQ193),ABS(AQ194),ABS(AQ195))=AQ207,0.5,IF(SUM(ABS(AQ193),ABS(AQ194),ABS(AQ195))&gt;AQ207,1,0)))</f>
        <v>1</v>
      </c>
      <c r="AS193" s="188">
        <v>273</v>
      </c>
      <c r="AT193" s="109">
        <f>IF(SUM(AS193:AS195)+AS207=0,0,IF(SUM(ABS(AS193),ABS(AS194),ABS(AS195))=AS207,0.5,IF(SUM(ABS(AS193),ABS(AS194),ABS(AS195))&gt;AS207,1,0)))</f>
        <v>1</v>
      </c>
      <c r="AU193" s="110">
        <f t="shared" si="228"/>
        <v>1741</v>
      </c>
      <c r="AV193" s="111">
        <f>SUM(AD193+AF193+AH193+AJ193+AL193+AN193+AP193+AR193+AT193)</f>
        <v>7</v>
      </c>
      <c r="AW193" s="101"/>
      <c r="AX193" s="102"/>
      <c r="AZ193" s="63"/>
      <c r="BA193" s="212"/>
      <c r="BB193" s="213"/>
      <c r="BC193" s="214"/>
      <c r="BD193" s="217">
        <f t="shared" si="243"/>
        <v>7348</v>
      </c>
      <c r="BE193" s="213">
        <f t="shared" si="244"/>
        <v>1741</v>
      </c>
      <c r="BF193" s="215">
        <f t="shared" si="245"/>
        <v>9</v>
      </c>
      <c r="BG193" s="215">
        <f t="shared" si="246"/>
        <v>9</v>
      </c>
      <c r="BH193" s="215">
        <f t="shared" si="229"/>
        <v>181</v>
      </c>
      <c r="BI193" s="215">
        <f t="shared" si="230"/>
        <v>176</v>
      </c>
      <c r="BJ193" s="215">
        <f t="shared" si="231"/>
        <v>168</v>
      </c>
      <c r="BK193" s="215">
        <f t="shared" si="232"/>
        <v>177</v>
      </c>
      <c r="BL193" s="215">
        <f t="shared" si="233"/>
        <v>200</v>
      </c>
      <c r="BM193" s="215">
        <f t="shared" si="234"/>
        <v>214</v>
      </c>
      <c r="BN193" s="215">
        <f t="shared" si="235"/>
        <v>183</v>
      </c>
      <c r="BO193" s="215">
        <f t="shared" si="236"/>
        <v>169</v>
      </c>
      <c r="BP193" s="215">
        <f t="shared" si="237"/>
        <v>273</v>
      </c>
      <c r="BQ193" s="216"/>
      <c r="BR193" s="214"/>
      <c r="BS193" s="215">
        <f t="shared" si="247"/>
        <v>273</v>
      </c>
      <c r="BT193" s="215">
        <f t="shared" si="248"/>
        <v>0</v>
      </c>
      <c r="BU193" s="215" t="str">
        <f t="shared" si="249"/>
        <v>Schanzer Ingolstadt 1</v>
      </c>
      <c r="BV193" s="214">
        <f t="shared" si="250"/>
        <v>2</v>
      </c>
      <c r="BW193" s="215">
        <f t="shared" si="251"/>
        <v>1741</v>
      </c>
      <c r="BX193" s="215">
        <f>IF(COUNTIF(BH193:BP193,"&gt;0")&lt;Spielorte!$A$23,0,BE193/Spielorte!$A$23)</f>
        <v>193.44444444444446</v>
      </c>
      <c r="BY193" s="215">
        <f t="shared" si="252"/>
        <v>0</v>
      </c>
      <c r="BZ193" s="214">
        <f t="shared" si="238"/>
        <v>0</v>
      </c>
    </row>
    <row r="194" spans="1:78" ht="17.100000000000001" customHeight="1" x14ac:dyDescent="0.25">
      <c r="A194" s="377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49"/>
      <c r="F194" s="78" t="str">
        <f t="shared" si="220"/>
        <v/>
      </c>
      <c r="G194" s="349"/>
      <c r="H194" s="78" t="str">
        <f t="shared" si="221"/>
        <v/>
      </c>
      <c r="I194" s="349"/>
      <c r="J194" s="78" t="str">
        <f t="shared" si="222"/>
        <v/>
      </c>
      <c r="K194" s="349"/>
      <c r="L194" s="78" t="str">
        <f t="shared" si="223"/>
        <v/>
      </c>
      <c r="M194" s="349"/>
      <c r="N194" s="78" t="str">
        <f t="shared" si="242"/>
        <v/>
      </c>
      <c r="O194" s="349"/>
      <c r="P194" s="78" t="str">
        <f t="shared" si="224"/>
        <v/>
      </c>
      <c r="Q194" s="349"/>
      <c r="R194" s="78" t="str">
        <f t="shared" si="225"/>
        <v/>
      </c>
      <c r="S194" s="349"/>
      <c r="T194" s="78" t="str">
        <f t="shared" si="226"/>
        <v/>
      </c>
      <c r="U194" s="349"/>
      <c r="V194" s="78" t="str">
        <f t="shared" si="227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Schanzer Ingolstadt 1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00000000000001" customHeight="1" thickBot="1" x14ac:dyDescent="0.3">
      <c r="A195" s="378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50"/>
      <c r="F195" s="69" t="str">
        <f t="shared" si="220"/>
        <v/>
      </c>
      <c r="G195" s="350"/>
      <c r="H195" s="69" t="str">
        <f t="shared" si="221"/>
        <v/>
      </c>
      <c r="I195" s="350"/>
      <c r="J195" s="69" t="str">
        <f t="shared" si="222"/>
        <v/>
      </c>
      <c r="K195" s="350"/>
      <c r="L195" s="69" t="str">
        <f t="shared" si="223"/>
        <v/>
      </c>
      <c r="M195" s="350"/>
      <c r="N195" s="69" t="str">
        <f t="shared" si="242"/>
        <v/>
      </c>
      <c r="O195" s="350"/>
      <c r="P195" s="69" t="str">
        <f t="shared" si="224"/>
        <v/>
      </c>
      <c r="Q195" s="350"/>
      <c r="R195" s="69" t="str">
        <f t="shared" si="225"/>
        <v/>
      </c>
      <c r="S195" s="350"/>
      <c r="T195" s="69" t="str">
        <f t="shared" si="226"/>
        <v/>
      </c>
      <c r="U195" s="350"/>
      <c r="V195" s="69" t="str">
        <f t="shared" si="227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Schanzer Ingolstadt 1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00000000000001" customHeight="1" x14ac:dyDescent="0.25">
      <c r="A196" s="376" t="s">
        <v>11</v>
      </c>
      <c r="B196" s="73" t="str">
        <f>IF(AA196=0,"",AA196)</f>
        <v>Kirschenbauer, Frank</v>
      </c>
      <c r="C196" s="74">
        <f t="shared" si="240"/>
        <v>7344</v>
      </c>
      <c r="D196" s="75">
        <f t="shared" si="241"/>
        <v>170</v>
      </c>
      <c r="E196" s="348">
        <f>IF(AD196="","",AD196)</f>
        <v>0</v>
      </c>
      <c r="F196" s="75">
        <f t="shared" si="220"/>
        <v>166</v>
      </c>
      <c r="G196" s="348">
        <f>IF(AF196="","",AF196)</f>
        <v>0</v>
      </c>
      <c r="H196" s="75">
        <f t="shared" si="221"/>
        <v>166</v>
      </c>
      <c r="I196" s="348">
        <f>IF(AH196="","",AH196)</f>
        <v>0</v>
      </c>
      <c r="J196" s="75">
        <f t="shared" si="222"/>
        <v>157</v>
      </c>
      <c r="K196" s="348">
        <f>IF(AJ196="","",AJ196)</f>
        <v>0</v>
      </c>
      <c r="L196" s="75">
        <f t="shared" si="223"/>
        <v>170</v>
      </c>
      <c r="M196" s="348">
        <f>IF(AL196="","",AL196)</f>
        <v>0</v>
      </c>
      <c r="N196" s="75">
        <f t="shared" si="242"/>
        <v>182</v>
      </c>
      <c r="O196" s="348">
        <f>IF(AN196="","",AN196)</f>
        <v>0</v>
      </c>
      <c r="P196" s="75">
        <f t="shared" si="224"/>
        <v>189</v>
      </c>
      <c r="Q196" s="348">
        <f>IF(AP196="","",AP196)</f>
        <v>1</v>
      </c>
      <c r="R196" s="75">
        <f t="shared" si="225"/>
        <v>192</v>
      </c>
      <c r="S196" s="348">
        <f>IF(AR196="","",AR196)</f>
        <v>1</v>
      </c>
      <c r="T196" s="75">
        <f t="shared" si="226"/>
        <v>136</v>
      </c>
      <c r="U196" s="348">
        <f>IF(AT196="","",AT196)</f>
        <v>0</v>
      </c>
      <c r="V196" s="75">
        <f t="shared" si="227"/>
        <v>1528</v>
      </c>
      <c r="W196" s="348">
        <f>IF(AV196="","",AV196)</f>
        <v>2</v>
      </c>
      <c r="Z196" s="351" t="s">
        <v>11</v>
      </c>
      <c r="AA196" s="108" t="str">
        <f>IF(AB196=0,"",VLOOKUP(AB196,Starter!$A$1:$D$199,2,FALSE))</f>
        <v>Kirschenbauer, Frank</v>
      </c>
      <c r="AB196" s="99">
        <v>7344</v>
      </c>
      <c r="AC196" s="188">
        <v>170</v>
      </c>
      <c r="AD196" s="109">
        <f>IF(SUM(AC196:AC198)+AC208=0,0,IF(SUM(ABS(AC196),ABS(AC197),ABS(AC198))=AC208,0.5,IF(SUM(ABS(AC196),ABS(AC197),ABS(AC198))&gt;AC208,1,0)))</f>
        <v>0</v>
      </c>
      <c r="AE196" s="188">
        <v>166</v>
      </c>
      <c r="AF196" s="109">
        <f>IF(SUM(AE196:AE198)+AE208=0,0,IF(SUM(ABS(AE196),ABS(AE197),ABS(AE198))=AE208,0.5,IF(SUM(ABS(AE196),ABS(AE197),ABS(AE198))&gt;AE208,1,0)))</f>
        <v>0</v>
      </c>
      <c r="AG196" s="188">
        <v>166</v>
      </c>
      <c r="AH196" s="109">
        <f>IF(SUM(AG196:AG198)+AG208=0,0,IF(SUM(ABS(AG196),ABS(AG197),ABS(AG198))=AG208,0.5,IF(SUM(ABS(AG196),ABS(AG197),ABS(AG198))&gt;AG208,1,0)))</f>
        <v>0</v>
      </c>
      <c r="AI196" s="188">
        <v>157</v>
      </c>
      <c r="AJ196" s="109">
        <f>IF(SUM(AI196:AI198)+AI208=0,0,IF(SUM(ABS(AI196),ABS(AI197),ABS(AI198))=AI208,0.5,IF(SUM(ABS(AI196),ABS(AI197),ABS(AI198))&gt;AI208,1,0)))</f>
        <v>0</v>
      </c>
      <c r="AK196" s="188">
        <v>170</v>
      </c>
      <c r="AL196" s="109">
        <f>IF(SUM(AK196:AK198)+AK208=0,0,IF(SUM(ABS(AK196),ABS(AK197),ABS(AK198))=AK208,0.5,IF(SUM(ABS(AK196),ABS(AK197),ABS(AK198))&gt;AK208,1,0)))</f>
        <v>0</v>
      </c>
      <c r="AM196" s="188">
        <v>182</v>
      </c>
      <c r="AN196" s="109">
        <f>IF(SUM(AM196:AM198)+AM208=0,0,IF(SUM(ABS(AM196),ABS(AM197),ABS(AM198))=AM208,0.5,IF(SUM(ABS(AM196),ABS(AM197),ABS(AM198))&gt;AM208,1,0)))</f>
        <v>0</v>
      </c>
      <c r="AO196" s="188">
        <v>189</v>
      </c>
      <c r="AP196" s="109">
        <f>IF(SUM(AO196:AO198)+AO208=0,0,IF(SUM(ABS(AO196),ABS(AO197),ABS(AO198))=AO208,0.5,IF(SUM(ABS(AO196),ABS(AO197),ABS(AO198))&gt;AO208,1,0)))</f>
        <v>1</v>
      </c>
      <c r="AQ196" s="188">
        <v>192</v>
      </c>
      <c r="AR196" s="109">
        <f>IF(SUM(AQ196:AQ198)+AQ208=0,0,IF(SUM(ABS(AQ196),ABS(AQ197),ABS(AQ198))=AQ208,0.5,IF(SUM(ABS(AQ196),ABS(AQ197),ABS(AQ198))&gt;AQ208,1,0)))</f>
        <v>1</v>
      </c>
      <c r="AS196" s="188">
        <v>136</v>
      </c>
      <c r="AT196" s="109">
        <f>IF(SUM(AS196:AS198)+AS208=0,0,IF(SUM(ABS(AS196),ABS(AS197),ABS(AS198))=AS208,0.5,IF(SUM(ABS(AS196),ABS(AS197),ABS(AS198))&gt;AS208,1,0)))</f>
        <v>0</v>
      </c>
      <c r="AU196" s="110">
        <f t="shared" si="228"/>
        <v>1528</v>
      </c>
      <c r="AV196" s="111">
        <f>SUM(AD196+AF196+AH196+AJ196+AL196+AN196+AP196+AR196+AT196)</f>
        <v>2</v>
      </c>
      <c r="AW196" s="101"/>
      <c r="AX196" s="102"/>
      <c r="AZ196" s="63"/>
      <c r="BA196" s="212"/>
      <c r="BB196" s="213"/>
      <c r="BC196" s="214"/>
      <c r="BD196" s="217">
        <f t="shared" si="243"/>
        <v>7344</v>
      </c>
      <c r="BE196" s="213">
        <f t="shared" si="244"/>
        <v>1528</v>
      </c>
      <c r="BF196" s="215">
        <f t="shared" si="245"/>
        <v>9</v>
      </c>
      <c r="BG196" s="215">
        <f t="shared" si="246"/>
        <v>9</v>
      </c>
      <c r="BH196" s="215">
        <f t="shared" si="229"/>
        <v>170</v>
      </c>
      <c r="BI196" s="215">
        <f t="shared" si="230"/>
        <v>166</v>
      </c>
      <c r="BJ196" s="215">
        <f t="shared" si="231"/>
        <v>166</v>
      </c>
      <c r="BK196" s="215">
        <f t="shared" si="232"/>
        <v>157</v>
      </c>
      <c r="BL196" s="215">
        <f t="shared" si="233"/>
        <v>170</v>
      </c>
      <c r="BM196" s="215">
        <f t="shared" si="234"/>
        <v>182</v>
      </c>
      <c r="BN196" s="215">
        <f t="shared" si="235"/>
        <v>189</v>
      </c>
      <c r="BO196" s="215">
        <f t="shared" si="236"/>
        <v>192</v>
      </c>
      <c r="BP196" s="215">
        <f t="shared" si="237"/>
        <v>136</v>
      </c>
      <c r="BQ196" s="216"/>
      <c r="BR196" s="214"/>
      <c r="BS196" s="215">
        <f t="shared" si="247"/>
        <v>192</v>
      </c>
      <c r="BT196" s="215">
        <f t="shared" si="248"/>
        <v>0</v>
      </c>
      <c r="BU196" s="215" t="str">
        <f t="shared" si="249"/>
        <v>Schanzer Ingolstadt 1</v>
      </c>
      <c r="BV196" s="214">
        <f t="shared" si="250"/>
        <v>2</v>
      </c>
      <c r="BW196" s="215">
        <f t="shared" si="251"/>
        <v>1528</v>
      </c>
      <c r="BX196" s="215">
        <f>IF(COUNTIF(BH196:BP196,"&gt;0")&lt;Spielorte!$A$23,0,BE196/Spielorte!$A$23)</f>
        <v>169.77777777777777</v>
      </c>
      <c r="BY196" s="215">
        <f t="shared" si="252"/>
        <v>0</v>
      </c>
      <c r="BZ196" s="214">
        <f t="shared" si="238"/>
        <v>0</v>
      </c>
    </row>
    <row r="197" spans="1:78" ht="17.100000000000001" customHeight="1" x14ac:dyDescent="0.25">
      <c r="A197" s="377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49"/>
      <c r="F197" s="78" t="str">
        <f t="shared" si="220"/>
        <v/>
      </c>
      <c r="G197" s="349"/>
      <c r="H197" s="78" t="str">
        <f t="shared" si="221"/>
        <v/>
      </c>
      <c r="I197" s="349"/>
      <c r="J197" s="78" t="str">
        <f t="shared" si="222"/>
        <v/>
      </c>
      <c r="K197" s="349"/>
      <c r="L197" s="78" t="str">
        <f t="shared" si="223"/>
        <v/>
      </c>
      <c r="M197" s="349"/>
      <c r="N197" s="78" t="str">
        <f t="shared" si="242"/>
        <v/>
      </c>
      <c r="O197" s="349"/>
      <c r="P197" s="78" t="str">
        <f t="shared" si="224"/>
        <v/>
      </c>
      <c r="Q197" s="349"/>
      <c r="R197" s="78" t="str">
        <f t="shared" si="225"/>
        <v/>
      </c>
      <c r="S197" s="349"/>
      <c r="T197" s="78" t="str">
        <f t="shared" si="226"/>
        <v/>
      </c>
      <c r="U197" s="349"/>
      <c r="V197" s="78" t="str">
        <f t="shared" si="227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Schanzer Ingolstadt 1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00000000000001" customHeight="1" thickBot="1" x14ac:dyDescent="0.3">
      <c r="A198" s="378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50"/>
      <c r="F198" s="69" t="str">
        <f t="shared" si="220"/>
        <v/>
      </c>
      <c r="G198" s="350"/>
      <c r="H198" s="69" t="str">
        <f t="shared" si="221"/>
        <v/>
      </c>
      <c r="I198" s="350"/>
      <c r="J198" s="69" t="str">
        <f t="shared" si="222"/>
        <v/>
      </c>
      <c r="K198" s="350"/>
      <c r="L198" s="69" t="str">
        <f t="shared" si="223"/>
        <v/>
      </c>
      <c r="M198" s="350"/>
      <c r="N198" s="69" t="str">
        <f t="shared" si="242"/>
        <v/>
      </c>
      <c r="O198" s="350"/>
      <c r="P198" s="69" t="str">
        <f t="shared" si="224"/>
        <v/>
      </c>
      <c r="Q198" s="350"/>
      <c r="R198" s="69" t="str">
        <f t="shared" si="225"/>
        <v/>
      </c>
      <c r="S198" s="350"/>
      <c r="T198" s="69" t="str">
        <f t="shared" si="226"/>
        <v/>
      </c>
      <c r="U198" s="350"/>
      <c r="V198" s="69" t="str">
        <f t="shared" si="227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Schanzer Ingolstadt 1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40"/>
        <v/>
      </c>
      <c r="D199" s="83">
        <f t="shared" si="241"/>
        <v>721</v>
      </c>
      <c r="E199" s="84">
        <f>IF(AD199="","",AD199)</f>
        <v>0</v>
      </c>
      <c r="F199" s="83">
        <f t="shared" si="220"/>
        <v>625</v>
      </c>
      <c r="G199" s="84">
        <f>IF(AF199="","",AF199)</f>
        <v>0</v>
      </c>
      <c r="H199" s="83">
        <f t="shared" si="221"/>
        <v>620</v>
      </c>
      <c r="I199" s="84">
        <f>IF(AH199="","",AH199)</f>
        <v>0</v>
      </c>
      <c r="J199" s="83">
        <f t="shared" si="222"/>
        <v>653</v>
      </c>
      <c r="K199" s="84">
        <f>IF(AJ199="","",AJ199)</f>
        <v>0</v>
      </c>
      <c r="L199" s="83">
        <f t="shared" si="223"/>
        <v>680</v>
      </c>
      <c r="M199" s="84">
        <f>IF(AL199="","",AL199)</f>
        <v>0</v>
      </c>
      <c r="N199" s="83">
        <f t="shared" si="242"/>
        <v>780</v>
      </c>
      <c r="O199" s="84">
        <f>IF(AN199="","",AN199)</f>
        <v>0</v>
      </c>
      <c r="P199" s="83">
        <f t="shared" si="224"/>
        <v>708</v>
      </c>
      <c r="Q199" s="84">
        <f>IF(AP199="","",AP199)</f>
        <v>0</v>
      </c>
      <c r="R199" s="83">
        <f t="shared" si="225"/>
        <v>698</v>
      </c>
      <c r="S199" s="84">
        <f>IF(AR199="","",AR199)</f>
        <v>2</v>
      </c>
      <c r="T199" s="83">
        <f t="shared" si="226"/>
        <v>769</v>
      </c>
      <c r="U199" s="84">
        <f>IF(AT199="","",AT199)</f>
        <v>0</v>
      </c>
      <c r="V199" s="83">
        <f t="shared" si="227"/>
        <v>6254</v>
      </c>
      <c r="W199" s="84">
        <f>IF(AV199="","",AV199)</f>
        <v>2</v>
      </c>
      <c r="AA199" s="81" t="s">
        <v>1799</v>
      </c>
      <c r="AB199" s="120"/>
      <c r="AC199" s="211">
        <f>ABS(SUM(AC187:AC189))+ABS(SUM(AC190:AC192))+ABS(SUM(AC193:AC195))+ABS(SUM(AC196:AC198))</f>
        <v>721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625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620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653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680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780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708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698</v>
      </c>
      <c r="AR199" s="121">
        <f>IF(AQ199+AQ209=0,0,IF(AQ199=AQ209,1,IF(AQ199&gt;AQ209,2,0)))</f>
        <v>2</v>
      </c>
      <c r="AS199" s="211">
        <f>ABS(SUM(AS187:AS189))+ABS(SUM(AS190:AS192))+ABS(SUM(AS193:AS195))+ABS(SUM(AS196:AS198))</f>
        <v>769</v>
      </c>
      <c r="AT199" s="121">
        <f>IF(AS199+AS209=0,0,IF(AS199=AS209,1,IF(AS199&gt;AS209,2,0)))</f>
        <v>0</v>
      </c>
      <c r="AU199" s="122">
        <f>SUM(AC199+AE199+AG199+AI199+AK199+AM199+AO199+AQ199+AS199)</f>
        <v>6254</v>
      </c>
      <c r="AV199" s="123">
        <f>SUM(AD199+AF199+AH199+AJ199+AL199+AN199+AP199+AR199+AT199)</f>
        <v>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1</v>
      </c>
      <c r="F200" s="86" t="str">
        <f t="shared" si="220"/>
        <v/>
      </c>
      <c r="G200" s="87">
        <f>IF(AF200="","",AF200)</f>
        <v>1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0</v>
      </c>
      <c r="L200" s="86" t="str">
        <f t="shared" si="223"/>
        <v/>
      </c>
      <c r="M200" s="87">
        <f>IF(AL200="","",AL200)</f>
        <v>1</v>
      </c>
      <c r="N200" s="86" t="str">
        <f t="shared" si="242"/>
        <v/>
      </c>
      <c r="O200" s="87">
        <f>IF(AN200="","",AN200)</f>
        <v>1</v>
      </c>
      <c r="P200" s="86" t="str">
        <f t="shared" si="224"/>
        <v/>
      </c>
      <c r="Q200" s="87">
        <f>IF(AP200="","",AP200)</f>
        <v>2</v>
      </c>
      <c r="R200" s="86" t="str">
        <f t="shared" si="225"/>
        <v/>
      </c>
      <c r="S200" s="87">
        <f>IF(AR200="","",AR200)</f>
        <v>5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14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1</v>
      </c>
      <c r="AG200" s="86"/>
      <c r="AH200" s="124">
        <f>SUM(AH187:AH199)</f>
        <v>1</v>
      </c>
      <c r="AI200" s="86"/>
      <c r="AJ200" s="124">
        <f>SUM(AJ187:AJ199)</f>
        <v>0</v>
      </c>
      <c r="AK200" s="86"/>
      <c r="AL200" s="124">
        <f>SUM(AL187:AL199)</f>
        <v>1</v>
      </c>
      <c r="AM200" s="86"/>
      <c r="AN200" s="124">
        <f>SUM(AN187:AN199)</f>
        <v>1</v>
      </c>
      <c r="AO200" s="86"/>
      <c r="AP200" s="124">
        <f>SUM(AP187:AP199)</f>
        <v>2</v>
      </c>
      <c r="AQ200" s="86"/>
      <c r="AR200" s="124">
        <f>SUM(AR187:AR199)</f>
        <v>5</v>
      </c>
      <c r="AS200" s="86"/>
      <c r="AT200" s="124">
        <f>SUM(AT187:AT199)</f>
        <v>2</v>
      </c>
      <c r="AU200" s="86"/>
      <c r="AV200" s="125">
        <f>SUM(AV187:AV199)</f>
        <v>14</v>
      </c>
      <c r="AW200" s="101"/>
      <c r="AX200" s="102"/>
      <c r="BA200" s="212">
        <f>+AV200</f>
        <v>14</v>
      </c>
      <c r="BB200" s="213">
        <f>+AU199</f>
        <v>6254</v>
      </c>
      <c r="BC200" s="214">
        <f>+AA182</f>
        <v>7</v>
      </c>
      <c r="BF200" s="215">
        <f>SUM(BF181:BF199)</f>
        <v>36</v>
      </c>
      <c r="BQ200" s="212">
        <f>+BB200/1000000+BA200</f>
        <v>14.006254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56">
        <f t="shared" ref="D202:M204" si="255">IF(AC202=0,"",AC202)</f>
        <v>4</v>
      </c>
      <c r="E202" s="356" t="str">
        <f t="shared" si="255"/>
        <v/>
      </c>
      <c r="F202" s="356">
        <f t="shared" si="255"/>
        <v>6</v>
      </c>
      <c r="G202" s="356" t="str">
        <f t="shared" si="255"/>
        <v/>
      </c>
      <c r="H202" s="356">
        <f t="shared" si="255"/>
        <v>10</v>
      </c>
      <c r="I202" s="356" t="str">
        <f t="shared" si="255"/>
        <v/>
      </c>
      <c r="J202" s="356">
        <f t="shared" si="255"/>
        <v>2</v>
      </c>
      <c r="K202" s="356" t="str">
        <f t="shared" si="255"/>
        <v/>
      </c>
      <c r="L202" s="356">
        <f t="shared" si="255"/>
        <v>5</v>
      </c>
      <c r="M202" s="356" t="str">
        <f t="shared" si="255"/>
        <v/>
      </c>
      <c r="N202" s="356">
        <f t="shared" ref="N202:U204" si="256">IF(AM202=0,"",AM202)</f>
        <v>1</v>
      </c>
      <c r="O202" s="356" t="str">
        <f t="shared" si="256"/>
        <v/>
      </c>
      <c r="P202" s="356">
        <f t="shared" si="256"/>
        <v>9</v>
      </c>
      <c r="Q202" s="356" t="str">
        <f t="shared" si="256"/>
        <v/>
      </c>
      <c r="R202" s="356">
        <f t="shared" si="256"/>
        <v>8</v>
      </c>
      <c r="S202" s="356" t="str">
        <f t="shared" si="256"/>
        <v/>
      </c>
      <c r="T202" s="356">
        <f t="shared" si="256"/>
        <v>3</v>
      </c>
      <c r="U202" s="356" t="str">
        <f t="shared" si="256"/>
        <v/>
      </c>
      <c r="V202" s="357"/>
      <c r="W202" s="357"/>
      <c r="AA202" s="88" t="s">
        <v>1797</v>
      </c>
      <c r="AB202" s="89" t="s">
        <v>1798</v>
      </c>
      <c r="AC202" s="370">
        <f>VLOOKUP($AA182,Schlüssel!$A$5:$K$14,3)</f>
        <v>4</v>
      </c>
      <c r="AD202" s="371"/>
      <c r="AE202" s="370">
        <f>VLOOKUP($AA182,Schlüssel!$A$5:$K$14,4)</f>
        <v>6</v>
      </c>
      <c r="AF202" s="371"/>
      <c r="AG202" s="370">
        <f>VLOOKUP($AA182,Schlüssel!$A$5:$K$14,5)</f>
        <v>10</v>
      </c>
      <c r="AH202" s="371"/>
      <c r="AI202" s="370">
        <f>VLOOKUP($AA182,Schlüssel!$A$5:$K$14,6)</f>
        <v>2</v>
      </c>
      <c r="AJ202" s="371"/>
      <c r="AK202" s="370">
        <f>VLOOKUP($AA182,Schlüssel!$A$5:$K$14,7)</f>
        <v>5</v>
      </c>
      <c r="AL202" s="371"/>
      <c r="AM202" s="370">
        <f>VLOOKUP($AA182,Schlüssel!$A$5:$K$14,8)</f>
        <v>1</v>
      </c>
      <c r="AN202" s="371"/>
      <c r="AO202" s="370">
        <f>VLOOKUP($AA182,Schlüssel!$A$5:$K$14,9)</f>
        <v>9</v>
      </c>
      <c r="AP202" s="371"/>
      <c r="AQ202" s="370">
        <f>VLOOKUP($AA182,Schlüssel!$A$5:$K$14,10)</f>
        <v>8</v>
      </c>
      <c r="AR202" s="371"/>
      <c r="AS202" s="370">
        <f>VLOOKUP($AA182,Schlüssel!$A$5:$K$14,11)</f>
        <v>3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53"/>
        <v/>
      </c>
      <c r="C203" s="86" t="str">
        <f t="shared" si="254"/>
        <v/>
      </c>
      <c r="D203" s="358" t="str">
        <f t="shared" si="255"/>
        <v>SG DJK Rimpar</v>
      </c>
      <c r="E203" s="359" t="str">
        <f t="shared" si="255"/>
        <v/>
      </c>
      <c r="F203" s="358" t="str">
        <f t="shared" si="255"/>
        <v>SG Rottendorf 1</v>
      </c>
      <c r="G203" s="359" t="str">
        <f t="shared" si="255"/>
        <v/>
      </c>
      <c r="H203" s="358" t="str">
        <f t="shared" si="255"/>
        <v>High Roller Rosenheim 1</v>
      </c>
      <c r="I203" s="359" t="str">
        <f t="shared" si="255"/>
        <v/>
      </c>
      <c r="J203" s="358" t="str">
        <f t="shared" si="255"/>
        <v>Bajuwaren München 1</v>
      </c>
      <c r="K203" s="359" t="str">
        <f t="shared" si="255"/>
        <v/>
      </c>
      <c r="L203" s="358" t="str">
        <f t="shared" si="255"/>
        <v>RW Lichtenhof Stein 1</v>
      </c>
      <c r="M203" s="359" t="str">
        <f t="shared" si="255"/>
        <v/>
      </c>
      <c r="N203" s="358" t="str">
        <f t="shared" si="256"/>
        <v>BC Comet Nürnberg</v>
      </c>
      <c r="O203" s="359" t="str">
        <f t="shared" si="256"/>
        <v/>
      </c>
      <c r="P203" s="358" t="str">
        <f t="shared" si="256"/>
        <v>Bowlinghaus Bamberg 1</v>
      </c>
      <c r="Q203" s="359" t="str">
        <f t="shared" si="256"/>
        <v/>
      </c>
      <c r="R203" s="358" t="str">
        <f t="shared" si="256"/>
        <v>BC EMAX Unterföhring 2</v>
      </c>
      <c r="S203" s="359" t="str">
        <f t="shared" si="256"/>
        <v/>
      </c>
      <c r="T203" s="358" t="str">
        <f t="shared" si="256"/>
        <v>BK München 3</v>
      </c>
      <c r="U203" s="359" t="str">
        <f t="shared" si="256"/>
        <v/>
      </c>
      <c r="V203" s="363"/>
      <c r="W203" s="363"/>
      <c r="AA203" s="90"/>
      <c r="AB203" s="86"/>
      <c r="AC203" s="358" t="str">
        <f>VLOOKUP(AC202,Schlüssel!$A$5:$K$14,2)</f>
        <v>SG DJK Rimpar</v>
      </c>
      <c r="AD203" s="359"/>
      <c r="AE203" s="358" t="str">
        <f>VLOOKUP(AE202,Schlüssel!$A$5:$K$14,2)</f>
        <v>SG Rottendorf 1</v>
      </c>
      <c r="AF203" s="359"/>
      <c r="AG203" s="358" t="str">
        <f>VLOOKUP(AG202,Schlüssel!$A$5:$K$14,2)</f>
        <v>High Roller Rosenheim 1</v>
      </c>
      <c r="AH203" s="359"/>
      <c r="AI203" s="358" t="str">
        <f>VLOOKUP(AI202,Schlüssel!$A$5:$K$14,2)</f>
        <v>Bajuwaren München 1</v>
      </c>
      <c r="AJ203" s="359"/>
      <c r="AK203" s="358" t="str">
        <f>VLOOKUP(AK202,Schlüssel!$A$5:$K$14,2)</f>
        <v>RW Lichtenhof Stein 1</v>
      </c>
      <c r="AL203" s="359"/>
      <c r="AM203" s="358" t="str">
        <f>VLOOKUP(AM202,Schlüssel!$A$5:$K$14,2)</f>
        <v>BC Comet Nürnberg</v>
      </c>
      <c r="AN203" s="359"/>
      <c r="AO203" s="358" t="str">
        <f>VLOOKUP(AO202,Schlüssel!$A$5:$K$14,2)</f>
        <v>Bowlinghaus Bamberg 1</v>
      </c>
      <c r="AP203" s="359"/>
      <c r="AQ203" s="358" t="str">
        <f>VLOOKUP(AQ202,Schlüssel!$A$5:$K$14,2)</f>
        <v>BC EMAX Unterföhring 2</v>
      </c>
      <c r="AR203" s="359"/>
      <c r="AS203" s="358" t="str">
        <f>VLOOKUP(AS202,Schlüssel!$A$5:$K$14,2)</f>
        <v>BK München 3</v>
      </c>
      <c r="AT203" s="359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53"/>
        <v/>
      </c>
      <c r="C204" s="86" t="str">
        <f t="shared" si="254"/>
        <v/>
      </c>
      <c r="D204" s="360" t="str">
        <f t="shared" si="255"/>
        <v/>
      </c>
      <c r="E204" s="360" t="str">
        <f t="shared" si="255"/>
        <v/>
      </c>
      <c r="F204" s="360" t="str">
        <f t="shared" si="255"/>
        <v/>
      </c>
      <c r="G204" s="360" t="str">
        <f t="shared" si="255"/>
        <v/>
      </c>
      <c r="H204" s="360" t="str">
        <f t="shared" si="255"/>
        <v/>
      </c>
      <c r="I204" s="360" t="str">
        <f t="shared" si="255"/>
        <v/>
      </c>
      <c r="J204" s="360" t="str">
        <f t="shared" si="255"/>
        <v/>
      </c>
      <c r="K204" s="360" t="str">
        <f t="shared" si="255"/>
        <v/>
      </c>
      <c r="L204" s="360" t="str">
        <f t="shared" si="255"/>
        <v/>
      </c>
      <c r="M204" s="360" t="str">
        <f t="shared" si="255"/>
        <v/>
      </c>
      <c r="N204" s="360" t="str">
        <f t="shared" si="256"/>
        <v/>
      </c>
      <c r="O204" s="360" t="str">
        <f t="shared" si="256"/>
        <v/>
      </c>
      <c r="P204" s="360" t="str">
        <f t="shared" si="256"/>
        <v/>
      </c>
      <c r="Q204" s="360" t="str">
        <f t="shared" si="256"/>
        <v/>
      </c>
      <c r="R204" s="360" t="str">
        <f t="shared" si="256"/>
        <v/>
      </c>
      <c r="S204" s="360" t="str">
        <f t="shared" si="256"/>
        <v/>
      </c>
      <c r="T204" s="360" t="str">
        <f t="shared" si="256"/>
        <v/>
      </c>
      <c r="U204" s="361" t="str">
        <f t="shared" si="256"/>
        <v/>
      </c>
      <c r="V204" s="298"/>
      <c r="W204" s="298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4" t="str">
        <f t="shared" si="253"/>
        <v>Spieler 1</v>
      </c>
      <c r="C205" s="375" t="str">
        <f t="shared" si="254"/>
        <v/>
      </c>
      <c r="D205" s="362">
        <f>IF(AC205=301,"",AC205)</f>
        <v>224</v>
      </c>
      <c r="E205" s="362" t="str">
        <f>IF(AD205=0,"",AD205)</f>
        <v/>
      </c>
      <c r="F205" s="362">
        <f>IF(AE205=301,"",AE205)</f>
        <v>179</v>
      </c>
      <c r="G205" s="362" t="str">
        <f>IF(AF205=0,"",AF205)</f>
        <v/>
      </c>
      <c r="H205" s="362">
        <f>IF(AG205=301,"",AG205)</f>
        <v>217</v>
      </c>
      <c r="I205" s="362" t="str">
        <f>IF(AH205=0,"",AH205)</f>
        <v/>
      </c>
      <c r="J205" s="362">
        <f>IF(AI205=301,"",AI205)</f>
        <v>244</v>
      </c>
      <c r="K205" s="362" t="str">
        <f>IF(AJ205=0,"",AJ205)</f>
        <v/>
      </c>
      <c r="L205" s="362">
        <f>IF(AK205=301,"",AK205)</f>
        <v>210</v>
      </c>
      <c r="M205" s="362" t="str">
        <f>IF(AL205=0,"",AL205)</f>
        <v/>
      </c>
      <c r="N205" s="362">
        <f>IF(AM205=301,"",AM205)</f>
        <v>277</v>
      </c>
      <c r="O205" s="362" t="str">
        <f>IF(AN205=0,"",AN205)</f>
        <v/>
      </c>
      <c r="P205" s="362">
        <f>IF(AO205=301,"",AO205)</f>
        <v>171</v>
      </c>
      <c r="Q205" s="362" t="str">
        <f>IF(AP205=0,"",AP205)</f>
        <v/>
      </c>
      <c r="R205" s="362">
        <f>IF(AQ205=301,"",AQ205)</f>
        <v>182</v>
      </c>
      <c r="S205" s="362" t="str">
        <f>IF(AR205=0,"",AR205)</f>
        <v/>
      </c>
      <c r="T205" s="362">
        <f>IF(AS205=301,"",AS205)</f>
        <v>211</v>
      </c>
      <c r="U205" s="362" t="str">
        <f>IF(AT205=0,"",AT205)</f>
        <v/>
      </c>
      <c r="V205" s="364"/>
      <c r="W205" s="364"/>
      <c r="AA205" s="91" t="s">
        <v>0</v>
      </c>
      <c r="AB205" s="92"/>
      <c r="AC205" s="368">
        <f>ABS(INDEX(AC:AC,MATCH(AC202,$AA:$AA,0)+5)+INDEX(AC:AC,MATCH(AC202,$AA:$AA,0)+6)+INDEX(AC:AC,MATCH(AC202,$AA:$AA,0)+7))</f>
        <v>224</v>
      </c>
      <c r="AD205" s="369"/>
      <c r="AE205" s="368">
        <f>ABS(INDEX(AE:AE,MATCH(AE202,$AA:$AA,0)+5)+INDEX(AE:AE,MATCH(AE202,$AA:$AA,0)+6)+INDEX(AE:AE,MATCH(AE202,$AA:$AA,0)+7))</f>
        <v>179</v>
      </c>
      <c r="AF205" s="369"/>
      <c r="AG205" s="368">
        <f>ABS(INDEX(AG:AG,MATCH(AG202,$AA:$AA,0)+5)+INDEX(AG:AG,MATCH(AG202,$AA:$AA,0)+6)+INDEX(AG:AG,MATCH(AG202,$AA:$AA,0)+7))</f>
        <v>217</v>
      </c>
      <c r="AH205" s="369"/>
      <c r="AI205" s="368">
        <f>ABS(INDEX(AI:AI,MATCH(AI202,$AA:$AA,0)+5)+INDEX(AI:AI,MATCH(AI202,$AA:$AA,0)+6)+INDEX(AI:AI,MATCH(AI202,$AA:$AA,0)+7))</f>
        <v>244</v>
      </c>
      <c r="AJ205" s="369"/>
      <c r="AK205" s="368">
        <f>ABS(INDEX(AK:AK,MATCH(AK202,$AA:$AA,0)+5)+INDEX(AK:AK,MATCH(AK202,$AA:$AA,0)+6)+INDEX(AK:AK,MATCH(AK202,$AA:$AA,0)+7))</f>
        <v>210</v>
      </c>
      <c r="AL205" s="369"/>
      <c r="AM205" s="368">
        <f>ABS(INDEX(AM:AM,MATCH(AM202,$AA:$AA,0)+5)+INDEX(AM:AM,MATCH(AM202,$AA:$AA,0)+6)+INDEX(AM:AM,MATCH(AM202,$AA:$AA,0)+7))</f>
        <v>277</v>
      </c>
      <c r="AN205" s="369"/>
      <c r="AO205" s="368">
        <f>ABS(INDEX(AO:AO,MATCH(AO202,$AA:$AA,0)+5)+INDEX(AO:AO,MATCH(AO202,$AA:$AA,0)+6)+INDEX(AO:AO,MATCH(AO202,$AA:$AA,0)+7))</f>
        <v>171</v>
      </c>
      <c r="AP205" s="369"/>
      <c r="AQ205" s="368">
        <f>ABS(INDEX(AQ:AQ,MATCH(AQ202,$AA:$AA,0)+5)+INDEX(AQ:AQ,MATCH(AQ202,$AA:$AA,0)+6)+INDEX(AQ:AQ,MATCH(AQ202,$AA:$AA,0)+7))</f>
        <v>182</v>
      </c>
      <c r="AR205" s="369"/>
      <c r="AS205" s="368">
        <f>ABS(INDEX(AS:AS,MATCH(AS202,$AA:$AA,0)+5)+INDEX(AS:AS,MATCH(AS202,$AA:$AA,0)+6)+INDEX(AS:AS,MATCH(AS202,$AA:$AA,0)+7))</f>
        <v>211</v>
      </c>
      <c r="AT205" s="369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4" t="str">
        <f t="shared" si="253"/>
        <v>Spieler 2</v>
      </c>
      <c r="C206" s="375" t="str">
        <f t="shared" si="254"/>
        <v/>
      </c>
      <c r="D206" s="362">
        <f>IF(AC206=301,"",AC206)</f>
        <v>244</v>
      </c>
      <c r="E206" s="362" t="str">
        <f>IF(AD206=0,"",AD206)</f>
        <v/>
      </c>
      <c r="F206" s="362">
        <f>IF(AE206=301,"",AE206)</f>
        <v>161</v>
      </c>
      <c r="G206" s="362" t="str">
        <f>IF(AF206=0,"",AF206)</f>
        <v/>
      </c>
      <c r="H206" s="362">
        <f>IF(AG206=301,"",AG206)</f>
        <v>200</v>
      </c>
      <c r="I206" s="362" t="str">
        <f>IF(AH206=0,"",AH206)</f>
        <v/>
      </c>
      <c r="J206" s="362">
        <f>IF(AI206=301,"",AI206)</f>
        <v>230</v>
      </c>
      <c r="K206" s="362" t="str">
        <f>IF(AJ206=0,"",AJ206)</f>
        <v/>
      </c>
      <c r="L206" s="362">
        <f>IF(AK206=301,"",AK206)</f>
        <v>146</v>
      </c>
      <c r="M206" s="362" t="str">
        <f>IF(AL206=0,"",AL206)</f>
        <v/>
      </c>
      <c r="N206" s="362">
        <f>IF(AM206=301,"",AM206)</f>
        <v>207</v>
      </c>
      <c r="O206" s="362" t="str">
        <f>IF(AN206=0,"",AN206)</f>
        <v/>
      </c>
      <c r="P206" s="362">
        <f>IF(AO206=301,"",AO206)</f>
        <v>187</v>
      </c>
      <c r="Q206" s="362" t="str">
        <f>IF(AP206=0,"",AP206)</f>
        <v/>
      </c>
      <c r="R206" s="362">
        <f>IF(AQ206=301,"",AQ206)</f>
        <v>163</v>
      </c>
      <c r="S206" s="362" t="str">
        <f>IF(AR206=0,"",AR206)</f>
        <v/>
      </c>
      <c r="T206" s="362">
        <f>IF(AS206=301,"",AS206)</f>
        <v>183</v>
      </c>
      <c r="U206" s="362" t="str">
        <f>IF(AT206=0,"",AT206)</f>
        <v/>
      </c>
      <c r="V206" s="364"/>
      <c r="W206" s="364"/>
      <c r="AA206" s="91" t="s">
        <v>2</v>
      </c>
      <c r="AB206" s="92"/>
      <c r="AC206" s="366">
        <f>ABS(INDEX(AC:AC,MATCH(AC202,$AA:$AA,0)+8)+INDEX(AC:AC,MATCH(AC202,$AA:$AA,0)+9)+INDEX(AC:AC,MATCH(AC202,$AA:$AA,0)+10))</f>
        <v>244</v>
      </c>
      <c r="AD206" s="367"/>
      <c r="AE206" s="366">
        <f>ABS(INDEX(AE:AE,MATCH(AE202,$AA:$AA,0)+8)+INDEX(AE:AE,MATCH(AE202,$AA:$AA,0)+9)+INDEX(AE:AE,MATCH(AE202,$AA:$AA,0)+10))</f>
        <v>161</v>
      </c>
      <c r="AF206" s="367"/>
      <c r="AG206" s="366">
        <f>ABS(INDEX(AG:AG,MATCH(AG202,$AA:$AA,0)+8)+INDEX(AG:AG,MATCH(AG202,$AA:$AA,0)+9)+INDEX(AG:AG,MATCH(AG202,$AA:$AA,0)+10))</f>
        <v>200</v>
      </c>
      <c r="AH206" s="367"/>
      <c r="AI206" s="366">
        <f>ABS(INDEX(AI:AI,MATCH(AI202,$AA:$AA,0)+8)+INDEX(AI:AI,MATCH(AI202,$AA:$AA,0)+9)+INDEX(AI:AI,MATCH(AI202,$AA:$AA,0)+10))</f>
        <v>230</v>
      </c>
      <c r="AJ206" s="367"/>
      <c r="AK206" s="366">
        <f>ABS(INDEX(AK:AK,MATCH(AK202,$AA:$AA,0)+8)+INDEX(AK:AK,MATCH(AK202,$AA:$AA,0)+9)+INDEX(AK:AK,MATCH(AK202,$AA:$AA,0)+10))</f>
        <v>146</v>
      </c>
      <c r="AL206" s="367"/>
      <c r="AM206" s="366">
        <f>ABS(INDEX(AM:AM,MATCH(AM202,$AA:$AA,0)+8)+INDEX(AM:AM,MATCH(AM202,$AA:$AA,0)+9)+INDEX(AM:AM,MATCH(AM202,$AA:$AA,0)+10))</f>
        <v>207</v>
      </c>
      <c r="AN206" s="367"/>
      <c r="AO206" s="366">
        <f>ABS(INDEX(AO:AO,MATCH(AO202,$AA:$AA,0)+8)+INDEX(AO:AO,MATCH(AO202,$AA:$AA,0)+9)+INDEX(AO:AO,MATCH(AO202,$AA:$AA,0)+10))</f>
        <v>187</v>
      </c>
      <c r="AP206" s="367"/>
      <c r="AQ206" s="366">
        <f>ABS(INDEX(AQ:AQ,MATCH(AQ202,$AA:$AA,0)+8)+INDEX(AQ:AQ,MATCH(AQ202,$AA:$AA,0)+9)+INDEX(AQ:AQ,MATCH(AQ202,$AA:$AA,0)+10))</f>
        <v>163</v>
      </c>
      <c r="AR206" s="367"/>
      <c r="AS206" s="366">
        <f>ABS(INDEX(AS:AS,MATCH(AS202,$AA:$AA,0)+8)+INDEX(AS:AS,MATCH(AS202,$AA:$AA,0)+9)+INDEX(AS:AS,MATCH(AS202,$AA:$AA,0)+10))</f>
        <v>183</v>
      </c>
      <c r="AT206" s="367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4" t="str">
        <f t="shared" si="253"/>
        <v>Spieler 3</v>
      </c>
      <c r="C207" s="375" t="str">
        <f t="shared" si="254"/>
        <v/>
      </c>
      <c r="D207" s="362">
        <f>IF(AC207=301,"",AC207)</f>
        <v>158</v>
      </c>
      <c r="E207" s="362" t="str">
        <f>IF(AD207=0,"",AD207)</f>
        <v/>
      </c>
      <c r="F207" s="362">
        <f>IF(AE207=301,"",AE207)</f>
        <v>166</v>
      </c>
      <c r="G207" s="362" t="str">
        <f>IF(AF207=0,"",AF207)</f>
        <v/>
      </c>
      <c r="H207" s="362">
        <f>IF(AG207=301,"",AG207)</f>
        <v>159</v>
      </c>
      <c r="I207" s="362" t="str">
        <f>IF(AH207=0,"",AH207)</f>
        <v/>
      </c>
      <c r="J207" s="362">
        <f>IF(AI207=301,"",AI207)</f>
        <v>216</v>
      </c>
      <c r="K207" s="362" t="str">
        <f>IF(AJ207=0,"",AJ207)</f>
        <v/>
      </c>
      <c r="L207" s="362">
        <f>IF(AK207=301,"",AK207)</f>
        <v>236</v>
      </c>
      <c r="M207" s="362" t="str">
        <f>IF(AL207=0,"",AL207)</f>
        <v/>
      </c>
      <c r="N207" s="362">
        <f>IF(AM207=301,"",AM207)</f>
        <v>157</v>
      </c>
      <c r="O207" s="362" t="str">
        <f>IF(AN207=0,"",AN207)</f>
        <v/>
      </c>
      <c r="P207" s="362">
        <f>IF(AO207=301,"",AO207)</f>
        <v>181</v>
      </c>
      <c r="Q207" s="362" t="str">
        <f>IF(AP207=0,"",AP207)</f>
        <v/>
      </c>
      <c r="R207" s="362">
        <f>IF(AQ207=301,"",AQ207)</f>
        <v>156</v>
      </c>
      <c r="S207" s="362" t="str">
        <f>IF(AR207=0,"",AR207)</f>
        <v/>
      </c>
      <c r="T207" s="362">
        <f>IF(AS207=301,"",AS207)</f>
        <v>258</v>
      </c>
      <c r="U207" s="362" t="str">
        <f>IF(AT207=0,"",AT207)</f>
        <v/>
      </c>
      <c r="V207" s="364"/>
      <c r="W207" s="364"/>
      <c r="AA207" s="91" t="s">
        <v>3</v>
      </c>
      <c r="AB207" s="92"/>
      <c r="AC207" s="366">
        <f>ABS(INDEX(AC:AC,MATCH(AC202,$AA:$AA,0)+11)+INDEX(AC:AC,MATCH(AC202,$AA:$AA,0)+12)+INDEX(AC:AC,MATCH(AC202,$AA:$AA,0)+13))</f>
        <v>158</v>
      </c>
      <c r="AD207" s="367"/>
      <c r="AE207" s="366">
        <f>ABS(INDEX(AE:AE,MATCH(AE202,$AA:$AA,0)+11)+INDEX(AE:AE,MATCH(AE202,$AA:$AA,0)+12)+INDEX(AE:AE,MATCH(AE202,$AA:$AA,0)+13))</f>
        <v>166</v>
      </c>
      <c r="AF207" s="367"/>
      <c r="AG207" s="366">
        <f>ABS(INDEX(AG:AG,MATCH(AG202,$AA:$AA,0)+11)+INDEX(AG:AG,MATCH(AG202,$AA:$AA,0)+12)+INDEX(AG:AG,MATCH(AG202,$AA:$AA,0)+13))</f>
        <v>159</v>
      </c>
      <c r="AH207" s="367"/>
      <c r="AI207" s="366">
        <f>ABS(INDEX(AI:AI,MATCH(AI202,$AA:$AA,0)+11)+INDEX(AI:AI,MATCH(AI202,$AA:$AA,0)+12)+INDEX(AI:AI,MATCH(AI202,$AA:$AA,0)+13))</f>
        <v>216</v>
      </c>
      <c r="AJ207" s="367"/>
      <c r="AK207" s="366">
        <f>ABS(INDEX(AK:AK,MATCH(AK202,$AA:$AA,0)+11)+INDEX(AK:AK,MATCH(AK202,$AA:$AA,0)+12)+INDEX(AK:AK,MATCH(AK202,$AA:$AA,0)+13))</f>
        <v>236</v>
      </c>
      <c r="AL207" s="367"/>
      <c r="AM207" s="366">
        <f>ABS(INDEX(AM:AM,MATCH(AM202,$AA:$AA,0)+11)+INDEX(AM:AM,MATCH(AM202,$AA:$AA,0)+12)+INDEX(AM:AM,MATCH(AM202,$AA:$AA,0)+13))</f>
        <v>157</v>
      </c>
      <c r="AN207" s="367"/>
      <c r="AO207" s="366">
        <f>ABS(INDEX(AO:AO,MATCH(AO202,$AA:$AA,0)+11)+INDEX(AO:AO,MATCH(AO202,$AA:$AA,0)+12)+INDEX(AO:AO,MATCH(AO202,$AA:$AA,0)+13))</f>
        <v>181</v>
      </c>
      <c r="AP207" s="367"/>
      <c r="AQ207" s="366">
        <f>ABS(INDEX(AQ:AQ,MATCH(AQ202,$AA:$AA,0)+11)+INDEX(AQ:AQ,MATCH(AQ202,$AA:$AA,0)+12)+INDEX(AQ:AQ,MATCH(AQ202,$AA:$AA,0)+13))</f>
        <v>156</v>
      </c>
      <c r="AR207" s="367"/>
      <c r="AS207" s="366">
        <f>ABS(INDEX(AS:AS,MATCH(AS202,$AA:$AA,0)+11)+INDEX(AS:AS,MATCH(AS202,$AA:$AA,0)+12)+INDEX(AS:AS,MATCH(AS202,$AA:$AA,0)+13))</f>
        <v>258</v>
      </c>
      <c r="AT207" s="367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4" t="str">
        <f t="shared" si="253"/>
        <v>Spieler 4</v>
      </c>
      <c r="C208" s="375" t="str">
        <f t="shared" si="254"/>
        <v/>
      </c>
      <c r="D208" s="362">
        <f>IF(AC208=301,"",AC208)</f>
        <v>262</v>
      </c>
      <c r="E208" s="362" t="str">
        <f>IF(AD208=0,"",AD208)</f>
        <v/>
      </c>
      <c r="F208" s="362">
        <f>IF(AE208=301,"",AE208)</f>
        <v>194</v>
      </c>
      <c r="G208" s="362" t="str">
        <f>IF(AF208=0,"",AF208)</f>
        <v/>
      </c>
      <c r="H208" s="362">
        <f>IF(AG208=301,"",AG208)</f>
        <v>180</v>
      </c>
      <c r="I208" s="362" t="str">
        <f>IF(AH208=0,"",AH208)</f>
        <v/>
      </c>
      <c r="J208" s="362">
        <f>IF(AI208=301,"",AI208)</f>
        <v>176</v>
      </c>
      <c r="K208" s="362" t="str">
        <f>IF(AJ208=0,"",AJ208)</f>
        <v/>
      </c>
      <c r="L208" s="362">
        <f>IF(AK208=301,"",AK208)</f>
        <v>174</v>
      </c>
      <c r="M208" s="362" t="str">
        <f>IF(AL208=0,"",AL208)</f>
        <v/>
      </c>
      <c r="N208" s="362">
        <f>IF(AM208=301,"",AM208)</f>
        <v>204</v>
      </c>
      <c r="O208" s="362" t="str">
        <f>IF(AN208=0,"",AN208)</f>
        <v/>
      </c>
      <c r="P208" s="362">
        <f>IF(AO208=301,"",AO208)</f>
        <v>175</v>
      </c>
      <c r="Q208" s="362" t="str">
        <f>IF(AP208=0,"",AP208)</f>
        <v/>
      </c>
      <c r="R208" s="362">
        <f>IF(AQ208=301,"",AQ208)</f>
        <v>188</v>
      </c>
      <c r="S208" s="362" t="str">
        <f>IF(AR208=0,"",AR208)</f>
        <v/>
      </c>
      <c r="T208" s="362">
        <f>IF(AS208=301,"",AS208)</f>
        <v>242</v>
      </c>
      <c r="U208" s="362" t="str">
        <f>IF(AT208=0,"",AT208)</f>
        <v/>
      </c>
      <c r="V208" s="364"/>
      <c r="W208" s="364"/>
      <c r="AA208" s="91" t="s">
        <v>11</v>
      </c>
      <c r="AB208" s="92"/>
      <c r="AC208" s="366">
        <f>ABS(INDEX(AC:AC,MATCH(AC202,$AA:$AA,0)+14)+INDEX(AC:AC,MATCH(AC202,$AA:$AA,0)+15)+INDEX(AC:AC,MATCH(AC202,$AA:$AA,0)+16))</f>
        <v>262</v>
      </c>
      <c r="AD208" s="367"/>
      <c r="AE208" s="366">
        <f>ABS(INDEX(AE:AE,MATCH(AE202,$AA:$AA,0)+14)+INDEX(AE:AE,MATCH(AE202,$AA:$AA,0)+15)+INDEX(AE:AE,MATCH(AE202,$AA:$AA,0)+16))</f>
        <v>194</v>
      </c>
      <c r="AF208" s="367"/>
      <c r="AG208" s="366">
        <f>ABS(INDEX(AG:AG,MATCH(AG202,$AA:$AA,0)+14)+INDEX(AG:AG,MATCH(AG202,$AA:$AA,0)+15)+INDEX(AG:AG,MATCH(AG202,$AA:$AA,0)+16))</f>
        <v>180</v>
      </c>
      <c r="AH208" s="367"/>
      <c r="AI208" s="366">
        <f>ABS(INDEX(AI:AI,MATCH(AI202,$AA:$AA,0)+14)+INDEX(AI:AI,MATCH(AI202,$AA:$AA,0)+15)+INDEX(AI:AI,MATCH(AI202,$AA:$AA,0)+16))</f>
        <v>176</v>
      </c>
      <c r="AJ208" s="367"/>
      <c r="AK208" s="366">
        <f>ABS(INDEX(AK:AK,MATCH(AK202,$AA:$AA,0)+14)+INDEX(AK:AK,MATCH(AK202,$AA:$AA,0)+15)+INDEX(AK:AK,MATCH(AK202,$AA:$AA,0)+16))</f>
        <v>174</v>
      </c>
      <c r="AL208" s="367"/>
      <c r="AM208" s="366">
        <f>ABS(INDEX(AM:AM,MATCH(AM202,$AA:$AA,0)+14)+INDEX(AM:AM,MATCH(AM202,$AA:$AA,0)+15)+INDEX(AM:AM,MATCH(AM202,$AA:$AA,0)+16))</f>
        <v>204</v>
      </c>
      <c r="AN208" s="367"/>
      <c r="AO208" s="366">
        <f>ABS(INDEX(AO:AO,MATCH(AO202,$AA:$AA,0)+14)+INDEX(AO:AO,MATCH(AO202,$AA:$AA,0)+15)+INDEX(AO:AO,MATCH(AO202,$AA:$AA,0)+16))</f>
        <v>175</v>
      </c>
      <c r="AP208" s="367"/>
      <c r="AQ208" s="366">
        <f>ABS(INDEX(AQ:AQ,MATCH(AQ202,$AA:$AA,0)+14)+INDEX(AQ:AQ,MATCH(AQ202,$AA:$AA,0)+15)+INDEX(AQ:AQ,MATCH(AQ202,$AA:$AA,0)+16))</f>
        <v>188</v>
      </c>
      <c r="AR208" s="367"/>
      <c r="AS208" s="366">
        <f>ABS(INDEX(AS:AS,MATCH(AS202,$AA:$AA,0)+14)+INDEX(AS:AS,MATCH(AS202,$AA:$AA,0)+15)+INDEX(AS:AS,MATCH(AS202,$AA:$AA,0)+16))</f>
        <v>242</v>
      </c>
      <c r="AT208" s="367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6" t="str">
        <f t="shared" si="253"/>
        <v>Gesamt</v>
      </c>
      <c r="C209" s="347" t="str">
        <f t="shared" si="254"/>
        <v/>
      </c>
      <c r="D209" s="365">
        <f>IF(AC209=1505,"",AC209)</f>
        <v>888</v>
      </c>
      <c r="E209" s="365" t="str">
        <f>IF(AD209=0,"",AD209)</f>
        <v/>
      </c>
      <c r="F209" s="365">
        <f>IF(AE209=1505,"",AE209)</f>
        <v>700</v>
      </c>
      <c r="G209" s="365" t="str">
        <f>IF(AF209=0,"",AF209)</f>
        <v/>
      </c>
      <c r="H209" s="365">
        <f>IF(AG209=1505,"",AG209)</f>
        <v>756</v>
      </c>
      <c r="I209" s="365" t="str">
        <f>IF(AH209=0,"",AH209)</f>
        <v/>
      </c>
      <c r="J209" s="365">
        <f>IF(AI209=1505,"",AI209)</f>
        <v>866</v>
      </c>
      <c r="K209" s="365" t="str">
        <f>IF(AJ209=0,"",AJ209)</f>
        <v/>
      </c>
      <c r="L209" s="365">
        <f>IF(AK209=1505,"",AK209)</f>
        <v>766</v>
      </c>
      <c r="M209" s="365" t="str">
        <f>IF(AL209=0,"",AL209)</f>
        <v/>
      </c>
      <c r="N209" s="365">
        <f>IF(AM209=1505,"",AM209)</f>
        <v>845</v>
      </c>
      <c r="O209" s="365" t="str">
        <f>IF(AN209=0,"",AN209)</f>
        <v/>
      </c>
      <c r="P209" s="365">
        <f>IF(AO209=1505,"",AO209)</f>
        <v>714</v>
      </c>
      <c r="Q209" s="365" t="str">
        <f>IF(AP209=0,"",AP209)</f>
        <v/>
      </c>
      <c r="R209" s="365">
        <f>IF(AQ209=1505,"",AQ209)</f>
        <v>689</v>
      </c>
      <c r="S209" s="365" t="str">
        <f>IF(AR209=0,"",AR209)</f>
        <v/>
      </c>
      <c r="T209" s="365">
        <f>IF(AS209=1505,"",AS209)</f>
        <v>894</v>
      </c>
      <c r="U209" s="365" t="str">
        <f>IF(AT209=0,"",AT209)</f>
        <v/>
      </c>
      <c r="V209" s="301"/>
      <c r="W209" s="301"/>
      <c r="AA209" s="93" t="s">
        <v>1799</v>
      </c>
      <c r="AB209" s="94"/>
      <c r="AC209" s="346">
        <f>SUM(AC205:AC208)</f>
        <v>888</v>
      </c>
      <c r="AD209" s="347"/>
      <c r="AE209" s="346">
        <f>SUM(AE205:AE208)</f>
        <v>700</v>
      </c>
      <c r="AF209" s="347"/>
      <c r="AG209" s="346">
        <f>SUM(AG205:AG208)</f>
        <v>756</v>
      </c>
      <c r="AH209" s="347"/>
      <c r="AI209" s="346">
        <f>SUM(AI205:AI208)</f>
        <v>866</v>
      </c>
      <c r="AJ209" s="347"/>
      <c r="AK209" s="346">
        <f>SUM(AK205:AK208)</f>
        <v>766</v>
      </c>
      <c r="AL209" s="347"/>
      <c r="AM209" s="346">
        <f>SUM(AM205:AM208)</f>
        <v>845</v>
      </c>
      <c r="AN209" s="347"/>
      <c r="AO209" s="346">
        <f>SUM(AO205:AO208)</f>
        <v>714</v>
      </c>
      <c r="AP209" s="347"/>
      <c r="AQ209" s="346">
        <f>SUM(AQ205:AQ208)</f>
        <v>689</v>
      </c>
      <c r="AR209" s="347"/>
      <c r="AS209" s="346">
        <f>SUM(AS205:AS208)</f>
        <v>894</v>
      </c>
      <c r="AT209" s="347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5" t="str">
        <f>AE211</f>
        <v>Bayernliga Herren</v>
      </c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48"/>
      <c r="S211" s="49" t="s">
        <v>1794</v>
      </c>
      <c r="T211" s="50"/>
      <c r="U211" s="341" t="str">
        <f>AT211</f>
        <v>12.10./13.10.</v>
      </c>
      <c r="V211" s="342"/>
      <c r="W211" s="343"/>
      <c r="X211" s="372"/>
      <c r="Y211" s="373"/>
      <c r="Z211" s="373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41" t="str">
        <f>VLOOKUP(AS212,Spielorte!$A$1:$C$6,2)</f>
        <v>12.10./13.10.</v>
      </c>
      <c r="AU211" s="342"/>
      <c r="AV211" s="34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4" t="str">
        <f>AE212</f>
        <v>Unterföhring Dreambowl Palace</v>
      </c>
      <c r="G212" s="344"/>
      <c r="H212" s="344"/>
      <c r="I212" s="344"/>
      <c r="J212" s="344"/>
      <c r="K212" s="344"/>
      <c r="L212" s="344"/>
      <c r="M212" s="344"/>
      <c r="N212" s="344"/>
      <c r="O212" s="344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6" t="s">
        <v>1800</v>
      </c>
      <c r="E215" s="347"/>
      <c r="F215" s="346" t="s">
        <v>1801</v>
      </c>
      <c r="G215" s="347"/>
      <c r="H215" s="346" t="s">
        <v>1802</v>
      </c>
      <c r="I215" s="347"/>
      <c r="J215" s="346" t="s">
        <v>1803</v>
      </c>
      <c r="K215" s="347"/>
      <c r="L215" s="346" t="s">
        <v>1804</v>
      </c>
      <c r="M215" s="347"/>
      <c r="N215" s="346" t="s">
        <v>1805</v>
      </c>
      <c r="O215" s="347"/>
      <c r="P215" s="346" t="s">
        <v>1806</v>
      </c>
      <c r="Q215" s="347"/>
      <c r="R215" s="346" t="s">
        <v>1807</v>
      </c>
      <c r="S215" s="347"/>
      <c r="T215" s="346" t="s">
        <v>1808</v>
      </c>
      <c r="U215" s="347"/>
      <c r="V215" s="354" t="s">
        <v>1799</v>
      </c>
      <c r="W215" s="355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6" t="s">
        <v>0</v>
      </c>
      <c r="B217" s="73" t="str">
        <f>IF(AA217=0,"",AA217)</f>
        <v>Probst, Marco</v>
      </c>
      <c r="C217" s="74">
        <f>IF(AB217=0,"",AB217)</f>
        <v>7602</v>
      </c>
      <c r="D217" s="75">
        <f>IF(AC217=0,"",AC217)</f>
        <v>194</v>
      </c>
      <c r="E217" s="348">
        <f>IF(AD217="","",AD217)</f>
        <v>0</v>
      </c>
      <c r="F217" s="75">
        <f t="shared" ref="F217:F230" si="257">IF(AE217=0,"",AE217)</f>
        <v>183</v>
      </c>
      <c r="G217" s="348">
        <f>IF(AF217="","",AF217)</f>
        <v>1</v>
      </c>
      <c r="H217" s="75">
        <f t="shared" ref="H217:H230" si="258">IF(AG217=0,"",AG217)</f>
        <v>178</v>
      </c>
      <c r="I217" s="348">
        <f>IF(AH217="","",AH217)</f>
        <v>0</v>
      </c>
      <c r="J217" s="75">
        <f t="shared" ref="J217:J230" si="259">IF(AI217=0,"",AI217)</f>
        <v>195</v>
      </c>
      <c r="K217" s="348">
        <f>IF(AJ217="","",AJ217)</f>
        <v>0</v>
      </c>
      <c r="L217" s="75">
        <f t="shared" ref="L217:L230" si="260">IF(AK217=0,"",AK217)</f>
        <v>259</v>
      </c>
      <c r="M217" s="348">
        <f>IF(AL217="","",AL217)</f>
        <v>1</v>
      </c>
      <c r="N217" s="75">
        <f>IF(AM217=0,"",AM217)</f>
        <v>207</v>
      </c>
      <c r="O217" s="348">
        <f>IF(AN217="","",AN217)</f>
        <v>0</v>
      </c>
      <c r="P217" s="75">
        <f t="shared" ref="P217:P230" si="261">IF(AO217=0,"",AO217)</f>
        <v>209</v>
      </c>
      <c r="Q217" s="348">
        <f>IF(AP217="","",AP217)</f>
        <v>0.5</v>
      </c>
      <c r="R217" s="75">
        <f t="shared" ref="R217:R230" si="262">IF(AQ217=0,"",AQ217)</f>
        <v>182</v>
      </c>
      <c r="S217" s="348">
        <f>IF(AR217="","",AR217)</f>
        <v>1</v>
      </c>
      <c r="T217" s="75">
        <f t="shared" ref="T217:T230" si="263">IF(AS217=0,"",AS217)</f>
        <v>167</v>
      </c>
      <c r="U217" s="348">
        <f>IF(AT217="","",AT217)</f>
        <v>0</v>
      </c>
      <c r="V217" s="75">
        <f t="shared" ref="V217:V230" si="264">IF(AU217=0,"",AU217)</f>
        <v>1774</v>
      </c>
      <c r="W217" s="348">
        <f>IF(AV217="","",AV217)</f>
        <v>3.5</v>
      </c>
      <c r="Z217" s="351" t="s">
        <v>0</v>
      </c>
      <c r="AA217" s="108" t="str">
        <f>IF(AB217=0,"",VLOOKUP(AB217,Starter!$A$1:$D$199,2,FALSE))</f>
        <v>Probst, Marco</v>
      </c>
      <c r="AB217" s="99">
        <v>7602</v>
      </c>
      <c r="AC217" s="185">
        <v>194</v>
      </c>
      <c r="AD217" s="109">
        <f>IF(SUM(AC217:AC219)+AC235=0,0,IF(SUM(ABS(AC217),ABS(AC218),ABS(AC219))=AC235,0.5,IF(SUM(ABS(AC217),ABS(AC218),ABS(AC219))&gt;AC235,1,0)))</f>
        <v>0</v>
      </c>
      <c r="AE217" s="185">
        <v>183</v>
      </c>
      <c r="AF217" s="109">
        <f>IF(SUM(AE217:AE219)+AE235=0,0,IF(SUM(ABS(AE217),ABS(AE218),ABS(AE219))=AE235,0.5,IF(SUM(ABS(AE217),ABS(AE218),ABS(AE219))&gt;AE235,1,0)))</f>
        <v>1</v>
      </c>
      <c r="AG217" s="185">
        <v>178</v>
      </c>
      <c r="AH217" s="109">
        <f>IF(SUM(AG217:AG219)+AG235=0,0,IF(SUM(ABS(AG217),ABS(AG218),ABS(AG219))=AG235,0.5,IF(SUM(ABS(AG217),ABS(AG218),ABS(AG219))&gt;AG235,1,0)))</f>
        <v>0</v>
      </c>
      <c r="AI217" s="185">
        <v>195</v>
      </c>
      <c r="AJ217" s="109">
        <f>IF(SUM(AI217:AI219)+AI235=0,0,IF(SUM(ABS(AI217),ABS(AI218),ABS(AI219))=AI235,0.5,IF(SUM(ABS(AI217),ABS(AI218),ABS(AI219))&gt;AI235,1,0)))</f>
        <v>0</v>
      </c>
      <c r="AK217" s="185">
        <v>259</v>
      </c>
      <c r="AL217" s="109">
        <f>IF(SUM(AK217:AK219)+AK235=0,0,IF(SUM(ABS(AK217),ABS(AK218),ABS(AK219))=AK235,0.5,IF(SUM(ABS(AK217),ABS(AK218),ABS(AK219))&gt;AK235,1,0)))</f>
        <v>1</v>
      </c>
      <c r="AM217" s="185">
        <v>207</v>
      </c>
      <c r="AN217" s="109">
        <f>IF(SUM(AM217:AM219)+AM235=0,0,IF(SUM(ABS(AM217),ABS(AM218),ABS(AM219))=AM235,0.5,IF(SUM(ABS(AM217),ABS(AM218),ABS(AM219))&gt;AM235,1,0)))</f>
        <v>0</v>
      </c>
      <c r="AO217" s="185">
        <v>209</v>
      </c>
      <c r="AP217" s="109">
        <f>IF(SUM(AO217:AO219)+AO235=0,0,IF(SUM(ABS(AO217),ABS(AO218),ABS(AO219))=AO235,0.5,IF(SUM(ABS(AO217),ABS(AO218),ABS(AO219))&gt;AO235,1,0)))</f>
        <v>0.5</v>
      </c>
      <c r="AQ217" s="185">
        <v>182</v>
      </c>
      <c r="AR217" s="109">
        <f>IF(SUM(AQ217:AQ219)+AQ235=0,0,IF(SUM(ABS(AQ217),ABS(AQ218),ABS(AQ219))=AQ235,0.5,IF(SUM(ABS(AQ217),ABS(AQ218),ABS(AQ219))&gt;AQ235,1,0)))</f>
        <v>1</v>
      </c>
      <c r="AS217" s="185">
        <v>167</v>
      </c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1774</v>
      </c>
      <c r="AV217" s="111">
        <f>SUM(AD217+AF217+AH217+AJ217+AL217+AN217+AP217+AR217+AT217)</f>
        <v>3.5</v>
      </c>
      <c r="AW217" s="101"/>
      <c r="AX217" s="102"/>
      <c r="AZ217" s="63"/>
      <c r="BA217" s="212"/>
      <c r="BB217" s="213"/>
      <c r="BC217" s="214"/>
      <c r="BD217" s="217">
        <f>+AB217</f>
        <v>7602</v>
      </c>
      <c r="BE217" s="213">
        <f>+AU217</f>
        <v>1774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66">IF(AC217=0,"",AC217)</f>
        <v>194</v>
      </c>
      <c r="BI217" s="215">
        <f t="shared" ref="BI217:BI228" si="267">IF(AE217=0,"",AE217)</f>
        <v>183</v>
      </c>
      <c r="BJ217" s="215">
        <f t="shared" ref="BJ217:BJ228" si="268">IF(AG217=0,"",AG217)</f>
        <v>178</v>
      </c>
      <c r="BK217" s="215">
        <f t="shared" ref="BK217:BK228" si="269">IF(AI217=0,"",AI217)</f>
        <v>195</v>
      </c>
      <c r="BL217" s="215">
        <f t="shared" ref="BL217:BL228" si="270">IF(AK217=0,"",AK217)</f>
        <v>259</v>
      </c>
      <c r="BM217" s="215">
        <f t="shared" ref="BM217:BM228" si="271">IF(AM217=0,"",AM217)</f>
        <v>207</v>
      </c>
      <c r="BN217" s="215">
        <f t="shared" ref="BN217:BN228" si="272">IF(AO217=0,"",AO217)</f>
        <v>209</v>
      </c>
      <c r="BO217" s="215">
        <f t="shared" ref="BO217:BO228" si="273">IF(AQ217=0,"",AQ217)</f>
        <v>182</v>
      </c>
      <c r="BP217" s="215">
        <f t="shared" ref="BP217:BP228" si="274">IF(AS217=0,"",AS217)</f>
        <v>167</v>
      </c>
      <c r="BQ217" s="216"/>
      <c r="BR217" s="214"/>
      <c r="BS217" s="215">
        <f>MAX(BH217:BP217)</f>
        <v>259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1774</v>
      </c>
      <c r="BX217" s="215">
        <f>IF(COUNTIF(BH217:BP217,"&gt;0")&lt;Spielorte!$A$23,0,BE217/Spielorte!$A$23)</f>
        <v>197.11111111111111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00000000000001" customHeight="1" x14ac:dyDescent="0.25">
      <c r="A218" s="377"/>
      <c r="B218" s="76" t="str">
        <f t="shared" ref="B218:B225" si="276">IF(AA218=0,"",AA218)</f>
        <v/>
      </c>
      <c r="C218" s="77" t="str">
        <f t="shared" ref="C218:C230" si="277">IF(AB218=0,"",AB218)</f>
        <v/>
      </c>
      <c r="D218" s="78" t="str">
        <f t="shared" ref="D218:D230" si="278">IF(AC218=0,"",AC218)</f>
        <v/>
      </c>
      <c r="E218" s="349"/>
      <c r="F218" s="78" t="str">
        <f t="shared" si="257"/>
        <v/>
      </c>
      <c r="G218" s="349"/>
      <c r="H218" s="78" t="str">
        <f t="shared" si="258"/>
        <v/>
      </c>
      <c r="I218" s="349"/>
      <c r="J218" s="78" t="str">
        <f t="shared" si="259"/>
        <v/>
      </c>
      <c r="K218" s="349"/>
      <c r="L218" s="78" t="str">
        <f t="shared" si="260"/>
        <v/>
      </c>
      <c r="M218" s="349"/>
      <c r="N218" s="78" t="str">
        <f t="shared" ref="N218:N230" si="279">IF(AM218=0,"",AM218)</f>
        <v/>
      </c>
      <c r="O218" s="349"/>
      <c r="P218" s="78" t="str">
        <f t="shared" si="261"/>
        <v/>
      </c>
      <c r="Q218" s="349"/>
      <c r="R218" s="78" t="str">
        <f t="shared" si="262"/>
        <v/>
      </c>
      <c r="S218" s="349"/>
      <c r="T218" s="78" t="str">
        <f t="shared" si="263"/>
        <v/>
      </c>
      <c r="U218" s="349"/>
      <c r="V218" s="78" t="str">
        <f t="shared" si="264"/>
        <v/>
      </c>
      <c r="W218" s="349"/>
      <c r="Z218" s="352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65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0</v>
      </c>
      <c r="BE218" s="213">
        <f t="shared" ref="BE218:BE228" si="281">+AU218</f>
        <v>0</v>
      </c>
      <c r="BF218" s="215">
        <f t="shared" ref="BF218:BF228" si="282">COUNT(BH218:BP218)</f>
        <v>0</v>
      </c>
      <c r="BG218" s="215">
        <f t="shared" ref="BG218:BG228" si="283">COUNTIF(BH218:BP218,"&gt;0")</f>
        <v>0</v>
      </c>
      <c r="BH218" s="215" t="str">
        <f t="shared" si="266"/>
        <v/>
      </c>
      <c r="BI218" s="215" t="str">
        <f t="shared" si="267"/>
        <v/>
      </c>
      <c r="BJ218" s="215" t="str">
        <f t="shared" si="268"/>
        <v/>
      </c>
      <c r="BK218" s="215" t="str">
        <f t="shared" si="269"/>
        <v/>
      </c>
      <c r="BL218" s="215" t="str">
        <f t="shared" si="270"/>
        <v/>
      </c>
      <c r="BM218" s="215" t="str">
        <f t="shared" si="271"/>
        <v/>
      </c>
      <c r="BN218" s="215" t="str">
        <f t="shared" si="272"/>
        <v/>
      </c>
      <c r="BO218" s="215" t="str">
        <f t="shared" si="273"/>
        <v/>
      </c>
      <c r="BP218" s="215" t="str">
        <f t="shared" si="274"/>
        <v/>
      </c>
      <c r="BQ218" s="216"/>
      <c r="BR218" s="214"/>
      <c r="BS218" s="215">
        <f t="shared" ref="BS218:BS228" si="284">MAX(BH218:BP218)</f>
        <v>0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BC EMAX Unterföhring 2</v>
      </c>
      <c r="BV218" s="214">
        <f t="shared" ref="BV218:BV228" si="287">RANK(BT218,BT:BT)</f>
        <v>2</v>
      </c>
      <c r="BW218" s="215">
        <f t="shared" ref="BW218:BW228" si="28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00000000000001" customHeight="1" thickBot="1" x14ac:dyDescent="0.3">
      <c r="A219" s="378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50"/>
      <c r="F219" s="69" t="str">
        <f t="shared" si="257"/>
        <v/>
      </c>
      <c r="G219" s="350"/>
      <c r="H219" s="69" t="str">
        <f t="shared" si="258"/>
        <v/>
      </c>
      <c r="I219" s="350"/>
      <c r="J219" s="69" t="str">
        <f t="shared" si="259"/>
        <v/>
      </c>
      <c r="K219" s="350"/>
      <c r="L219" s="69" t="str">
        <f t="shared" si="260"/>
        <v/>
      </c>
      <c r="M219" s="350"/>
      <c r="N219" s="69" t="str">
        <f t="shared" si="279"/>
        <v/>
      </c>
      <c r="O219" s="350"/>
      <c r="P219" s="69" t="str">
        <f t="shared" si="261"/>
        <v/>
      </c>
      <c r="Q219" s="350"/>
      <c r="R219" s="69" t="str">
        <f t="shared" si="262"/>
        <v/>
      </c>
      <c r="S219" s="350"/>
      <c r="T219" s="69" t="str">
        <f t="shared" si="263"/>
        <v/>
      </c>
      <c r="U219" s="350"/>
      <c r="V219" s="69" t="str">
        <f t="shared" si="264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BC EMAX Unterföhring 2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00000000000001" customHeight="1" x14ac:dyDescent="0.25">
      <c r="A220" s="376" t="s">
        <v>2</v>
      </c>
      <c r="B220" s="73" t="str">
        <f t="shared" si="276"/>
        <v>Wegenast, Robert</v>
      </c>
      <c r="C220" s="74">
        <f t="shared" si="277"/>
        <v>25325</v>
      </c>
      <c r="D220" s="75">
        <f t="shared" si="278"/>
        <v>224</v>
      </c>
      <c r="E220" s="348">
        <f>IF(AD220="","",AD220)</f>
        <v>1</v>
      </c>
      <c r="F220" s="75">
        <f t="shared" si="257"/>
        <v>236</v>
      </c>
      <c r="G220" s="348">
        <f>IF(AF220="","",AF220)</f>
        <v>1</v>
      </c>
      <c r="H220" s="75">
        <f t="shared" si="258"/>
        <v>214</v>
      </c>
      <c r="I220" s="348">
        <f>IF(AH220="","",AH220)</f>
        <v>0</v>
      </c>
      <c r="J220" s="75">
        <f t="shared" si="259"/>
        <v>194</v>
      </c>
      <c r="K220" s="348">
        <f>IF(AJ220="","",AJ220)</f>
        <v>0</v>
      </c>
      <c r="L220" s="75">
        <f t="shared" si="260"/>
        <v>212</v>
      </c>
      <c r="M220" s="348">
        <f>IF(AL220="","",AL220)</f>
        <v>0</v>
      </c>
      <c r="N220" s="75">
        <f t="shared" si="279"/>
        <v>224</v>
      </c>
      <c r="O220" s="348">
        <f>IF(AN220="","",AN220)</f>
        <v>1</v>
      </c>
      <c r="P220" s="75">
        <f t="shared" si="261"/>
        <v>197</v>
      </c>
      <c r="Q220" s="348">
        <f>IF(AP220="","",AP220)</f>
        <v>1</v>
      </c>
      <c r="R220" s="75">
        <f t="shared" si="262"/>
        <v>163</v>
      </c>
      <c r="S220" s="348">
        <f>IF(AR220="","",AR220)</f>
        <v>0</v>
      </c>
      <c r="T220" s="75">
        <f t="shared" si="263"/>
        <v>184</v>
      </c>
      <c r="U220" s="348">
        <f>IF(AT220="","",AT220)</f>
        <v>0</v>
      </c>
      <c r="V220" s="75">
        <f t="shared" si="264"/>
        <v>1848</v>
      </c>
      <c r="W220" s="348">
        <f>IF(AV220="","",AV220)</f>
        <v>4</v>
      </c>
      <c r="Z220" s="351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224</v>
      </c>
      <c r="AD220" s="109">
        <f>IF(SUM(AC220:AC222)+AC236=0,0,IF(SUM(ABS(AC220),ABS(AC221),ABS(AC222))=AC236,0.5,IF(SUM(ABS(AC220),ABS(AC221),ABS(AC222))&gt;AC236,1,0)))</f>
        <v>1</v>
      </c>
      <c r="AE220" s="188">
        <v>236</v>
      </c>
      <c r="AF220" s="109">
        <f>IF(SUM(AE220:AE222)+AE236=0,0,IF(SUM(ABS(AE220),ABS(AE221),ABS(AE222))=AE236,0.5,IF(SUM(ABS(AE220),ABS(AE221),ABS(AE222))&gt;AE236,1,0)))</f>
        <v>1</v>
      </c>
      <c r="AG220" s="188">
        <v>214</v>
      </c>
      <c r="AH220" s="109">
        <f>IF(SUM(AG220:AG222)+AG236=0,0,IF(SUM(ABS(AG220),ABS(AG221),ABS(AG222))=AG236,0.5,IF(SUM(ABS(AG220),ABS(AG221),ABS(AG222))&gt;AG236,1,0)))</f>
        <v>0</v>
      </c>
      <c r="AI220" s="188">
        <v>194</v>
      </c>
      <c r="AJ220" s="109">
        <f>IF(SUM(AI220:AI222)+AI236=0,0,IF(SUM(ABS(AI220),ABS(AI221),ABS(AI222))=AI236,0.5,IF(SUM(ABS(AI220),ABS(AI221),ABS(AI222))&gt;AI236,1,0)))</f>
        <v>0</v>
      </c>
      <c r="AK220" s="188">
        <v>212</v>
      </c>
      <c r="AL220" s="109">
        <f>IF(SUM(AK220:AK222)+AK236=0,0,IF(SUM(ABS(AK220),ABS(AK221),ABS(AK222))=AK236,0.5,IF(SUM(ABS(AK220),ABS(AK221),ABS(AK222))&gt;AK236,1,0)))</f>
        <v>0</v>
      </c>
      <c r="AM220" s="188">
        <v>224</v>
      </c>
      <c r="AN220" s="109">
        <f>IF(SUM(AM220:AM222)+AM236=0,0,IF(SUM(ABS(AM220),ABS(AM221),ABS(AM222))=AM236,0.5,IF(SUM(ABS(AM220),ABS(AM221),ABS(AM222))&gt;AM236,1,0)))</f>
        <v>1</v>
      </c>
      <c r="AO220" s="188">
        <v>197</v>
      </c>
      <c r="AP220" s="109">
        <f>IF(SUM(AO220:AO222)+AO236=0,0,IF(SUM(ABS(AO220),ABS(AO221),ABS(AO222))=AO236,0.5,IF(SUM(ABS(AO220),ABS(AO221),ABS(AO222))&gt;AO236,1,0)))</f>
        <v>1</v>
      </c>
      <c r="AQ220" s="188">
        <v>163</v>
      </c>
      <c r="AR220" s="109">
        <f>IF(SUM(AQ220:AQ222)+AQ236=0,0,IF(SUM(ABS(AQ220),ABS(AQ221),ABS(AQ222))=AQ236,0.5,IF(SUM(ABS(AQ220),ABS(AQ221),ABS(AQ222))&gt;AQ236,1,0)))</f>
        <v>0</v>
      </c>
      <c r="AS220" s="188">
        <v>184</v>
      </c>
      <c r="AT220" s="109">
        <f>IF(SUM(AS220:AS222)+AS236=0,0,IF(SUM(ABS(AS220),ABS(AS221),ABS(AS222))=AS236,0.5,IF(SUM(ABS(AS220),ABS(AS221),ABS(AS222))&gt;AS236,1,0)))</f>
        <v>0</v>
      </c>
      <c r="AU220" s="110">
        <f t="shared" si="265"/>
        <v>1848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80"/>
        <v>25325</v>
      </c>
      <c r="BE220" s="213">
        <f t="shared" si="281"/>
        <v>1848</v>
      </c>
      <c r="BF220" s="215">
        <f t="shared" si="282"/>
        <v>9</v>
      </c>
      <c r="BG220" s="215">
        <f t="shared" si="283"/>
        <v>9</v>
      </c>
      <c r="BH220" s="215">
        <f t="shared" si="266"/>
        <v>224</v>
      </c>
      <c r="BI220" s="215">
        <f t="shared" si="267"/>
        <v>236</v>
      </c>
      <c r="BJ220" s="215">
        <f t="shared" si="268"/>
        <v>214</v>
      </c>
      <c r="BK220" s="215">
        <f t="shared" si="269"/>
        <v>194</v>
      </c>
      <c r="BL220" s="215">
        <f t="shared" si="270"/>
        <v>212</v>
      </c>
      <c r="BM220" s="215">
        <f t="shared" si="271"/>
        <v>224</v>
      </c>
      <c r="BN220" s="215">
        <f t="shared" si="272"/>
        <v>197</v>
      </c>
      <c r="BO220" s="215">
        <f t="shared" si="273"/>
        <v>163</v>
      </c>
      <c r="BP220" s="215">
        <f t="shared" si="274"/>
        <v>184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BC EMAX Unterföhring 2</v>
      </c>
      <c r="BV220" s="214">
        <f t="shared" si="287"/>
        <v>2</v>
      </c>
      <c r="BW220" s="215">
        <f t="shared" si="288"/>
        <v>1848</v>
      </c>
      <c r="BX220" s="215">
        <f>IF(COUNTIF(BH220:BP220,"&gt;0")&lt;Spielorte!$A$23,0,BE220/Spielorte!$A$23)</f>
        <v>205.33333333333334</v>
      </c>
      <c r="BY220" s="215">
        <f t="shared" si="289"/>
        <v>0</v>
      </c>
      <c r="BZ220" s="214">
        <f t="shared" si="275"/>
        <v>0</v>
      </c>
    </row>
    <row r="221" spans="1:78" ht="17.100000000000001" customHeight="1" x14ac:dyDescent="0.25">
      <c r="A221" s="377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49"/>
      <c r="F221" s="78" t="str">
        <f t="shared" si="257"/>
        <v/>
      </c>
      <c r="G221" s="349"/>
      <c r="H221" s="78" t="str">
        <f t="shared" si="258"/>
        <v/>
      </c>
      <c r="I221" s="349"/>
      <c r="J221" s="78" t="str">
        <f t="shared" si="259"/>
        <v/>
      </c>
      <c r="K221" s="349"/>
      <c r="L221" s="78" t="str">
        <f t="shared" si="260"/>
        <v/>
      </c>
      <c r="M221" s="349"/>
      <c r="N221" s="78" t="str">
        <f t="shared" si="279"/>
        <v/>
      </c>
      <c r="O221" s="349"/>
      <c r="P221" s="78" t="str">
        <f t="shared" si="261"/>
        <v/>
      </c>
      <c r="Q221" s="349"/>
      <c r="R221" s="78" t="str">
        <f t="shared" si="262"/>
        <v/>
      </c>
      <c r="S221" s="349"/>
      <c r="T221" s="78" t="str">
        <f t="shared" si="263"/>
        <v/>
      </c>
      <c r="U221" s="349"/>
      <c r="V221" s="78" t="str">
        <f t="shared" si="264"/>
        <v/>
      </c>
      <c r="W221" s="349"/>
      <c r="Z221" s="352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BC EMAX Unterföhring 2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00000000000001" customHeight="1" thickBot="1" x14ac:dyDescent="0.3">
      <c r="A222" s="378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50"/>
      <c r="F222" s="69" t="str">
        <f t="shared" si="257"/>
        <v/>
      </c>
      <c r="G222" s="350"/>
      <c r="H222" s="69" t="str">
        <f t="shared" si="258"/>
        <v/>
      </c>
      <c r="I222" s="350"/>
      <c r="J222" s="69" t="str">
        <f t="shared" si="259"/>
        <v/>
      </c>
      <c r="K222" s="350"/>
      <c r="L222" s="69" t="str">
        <f t="shared" si="260"/>
        <v/>
      </c>
      <c r="M222" s="350"/>
      <c r="N222" s="69" t="str">
        <f t="shared" si="279"/>
        <v/>
      </c>
      <c r="O222" s="350"/>
      <c r="P222" s="69" t="str">
        <f t="shared" si="261"/>
        <v/>
      </c>
      <c r="Q222" s="350"/>
      <c r="R222" s="69" t="str">
        <f t="shared" si="262"/>
        <v/>
      </c>
      <c r="S222" s="350"/>
      <c r="T222" s="69" t="str">
        <f t="shared" si="263"/>
        <v/>
      </c>
      <c r="U222" s="350"/>
      <c r="V222" s="69" t="str">
        <f t="shared" si="264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BC EMAX Unterföhring 2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00000000000001" customHeight="1" x14ac:dyDescent="0.25">
      <c r="A223" s="376" t="s">
        <v>3</v>
      </c>
      <c r="B223" s="73" t="str">
        <f t="shared" si="276"/>
        <v>Pirzer, Robert</v>
      </c>
      <c r="C223" s="74">
        <f t="shared" si="277"/>
        <v>7428</v>
      </c>
      <c r="D223" s="75">
        <f t="shared" si="278"/>
        <v>200</v>
      </c>
      <c r="E223" s="348">
        <f>IF(AD223="","",AD223)</f>
        <v>1</v>
      </c>
      <c r="F223" s="75">
        <f t="shared" si="257"/>
        <v>238</v>
      </c>
      <c r="G223" s="348">
        <f>IF(AF223="","",AF223)</f>
        <v>1</v>
      </c>
      <c r="H223" s="75">
        <f t="shared" si="258"/>
        <v>172</v>
      </c>
      <c r="I223" s="348">
        <f>IF(AH223="","",AH223)</f>
        <v>0</v>
      </c>
      <c r="J223" s="75">
        <f t="shared" si="259"/>
        <v>203</v>
      </c>
      <c r="K223" s="348">
        <f>IF(AJ223="","",AJ223)</f>
        <v>1</v>
      </c>
      <c r="L223" s="75">
        <f t="shared" si="260"/>
        <v>205</v>
      </c>
      <c r="M223" s="348">
        <f>IF(AL223="","",AL223)</f>
        <v>1</v>
      </c>
      <c r="N223" s="75">
        <f t="shared" si="279"/>
        <v>249</v>
      </c>
      <c r="O223" s="348">
        <f>IF(AN223="","",AN223)</f>
        <v>1</v>
      </c>
      <c r="P223" s="75">
        <f t="shared" si="261"/>
        <v>255</v>
      </c>
      <c r="Q223" s="348">
        <f>IF(AP223="","",AP223)</f>
        <v>0.5</v>
      </c>
      <c r="R223" s="75">
        <f t="shared" si="262"/>
        <v>156</v>
      </c>
      <c r="S223" s="348">
        <f>IF(AR223="","",AR223)</f>
        <v>0</v>
      </c>
      <c r="T223" s="75">
        <f t="shared" si="263"/>
        <v>170</v>
      </c>
      <c r="U223" s="348">
        <f>IF(AT223="","",AT223)</f>
        <v>0</v>
      </c>
      <c r="V223" s="75">
        <f t="shared" si="264"/>
        <v>1848</v>
      </c>
      <c r="W223" s="348">
        <f>IF(AV223="","",AV223)</f>
        <v>5.5</v>
      </c>
      <c r="Z223" s="351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200</v>
      </c>
      <c r="AD223" s="109">
        <f>IF(SUM(AC223:AC225)+AC237=0,0,IF(SUM(ABS(AC223),ABS(AC224),ABS(AC225))=AC237,0.5,IF(SUM(ABS(AC223),ABS(AC224),ABS(AC225))&gt;AC237,1,0)))</f>
        <v>1</v>
      </c>
      <c r="AE223" s="188">
        <v>238</v>
      </c>
      <c r="AF223" s="109">
        <f>IF(SUM(AE223:AE225)+AE237=0,0,IF(SUM(ABS(AE223),ABS(AE224),ABS(AE225))=AE237,0.5,IF(SUM(ABS(AE223),ABS(AE224),ABS(AE225))&gt;AE237,1,0)))</f>
        <v>1</v>
      </c>
      <c r="AG223" s="188">
        <v>172</v>
      </c>
      <c r="AH223" s="109">
        <f>IF(SUM(AG223:AG225)+AG237=0,0,IF(SUM(ABS(AG223),ABS(AG224),ABS(AG225))=AG237,0.5,IF(SUM(ABS(AG223),ABS(AG224),ABS(AG225))&gt;AG237,1,0)))</f>
        <v>0</v>
      </c>
      <c r="AI223" s="188">
        <v>203</v>
      </c>
      <c r="AJ223" s="109">
        <f>IF(SUM(AI223:AI225)+AI237=0,0,IF(SUM(ABS(AI223),ABS(AI224),ABS(AI225))=AI237,0.5,IF(SUM(ABS(AI223),ABS(AI224),ABS(AI225))&gt;AI237,1,0)))</f>
        <v>1</v>
      </c>
      <c r="AK223" s="188">
        <v>205</v>
      </c>
      <c r="AL223" s="109">
        <f>IF(SUM(AK223:AK225)+AK237=0,0,IF(SUM(ABS(AK223),ABS(AK224),ABS(AK225))=AK237,0.5,IF(SUM(ABS(AK223),ABS(AK224),ABS(AK225))&gt;AK237,1,0)))</f>
        <v>1</v>
      </c>
      <c r="AM223" s="188">
        <v>249</v>
      </c>
      <c r="AN223" s="109">
        <f>IF(SUM(AM223:AM225)+AM237=0,0,IF(SUM(ABS(AM223),ABS(AM224),ABS(AM225))=AM237,0.5,IF(SUM(ABS(AM223),ABS(AM224),ABS(AM225))&gt;AM237,1,0)))</f>
        <v>1</v>
      </c>
      <c r="AO223" s="188">
        <v>255</v>
      </c>
      <c r="AP223" s="109">
        <f>IF(SUM(AO223:AO225)+AO237=0,0,IF(SUM(ABS(AO223),ABS(AO224),ABS(AO225))=AO237,0.5,IF(SUM(ABS(AO223),ABS(AO224),ABS(AO225))&gt;AO237,1,0)))</f>
        <v>0.5</v>
      </c>
      <c r="AQ223" s="188">
        <v>156</v>
      </c>
      <c r="AR223" s="109">
        <f>IF(SUM(AQ223:AQ225)+AQ237=0,0,IF(SUM(ABS(AQ223),ABS(AQ224),ABS(AQ225))=AQ237,0.5,IF(SUM(ABS(AQ223),ABS(AQ224),ABS(AQ225))&gt;AQ237,1,0)))</f>
        <v>0</v>
      </c>
      <c r="AS223" s="188">
        <v>170</v>
      </c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1848</v>
      </c>
      <c r="AV223" s="111">
        <f>SUM(AD223+AF223+AH223+AJ223+AL223+AN223+AP223+AR223+AT223)</f>
        <v>5.5</v>
      </c>
      <c r="AW223" s="101"/>
      <c r="AX223" s="102"/>
      <c r="AZ223" s="63"/>
      <c r="BA223" s="212"/>
      <c r="BB223" s="213"/>
      <c r="BC223" s="214"/>
      <c r="BD223" s="217">
        <f t="shared" si="280"/>
        <v>7428</v>
      </c>
      <c r="BE223" s="213">
        <f t="shared" si="281"/>
        <v>1848</v>
      </c>
      <c r="BF223" s="215">
        <f t="shared" si="282"/>
        <v>9</v>
      </c>
      <c r="BG223" s="215">
        <f t="shared" si="283"/>
        <v>9</v>
      </c>
      <c r="BH223" s="215">
        <f t="shared" si="266"/>
        <v>200</v>
      </c>
      <c r="BI223" s="215">
        <f t="shared" si="267"/>
        <v>238</v>
      </c>
      <c r="BJ223" s="215">
        <f t="shared" si="268"/>
        <v>172</v>
      </c>
      <c r="BK223" s="215">
        <f t="shared" si="269"/>
        <v>203</v>
      </c>
      <c r="BL223" s="215">
        <f t="shared" si="270"/>
        <v>205</v>
      </c>
      <c r="BM223" s="215">
        <f t="shared" si="271"/>
        <v>249</v>
      </c>
      <c r="BN223" s="215">
        <f t="shared" si="272"/>
        <v>255</v>
      </c>
      <c r="BO223" s="215">
        <f t="shared" si="273"/>
        <v>156</v>
      </c>
      <c r="BP223" s="215">
        <f t="shared" si="274"/>
        <v>170</v>
      </c>
      <c r="BQ223" s="216"/>
      <c r="BR223" s="214"/>
      <c r="BS223" s="215">
        <f t="shared" si="284"/>
        <v>255</v>
      </c>
      <c r="BT223" s="215">
        <f t="shared" si="285"/>
        <v>0</v>
      </c>
      <c r="BU223" s="215" t="str">
        <f t="shared" si="286"/>
        <v>BC EMAX Unterföhring 2</v>
      </c>
      <c r="BV223" s="214">
        <f t="shared" si="287"/>
        <v>2</v>
      </c>
      <c r="BW223" s="215">
        <f t="shared" si="288"/>
        <v>1848</v>
      </c>
      <c r="BX223" s="215">
        <f>IF(COUNTIF(BH223:BP223,"&gt;0")&lt;Spielorte!$A$23,0,BE223/Spielorte!$A$23)</f>
        <v>205.33333333333334</v>
      </c>
      <c r="BY223" s="215">
        <f t="shared" si="289"/>
        <v>0</v>
      </c>
      <c r="BZ223" s="214">
        <f t="shared" si="275"/>
        <v>0</v>
      </c>
    </row>
    <row r="224" spans="1:78" ht="17.100000000000001" customHeight="1" x14ac:dyDescent="0.25">
      <c r="A224" s="377"/>
      <c r="B224" s="76" t="str">
        <f t="shared" si="276"/>
        <v/>
      </c>
      <c r="C224" s="77" t="str">
        <f t="shared" si="277"/>
        <v/>
      </c>
      <c r="D224" s="78" t="str">
        <f t="shared" si="278"/>
        <v/>
      </c>
      <c r="E224" s="349"/>
      <c r="F224" s="78" t="str">
        <f t="shared" si="257"/>
        <v/>
      </c>
      <c r="G224" s="349"/>
      <c r="H224" s="78" t="str">
        <f t="shared" si="258"/>
        <v/>
      </c>
      <c r="I224" s="349"/>
      <c r="J224" s="78" t="str">
        <f t="shared" si="259"/>
        <v/>
      </c>
      <c r="K224" s="349"/>
      <c r="L224" s="78" t="str">
        <f t="shared" si="260"/>
        <v/>
      </c>
      <c r="M224" s="349"/>
      <c r="N224" s="78" t="str">
        <f t="shared" si="279"/>
        <v/>
      </c>
      <c r="O224" s="349"/>
      <c r="P224" s="78" t="str">
        <f t="shared" si="261"/>
        <v/>
      </c>
      <c r="Q224" s="349"/>
      <c r="R224" s="78" t="str">
        <f t="shared" si="262"/>
        <v/>
      </c>
      <c r="S224" s="349"/>
      <c r="T224" s="78" t="str">
        <f t="shared" si="263"/>
        <v/>
      </c>
      <c r="U224" s="349"/>
      <c r="V224" s="78" t="str">
        <f t="shared" si="264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65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0</v>
      </c>
      <c r="BE224" s="213">
        <f t="shared" si="281"/>
        <v>0</v>
      </c>
      <c r="BF224" s="215">
        <f t="shared" si="282"/>
        <v>0</v>
      </c>
      <c r="BG224" s="215">
        <f t="shared" si="283"/>
        <v>0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 t="str">
        <f t="shared" si="271"/>
        <v/>
      </c>
      <c r="BN224" s="215" t="str">
        <f t="shared" si="272"/>
        <v/>
      </c>
      <c r="BO224" s="215" t="str">
        <f t="shared" si="273"/>
        <v/>
      </c>
      <c r="BP224" s="215" t="str">
        <f t="shared" si="274"/>
        <v/>
      </c>
      <c r="BQ224" s="216"/>
      <c r="BR224" s="214"/>
      <c r="BS224" s="215">
        <f t="shared" si="284"/>
        <v>0</v>
      </c>
      <c r="BT224" s="215">
        <f t="shared" si="285"/>
        <v>0</v>
      </c>
      <c r="BU224" s="215" t="str">
        <f t="shared" si="286"/>
        <v>BC EMAX Unterföhring 2</v>
      </c>
      <c r="BV224" s="214">
        <f t="shared" si="287"/>
        <v>2</v>
      </c>
      <c r="BW224" s="215">
        <f t="shared" si="288"/>
        <v>0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00000000000001" customHeight="1" thickBot="1" x14ac:dyDescent="0.3">
      <c r="A225" s="378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50"/>
      <c r="F225" s="69" t="str">
        <f t="shared" si="257"/>
        <v/>
      </c>
      <c r="G225" s="350"/>
      <c r="H225" s="69" t="str">
        <f t="shared" si="258"/>
        <v/>
      </c>
      <c r="I225" s="350"/>
      <c r="J225" s="69" t="str">
        <f t="shared" si="259"/>
        <v/>
      </c>
      <c r="K225" s="350"/>
      <c r="L225" s="69" t="str">
        <f t="shared" si="260"/>
        <v/>
      </c>
      <c r="M225" s="350"/>
      <c r="N225" s="69" t="str">
        <f t="shared" si="279"/>
        <v/>
      </c>
      <c r="O225" s="350"/>
      <c r="P225" s="69" t="str">
        <f t="shared" si="261"/>
        <v/>
      </c>
      <c r="Q225" s="350"/>
      <c r="R225" s="69" t="str">
        <f t="shared" si="262"/>
        <v/>
      </c>
      <c r="S225" s="350"/>
      <c r="T225" s="69" t="str">
        <f t="shared" si="263"/>
        <v/>
      </c>
      <c r="U225" s="350"/>
      <c r="V225" s="69" t="str">
        <f t="shared" si="264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BC EMAX Unterföhring 2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00000000000001" customHeight="1" x14ac:dyDescent="0.25">
      <c r="A226" s="376" t="s">
        <v>11</v>
      </c>
      <c r="B226" s="73" t="str">
        <f>IF(AA226=0,"",AA226)</f>
        <v>Blasits, Ernst</v>
      </c>
      <c r="C226" s="74">
        <f t="shared" si="277"/>
        <v>25554</v>
      </c>
      <c r="D226" s="75">
        <f t="shared" si="278"/>
        <v>258</v>
      </c>
      <c r="E226" s="348">
        <f>IF(AD226="","",AD226)</f>
        <v>1</v>
      </c>
      <c r="F226" s="75">
        <f t="shared" si="257"/>
        <v>189</v>
      </c>
      <c r="G226" s="348">
        <f>IF(AF226="","",AF226)</f>
        <v>0</v>
      </c>
      <c r="H226" s="75">
        <f t="shared" si="258"/>
        <v>143</v>
      </c>
      <c r="I226" s="348">
        <f>IF(AH226="","",AH226)</f>
        <v>0</v>
      </c>
      <c r="J226" s="75">
        <f t="shared" si="259"/>
        <v>172</v>
      </c>
      <c r="K226" s="348">
        <f>IF(AJ226="","",AJ226)</f>
        <v>1</v>
      </c>
      <c r="L226" s="75">
        <f t="shared" si="260"/>
        <v>234</v>
      </c>
      <c r="M226" s="348">
        <f>IF(AL226="","",AL226)</f>
        <v>1</v>
      </c>
      <c r="N226" s="75">
        <f t="shared" si="279"/>
        <v>168</v>
      </c>
      <c r="O226" s="348">
        <f>IF(AN226="","",AN226)</f>
        <v>0</v>
      </c>
      <c r="P226" s="75">
        <f t="shared" si="261"/>
        <v>202</v>
      </c>
      <c r="Q226" s="348">
        <f>IF(AP226="","",AP226)</f>
        <v>0</v>
      </c>
      <c r="R226" s="75">
        <f t="shared" si="262"/>
        <v>188</v>
      </c>
      <c r="S226" s="348">
        <f>IF(AR226="","",AR226)</f>
        <v>0</v>
      </c>
      <c r="T226" s="75">
        <f t="shared" si="263"/>
        <v>181</v>
      </c>
      <c r="U226" s="348">
        <f>IF(AT226="","",AT226)</f>
        <v>0.5</v>
      </c>
      <c r="V226" s="75">
        <f t="shared" si="264"/>
        <v>1735</v>
      </c>
      <c r="W226" s="348">
        <f>IF(AV226="","",AV226)</f>
        <v>3.5</v>
      </c>
      <c r="Z226" s="351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258</v>
      </c>
      <c r="AD226" s="109">
        <f>IF(SUM(AC226:AC228)+AC238=0,0,IF(SUM(ABS(AC226),ABS(AC227),ABS(AC228))=AC238,0.5,IF(SUM(ABS(AC226),ABS(AC227),ABS(AC228))&gt;AC238,1,0)))</f>
        <v>1</v>
      </c>
      <c r="AE226" s="188">
        <v>189</v>
      </c>
      <c r="AF226" s="109">
        <f>IF(SUM(AE226:AE228)+AE238=0,0,IF(SUM(ABS(AE226),ABS(AE227),ABS(AE228))=AE238,0.5,IF(SUM(ABS(AE226),ABS(AE227),ABS(AE228))&gt;AE238,1,0)))</f>
        <v>0</v>
      </c>
      <c r="AG226" s="188">
        <v>143</v>
      </c>
      <c r="AH226" s="109">
        <f>IF(SUM(AG226:AG228)+AG238=0,0,IF(SUM(ABS(AG226),ABS(AG227),ABS(AG228))=AG238,0.5,IF(SUM(ABS(AG226),ABS(AG227),ABS(AG228))&gt;AG238,1,0)))</f>
        <v>0</v>
      </c>
      <c r="AI226" s="188">
        <v>172</v>
      </c>
      <c r="AJ226" s="109">
        <f>IF(SUM(AI226:AI228)+AI238=0,0,IF(SUM(ABS(AI226),ABS(AI227),ABS(AI228))=AI238,0.5,IF(SUM(ABS(AI226),ABS(AI227),ABS(AI228))&gt;AI238,1,0)))</f>
        <v>1</v>
      </c>
      <c r="AK226" s="188">
        <v>234</v>
      </c>
      <c r="AL226" s="109">
        <f>IF(SUM(AK226:AK228)+AK238=0,0,IF(SUM(ABS(AK226),ABS(AK227),ABS(AK228))=AK238,0.5,IF(SUM(ABS(AK226),ABS(AK227),ABS(AK228))&gt;AK238,1,0)))</f>
        <v>1</v>
      </c>
      <c r="AM226" s="188">
        <v>168</v>
      </c>
      <c r="AN226" s="109">
        <f>IF(SUM(AM226:AM228)+AM238=0,0,IF(SUM(ABS(AM226),ABS(AM227),ABS(AM228))=AM238,0.5,IF(SUM(ABS(AM226),ABS(AM227),ABS(AM228))&gt;AM238,1,0)))</f>
        <v>0</v>
      </c>
      <c r="AO226" s="188">
        <v>202</v>
      </c>
      <c r="AP226" s="109">
        <f>IF(SUM(AO226:AO228)+AO238=0,0,IF(SUM(ABS(AO226),ABS(AO227),ABS(AO228))=AO238,0.5,IF(SUM(ABS(AO226),ABS(AO227),ABS(AO228))&gt;AO238,1,0)))</f>
        <v>0</v>
      </c>
      <c r="AQ226" s="188">
        <v>188</v>
      </c>
      <c r="AR226" s="109">
        <f>IF(SUM(AQ226:AQ228)+AQ238=0,0,IF(SUM(ABS(AQ226),ABS(AQ227),ABS(AQ228))=AQ238,0.5,IF(SUM(ABS(AQ226),ABS(AQ227),ABS(AQ228))&gt;AQ238,1,0)))</f>
        <v>0</v>
      </c>
      <c r="AS226" s="188">
        <v>181</v>
      </c>
      <c r="AT226" s="109">
        <f>IF(SUM(AS226:AS228)+AS238=0,0,IF(SUM(ABS(AS226),ABS(AS227),ABS(AS228))=AS238,0.5,IF(SUM(ABS(AS226),ABS(AS227),ABS(AS228))&gt;AS238,1,0)))</f>
        <v>0.5</v>
      </c>
      <c r="AU226" s="110">
        <f t="shared" si="265"/>
        <v>1735</v>
      </c>
      <c r="AV226" s="111">
        <f>SUM(AD226+AF226+AH226+AJ226+AL226+AN226+AP226+AR226+AT226)</f>
        <v>3.5</v>
      </c>
      <c r="AW226" s="101"/>
      <c r="AX226" s="102"/>
      <c r="AZ226" s="63"/>
      <c r="BA226" s="212"/>
      <c r="BB226" s="213"/>
      <c r="BC226" s="214"/>
      <c r="BD226" s="217">
        <f t="shared" si="280"/>
        <v>25554</v>
      </c>
      <c r="BE226" s="213">
        <f t="shared" si="281"/>
        <v>1735</v>
      </c>
      <c r="BF226" s="215">
        <f t="shared" si="282"/>
        <v>9</v>
      </c>
      <c r="BG226" s="215">
        <f t="shared" si="283"/>
        <v>9</v>
      </c>
      <c r="BH226" s="215">
        <f t="shared" si="266"/>
        <v>258</v>
      </c>
      <c r="BI226" s="215">
        <f t="shared" si="267"/>
        <v>189</v>
      </c>
      <c r="BJ226" s="215">
        <f t="shared" si="268"/>
        <v>143</v>
      </c>
      <c r="BK226" s="215">
        <f t="shared" si="269"/>
        <v>172</v>
      </c>
      <c r="BL226" s="215">
        <f t="shared" si="270"/>
        <v>234</v>
      </c>
      <c r="BM226" s="215">
        <f t="shared" si="271"/>
        <v>168</v>
      </c>
      <c r="BN226" s="215">
        <f t="shared" si="272"/>
        <v>202</v>
      </c>
      <c r="BO226" s="215">
        <f t="shared" si="273"/>
        <v>188</v>
      </c>
      <c r="BP226" s="215">
        <f t="shared" si="274"/>
        <v>181</v>
      </c>
      <c r="BQ226" s="216"/>
      <c r="BR226" s="214"/>
      <c r="BS226" s="215">
        <f t="shared" si="284"/>
        <v>258</v>
      </c>
      <c r="BT226" s="215">
        <f t="shared" si="285"/>
        <v>0</v>
      </c>
      <c r="BU226" s="215" t="str">
        <f t="shared" si="286"/>
        <v>BC EMAX Unterföhring 2</v>
      </c>
      <c r="BV226" s="214">
        <f t="shared" si="287"/>
        <v>2</v>
      </c>
      <c r="BW226" s="215">
        <f t="shared" si="288"/>
        <v>1735</v>
      </c>
      <c r="BX226" s="215">
        <f>IF(COUNTIF(BH226:BP226,"&gt;0")&lt;Spielorte!$A$23,0,BE226/Spielorte!$A$23)</f>
        <v>192.77777777777777</v>
      </c>
      <c r="BY226" s="215">
        <f t="shared" si="289"/>
        <v>0</v>
      </c>
      <c r="BZ226" s="214">
        <f t="shared" si="275"/>
        <v>0</v>
      </c>
    </row>
    <row r="227" spans="1:78" ht="17.100000000000001" customHeight="1" x14ac:dyDescent="0.25">
      <c r="A227" s="377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49"/>
      <c r="F227" s="78" t="str">
        <f t="shared" si="257"/>
        <v/>
      </c>
      <c r="G227" s="349"/>
      <c r="H227" s="78" t="str">
        <f t="shared" si="258"/>
        <v/>
      </c>
      <c r="I227" s="349"/>
      <c r="J227" s="78" t="str">
        <f t="shared" si="259"/>
        <v/>
      </c>
      <c r="K227" s="349"/>
      <c r="L227" s="78" t="str">
        <f t="shared" si="260"/>
        <v/>
      </c>
      <c r="M227" s="349"/>
      <c r="N227" s="78" t="str">
        <f t="shared" si="279"/>
        <v/>
      </c>
      <c r="O227" s="349"/>
      <c r="P227" s="78" t="str">
        <f t="shared" si="261"/>
        <v/>
      </c>
      <c r="Q227" s="349"/>
      <c r="R227" s="78" t="str">
        <f t="shared" si="262"/>
        <v/>
      </c>
      <c r="S227" s="349"/>
      <c r="T227" s="78" t="str">
        <f t="shared" si="263"/>
        <v/>
      </c>
      <c r="U227" s="349"/>
      <c r="V227" s="78" t="str">
        <f t="shared" si="264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BC EMAX Unterföhring 2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00000000000001" customHeight="1" thickBot="1" x14ac:dyDescent="0.3">
      <c r="A228" s="378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50"/>
      <c r="F228" s="69" t="str">
        <f t="shared" si="257"/>
        <v/>
      </c>
      <c r="G228" s="350"/>
      <c r="H228" s="69" t="str">
        <f t="shared" si="258"/>
        <v/>
      </c>
      <c r="I228" s="350"/>
      <c r="J228" s="69" t="str">
        <f t="shared" si="259"/>
        <v/>
      </c>
      <c r="K228" s="350"/>
      <c r="L228" s="69" t="str">
        <f t="shared" si="260"/>
        <v/>
      </c>
      <c r="M228" s="350"/>
      <c r="N228" s="69" t="str">
        <f t="shared" si="279"/>
        <v/>
      </c>
      <c r="O228" s="350"/>
      <c r="P228" s="69" t="str">
        <f t="shared" si="261"/>
        <v/>
      </c>
      <c r="Q228" s="350"/>
      <c r="R228" s="69" t="str">
        <f t="shared" si="262"/>
        <v/>
      </c>
      <c r="S228" s="350"/>
      <c r="T228" s="69" t="str">
        <f t="shared" si="263"/>
        <v/>
      </c>
      <c r="U228" s="350"/>
      <c r="V228" s="69" t="str">
        <f t="shared" si="264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BC EMAX Unterföhring 2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77"/>
        <v/>
      </c>
      <c r="D229" s="83">
        <f t="shared" si="278"/>
        <v>876</v>
      </c>
      <c r="E229" s="84">
        <f>IF(AD229="","",AD229)</f>
        <v>2</v>
      </c>
      <c r="F229" s="83">
        <f t="shared" si="257"/>
        <v>846</v>
      </c>
      <c r="G229" s="84">
        <f>IF(AF229="","",AF229)</f>
        <v>2</v>
      </c>
      <c r="H229" s="83">
        <f t="shared" si="258"/>
        <v>707</v>
      </c>
      <c r="I229" s="84">
        <f>IF(AH229="","",AH229)</f>
        <v>0</v>
      </c>
      <c r="J229" s="83">
        <f t="shared" si="259"/>
        <v>764</v>
      </c>
      <c r="K229" s="84">
        <f>IF(AJ229="","",AJ229)</f>
        <v>0</v>
      </c>
      <c r="L229" s="83">
        <f t="shared" si="260"/>
        <v>910</v>
      </c>
      <c r="M229" s="84">
        <f>IF(AL229="","",AL229)</f>
        <v>2</v>
      </c>
      <c r="N229" s="83">
        <f t="shared" si="279"/>
        <v>848</v>
      </c>
      <c r="O229" s="84">
        <f>IF(AN229="","",AN229)</f>
        <v>2</v>
      </c>
      <c r="P229" s="83">
        <f t="shared" si="261"/>
        <v>863</v>
      </c>
      <c r="Q229" s="84">
        <f>IF(AP229="","",AP229)</f>
        <v>0</v>
      </c>
      <c r="R229" s="83">
        <f t="shared" si="262"/>
        <v>689</v>
      </c>
      <c r="S229" s="84">
        <f>IF(AR229="","",AR229)</f>
        <v>0</v>
      </c>
      <c r="T229" s="83">
        <f t="shared" si="263"/>
        <v>702</v>
      </c>
      <c r="U229" s="84">
        <f>IF(AT229="","",AT229)</f>
        <v>0</v>
      </c>
      <c r="V229" s="83">
        <f t="shared" si="264"/>
        <v>7205</v>
      </c>
      <c r="W229" s="84">
        <f>IF(AV229="","",AV229)</f>
        <v>8</v>
      </c>
      <c r="AA229" s="81" t="s">
        <v>1799</v>
      </c>
      <c r="AB229" s="120"/>
      <c r="AC229" s="211">
        <f>ABS(SUM(AC217:AC219))+ABS(SUM(AC220:AC222))+ABS(SUM(AC223:AC225))+ABS(SUM(AC226:AC228))</f>
        <v>876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707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764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910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848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863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689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702</v>
      </c>
      <c r="AT229" s="121">
        <f>IF(AS229+AS239=0,0,IF(AS229=AS239,1,IF(AS229&gt;AS239,2,0)))</f>
        <v>0</v>
      </c>
      <c r="AU229" s="122">
        <f>SUM(AC229+AE229+AG229+AI229+AK229+AM229+AO229+AQ229+AS229)</f>
        <v>7205</v>
      </c>
      <c r="AV229" s="123">
        <f>SUM(AD229+AF229+AH229+AJ229+AL229+AN229+AP229+AR229+AT229)</f>
        <v>8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5</v>
      </c>
      <c r="F230" s="86" t="str">
        <f t="shared" si="257"/>
        <v/>
      </c>
      <c r="G230" s="87">
        <f>IF(AF230="","",AF230)</f>
        <v>5</v>
      </c>
      <c r="H230" s="86" t="str">
        <f t="shared" si="258"/>
        <v/>
      </c>
      <c r="I230" s="87">
        <f>IF(AH230="","",AH230)</f>
        <v>0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4</v>
      </c>
      <c r="P230" s="86" t="str">
        <f t="shared" si="261"/>
        <v/>
      </c>
      <c r="Q230" s="87">
        <f>IF(AP230="","",AP230)</f>
        <v>2</v>
      </c>
      <c r="R230" s="86" t="str">
        <f t="shared" si="262"/>
        <v/>
      </c>
      <c r="S230" s="87">
        <f>IF(AR230="","",AR230)</f>
        <v>1</v>
      </c>
      <c r="T230" s="86" t="str">
        <f t="shared" si="263"/>
        <v/>
      </c>
      <c r="U230" s="87">
        <f>IF(AT230="","",AT230)</f>
        <v>0.5</v>
      </c>
      <c r="V230" s="86" t="str">
        <f t="shared" si="264"/>
        <v/>
      </c>
      <c r="W230" s="87">
        <f>IF(AV230="","",AV230)</f>
        <v>24.5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2</v>
      </c>
      <c r="AQ230" s="86"/>
      <c r="AR230" s="124">
        <f>SUM(AR217:AR229)</f>
        <v>1</v>
      </c>
      <c r="AS230" s="86"/>
      <c r="AT230" s="124">
        <f>SUM(AT217:AT229)</f>
        <v>0.5</v>
      </c>
      <c r="AU230" s="86"/>
      <c r="AV230" s="125">
        <f>SUM(AV217:AV229)</f>
        <v>24.5</v>
      </c>
      <c r="AW230" s="101"/>
      <c r="AX230" s="102"/>
      <c r="BA230" s="212">
        <f>+AV230</f>
        <v>24.5</v>
      </c>
      <c r="BB230" s="213">
        <f>+AU229</f>
        <v>7205</v>
      </c>
      <c r="BC230" s="214">
        <f>+AA212</f>
        <v>8</v>
      </c>
      <c r="BF230" s="215">
        <f>SUM(BF211:BF229)</f>
        <v>36</v>
      </c>
      <c r="BQ230" s="212">
        <f>+BB230/1000000+BA230</f>
        <v>24.507204999999999</v>
      </c>
      <c r="BR230" s="214">
        <f>RANK(BQ230,BQ:BQ)</f>
        <v>7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56">
        <f t="shared" ref="D232:M234" si="292">IF(AC232=0,"",AC232)</f>
        <v>10</v>
      </c>
      <c r="E232" s="356" t="str">
        <f t="shared" si="292"/>
        <v/>
      </c>
      <c r="F232" s="356">
        <f t="shared" si="292"/>
        <v>5</v>
      </c>
      <c r="G232" s="356" t="str">
        <f t="shared" si="292"/>
        <v/>
      </c>
      <c r="H232" s="356">
        <f t="shared" si="292"/>
        <v>2</v>
      </c>
      <c r="I232" s="356" t="str">
        <f t="shared" si="292"/>
        <v/>
      </c>
      <c r="J232" s="356">
        <f t="shared" si="292"/>
        <v>6</v>
      </c>
      <c r="K232" s="356" t="str">
        <f t="shared" si="292"/>
        <v/>
      </c>
      <c r="L232" s="356">
        <f t="shared" si="292"/>
        <v>9</v>
      </c>
      <c r="M232" s="356" t="str">
        <f t="shared" si="292"/>
        <v/>
      </c>
      <c r="N232" s="356">
        <f t="shared" ref="N232:U234" si="293">IF(AM232=0,"",AM232)</f>
        <v>4</v>
      </c>
      <c r="O232" s="356" t="str">
        <f t="shared" si="293"/>
        <v/>
      </c>
      <c r="P232" s="356">
        <f t="shared" si="293"/>
        <v>3</v>
      </c>
      <c r="Q232" s="356" t="str">
        <f t="shared" si="293"/>
        <v/>
      </c>
      <c r="R232" s="356">
        <f t="shared" si="293"/>
        <v>7</v>
      </c>
      <c r="S232" s="356" t="str">
        <f t="shared" si="293"/>
        <v/>
      </c>
      <c r="T232" s="356">
        <f t="shared" si="293"/>
        <v>1</v>
      </c>
      <c r="U232" s="356" t="str">
        <f t="shared" si="293"/>
        <v/>
      </c>
      <c r="V232" s="357"/>
      <c r="W232" s="357"/>
      <c r="AA232" s="88" t="s">
        <v>1797</v>
      </c>
      <c r="AB232" s="89" t="s">
        <v>1798</v>
      </c>
      <c r="AC232" s="370">
        <f>VLOOKUP($AA212,Schlüssel!$A$5:$K$14,3)</f>
        <v>10</v>
      </c>
      <c r="AD232" s="371"/>
      <c r="AE232" s="370">
        <f>VLOOKUP($AA212,Schlüssel!$A$5:$K$14,4)</f>
        <v>5</v>
      </c>
      <c r="AF232" s="371"/>
      <c r="AG232" s="370">
        <f>VLOOKUP($AA212,Schlüssel!$A$5:$K$14,5)</f>
        <v>2</v>
      </c>
      <c r="AH232" s="371"/>
      <c r="AI232" s="370">
        <f>VLOOKUP($AA212,Schlüssel!$A$5:$K$14,6)</f>
        <v>6</v>
      </c>
      <c r="AJ232" s="371"/>
      <c r="AK232" s="370">
        <f>VLOOKUP($AA212,Schlüssel!$A$5:$K$14,7)</f>
        <v>9</v>
      </c>
      <c r="AL232" s="371"/>
      <c r="AM232" s="370">
        <f>VLOOKUP($AA212,Schlüssel!$A$5:$K$14,8)</f>
        <v>4</v>
      </c>
      <c r="AN232" s="371"/>
      <c r="AO232" s="370">
        <f>VLOOKUP($AA212,Schlüssel!$A$5:$K$14,9)</f>
        <v>3</v>
      </c>
      <c r="AP232" s="371"/>
      <c r="AQ232" s="370">
        <f>VLOOKUP($AA212,Schlüssel!$A$5:$K$14,10)</f>
        <v>7</v>
      </c>
      <c r="AR232" s="371"/>
      <c r="AS232" s="370">
        <f>VLOOKUP($AA212,Schlüssel!$A$5:$K$14,11)</f>
        <v>1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90"/>
        <v/>
      </c>
      <c r="C233" s="86" t="str">
        <f t="shared" si="291"/>
        <v/>
      </c>
      <c r="D233" s="358" t="str">
        <f t="shared" si="292"/>
        <v>High Roller Rosenheim 1</v>
      </c>
      <c r="E233" s="359" t="str">
        <f t="shared" si="292"/>
        <v/>
      </c>
      <c r="F233" s="358" t="str">
        <f t="shared" si="292"/>
        <v>RW Lichtenhof Stein 1</v>
      </c>
      <c r="G233" s="359" t="str">
        <f t="shared" si="292"/>
        <v/>
      </c>
      <c r="H233" s="358" t="str">
        <f t="shared" si="292"/>
        <v>Bajuwaren München 1</v>
      </c>
      <c r="I233" s="359" t="str">
        <f t="shared" si="292"/>
        <v/>
      </c>
      <c r="J233" s="358" t="str">
        <f t="shared" si="292"/>
        <v>SG Rottendorf 1</v>
      </c>
      <c r="K233" s="359" t="str">
        <f t="shared" si="292"/>
        <v/>
      </c>
      <c r="L233" s="358" t="str">
        <f t="shared" si="292"/>
        <v>Bowlinghaus Bamberg 1</v>
      </c>
      <c r="M233" s="359" t="str">
        <f t="shared" si="292"/>
        <v/>
      </c>
      <c r="N233" s="358" t="str">
        <f t="shared" si="293"/>
        <v>SG DJK Rimpar</v>
      </c>
      <c r="O233" s="359" t="str">
        <f t="shared" si="293"/>
        <v/>
      </c>
      <c r="P233" s="358" t="str">
        <f t="shared" si="293"/>
        <v>BK München 3</v>
      </c>
      <c r="Q233" s="359" t="str">
        <f t="shared" si="293"/>
        <v/>
      </c>
      <c r="R233" s="358" t="str">
        <f t="shared" si="293"/>
        <v>Schanzer Ingolstadt 1</v>
      </c>
      <c r="S233" s="359" t="str">
        <f t="shared" si="293"/>
        <v/>
      </c>
      <c r="T233" s="358" t="str">
        <f t="shared" si="293"/>
        <v>BC Comet Nürnberg</v>
      </c>
      <c r="U233" s="359" t="str">
        <f t="shared" si="293"/>
        <v/>
      </c>
      <c r="V233" s="363"/>
      <c r="W233" s="363"/>
      <c r="AA233" s="90"/>
      <c r="AB233" s="86"/>
      <c r="AC233" s="358" t="str">
        <f>VLOOKUP(AC232,Schlüssel!$A$5:$K$14,2)</f>
        <v>High Roller Rosenheim 1</v>
      </c>
      <c r="AD233" s="359"/>
      <c r="AE233" s="358" t="str">
        <f>VLOOKUP(AE232,Schlüssel!$A$5:$K$14,2)</f>
        <v>RW Lichtenhof Stein 1</v>
      </c>
      <c r="AF233" s="359"/>
      <c r="AG233" s="358" t="str">
        <f>VLOOKUP(AG232,Schlüssel!$A$5:$K$14,2)</f>
        <v>Bajuwaren München 1</v>
      </c>
      <c r="AH233" s="359"/>
      <c r="AI233" s="358" t="str">
        <f>VLOOKUP(AI232,Schlüssel!$A$5:$K$14,2)</f>
        <v>SG Rottendorf 1</v>
      </c>
      <c r="AJ233" s="359"/>
      <c r="AK233" s="358" t="str">
        <f>VLOOKUP(AK232,Schlüssel!$A$5:$K$14,2)</f>
        <v>Bowlinghaus Bamberg 1</v>
      </c>
      <c r="AL233" s="359"/>
      <c r="AM233" s="358" t="str">
        <f>VLOOKUP(AM232,Schlüssel!$A$5:$K$14,2)</f>
        <v>SG DJK Rimpar</v>
      </c>
      <c r="AN233" s="359"/>
      <c r="AO233" s="358" t="str">
        <f>VLOOKUP(AO232,Schlüssel!$A$5:$K$14,2)</f>
        <v>BK München 3</v>
      </c>
      <c r="AP233" s="359"/>
      <c r="AQ233" s="358" t="str">
        <f>VLOOKUP(AQ232,Schlüssel!$A$5:$K$14,2)</f>
        <v>Schanzer Ingolstadt 1</v>
      </c>
      <c r="AR233" s="359"/>
      <c r="AS233" s="358" t="str">
        <f>VLOOKUP(AS232,Schlüssel!$A$5:$K$14,2)</f>
        <v>BC Comet Nürnberg</v>
      </c>
      <c r="AT233" s="359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90"/>
        <v/>
      </c>
      <c r="C234" s="86" t="str">
        <f t="shared" si="291"/>
        <v/>
      </c>
      <c r="D234" s="360" t="str">
        <f t="shared" si="292"/>
        <v/>
      </c>
      <c r="E234" s="360" t="str">
        <f t="shared" si="292"/>
        <v/>
      </c>
      <c r="F234" s="360" t="str">
        <f t="shared" si="292"/>
        <v/>
      </c>
      <c r="G234" s="360" t="str">
        <f t="shared" si="292"/>
        <v/>
      </c>
      <c r="H234" s="360" t="str">
        <f t="shared" si="292"/>
        <v/>
      </c>
      <c r="I234" s="360" t="str">
        <f t="shared" si="292"/>
        <v/>
      </c>
      <c r="J234" s="360" t="str">
        <f t="shared" si="292"/>
        <v/>
      </c>
      <c r="K234" s="360" t="str">
        <f t="shared" si="292"/>
        <v/>
      </c>
      <c r="L234" s="360" t="str">
        <f t="shared" si="292"/>
        <v/>
      </c>
      <c r="M234" s="360" t="str">
        <f t="shared" si="292"/>
        <v/>
      </c>
      <c r="N234" s="360" t="str">
        <f t="shared" si="293"/>
        <v/>
      </c>
      <c r="O234" s="360" t="str">
        <f t="shared" si="293"/>
        <v/>
      </c>
      <c r="P234" s="360" t="str">
        <f t="shared" si="293"/>
        <v/>
      </c>
      <c r="Q234" s="360" t="str">
        <f t="shared" si="293"/>
        <v/>
      </c>
      <c r="R234" s="360" t="str">
        <f t="shared" si="293"/>
        <v/>
      </c>
      <c r="S234" s="360" t="str">
        <f t="shared" si="293"/>
        <v/>
      </c>
      <c r="T234" s="360" t="str">
        <f t="shared" si="293"/>
        <v/>
      </c>
      <c r="U234" s="361" t="str">
        <f t="shared" si="293"/>
        <v/>
      </c>
      <c r="V234" s="298"/>
      <c r="W234" s="298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4" t="str">
        <f t="shared" si="290"/>
        <v>Spieler 1</v>
      </c>
      <c r="C235" s="375" t="str">
        <f t="shared" si="291"/>
        <v/>
      </c>
      <c r="D235" s="362">
        <f>IF(AC235=301,"",AC235)</f>
        <v>196</v>
      </c>
      <c r="E235" s="362" t="str">
        <f>IF(AD235=0,"",AD235)</f>
        <v/>
      </c>
      <c r="F235" s="362">
        <f>IF(AE235=301,"",AE235)</f>
        <v>168</v>
      </c>
      <c r="G235" s="362" t="str">
        <f>IF(AF235=0,"",AF235)</f>
        <v/>
      </c>
      <c r="H235" s="362">
        <f>IF(AG235=301,"",AG235)</f>
        <v>233</v>
      </c>
      <c r="I235" s="362" t="str">
        <f>IF(AH235=0,"",AH235)</f>
        <v/>
      </c>
      <c r="J235" s="362">
        <f>IF(AI235=301,"",AI235)</f>
        <v>242</v>
      </c>
      <c r="K235" s="362" t="str">
        <f>IF(AJ235=0,"",AJ235)</f>
        <v/>
      </c>
      <c r="L235" s="362">
        <f>IF(AK235=301,"",AK235)</f>
        <v>216</v>
      </c>
      <c r="M235" s="362" t="str">
        <f>IF(AL235=0,"",AL235)</f>
        <v/>
      </c>
      <c r="N235" s="362">
        <f>IF(AM235=301,"",AM235)</f>
        <v>219</v>
      </c>
      <c r="O235" s="362" t="str">
        <f>IF(AN235=0,"",AN235)</f>
        <v/>
      </c>
      <c r="P235" s="362">
        <f>IF(AO235=301,"",AO235)</f>
        <v>209</v>
      </c>
      <c r="Q235" s="362" t="str">
        <f>IF(AP235=0,"",AP235)</f>
        <v/>
      </c>
      <c r="R235" s="362">
        <f>IF(AQ235=301,"",AQ235)</f>
        <v>168</v>
      </c>
      <c r="S235" s="362" t="str">
        <f>IF(AR235=0,"",AR235)</f>
        <v/>
      </c>
      <c r="T235" s="362">
        <f>IF(AS235=301,"",AS235)</f>
        <v>192</v>
      </c>
      <c r="U235" s="362" t="str">
        <f>IF(AT235=0,"",AT235)</f>
        <v/>
      </c>
      <c r="V235" s="364"/>
      <c r="W235" s="364"/>
      <c r="AA235" s="91" t="s">
        <v>0</v>
      </c>
      <c r="AB235" s="92"/>
      <c r="AC235" s="368">
        <f>ABS(INDEX(AC:AC,MATCH(AC232,$AA:$AA,0)+5)+INDEX(AC:AC,MATCH(AC232,$AA:$AA,0)+6)+INDEX(AC:AC,MATCH(AC232,$AA:$AA,0)+7))</f>
        <v>196</v>
      </c>
      <c r="AD235" s="369"/>
      <c r="AE235" s="368">
        <f>ABS(INDEX(AE:AE,MATCH(AE232,$AA:$AA,0)+5)+INDEX(AE:AE,MATCH(AE232,$AA:$AA,0)+6)+INDEX(AE:AE,MATCH(AE232,$AA:$AA,0)+7))</f>
        <v>168</v>
      </c>
      <c r="AF235" s="369"/>
      <c r="AG235" s="368">
        <f>ABS(INDEX(AG:AG,MATCH(AG232,$AA:$AA,0)+5)+INDEX(AG:AG,MATCH(AG232,$AA:$AA,0)+6)+INDEX(AG:AG,MATCH(AG232,$AA:$AA,0)+7))</f>
        <v>233</v>
      </c>
      <c r="AH235" s="369"/>
      <c r="AI235" s="368">
        <f>ABS(INDEX(AI:AI,MATCH(AI232,$AA:$AA,0)+5)+INDEX(AI:AI,MATCH(AI232,$AA:$AA,0)+6)+INDEX(AI:AI,MATCH(AI232,$AA:$AA,0)+7))</f>
        <v>242</v>
      </c>
      <c r="AJ235" s="369"/>
      <c r="AK235" s="368">
        <f>ABS(INDEX(AK:AK,MATCH(AK232,$AA:$AA,0)+5)+INDEX(AK:AK,MATCH(AK232,$AA:$AA,0)+6)+INDEX(AK:AK,MATCH(AK232,$AA:$AA,0)+7))</f>
        <v>216</v>
      </c>
      <c r="AL235" s="369"/>
      <c r="AM235" s="368">
        <f>ABS(INDEX(AM:AM,MATCH(AM232,$AA:$AA,0)+5)+INDEX(AM:AM,MATCH(AM232,$AA:$AA,0)+6)+INDEX(AM:AM,MATCH(AM232,$AA:$AA,0)+7))</f>
        <v>219</v>
      </c>
      <c r="AN235" s="369"/>
      <c r="AO235" s="368">
        <f>ABS(INDEX(AO:AO,MATCH(AO232,$AA:$AA,0)+5)+INDEX(AO:AO,MATCH(AO232,$AA:$AA,0)+6)+INDEX(AO:AO,MATCH(AO232,$AA:$AA,0)+7))</f>
        <v>209</v>
      </c>
      <c r="AP235" s="369"/>
      <c r="AQ235" s="368">
        <f>ABS(INDEX(AQ:AQ,MATCH(AQ232,$AA:$AA,0)+5)+INDEX(AQ:AQ,MATCH(AQ232,$AA:$AA,0)+6)+INDEX(AQ:AQ,MATCH(AQ232,$AA:$AA,0)+7))</f>
        <v>168</v>
      </c>
      <c r="AR235" s="369"/>
      <c r="AS235" s="368">
        <f>ABS(INDEX(AS:AS,MATCH(AS232,$AA:$AA,0)+5)+INDEX(AS:AS,MATCH(AS232,$AA:$AA,0)+6)+INDEX(AS:AS,MATCH(AS232,$AA:$AA,0)+7))</f>
        <v>192</v>
      </c>
      <c r="AT235" s="369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4" t="str">
        <f t="shared" si="290"/>
        <v>Spieler 2</v>
      </c>
      <c r="C236" s="375" t="str">
        <f t="shared" si="291"/>
        <v/>
      </c>
      <c r="D236" s="362">
        <f>IF(AC236=301,"",AC236)</f>
        <v>190</v>
      </c>
      <c r="E236" s="362" t="str">
        <f>IF(AD236=0,"",AD236)</f>
        <v/>
      </c>
      <c r="F236" s="362">
        <f>IF(AE236=301,"",AE236)</f>
        <v>156</v>
      </c>
      <c r="G236" s="362" t="str">
        <f>IF(AF236=0,"",AF236)</f>
        <v/>
      </c>
      <c r="H236" s="362">
        <f>IF(AG236=301,"",AG236)</f>
        <v>222</v>
      </c>
      <c r="I236" s="362" t="str">
        <f>IF(AH236=0,"",AH236)</f>
        <v/>
      </c>
      <c r="J236" s="362">
        <f>IF(AI236=301,"",AI236)</f>
        <v>241</v>
      </c>
      <c r="K236" s="362" t="str">
        <f>IF(AJ236=0,"",AJ236)</f>
        <v/>
      </c>
      <c r="L236" s="362">
        <f>IF(AK236=301,"",AK236)</f>
        <v>227</v>
      </c>
      <c r="M236" s="362" t="str">
        <f>IF(AL236=0,"",AL236)</f>
        <v/>
      </c>
      <c r="N236" s="362">
        <f>IF(AM236=301,"",AM236)</f>
        <v>186</v>
      </c>
      <c r="O236" s="362" t="str">
        <f>IF(AN236=0,"",AN236)</f>
        <v/>
      </c>
      <c r="P236" s="362">
        <f>IF(AO236=301,"",AO236)</f>
        <v>182</v>
      </c>
      <c r="Q236" s="362" t="str">
        <f>IF(AP236=0,"",AP236)</f>
        <v/>
      </c>
      <c r="R236" s="362">
        <f>IF(AQ236=301,"",AQ236)</f>
        <v>169</v>
      </c>
      <c r="S236" s="362" t="str">
        <f>IF(AR236=0,"",AR236)</f>
        <v/>
      </c>
      <c r="T236" s="362">
        <f>IF(AS236=301,"",AS236)</f>
        <v>186</v>
      </c>
      <c r="U236" s="362" t="str">
        <f>IF(AT236=0,"",AT236)</f>
        <v/>
      </c>
      <c r="V236" s="364"/>
      <c r="W236" s="364"/>
      <c r="AA236" s="91" t="s">
        <v>2</v>
      </c>
      <c r="AB236" s="92"/>
      <c r="AC236" s="366">
        <f>ABS(INDEX(AC:AC,MATCH(AC232,$AA:$AA,0)+8)+INDEX(AC:AC,MATCH(AC232,$AA:$AA,0)+9)+INDEX(AC:AC,MATCH(AC232,$AA:$AA,0)+10))</f>
        <v>190</v>
      </c>
      <c r="AD236" s="367"/>
      <c r="AE236" s="366">
        <f>ABS(INDEX(AE:AE,MATCH(AE232,$AA:$AA,0)+8)+INDEX(AE:AE,MATCH(AE232,$AA:$AA,0)+9)+INDEX(AE:AE,MATCH(AE232,$AA:$AA,0)+10))</f>
        <v>156</v>
      </c>
      <c r="AF236" s="367"/>
      <c r="AG236" s="366">
        <f>ABS(INDEX(AG:AG,MATCH(AG232,$AA:$AA,0)+8)+INDEX(AG:AG,MATCH(AG232,$AA:$AA,0)+9)+INDEX(AG:AG,MATCH(AG232,$AA:$AA,0)+10))</f>
        <v>222</v>
      </c>
      <c r="AH236" s="367"/>
      <c r="AI236" s="366">
        <f>ABS(INDEX(AI:AI,MATCH(AI232,$AA:$AA,0)+8)+INDEX(AI:AI,MATCH(AI232,$AA:$AA,0)+9)+INDEX(AI:AI,MATCH(AI232,$AA:$AA,0)+10))</f>
        <v>241</v>
      </c>
      <c r="AJ236" s="367"/>
      <c r="AK236" s="366">
        <f>ABS(INDEX(AK:AK,MATCH(AK232,$AA:$AA,0)+8)+INDEX(AK:AK,MATCH(AK232,$AA:$AA,0)+9)+INDEX(AK:AK,MATCH(AK232,$AA:$AA,0)+10))</f>
        <v>227</v>
      </c>
      <c r="AL236" s="367"/>
      <c r="AM236" s="366">
        <f>ABS(INDEX(AM:AM,MATCH(AM232,$AA:$AA,0)+8)+INDEX(AM:AM,MATCH(AM232,$AA:$AA,0)+9)+INDEX(AM:AM,MATCH(AM232,$AA:$AA,0)+10))</f>
        <v>186</v>
      </c>
      <c r="AN236" s="367"/>
      <c r="AO236" s="366">
        <f>ABS(INDEX(AO:AO,MATCH(AO232,$AA:$AA,0)+8)+INDEX(AO:AO,MATCH(AO232,$AA:$AA,0)+9)+INDEX(AO:AO,MATCH(AO232,$AA:$AA,0)+10))</f>
        <v>182</v>
      </c>
      <c r="AP236" s="367"/>
      <c r="AQ236" s="366">
        <f>ABS(INDEX(AQ:AQ,MATCH(AQ232,$AA:$AA,0)+8)+INDEX(AQ:AQ,MATCH(AQ232,$AA:$AA,0)+9)+INDEX(AQ:AQ,MATCH(AQ232,$AA:$AA,0)+10))</f>
        <v>169</v>
      </c>
      <c r="AR236" s="367"/>
      <c r="AS236" s="366">
        <f>ABS(INDEX(AS:AS,MATCH(AS232,$AA:$AA,0)+8)+INDEX(AS:AS,MATCH(AS232,$AA:$AA,0)+9)+INDEX(AS:AS,MATCH(AS232,$AA:$AA,0)+10))</f>
        <v>186</v>
      </c>
      <c r="AT236" s="367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4" t="str">
        <f t="shared" si="290"/>
        <v>Spieler 3</v>
      </c>
      <c r="C237" s="375" t="str">
        <f t="shared" si="291"/>
        <v/>
      </c>
      <c r="D237" s="362">
        <f>IF(AC237=301,"",AC237)</f>
        <v>188</v>
      </c>
      <c r="E237" s="362" t="str">
        <f>IF(AD237=0,"",AD237)</f>
        <v/>
      </c>
      <c r="F237" s="362">
        <f>IF(AE237=301,"",AE237)</f>
        <v>217</v>
      </c>
      <c r="G237" s="362" t="str">
        <f>IF(AF237=0,"",AF237)</f>
        <v/>
      </c>
      <c r="H237" s="362">
        <f>IF(AG237=301,"",AG237)</f>
        <v>235</v>
      </c>
      <c r="I237" s="362" t="str">
        <f>IF(AH237=0,"",AH237)</f>
        <v/>
      </c>
      <c r="J237" s="362">
        <f>IF(AI237=301,"",AI237)</f>
        <v>178</v>
      </c>
      <c r="K237" s="362" t="str">
        <f>IF(AJ237=0,"",AJ237)</f>
        <v/>
      </c>
      <c r="L237" s="362">
        <f>IF(AK237=301,"",AK237)</f>
        <v>163</v>
      </c>
      <c r="M237" s="362" t="str">
        <f>IF(AL237=0,"",AL237)</f>
        <v/>
      </c>
      <c r="N237" s="362">
        <f>IF(AM237=301,"",AM237)</f>
        <v>245</v>
      </c>
      <c r="O237" s="362" t="str">
        <f>IF(AN237=0,"",AN237)</f>
        <v/>
      </c>
      <c r="P237" s="362">
        <f>IF(AO237=301,"",AO237)</f>
        <v>255</v>
      </c>
      <c r="Q237" s="362" t="str">
        <f>IF(AP237=0,"",AP237)</f>
        <v/>
      </c>
      <c r="R237" s="362">
        <f>IF(AQ237=301,"",AQ237)</f>
        <v>169</v>
      </c>
      <c r="S237" s="362" t="str">
        <f>IF(AR237=0,"",AR237)</f>
        <v/>
      </c>
      <c r="T237" s="362">
        <f>IF(AS237=301,"",AS237)</f>
        <v>193</v>
      </c>
      <c r="U237" s="362" t="str">
        <f>IF(AT237=0,"",AT237)</f>
        <v/>
      </c>
      <c r="V237" s="364"/>
      <c r="W237" s="364"/>
      <c r="AA237" s="91" t="s">
        <v>3</v>
      </c>
      <c r="AB237" s="92"/>
      <c r="AC237" s="366">
        <f>ABS(INDEX(AC:AC,MATCH(AC232,$AA:$AA,0)+11)+INDEX(AC:AC,MATCH(AC232,$AA:$AA,0)+12)+INDEX(AC:AC,MATCH(AC232,$AA:$AA,0)+13))</f>
        <v>188</v>
      </c>
      <c r="AD237" s="367"/>
      <c r="AE237" s="366">
        <f>ABS(INDEX(AE:AE,MATCH(AE232,$AA:$AA,0)+11)+INDEX(AE:AE,MATCH(AE232,$AA:$AA,0)+12)+INDEX(AE:AE,MATCH(AE232,$AA:$AA,0)+13))</f>
        <v>217</v>
      </c>
      <c r="AF237" s="367"/>
      <c r="AG237" s="366">
        <f>ABS(INDEX(AG:AG,MATCH(AG232,$AA:$AA,0)+11)+INDEX(AG:AG,MATCH(AG232,$AA:$AA,0)+12)+INDEX(AG:AG,MATCH(AG232,$AA:$AA,0)+13))</f>
        <v>235</v>
      </c>
      <c r="AH237" s="367"/>
      <c r="AI237" s="366">
        <f>ABS(INDEX(AI:AI,MATCH(AI232,$AA:$AA,0)+11)+INDEX(AI:AI,MATCH(AI232,$AA:$AA,0)+12)+INDEX(AI:AI,MATCH(AI232,$AA:$AA,0)+13))</f>
        <v>178</v>
      </c>
      <c r="AJ237" s="367"/>
      <c r="AK237" s="366">
        <f>ABS(INDEX(AK:AK,MATCH(AK232,$AA:$AA,0)+11)+INDEX(AK:AK,MATCH(AK232,$AA:$AA,0)+12)+INDEX(AK:AK,MATCH(AK232,$AA:$AA,0)+13))</f>
        <v>163</v>
      </c>
      <c r="AL237" s="367"/>
      <c r="AM237" s="366">
        <f>ABS(INDEX(AM:AM,MATCH(AM232,$AA:$AA,0)+11)+INDEX(AM:AM,MATCH(AM232,$AA:$AA,0)+12)+INDEX(AM:AM,MATCH(AM232,$AA:$AA,0)+13))</f>
        <v>245</v>
      </c>
      <c r="AN237" s="367"/>
      <c r="AO237" s="366">
        <f>ABS(INDEX(AO:AO,MATCH(AO232,$AA:$AA,0)+11)+INDEX(AO:AO,MATCH(AO232,$AA:$AA,0)+12)+INDEX(AO:AO,MATCH(AO232,$AA:$AA,0)+13))</f>
        <v>255</v>
      </c>
      <c r="AP237" s="367"/>
      <c r="AQ237" s="366">
        <f>ABS(INDEX(AQ:AQ,MATCH(AQ232,$AA:$AA,0)+11)+INDEX(AQ:AQ,MATCH(AQ232,$AA:$AA,0)+12)+INDEX(AQ:AQ,MATCH(AQ232,$AA:$AA,0)+13))</f>
        <v>169</v>
      </c>
      <c r="AR237" s="367"/>
      <c r="AS237" s="366">
        <f>ABS(INDEX(AS:AS,MATCH(AS232,$AA:$AA,0)+11)+INDEX(AS:AS,MATCH(AS232,$AA:$AA,0)+12)+INDEX(AS:AS,MATCH(AS232,$AA:$AA,0)+13))</f>
        <v>193</v>
      </c>
      <c r="AT237" s="367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4" t="str">
        <f t="shared" si="290"/>
        <v>Spieler 4</v>
      </c>
      <c r="C238" s="375" t="str">
        <f t="shared" si="291"/>
        <v/>
      </c>
      <c r="D238" s="362">
        <f>IF(AC238=301,"",AC238)</f>
        <v>155</v>
      </c>
      <c r="E238" s="362" t="str">
        <f>IF(AD238=0,"",AD238)</f>
        <v/>
      </c>
      <c r="F238" s="362">
        <f>IF(AE238=301,"",AE238)</f>
        <v>236</v>
      </c>
      <c r="G238" s="362" t="str">
        <f>IF(AF238=0,"",AF238)</f>
        <v/>
      </c>
      <c r="H238" s="362">
        <f>IF(AG238=301,"",AG238)</f>
        <v>182</v>
      </c>
      <c r="I238" s="362" t="str">
        <f>IF(AH238=0,"",AH238)</f>
        <v/>
      </c>
      <c r="J238" s="362">
        <f>IF(AI238=301,"",AI238)</f>
        <v>134</v>
      </c>
      <c r="K238" s="362" t="str">
        <f>IF(AJ238=0,"",AJ238)</f>
        <v/>
      </c>
      <c r="L238" s="362">
        <f>IF(AK238=301,"",AK238)</f>
        <v>219</v>
      </c>
      <c r="M238" s="362" t="str">
        <f>IF(AL238=0,"",AL238)</f>
        <v/>
      </c>
      <c r="N238" s="362">
        <f>IF(AM238=301,"",AM238)</f>
        <v>195</v>
      </c>
      <c r="O238" s="362" t="str">
        <f>IF(AN238=0,"",AN238)</f>
        <v/>
      </c>
      <c r="P238" s="362">
        <f>IF(AO238=301,"",AO238)</f>
        <v>246</v>
      </c>
      <c r="Q238" s="362" t="str">
        <f>IF(AP238=0,"",AP238)</f>
        <v/>
      </c>
      <c r="R238" s="362">
        <f>IF(AQ238=301,"",AQ238)</f>
        <v>192</v>
      </c>
      <c r="S238" s="362" t="str">
        <f>IF(AR238=0,"",AR238)</f>
        <v/>
      </c>
      <c r="T238" s="362">
        <f>IF(AS238=301,"",AS238)</f>
        <v>181</v>
      </c>
      <c r="U238" s="362" t="str">
        <f>IF(AT238=0,"",AT238)</f>
        <v/>
      </c>
      <c r="V238" s="364"/>
      <c r="W238" s="364"/>
      <c r="AA238" s="91" t="s">
        <v>11</v>
      </c>
      <c r="AB238" s="92"/>
      <c r="AC238" s="366">
        <f>ABS(INDEX(AC:AC,MATCH(AC232,$AA:$AA,0)+14)+INDEX(AC:AC,MATCH(AC232,$AA:$AA,0)+15)+INDEX(AC:AC,MATCH(AC232,$AA:$AA,0)+16))</f>
        <v>155</v>
      </c>
      <c r="AD238" s="367"/>
      <c r="AE238" s="366">
        <f>ABS(INDEX(AE:AE,MATCH(AE232,$AA:$AA,0)+14)+INDEX(AE:AE,MATCH(AE232,$AA:$AA,0)+15)+INDEX(AE:AE,MATCH(AE232,$AA:$AA,0)+16))</f>
        <v>236</v>
      </c>
      <c r="AF238" s="367"/>
      <c r="AG238" s="366">
        <f>ABS(INDEX(AG:AG,MATCH(AG232,$AA:$AA,0)+14)+INDEX(AG:AG,MATCH(AG232,$AA:$AA,0)+15)+INDEX(AG:AG,MATCH(AG232,$AA:$AA,0)+16))</f>
        <v>182</v>
      </c>
      <c r="AH238" s="367"/>
      <c r="AI238" s="366">
        <f>ABS(INDEX(AI:AI,MATCH(AI232,$AA:$AA,0)+14)+INDEX(AI:AI,MATCH(AI232,$AA:$AA,0)+15)+INDEX(AI:AI,MATCH(AI232,$AA:$AA,0)+16))</f>
        <v>134</v>
      </c>
      <c r="AJ238" s="367"/>
      <c r="AK238" s="366">
        <f>ABS(INDEX(AK:AK,MATCH(AK232,$AA:$AA,0)+14)+INDEX(AK:AK,MATCH(AK232,$AA:$AA,0)+15)+INDEX(AK:AK,MATCH(AK232,$AA:$AA,0)+16))</f>
        <v>219</v>
      </c>
      <c r="AL238" s="367"/>
      <c r="AM238" s="366">
        <f>ABS(INDEX(AM:AM,MATCH(AM232,$AA:$AA,0)+14)+INDEX(AM:AM,MATCH(AM232,$AA:$AA,0)+15)+INDEX(AM:AM,MATCH(AM232,$AA:$AA,0)+16))</f>
        <v>195</v>
      </c>
      <c r="AN238" s="367"/>
      <c r="AO238" s="366">
        <f>ABS(INDEX(AO:AO,MATCH(AO232,$AA:$AA,0)+14)+INDEX(AO:AO,MATCH(AO232,$AA:$AA,0)+15)+INDEX(AO:AO,MATCH(AO232,$AA:$AA,0)+16))</f>
        <v>246</v>
      </c>
      <c r="AP238" s="367"/>
      <c r="AQ238" s="366">
        <f>ABS(INDEX(AQ:AQ,MATCH(AQ232,$AA:$AA,0)+14)+INDEX(AQ:AQ,MATCH(AQ232,$AA:$AA,0)+15)+INDEX(AQ:AQ,MATCH(AQ232,$AA:$AA,0)+16))</f>
        <v>192</v>
      </c>
      <c r="AR238" s="367"/>
      <c r="AS238" s="366">
        <f>ABS(INDEX(AS:AS,MATCH(AS232,$AA:$AA,0)+14)+INDEX(AS:AS,MATCH(AS232,$AA:$AA,0)+15)+INDEX(AS:AS,MATCH(AS232,$AA:$AA,0)+16))</f>
        <v>181</v>
      </c>
      <c r="AT238" s="367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6" t="str">
        <f t="shared" si="290"/>
        <v>Gesamt</v>
      </c>
      <c r="C239" s="347" t="str">
        <f t="shared" si="291"/>
        <v/>
      </c>
      <c r="D239" s="365">
        <f>IF(AC239=1505,"",AC239)</f>
        <v>729</v>
      </c>
      <c r="E239" s="365" t="str">
        <f>IF(AD239=0,"",AD239)</f>
        <v/>
      </c>
      <c r="F239" s="365">
        <f>IF(AE239=1505,"",AE239)</f>
        <v>777</v>
      </c>
      <c r="G239" s="365" t="str">
        <f>IF(AF239=0,"",AF239)</f>
        <v/>
      </c>
      <c r="H239" s="365">
        <f>IF(AG239=1505,"",AG239)</f>
        <v>872</v>
      </c>
      <c r="I239" s="365" t="str">
        <f>IF(AH239=0,"",AH239)</f>
        <v/>
      </c>
      <c r="J239" s="365">
        <f>IF(AI239=1505,"",AI239)</f>
        <v>795</v>
      </c>
      <c r="K239" s="365" t="str">
        <f>IF(AJ239=0,"",AJ239)</f>
        <v/>
      </c>
      <c r="L239" s="365">
        <f>IF(AK239=1505,"",AK239)</f>
        <v>825</v>
      </c>
      <c r="M239" s="365" t="str">
        <f>IF(AL239=0,"",AL239)</f>
        <v/>
      </c>
      <c r="N239" s="365">
        <f>IF(AM239=1505,"",AM239)</f>
        <v>845</v>
      </c>
      <c r="O239" s="365" t="str">
        <f>IF(AN239=0,"",AN239)</f>
        <v/>
      </c>
      <c r="P239" s="365">
        <f>IF(AO239=1505,"",AO239)</f>
        <v>892</v>
      </c>
      <c r="Q239" s="365" t="str">
        <f>IF(AP239=0,"",AP239)</f>
        <v/>
      </c>
      <c r="R239" s="365">
        <f>IF(AQ239=1505,"",AQ239)</f>
        <v>698</v>
      </c>
      <c r="S239" s="365" t="str">
        <f>IF(AR239=0,"",AR239)</f>
        <v/>
      </c>
      <c r="T239" s="365">
        <f>IF(AS239=1505,"",AS239)</f>
        <v>752</v>
      </c>
      <c r="U239" s="365" t="str">
        <f>IF(AT239=0,"",AT239)</f>
        <v/>
      </c>
      <c r="V239" s="301"/>
      <c r="W239" s="301"/>
      <c r="AA239" s="93" t="s">
        <v>1799</v>
      </c>
      <c r="AB239" s="94"/>
      <c r="AC239" s="346">
        <f>SUM(AC235:AC238)</f>
        <v>729</v>
      </c>
      <c r="AD239" s="347"/>
      <c r="AE239" s="346">
        <f>SUM(AE235:AE238)</f>
        <v>777</v>
      </c>
      <c r="AF239" s="347"/>
      <c r="AG239" s="346">
        <f>SUM(AG235:AG238)</f>
        <v>872</v>
      </c>
      <c r="AH239" s="347"/>
      <c r="AI239" s="346">
        <f>SUM(AI235:AI238)</f>
        <v>795</v>
      </c>
      <c r="AJ239" s="347"/>
      <c r="AK239" s="346">
        <f>SUM(AK235:AK238)</f>
        <v>825</v>
      </c>
      <c r="AL239" s="347"/>
      <c r="AM239" s="346">
        <f>SUM(AM235:AM238)</f>
        <v>845</v>
      </c>
      <c r="AN239" s="347"/>
      <c r="AO239" s="346">
        <f>SUM(AO235:AO238)</f>
        <v>892</v>
      </c>
      <c r="AP239" s="347"/>
      <c r="AQ239" s="346">
        <f>SUM(AQ235:AQ238)</f>
        <v>698</v>
      </c>
      <c r="AR239" s="347"/>
      <c r="AS239" s="346">
        <f>SUM(AS235:AS238)</f>
        <v>752</v>
      </c>
      <c r="AT239" s="347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5" t="str">
        <f>AE241</f>
        <v>Bayernliga Herren</v>
      </c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48"/>
      <c r="S241" s="49" t="s">
        <v>1794</v>
      </c>
      <c r="T241" s="50"/>
      <c r="U241" s="341" t="str">
        <f>AT241</f>
        <v>12.10./13.10.</v>
      </c>
      <c r="V241" s="342"/>
      <c r="W241" s="343"/>
      <c r="X241" s="372"/>
      <c r="Y241" s="373"/>
      <c r="Z241" s="373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41" t="str">
        <f>VLOOKUP(AS242,Spielorte!$A$1:$C$6,2)</f>
        <v>12.10./13.10.</v>
      </c>
      <c r="AU241" s="342"/>
      <c r="AV241" s="34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4" t="str">
        <f>AE242</f>
        <v>Unterföhring Dreambowl Palace</v>
      </c>
      <c r="G242" s="344"/>
      <c r="H242" s="344"/>
      <c r="I242" s="344"/>
      <c r="J242" s="344"/>
      <c r="K242" s="344"/>
      <c r="L242" s="344"/>
      <c r="M242" s="344"/>
      <c r="N242" s="344"/>
      <c r="O242" s="344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6" t="s">
        <v>1800</v>
      </c>
      <c r="E245" s="347"/>
      <c r="F245" s="346" t="s">
        <v>1801</v>
      </c>
      <c r="G245" s="347"/>
      <c r="H245" s="346" t="s">
        <v>1802</v>
      </c>
      <c r="I245" s="347"/>
      <c r="J245" s="346" t="s">
        <v>1803</v>
      </c>
      <c r="K245" s="347"/>
      <c r="L245" s="346" t="s">
        <v>1804</v>
      </c>
      <c r="M245" s="347"/>
      <c r="N245" s="346" t="s">
        <v>1805</v>
      </c>
      <c r="O245" s="347"/>
      <c r="P245" s="346" t="s">
        <v>1806</v>
      </c>
      <c r="Q245" s="347"/>
      <c r="R245" s="346" t="s">
        <v>1807</v>
      </c>
      <c r="S245" s="347"/>
      <c r="T245" s="346" t="s">
        <v>1808</v>
      </c>
      <c r="U245" s="347"/>
      <c r="V245" s="354" t="s">
        <v>1799</v>
      </c>
      <c r="W245" s="355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6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211</v>
      </c>
      <c r="E247" s="348">
        <f>IF(AD247="","",AD247)</f>
        <v>1</v>
      </c>
      <c r="F247" s="75">
        <f t="shared" ref="F247:F260" si="294">IF(AE247=0,"",AE247)</f>
        <v>190</v>
      </c>
      <c r="G247" s="348">
        <f>IF(AF247="","",AF247)</f>
        <v>1</v>
      </c>
      <c r="H247" s="75">
        <f t="shared" ref="H247:H260" si="295">IF(AG247=0,"",AG247)</f>
        <v>189</v>
      </c>
      <c r="I247" s="348">
        <f>IF(AH247="","",AH247)</f>
        <v>1</v>
      </c>
      <c r="J247" s="75">
        <f t="shared" ref="J247:J260" si="296">IF(AI247=0,"",AI247)</f>
        <v>224</v>
      </c>
      <c r="K247" s="348">
        <f>IF(AJ247="","",AJ247)</f>
        <v>1</v>
      </c>
      <c r="L247" s="75">
        <f t="shared" ref="L247:L260" si="297">IF(AK247=0,"",AK247)</f>
        <v>216</v>
      </c>
      <c r="M247" s="348">
        <f>IF(AL247="","",AL247)</f>
        <v>0</v>
      </c>
      <c r="N247" s="75">
        <f>IF(AM247=0,"",AM247)</f>
        <v>183</v>
      </c>
      <c r="O247" s="348">
        <f>IF(AN247="","",AN247)</f>
        <v>1</v>
      </c>
      <c r="P247" s="75">
        <f t="shared" ref="P247:P260" si="298">IF(AO247=0,"",AO247)</f>
        <v>171</v>
      </c>
      <c r="Q247" s="348">
        <f>IF(AP247="","",AP247)</f>
        <v>1</v>
      </c>
      <c r="R247" s="75" t="str">
        <f t="shared" ref="R247:R260" si="299">IF(AQ247=0,"",AQ247)</f>
        <v/>
      </c>
      <c r="S247" s="348">
        <f>IF(AR247="","",AR247)</f>
        <v>0</v>
      </c>
      <c r="T247" s="75" t="str">
        <f t="shared" ref="T247:T260" si="300">IF(AS247=0,"",AS247)</f>
        <v/>
      </c>
      <c r="U247" s="348">
        <f>IF(AT247="","",AT247)</f>
        <v>0</v>
      </c>
      <c r="V247" s="75">
        <f t="shared" ref="V247:V260" si="301">IF(AU247=0,"",AU247)</f>
        <v>1384</v>
      </c>
      <c r="W247" s="348">
        <f>IF(AV247="","",AV247)</f>
        <v>6</v>
      </c>
      <c r="Z247" s="351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211</v>
      </c>
      <c r="AD247" s="109">
        <f>IF(SUM(AC247:AC249)+AC265=0,0,IF(SUM(ABS(AC247),ABS(AC248),ABS(AC249))=AC265,0.5,IF(SUM(ABS(AC247),ABS(AC248),ABS(AC249))&gt;AC265,1,0)))</f>
        <v>1</v>
      </c>
      <c r="AE247" s="185">
        <v>190</v>
      </c>
      <c r="AF247" s="109">
        <f>IF(SUM(AE247:AE249)+AE265=0,0,IF(SUM(ABS(AE247),ABS(AE248),ABS(AE249))=AE265,0.5,IF(SUM(ABS(AE247),ABS(AE248),ABS(AE249))&gt;AE265,1,0)))</f>
        <v>1</v>
      </c>
      <c r="AG247" s="185">
        <v>189</v>
      </c>
      <c r="AH247" s="109">
        <f>IF(SUM(AG247:AG249)+AG265=0,0,IF(SUM(ABS(AG247),ABS(AG248),ABS(AG249))=AG265,0.5,IF(SUM(ABS(AG247),ABS(AG248),ABS(AG249))&gt;AG265,1,0)))</f>
        <v>1</v>
      </c>
      <c r="AI247" s="185">
        <v>224</v>
      </c>
      <c r="AJ247" s="109">
        <f>IF(SUM(AI247:AI249)+AI265=0,0,IF(SUM(ABS(AI247),ABS(AI248),ABS(AI249))=AI265,0.5,IF(SUM(ABS(AI247),ABS(AI248),ABS(AI249))&gt;AI265,1,0)))</f>
        <v>1</v>
      </c>
      <c r="AK247" s="185">
        <v>216</v>
      </c>
      <c r="AL247" s="109">
        <f>IF(SUM(AK247:AK249)+AK265=0,0,IF(SUM(ABS(AK247),ABS(AK248),ABS(AK249))=AK265,0.5,IF(SUM(ABS(AK247),ABS(AK248),ABS(AK249))&gt;AK265,1,0)))</f>
        <v>0</v>
      </c>
      <c r="AM247" s="185">
        <v>183</v>
      </c>
      <c r="AN247" s="109">
        <f>IF(SUM(AM247:AM249)+AM265=0,0,IF(SUM(ABS(AM247),ABS(AM248),ABS(AM249))=AM265,0.5,IF(SUM(ABS(AM247),ABS(AM248),ABS(AM249))&gt;AM265,1,0)))</f>
        <v>1</v>
      </c>
      <c r="AO247" s="185">
        <v>171</v>
      </c>
      <c r="AP247" s="109">
        <f>IF(SUM(AO247:AO249)+AO265=0,0,IF(SUM(ABS(AO247),ABS(AO248),ABS(AO249))=AO265,0.5,IF(SUM(ABS(AO247),ABS(AO248),ABS(AO249))&gt;AO265,1,0)))</f>
        <v>1</v>
      </c>
      <c r="AQ247" s="185"/>
      <c r="AR247" s="109">
        <f>IF(SUM(AQ247:AQ249)+AQ265=0,0,IF(SUM(ABS(AQ247),ABS(AQ248),ABS(AQ249))=AQ265,0.5,IF(SUM(ABS(AQ247),ABS(AQ248),ABS(AQ249))&gt;AQ265,1,0)))</f>
        <v>0</v>
      </c>
      <c r="AS247" s="185"/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1384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1384</v>
      </c>
      <c r="BF247" s="215">
        <f>COUNT(BH247:BP247)</f>
        <v>7</v>
      </c>
      <c r="BG247" s="215">
        <f>COUNTIF(BH247:BP247,"&gt;0")</f>
        <v>7</v>
      </c>
      <c r="BH247" s="215">
        <f t="shared" ref="BH247:BH258" si="303">IF(AC247=0,"",AC247)</f>
        <v>211</v>
      </c>
      <c r="BI247" s="215">
        <f t="shared" ref="BI247:BI258" si="304">IF(AE247=0,"",AE247)</f>
        <v>190</v>
      </c>
      <c r="BJ247" s="215">
        <f t="shared" ref="BJ247:BJ258" si="305">IF(AG247=0,"",AG247)</f>
        <v>189</v>
      </c>
      <c r="BK247" s="215">
        <f t="shared" ref="BK247:BK258" si="306">IF(AI247=0,"",AI247)</f>
        <v>224</v>
      </c>
      <c r="BL247" s="215">
        <f t="shared" ref="BL247:BL258" si="307">IF(AK247=0,"",AK247)</f>
        <v>216</v>
      </c>
      <c r="BM247" s="215">
        <f t="shared" ref="BM247:BM258" si="308">IF(AM247=0,"",AM247)</f>
        <v>183</v>
      </c>
      <c r="BN247" s="215">
        <f t="shared" ref="BN247:BN258" si="309">IF(AO247=0,"",AO247)</f>
        <v>171</v>
      </c>
      <c r="BO247" s="215" t="str">
        <f t="shared" ref="BO247:BO258" si="310">IF(AQ247=0,"",AQ247)</f>
        <v/>
      </c>
      <c r="BP247" s="215" t="str">
        <f t="shared" ref="BP247:BP258" si="311">IF(AS247=0,"",AS247)</f>
        <v/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1384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00000000000001" customHeight="1" x14ac:dyDescent="0.25">
      <c r="A248" s="377"/>
      <c r="B248" s="76" t="str">
        <f t="shared" ref="B248:B255" si="313">IF(AA248=0,"",AA248)</f>
        <v>Nikoleit, Thomas</v>
      </c>
      <c r="C248" s="77">
        <f t="shared" ref="C248:C260" si="314">IF(AB248=0,"",AB248)</f>
        <v>25516</v>
      </c>
      <c r="D248" s="78" t="str">
        <f t="shared" ref="D248:D260" si="315">IF(AC248=0,"",AC248)</f>
        <v/>
      </c>
      <c r="E248" s="349"/>
      <c r="F248" s="78" t="str">
        <f t="shared" si="294"/>
        <v/>
      </c>
      <c r="G248" s="349"/>
      <c r="H248" s="78" t="str">
        <f t="shared" si="295"/>
        <v/>
      </c>
      <c r="I248" s="349"/>
      <c r="J248" s="78" t="str">
        <f t="shared" si="296"/>
        <v/>
      </c>
      <c r="K248" s="349"/>
      <c r="L248" s="78" t="str">
        <f t="shared" si="297"/>
        <v/>
      </c>
      <c r="M248" s="349"/>
      <c r="N248" s="78" t="str">
        <f t="shared" ref="N248:N260" si="316">IF(AM248=0,"",AM248)</f>
        <v/>
      </c>
      <c r="O248" s="349"/>
      <c r="P248" s="78" t="str">
        <f t="shared" si="298"/>
        <v/>
      </c>
      <c r="Q248" s="349"/>
      <c r="R248" s="78">
        <f t="shared" si="299"/>
        <v>172</v>
      </c>
      <c r="S248" s="349"/>
      <c r="T248" s="78">
        <f t="shared" si="300"/>
        <v>164</v>
      </c>
      <c r="U248" s="349"/>
      <c r="V248" s="78">
        <f t="shared" si="301"/>
        <v>336</v>
      </c>
      <c r="W248" s="349"/>
      <c r="Z248" s="352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>
        <v>172</v>
      </c>
      <c r="AR248" s="112"/>
      <c r="AS248" s="186">
        <v>164</v>
      </c>
      <c r="AT248" s="112"/>
      <c r="AU248" s="113">
        <f t="shared" si="302"/>
        <v>336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25516</v>
      </c>
      <c r="BE248" s="213">
        <f t="shared" ref="BE248:BE258" si="318">+AU248</f>
        <v>336</v>
      </c>
      <c r="BF248" s="215">
        <f t="shared" ref="BF248:BF258" si="319">COUNT(BH248:BP248)</f>
        <v>2</v>
      </c>
      <c r="BG248" s="215">
        <f t="shared" ref="BG248:BG258" si="320">COUNTIF(BH248:BP248,"&gt;0")</f>
        <v>2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>
        <f t="shared" si="310"/>
        <v>172</v>
      </c>
      <c r="BP248" s="215">
        <f t="shared" si="311"/>
        <v>164</v>
      </c>
      <c r="BQ248" s="216"/>
      <c r="BR248" s="214"/>
      <c r="BS248" s="215">
        <f t="shared" ref="BS248:BS258" si="321">MAX(BH248:BP248)</f>
        <v>172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Bowlinghaus Bamberg 1</v>
      </c>
      <c r="BV248" s="214">
        <f t="shared" ref="BV248:BV258" si="324">RANK(BT248,BT:BT)</f>
        <v>2</v>
      </c>
      <c r="BW248" s="215">
        <f t="shared" ref="BW248:BW258" si="325">SUMIF(BH248:BP248,"&gt;0")</f>
        <v>336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00000000000001" customHeight="1" thickBot="1" x14ac:dyDescent="0.3">
      <c r="A249" s="378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50"/>
      <c r="F249" s="69" t="str">
        <f t="shared" si="294"/>
        <v/>
      </c>
      <c r="G249" s="350"/>
      <c r="H249" s="69" t="str">
        <f t="shared" si="295"/>
        <v/>
      </c>
      <c r="I249" s="350"/>
      <c r="J249" s="69" t="str">
        <f t="shared" si="296"/>
        <v/>
      </c>
      <c r="K249" s="350"/>
      <c r="L249" s="69" t="str">
        <f t="shared" si="297"/>
        <v/>
      </c>
      <c r="M249" s="350"/>
      <c r="N249" s="69" t="str">
        <f t="shared" si="316"/>
        <v/>
      </c>
      <c r="O249" s="350"/>
      <c r="P249" s="69" t="str">
        <f t="shared" si="298"/>
        <v/>
      </c>
      <c r="Q249" s="350"/>
      <c r="R249" s="69" t="str">
        <f t="shared" si="299"/>
        <v/>
      </c>
      <c r="S249" s="350"/>
      <c r="T249" s="69" t="str">
        <f t="shared" si="300"/>
        <v/>
      </c>
      <c r="U249" s="350"/>
      <c r="V249" s="69" t="str">
        <f t="shared" si="301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Bowlinghaus Bamberg 1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00000000000001" customHeight="1" x14ac:dyDescent="0.25">
      <c r="A250" s="376" t="s">
        <v>2</v>
      </c>
      <c r="B250" s="73" t="str">
        <f t="shared" si="313"/>
        <v>Nolan, Jonathan</v>
      </c>
      <c r="C250" s="74">
        <f t="shared" si="314"/>
        <v>16873</v>
      </c>
      <c r="D250" s="75">
        <f t="shared" si="315"/>
        <v>192</v>
      </c>
      <c r="E250" s="348">
        <f>IF(AD250="","",AD250)</f>
        <v>1</v>
      </c>
      <c r="F250" s="75">
        <f t="shared" si="294"/>
        <v>201</v>
      </c>
      <c r="G250" s="348">
        <f>IF(AF250="","",AF250)</f>
        <v>1</v>
      </c>
      <c r="H250" s="75">
        <f t="shared" si="295"/>
        <v>172</v>
      </c>
      <c r="I250" s="348">
        <f>IF(AH250="","",AH250)</f>
        <v>0</v>
      </c>
      <c r="J250" s="75">
        <f t="shared" si="296"/>
        <v>172</v>
      </c>
      <c r="K250" s="348">
        <f>IF(AJ250="","",AJ250)</f>
        <v>0</v>
      </c>
      <c r="L250" s="75">
        <f t="shared" si="297"/>
        <v>227</v>
      </c>
      <c r="M250" s="348">
        <f>IF(AL250="","",AL250)</f>
        <v>1</v>
      </c>
      <c r="N250" s="75">
        <f t="shared" si="316"/>
        <v>199</v>
      </c>
      <c r="O250" s="348">
        <f>IF(AN250="","",AN250)</f>
        <v>0</v>
      </c>
      <c r="P250" s="75">
        <f t="shared" si="298"/>
        <v>187</v>
      </c>
      <c r="Q250" s="348">
        <f>IF(AP250="","",AP250)</f>
        <v>1</v>
      </c>
      <c r="R250" s="75">
        <f t="shared" si="299"/>
        <v>189</v>
      </c>
      <c r="S250" s="348">
        <f>IF(AR250="","",AR250)</f>
        <v>0</v>
      </c>
      <c r="T250" s="75">
        <f t="shared" si="300"/>
        <v>171</v>
      </c>
      <c r="U250" s="348">
        <f>IF(AT250="","",AT250)</f>
        <v>0</v>
      </c>
      <c r="V250" s="75">
        <f t="shared" si="301"/>
        <v>1710</v>
      </c>
      <c r="W250" s="348">
        <f>IF(AV250="","",AV250)</f>
        <v>4</v>
      </c>
      <c r="Z250" s="351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192</v>
      </c>
      <c r="AD250" s="109">
        <f>IF(SUM(AC250:AC252)+AC266=0,0,IF(SUM(ABS(AC250),ABS(AC251),ABS(AC252))=AC266,0.5,IF(SUM(ABS(AC250),ABS(AC251),ABS(AC252))&gt;AC266,1,0)))</f>
        <v>1</v>
      </c>
      <c r="AE250" s="188">
        <v>201</v>
      </c>
      <c r="AF250" s="109">
        <f>IF(SUM(AE250:AE252)+AE266=0,0,IF(SUM(ABS(AE250),ABS(AE251),ABS(AE252))=AE266,0.5,IF(SUM(ABS(AE250),ABS(AE251),ABS(AE252))&gt;AE266,1,0)))</f>
        <v>1</v>
      </c>
      <c r="AG250" s="188">
        <v>172</v>
      </c>
      <c r="AH250" s="109">
        <f>IF(SUM(AG250:AG252)+AG266=0,0,IF(SUM(ABS(AG250),ABS(AG251),ABS(AG252))=AG266,0.5,IF(SUM(ABS(AG250),ABS(AG251),ABS(AG252))&gt;AG266,1,0)))</f>
        <v>0</v>
      </c>
      <c r="AI250" s="188">
        <v>172</v>
      </c>
      <c r="AJ250" s="109">
        <f>IF(SUM(AI250:AI252)+AI266=0,0,IF(SUM(ABS(AI250),ABS(AI251),ABS(AI252))=AI266,0.5,IF(SUM(ABS(AI250),ABS(AI251),ABS(AI252))&gt;AI266,1,0)))</f>
        <v>0</v>
      </c>
      <c r="AK250" s="188">
        <v>227</v>
      </c>
      <c r="AL250" s="109">
        <f>IF(SUM(AK250:AK252)+AK266=0,0,IF(SUM(ABS(AK250),ABS(AK251),ABS(AK252))=AK266,0.5,IF(SUM(ABS(AK250),ABS(AK251),ABS(AK252))&gt;AK266,1,0)))</f>
        <v>1</v>
      </c>
      <c r="AM250" s="188">
        <v>199</v>
      </c>
      <c r="AN250" s="109">
        <f>IF(SUM(AM250:AM252)+AM266=0,0,IF(SUM(ABS(AM250),ABS(AM251),ABS(AM252))=AM266,0.5,IF(SUM(ABS(AM250),ABS(AM251),ABS(AM252))&gt;AM266,1,0)))</f>
        <v>0</v>
      </c>
      <c r="AO250" s="188">
        <v>187</v>
      </c>
      <c r="AP250" s="109">
        <f>IF(SUM(AO250:AO252)+AO266=0,0,IF(SUM(ABS(AO250),ABS(AO251),ABS(AO252))=AO266,0.5,IF(SUM(ABS(AO250),ABS(AO251),ABS(AO252))&gt;AO266,1,0)))</f>
        <v>1</v>
      </c>
      <c r="AQ250" s="188">
        <v>189</v>
      </c>
      <c r="AR250" s="109">
        <f>IF(SUM(AQ250:AQ252)+AQ266=0,0,IF(SUM(ABS(AQ250),ABS(AQ251),ABS(AQ252))=AQ266,0.5,IF(SUM(ABS(AQ250),ABS(AQ251),ABS(AQ252))&gt;AQ266,1,0)))</f>
        <v>0</v>
      </c>
      <c r="AS250" s="188">
        <v>171</v>
      </c>
      <c r="AT250" s="109">
        <f>IF(SUM(AS250:AS252)+AS266=0,0,IF(SUM(ABS(AS250),ABS(AS251),ABS(AS252))=AS266,0.5,IF(SUM(ABS(AS250),ABS(AS251),ABS(AS252))&gt;AS266,1,0)))</f>
        <v>0</v>
      </c>
      <c r="AU250" s="110">
        <f t="shared" si="302"/>
        <v>1710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17"/>
        <v>16873</v>
      </c>
      <c r="BE250" s="213">
        <f t="shared" si="318"/>
        <v>1710</v>
      </c>
      <c r="BF250" s="215">
        <f t="shared" si="319"/>
        <v>9</v>
      </c>
      <c r="BG250" s="215">
        <f t="shared" si="320"/>
        <v>9</v>
      </c>
      <c r="BH250" s="215">
        <f t="shared" si="303"/>
        <v>192</v>
      </c>
      <c r="BI250" s="215">
        <f t="shared" si="304"/>
        <v>201</v>
      </c>
      <c r="BJ250" s="215">
        <f t="shared" si="305"/>
        <v>172</v>
      </c>
      <c r="BK250" s="215">
        <f t="shared" si="306"/>
        <v>172</v>
      </c>
      <c r="BL250" s="215">
        <f t="shared" si="307"/>
        <v>227</v>
      </c>
      <c r="BM250" s="215">
        <f t="shared" si="308"/>
        <v>199</v>
      </c>
      <c r="BN250" s="215">
        <f t="shared" si="309"/>
        <v>187</v>
      </c>
      <c r="BO250" s="215">
        <f t="shared" si="310"/>
        <v>189</v>
      </c>
      <c r="BP250" s="215">
        <f t="shared" si="311"/>
        <v>171</v>
      </c>
      <c r="BQ250" s="216"/>
      <c r="BR250" s="214"/>
      <c r="BS250" s="215">
        <f t="shared" si="321"/>
        <v>227</v>
      </c>
      <c r="BT250" s="215">
        <f t="shared" si="322"/>
        <v>0</v>
      </c>
      <c r="BU250" s="215" t="str">
        <f t="shared" si="323"/>
        <v>Bowlinghaus Bamberg 1</v>
      </c>
      <c r="BV250" s="214">
        <f t="shared" si="324"/>
        <v>2</v>
      </c>
      <c r="BW250" s="215">
        <f t="shared" si="325"/>
        <v>1710</v>
      </c>
      <c r="BX250" s="215">
        <f>IF(COUNTIF(BH250:BP250,"&gt;0")&lt;Spielorte!$A$23,0,BE250/Spielorte!$A$23)</f>
        <v>190</v>
      </c>
      <c r="BY250" s="215">
        <f t="shared" si="326"/>
        <v>0</v>
      </c>
      <c r="BZ250" s="214">
        <f t="shared" si="312"/>
        <v>0</v>
      </c>
    </row>
    <row r="251" spans="1:78" ht="17.100000000000001" customHeight="1" x14ac:dyDescent="0.25">
      <c r="A251" s="377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49"/>
      <c r="F251" s="78" t="str">
        <f t="shared" si="294"/>
        <v/>
      </c>
      <c r="G251" s="349"/>
      <c r="H251" s="78" t="str">
        <f t="shared" si="295"/>
        <v/>
      </c>
      <c r="I251" s="349"/>
      <c r="J251" s="78" t="str">
        <f t="shared" si="296"/>
        <v/>
      </c>
      <c r="K251" s="349"/>
      <c r="L251" s="78" t="str">
        <f t="shared" si="297"/>
        <v/>
      </c>
      <c r="M251" s="349"/>
      <c r="N251" s="78" t="str">
        <f t="shared" si="316"/>
        <v/>
      </c>
      <c r="O251" s="349"/>
      <c r="P251" s="78" t="str">
        <f t="shared" si="298"/>
        <v/>
      </c>
      <c r="Q251" s="349"/>
      <c r="R251" s="78" t="str">
        <f t="shared" si="299"/>
        <v/>
      </c>
      <c r="S251" s="349"/>
      <c r="T251" s="78" t="str">
        <f t="shared" si="300"/>
        <v/>
      </c>
      <c r="U251" s="349"/>
      <c r="V251" s="78" t="str">
        <f t="shared" si="301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Bowlinghaus Bamberg 1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00000000000001" customHeight="1" thickBot="1" x14ac:dyDescent="0.3">
      <c r="A252" s="378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50"/>
      <c r="F252" s="69" t="str">
        <f t="shared" si="294"/>
        <v/>
      </c>
      <c r="G252" s="350"/>
      <c r="H252" s="69" t="str">
        <f t="shared" si="295"/>
        <v/>
      </c>
      <c r="I252" s="350"/>
      <c r="J252" s="69" t="str">
        <f t="shared" si="296"/>
        <v/>
      </c>
      <c r="K252" s="350"/>
      <c r="L252" s="69" t="str">
        <f t="shared" si="297"/>
        <v/>
      </c>
      <c r="M252" s="350"/>
      <c r="N252" s="69" t="str">
        <f t="shared" si="316"/>
        <v/>
      </c>
      <c r="O252" s="350"/>
      <c r="P252" s="69" t="str">
        <f t="shared" si="298"/>
        <v/>
      </c>
      <c r="Q252" s="350"/>
      <c r="R252" s="69" t="str">
        <f t="shared" si="299"/>
        <v/>
      </c>
      <c r="S252" s="350"/>
      <c r="T252" s="69" t="str">
        <f t="shared" si="300"/>
        <v/>
      </c>
      <c r="U252" s="350"/>
      <c r="V252" s="69" t="str">
        <f t="shared" si="301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Bowlinghaus Bamberg 1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00000000000001" customHeight="1" x14ac:dyDescent="0.25">
      <c r="A253" s="376" t="s">
        <v>3</v>
      </c>
      <c r="B253" s="73" t="str">
        <f t="shared" si="313"/>
        <v>Nikoleit, Thomas</v>
      </c>
      <c r="C253" s="74">
        <f t="shared" si="314"/>
        <v>25516</v>
      </c>
      <c r="D253" s="75">
        <f t="shared" si="315"/>
        <v>181</v>
      </c>
      <c r="E253" s="348">
        <f>IF(AD253="","",AD253)</f>
        <v>0.5</v>
      </c>
      <c r="F253" s="75">
        <f t="shared" si="294"/>
        <v>210</v>
      </c>
      <c r="G253" s="348">
        <f>IF(AF253="","",AF253)</f>
        <v>1</v>
      </c>
      <c r="H253" s="75">
        <f t="shared" si="295"/>
        <v>168</v>
      </c>
      <c r="I253" s="348">
        <f>IF(AH253="","",AH253)</f>
        <v>0</v>
      </c>
      <c r="J253" s="75" t="str">
        <f t="shared" si="296"/>
        <v/>
      </c>
      <c r="K253" s="348">
        <f>IF(AJ253="","",AJ253)</f>
        <v>1</v>
      </c>
      <c r="L253" s="75" t="str">
        <f t="shared" si="297"/>
        <v/>
      </c>
      <c r="M253" s="348">
        <f>IF(AL253="","",AL253)</f>
        <v>0</v>
      </c>
      <c r="N253" s="75" t="str">
        <f t="shared" si="316"/>
        <v/>
      </c>
      <c r="O253" s="348">
        <f>IF(AN253="","",AN253)</f>
        <v>1</v>
      </c>
      <c r="P253" s="75" t="str">
        <f t="shared" si="298"/>
        <v/>
      </c>
      <c r="Q253" s="348">
        <f>IF(AP253="","",AP253)</f>
        <v>0</v>
      </c>
      <c r="R253" s="75" t="str">
        <f t="shared" si="299"/>
        <v/>
      </c>
      <c r="S253" s="348">
        <f>IF(AR253="","",AR253)</f>
        <v>1</v>
      </c>
      <c r="T253" s="75" t="str">
        <f t="shared" si="300"/>
        <v/>
      </c>
      <c r="U253" s="348">
        <f>IF(AT253="","",AT253)</f>
        <v>1</v>
      </c>
      <c r="V253" s="75">
        <f t="shared" si="301"/>
        <v>559</v>
      </c>
      <c r="W253" s="348">
        <f>IF(AV253="","",AV253)</f>
        <v>5.5</v>
      </c>
      <c r="Z253" s="351" t="s">
        <v>3</v>
      </c>
      <c r="AA253" s="108" t="str">
        <f>IF(AB253=0,"",VLOOKUP(AB253,Starter!$A$1:$D$199,2,FALSE))</f>
        <v>Nikoleit, Thomas</v>
      </c>
      <c r="AB253" s="99">
        <v>25516</v>
      </c>
      <c r="AC253" s="188">
        <v>181</v>
      </c>
      <c r="AD253" s="109">
        <f>IF(SUM(AC253:AC255)+AC267=0,0,IF(SUM(ABS(AC253),ABS(AC254),ABS(AC255))=AC267,0.5,IF(SUM(ABS(AC253),ABS(AC254),ABS(AC255))&gt;AC267,1,0)))</f>
        <v>0.5</v>
      </c>
      <c r="AE253" s="188">
        <v>210</v>
      </c>
      <c r="AF253" s="109">
        <f>IF(SUM(AE253:AE255)+AE267=0,0,IF(SUM(ABS(AE253),ABS(AE254),ABS(AE255))=AE267,0.5,IF(SUM(ABS(AE253),ABS(AE254),ABS(AE255))&gt;AE267,1,0)))</f>
        <v>1</v>
      </c>
      <c r="AG253" s="188">
        <v>168</v>
      </c>
      <c r="AH253" s="109">
        <f>IF(SUM(AG253:AG255)+AG267=0,0,IF(SUM(ABS(AG253),ABS(AG254),ABS(AG255))=AG267,0.5,IF(SUM(ABS(AG253),ABS(AG254),ABS(AG255))&gt;AG267,1,0)))</f>
        <v>0</v>
      </c>
      <c r="AI253" s="188"/>
      <c r="AJ253" s="109">
        <f>IF(SUM(AI253:AI255)+AI267=0,0,IF(SUM(ABS(AI253),ABS(AI254),ABS(AI255))=AI267,0.5,IF(SUM(ABS(AI253),ABS(AI254),ABS(AI255))&gt;AI267,1,0)))</f>
        <v>1</v>
      </c>
      <c r="AK253" s="188"/>
      <c r="AL253" s="109">
        <f>IF(SUM(AK253:AK255)+AK267=0,0,IF(SUM(ABS(AK253),ABS(AK254),ABS(AK255))=AK267,0.5,IF(SUM(ABS(AK253),ABS(AK254),ABS(AK255))&gt;AK267,1,0)))</f>
        <v>0</v>
      </c>
      <c r="AM253" s="188"/>
      <c r="AN253" s="109">
        <f>IF(SUM(AM253:AM255)+AM267=0,0,IF(SUM(ABS(AM253),ABS(AM254),ABS(AM255))=AM267,0.5,IF(SUM(ABS(AM253),ABS(AM254),ABS(AM255))&gt;AM267,1,0)))</f>
        <v>1</v>
      </c>
      <c r="AO253" s="188"/>
      <c r="AP253" s="109">
        <f>IF(SUM(AO253:AO255)+AO267=0,0,IF(SUM(ABS(AO253),ABS(AO254),ABS(AO255))=AO267,0.5,IF(SUM(ABS(AO253),ABS(AO254),ABS(AO255))&gt;AO267,1,0)))</f>
        <v>0</v>
      </c>
      <c r="AQ253" s="188"/>
      <c r="AR253" s="109">
        <f>IF(SUM(AQ253:AQ255)+AQ267=0,0,IF(SUM(ABS(AQ253),ABS(AQ254),ABS(AQ255))=AQ267,0.5,IF(SUM(ABS(AQ253),ABS(AQ254),ABS(AQ255))&gt;AQ267,1,0)))</f>
        <v>1</v>
      </c>
      <c r="AS253" s="188"/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559</v>
      </c>
      <c r="AV253" s="111">
        <f>SUM(AD253+AF253+AH253+AJ253+AL253+AN253+AP253+AR253+AT253)</f>
        <v>5.5</v>
      </c>
      <c r="AW253" s="101"/>
      <c r="AX253" s="102"/>
      <c r="AZ253" s="63"/>
      <c r="BA253" s="212"/>
      <c r="BB253" s="213"/>
      <c r="BC253" s="214"/>
      <c r="BD253" s="217">
        <f t="shared" si="317"/>
        <v>25516</v>
      </c>
      <c r="BE253" s="213">
        <f t="shared" si="318"/>
        <v>559</v>
      </c>
      <c r="BF253" s="215">
        <f t="shared" si="319"/>
        <v>3</v>
      </c>
      <c r="BG253" s="215">
        <f t="shared" si="320"/>
        <v>3</v>
      </c>
      <c r="BH253" s="215">
        <f t="shared" si="303"/>
        <v>181</v>
      </c>
      <c r="BI253" s="215">
        <f t="shared" si="304"/>
        <v>210</v>
      </c>
      <c r="BJ253" s="215">
        <f t="shared" si="305"/>
        <v>168</v>
      </c>
      <c r="BK253" s="215" t="str">
        <f t="shared" si="306"/>
        <v/>
      </c>
      <c r="BL253" s="215" t="str">
        <f t="shared" si="307"/>
        <v/>
      </c>
      <c r="BM253" s="215" t="str">
        <f t="shared" si="308"/>
        <v/>
      </c>
      <c r="BN253" s="215" t="str">
        <f t="shared" si="309"/>
        <v/>
      </c>
      <c r="BO253" s="215" t="str">
        <f t="shared" si="310"/>
        <v/>
      </c>
      <c r="BP253" s="215" t="str">
        <f t="shared" si="311"/>
        <v/>
      </c>
      <c r="BQ253" s="216"/>
      <c r="BR253" s="214"/>
      <c r="BS253" s="215">
        <f t="shared" si="321"/>
        <v>210</v>
      </c>
      <c r="BT253" s="215">
        <f t="shared" si="322"/>
        <v>0</v>
      </c>
      <c r="BU253" s="215" t="str">
        <f t="shared" si="323"/>
        <v>Bowlinghaus Bamberg 1</v>
      </c>
      <c r="BV253" s="214">
        <f t="shared" si="324"/>
        <v>2</v>
      </c>
      <c r="BW253" s="215">
        <f t="shared" si="325"/>
        <v>559</v>
      </c>
      <c r="BX253" s="215">
        <f>IF(COUNTIF(BH253:BP253,"&gt;0")&lt;Spielorte!$A$23,0,BE253/Spielorte!$A$23)</f>
        <v>0</v>
      </c>
      <c r="BY253" s="215">
        <f t="shared" si="326"/>
        <v>0</v>
      </c>
      <c r="BZ253" s="214">
        <f t="shared" si="312"/>
        <v>0</v>
      </c>
    </row>
    <row r="254" spans="1:78" ht="17.100000000000001" customHeight="1" x14ac:dyDescent="0.25">
      <c r="A254" s="377"/>
      <c r="B254" s="76" t="str">
        <f t="shared" si="313"/>
        <v>Badum, Daniel</v>
      </c>
      <c r="C254" s="77">
        <f t="shared" si="314"/>
        <v>38043</v>
      </c>
      <c r="D254" s="78" t="str">
        <f t="shared" si="315"/>
        <v/>
      </c>
      <c r="E254" s="349"/>
      <c r="F254" s="78" t="str">
        <f t="shared" si="294"/>
        <v/>
      </c>
      <c r="G254" s="349"/>
      <c r="H254" s="78" t="str">
        <f t="shared" si="295"/>
        <v/>
      </c>
      <c r="I254" s="349"/>
      <c r="J254" s="78">
        <f t="shared" si="296"/>
        <v>192</v>
      </c>
      <c r="K254" s="349"/>
      <c r="L254" s="78" t="str">
        <f t="shared" si="297"/>
        <v/>
      </c>
      <c r="M254" s="349"/>
      <c r="N254" s="78" t="str">
        <f t="shared" si="316"/>
        <v/>
      </c>
      <c r="O254" s="349"/>
      <c r="P254" s="78" t="str">
        <f t="shared" si="298"/>
        <v/>
      </c>
      <c r="Q254" s="349"/>
      <c r="R254" s="78" t="str">
        <f t="shared" si="299"/>
        <v/>
      </c>
      <c r="S254" s="349"/>
      <c r="T254" s="78" t="str">
        <f t="shared" si="300"/>
        <v/>
      </c>
      <c r="U254" s="349"/>
      <c r="V254" s="78">
        <f t="shared" si="301"/>
        <v>192</v>
      </c>
      <c r="W254" s="349"/>
      <c r="Z254" s="352"/>
      <c r="AA254" s="108" t="str">
        <f>IF(AB254=0,"",VLOOKUP(AB254,Starter!$A$1:$D$199,2,FALSE))</f>
        <v>Badum, Daniel</v>
      </c>
      <c r="AB254" s="98">
        <v>38043</v>
      </c>
      <c r="AC254" s="186"/>
      <c r="AD254" s="112"/>
      <c r="AE254" s="186"/>
      <c r="AF254" s="112"/>
      <c r="AG254" s="186"/>
      <c r="AH254" s="112"/>
      <c r="AI254" s="186">
        <v>192</v>
      </c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192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38043</v>
      </c>
      <c r="BE254" s="213">
        <f t="shared" si="318"/>
        <v>192</v>
      </c>
      <c r="BF254" s="215">
        <f t="shared" si="319"/>
        <v>1</v>
      </c>
      <c r="BG254" s="215">
        <f t="shared" si="320"/>
        <v>1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>
        <f t="shared" si="306"/>
        <v>192</v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192</v>
      </c>
      <c r="BT254" s="215">
        <f t="shared" si="322"/>
        <v>0</v>
      </c>
      <c r="BU254" s="215" t="str">
        <f t="shared" si="323"/>
        <v>Bowlinghaus Bamberg 1</v>
      </c>
      <c r="BV254" s="214">
        <f t="shared" si="324"/>
        <v>2</v>
      </c>
      <c r="BW254" s="215">
        <f t="shared" si="325"/>
        <v>192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00000000000001" customHeight="1" thickBot="1" x14ac:dyDescent="0.3">
      <c r="A255" s="378"/>
      <c r="B255" s="79" t="str">
        <f t="shared" si="313"/>
        <v>Holzinger, Sebastian</v>
      </c>
      <c r="C255" s="80">
        <f t="shared" si="314"/>
        <v>7099</v>
      </c>
      <c r="D255" s="69" t="str">
        <f t="shared" si="315"/>
        <v/>
      </c>
      <c r="E255" s="350"/>
      <c r="F255" s="69" t="str">
        <f t="shared" si="294"/>
        <v/>
      </c>
      <c r="G255" s="350"/>
      <c r="H255" s="69" t="str">
        <f t="shared" si="295"/>
        <v/>
      </c>
      <c r="I255" s="350"/>
      <c r="J255" s="69" t="str">
        <f t="shared" si="296"/>
        <v/>
      </c>
      <c r="K255" s="350"/>
      <c r="L255" s="69">
        <f t="shared" si="297"/>
        <v>163</v>
      </c>
      <c r="M255" s="350"/>
      <c r="N255" s="69">
        <f t="shared" si="316"/>
        <v>202</v>
      </c>
      <c r="O255" s="350"/>
      <c r="P255" s="69">
        <f t="shared" si="298"/>
        <v>181</v>
      </c>
      <c r="Q255" s="350"/>
      <c r="R255" s="69">
        <f t="shared" si="299"/>
        <v>219</v>
      </c>
      <c r="S255" s="350"/>
      <c r="T255" s="69">
        <f t="shared" si="300"/>
        <v>244</v>
      </c>
      <c r="U255" s="350"/>
      <c r="V255" s="69">
        <f t="shared" si="301"/>
        <v>1009</v>
      </c>
      <c r="W255" s="350"/>
      <c r="Z255" s="353"/>
      <c r="AA255" s="118" t="str">
        <f>IF(AB255=0,"",VLOOKUP(AB255,Starter!$A$1:$D$199,2,FALSE))</f>
        <v>Holzinger, Sebastian</v>
      </c>
      <c r="AB255" s="100">
        <v>7099</v>
      </c>
      <c r="AC255" s="189"/>
      <c r="AD255" s="119"/>
      <c r="AE255" s="189"/>
      <c r="AF255" s="119"/>
      <c r="AG255" s="189"/>
      <c r="AH255" s="119"/>
      <c r="AI255" s="189"/>
      <c r="AJ255" s="119"/>
      <c r="AK255" s="189">
        <v>163</v>
      </c>
      <c r="AL255" s="119"/>
      <c r="AM255" s="189">
        <v>202</v>
      </c>
      <c r="AN255" s="119"/>
      <c r="AO255" s="189">
        <v>181</v>
      </c>
      <c r="AP255" s="119"/>
      <c r="AQ255" s="189">
        <v>219</v>
      </c>
      <c r="AR255" s="119"/>
      <c r="AS255" s="189">
        <v>244</v>
      </c>
      <c r="AT255" s="119"/>
      <c r="AU255" s="116">
        <f t="shared" si="302"/>
        <v>1009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7099</v>
      </c>
      <c r="BE255" s="213">
        <f t="shared" si="318"/>
        <v>1009</v>
      </c>
      <c r="BF255" s="215">
        <f t="shared" si="319"/>
        <v>5</v>
      </c>
      <c r="BG255" s="215">
        <f t="shared" si="320"/>
        <v>5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>
        <f t="shared" si="307"/>
        <v>163</v>
      </c>
      <c r="BM255" s="215">
        <f t="shared" si="308"/>
        <v>202</v>
      </c>
      <c r="BN255" s="215">
        <f t="shared" si="309"/>
        <v>181</v>
      </c>
      <c r="BO255" s="215">
        <f t="shared" si="310"/>
        <v>219</v>
      </c>
      <c r="BP255" s="215">
        <f t="shared" si="311"/>
        <v>244</v>
      </c>
      <c r="BQ255" s="216"/>
      <c r="BR255" s="214"/>
      <c r="BS255" s="215">
        <f t="shared" si="321"/>
        <v>244</v>
      </c>
      <c r="BT255" s="215">
        <f t="shared" si="322"/>
        <v>0</v>
      </c>
      <c r="BU255" s="215" t="str">
        <f t="shared" si="323"/>
        <v>Bowlinghaus Bamberg 1</v>
      </c>
      <c r="BV255" s="214">
        <f t="shared" si="324"/>
        <v>2</v>
      </c>
      <c r="BW255" s="215">
        <f t="shared" si="325"/>
        <v>1009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00000000000001" customHeight="1" x14ac:dyDescent="0.25">
      <c r="A256" s="376" t="s">
        <v>11</v>
      </c>
      <c r="B256" s="73" t="str">
        <f>IF(AA256=0,"",AA256)</f>
        <v>Badum, Daniel</v>
      </c>
      <c r="C256" s="74">
        <f t="shared" si="314"/>
        <v>38043</v>
      </c>
      <c r="D256" s="75">
        <f t="shared" si="315"/>
        <v>148</v>
      </c>
      <c r="E256" s="348">
        <f>IF(AD256="","",AD256)</f>
        <v>0</v>
      </c>
      <c r="F256" s="75" t="str">
        <f t="shared" si="294"/>
        <v/>
      </c>
      <c r="G256" s="348">
        <f>IF(AF256="","",AF256)</f>
        <v>1</v>
      </c>
      <c r="H256" s="75" t="str">
        <f t="shared" si="295"/>
        <v/>
      </c>
      <c r="I256" s="348">
        <f>IF(AH256="","",AH256)</f>
        <v>0</v>
      </c>
      <c r="J256" s="75" t="str">
        <f t="shared" si="296"/>
        <v/>
      </c>
      <c r="K256" s="348">
        <f>IF(AJ256="","",AJ256)</f>
        <v>1</v>
      </c>
      <c r="L256" s="75" t="str">
        <f t="shared" si="297"/>
        <v/>
      </c>
      <c r="M256" s="348">
        <f>IF(AL256="","",AL256)</f>
        <v>0</v>
      </c>
      <c r="N256" s="75" t="str">
        <f t="shared" si="316"/>
        <v/>
      </c>
      <c r="O256" s="348">
        <f>IF(AN256="","",AN256)</f>
        <v>0</v>
      </c>
      <c r="P256" s="75" t="str">
        <f t="shared" si="298"/>
        <v/>
      </c>
      <c r="Q256" s="348">
        <f>IF(AP256="","",AP256)</f>
        <v>0</v>
      </c>
      <c r="R256" s="75">
        <f t="shared" si="299"/>
        <v>212</v>
      </c>
      <c r="S256" s="348">
        <f>IF(AR256="","",AR256)</f>
        <v>1</v>
      </c>
      <c r="T256" s="75">
        <f t="shared" si="300"/>
        <v>151</v>
      </c>
      <c r="U256" s="348">
        <f>IF(AT256="","",AT256)</f>
        <v>0</v>
      </c>
      <c r="V256" s="75">
        <f t="shared" si="301"/>
        <v>511</v>
      </c>
      <c r="W256" s="348">
        <f>IF(AV256="","",AV256)</f>
        <v>3</v>
      </c>
      <c r="Z256" s="351" t="s">
        <v>11</v>
      </c>
      <c r="AA256" s="108" t="str">
        <f>IF(AB256=0,"",VLOOKUP(AB256,Starter!$A$1:$D$199,2,FALSE))</f>
        <v>Badum, Daniel</v>
      </c>
      <c r="AB256" s="99">
        <v>38043</v>
      </c>
      <c r="AC256" s="188">
        <v>148</v>
      </c>
      <c r="AD256" s="109">
        <f>IF(SUM(AC256:AC258)+AC268=0,0,IF(SUM(ABS(AC256),ABS(AC257),ABS(AC258))=AC268,0.5,IF(SUM(ABS(AC256),ABS(AC257),ABS(AC258))&gt;AC268,1,0)))</f>
        <v>0</v>
      </c>
      <c r="AE256" s="188"/>
      <c r="AF256" s="109">
        <f>IF(SUM(AE256:AE258)+AE268=0,0,IF(SUM(ABS(AE256),ABS(AE257),ABS(AE258))=AE268,0.5,IF(SUM(ABS(AE256),ABS(AE257),ABS(AE258))&gt;AE268,1,0)))</f>
        <v>1</v>
      </c>
      <c r="AG256" s="188"/>
      <c r="AH256" s="109">
        <f>IF(SUM(AG256:AG258)+AG268=0,0,IF(SUM(ABS(AG256),ABS(AG257),ABS(AG258))=AG268,0.5,IF(SUM(ABS(AG256),ABS(AG257),ABS(AG258))&gt;AG268,1,0)))</f>
        <v>0</v>
      </c>
      <c r="AI256" s="188"/>
      <c r="AJ256" s="109">
        <f>IF(SUM(AI256:AI258)+AI268=0,0,IF(SUM(ABS(AI256),ABS(AI257),ABS(AI258))=AI268,0.5,IF(SUM(ABS(AI256),ABS(AI257),ABS(AI258))&gt;AI268,1,0)))</f>
        <v>1</v>
      </c>
      <c r="AK256" s="188"/>
      <c r="AL256" s="109">
        <f>IF(SUM(AK256:AK258)+AK268=0,0,IF(SUM(ABS(AK256),ABS(AK257),ABS(AK258))=AK268,0.5,IF(SUM(ABS(AK256),ABS(AK257),ABS(AK258))&gt;AK268,1,0)))</f>
        <v>0</v>
      </c>
      <c r="AM256" s="188"/>
      <c r="AN256" s="109">
        <f>IF(SUM(AM256:AM258)+AM268=0,0,IF(SUM(ABS(AM256),ABS(AM257),ABS(AM258))=AM268,0.5,IF(SUM(ABS(AM256),ABS(AM257),ABS(AM258))&gt;AM268,1,0)))</f>
        <v>0</v>
      </c>
      <c r="AO256" s="188"/>
      <c r="AP256" s="109">
        <f>IF(SUM(AO256:AO258)+AO268=0,0,IF(SUM(ABS(AO256),ABS(AO257),ABS(AO258))=AO268,0.5,IF(SUM(ABS(AO256),ABS(AO257),ABS(AO258))&gt;AO268,1,0)))</f>
        <v>0</v>
      </c>
      <c r="AQ256" s="188">
        <v>212</v>
      </c>
      <c r="AR256" s="109">
        <f>IF(SUM(AQ256:AQ258)+AQ268=0,0,IF(SUM(ABS(AQ256),ABS(AQ257),ABS(AQ258))=AQ268,0.5,IF(SUM(ABS(AQ256),ABS(AQ257),ABS(AQ258))&gt;AQ268,1,0)))</f>
        <v>1</v>
      </c>
      <c r="AS256" s="188">
        <v>151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511</v>
      </c>
      <c r="AV256" s="111">
        <f>SUM(AD256+AF256+AH256+AJ256+AL256+AN256+AP256+AR256+AT256)</f>
        <v>3</v>
      </c>
      <c r="AW256" s="101"/>
      <c r="AX256" s="102"/>
      <c r="AZ256" s="63"/>
      <c r="BA256" s="212"/>
      <c r="BB256" s="213"/>
      <c r="BC256" s="214"/>
      <c r="BD256" s="217">
        <f t="shared" si="317"/>
        <v>38043</v>
      </c>
      <c r="BE256" s="213">
        <f t="shared" si="318"/>
        <v>511</v>
      </c>
      <c r="BF256" s="215">
        <f t="shared" si="319"/>
        <v>3</v>
      </c>
      <c r="BG256" s="215">
        <f t="shared" si="320"/>
        <v>3</v>
      </c>
      <c r="BH256" s="215">
        <f t="shared" si="303"/>
        <v>148</v>
      </c>
      <c r="BI256" s="215" t="str">
        <f t="shared" si="304"/>
        <v/>
      </c>
      <c r="BJ256" s="215" t="str">
        <f t="shared" si="305"/>
        <v/>
      </c>
      <c r="BK256" s="215" t="str">
        <f t="shared" si="306"/>
        <v/>
      </c>
      <c r="BL256" s="215" t="str">
        <f t="shared" si="307"/>
        <v/>
      </c>
      <c r="BM256" s="215" t="str">
        <f t="shared" si="308"/>
        <v/>
      </c>
      <c r="BN256" s="215" t="str">
        <f t="shared" si="309"/>
        <v/>
      </c>
      <c r="BO256" s="215">
        <f t="shared" si="310"/>
        <v>212</v>
      </c>
      <c r="BP256" s="215">
        <f t="shared" si="311"/>
        <v>151</v>
      </c>
      <c r="BQ256" s="216"/>
      <c r="BR256" s="214"/>
      <c r="BS256" s="215">
        <f t="shared" si="321"/>
        <v>212</v>
      </c>
      <c r="BT256" s="215">
        <f t="shared" si="322"/>
        <v>0</v>
      </c>
      <c r="BU256" s="215" t="str">
        <f t="shared" si="323"/>
        <v>Bowlinghaus Bamberg 1</v>
      </c>
      <c r="BV256" s="214">
        <f t="shared" si="324"/>
        <v>2</v>
      </c>
      <c r="BW256" s="215">
        <f t="shared" si="325"/>
        <v>511</v>
      </c>
      <c r="BX256" s="215">
        <f>IF(COUNTIF(BH256:BP256,"&gt;0")&lt;Spielorte!$A$23,0,BE256/Spielorte!$A$23)</f>
        <v>0</v>
      </c>
      <c r="BY256" s="215">
        <f t="shared" si="326"/>
        <v>0</v>
      </c>
      <c r="BZ256" s="214">
        <f t="shared" si="312"/>
        <v>0</v>
      </c>
    </row>
    <row r="257" spans="1:78" ht="17.100000000000001" customHeight="1" x14ac:dyDescent="0.25">
      <c r="A257" s="377"/>
      <c r="B257" s="76" t="str">
        <f>IF(AA257=0,"",AA257)</f>
        <v>Röhlig, Jörg</v>
      </c>
      <c r="C257" s="77">
        <f t="shared" si="314"/>
        <v>38041</v>
      </c>
      <c r="D257" s="78" t="str">
        <f t="shared" si="315"/>
        <v/>
      </c>
      <c r="E257" s="349"/>
      <c r="F257" s="78">
        <f t="shared" si="294"/>
        <v>245</v>
      </c>
      <c r="G257" s="349"/>
      <c r="H257" s="78">
        <f t="shared" si="295"/>
        <v>216</v>
      </c>
      <c r="I257" s="349"/>
      <c r="J257" s="78">
        <f t="shared" si="296"/>
        <v>251</v>
      </c>
      <c r="K257" s="349"/>
      <c r="L257" s="78">
        <f t="shared" si="297"/>
        <v>219</v>
      </c>
      <c r="M257" s="349"/>
      <c r="N257" s="78">
        <f t="shared" si="316"/>
        <v>179</v>
      </c>
      <c r="O257" s="349"/>
      <c r="P257" s="78">
        <f t="shared" si="298"/>
        <v>175</v>
      </c>
      <c r="Q257" s="349"/>
      <c r="R257" s="78" t="str">
        <f t="shared" si="299"/>
        <v/>
      </c>
      <c r="S257" s="349"/>
      <c r="T257" s="78" t="str">
        <f t="shared" si="300"/>
        <v/>
      </c>
      <c r="U257" s="349"/>
      <c r="V257" s="78">
        <f t="shared" si="301"/>
        <v>1285</v>
      </c>
      <c r="W257" s="349"/>
      <c r="Z257" s="352"/>
      <c r="AA257" s="108" t="str">
        <f>IF(AB257=0,"",VLOOKUP(AB257,Starter!$A$1:$D$199,2,FALSE))</f>
        <v>Röhlig, Jörg</v>
      </c>
      <c r="AB257" s="98">
        <v>38041</v>
      </c>
      <c r="AC257" s="186"/>
      <c r="AD257" s="112"/>
      <c r="AE257" s="186">
        <v>245</v>
      </c>
      <c r="AF257" s="112"/>
      <c r="AG257" s="186">
        <v>216</v>
      </c>
      <c r="AH257" s="112"/>
      <c r="AI257" s="186">
        <v>251</v>
      </c>
      <c r="AJ257" s="112"/>
      <c r="AK257" s="186">
        <v>219</v>
      </c>
      <c r="AL257" s="112"/>
      <c r="AM257" s="186">
        <v>179</v>
      </c>
      <c r="AN257" s="112"/>
      <c r="AO257" s="186">
        <v>175</v>
      </c>
      <c r="AP257" s="112"/>
      <c r="AQ257" s="186"/>
      <c r="AR257" s="112"/>
      <c r="AS257" s="186"/>
      <c r="AT257" s="112"/>
      <c r="AU257" s="113">
        <f t="shared" si="302"/>
        <v>1285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38041</v>
      </c>
      <c r="BE257" s="213">
        <f t="shared" si="318"/>
        <v>1285</v>
      </c>
      <c r="BF257" s="215">
        <f t="shared" si="319"/>
        <v>6</v>
      </c>
      <c r="BG257" s="215">
        <f t="shared" si="320"/>
        <v>6</v>
      </c>
      <c r="BH257" s="215" t="str">
        <f t="shared" si="303"/>
        <v/>
      </c>
      <c r="BI257" s="215">
        <f t="shared" si="304"/>
        <v>245</v>
      </c>
      <c r="BJ257" s="215">
        <f t="shared" si="305"/>
        <v>216</v>
      </c>
      <c r="BK257" s="215">
        <f t="shared" si="306"/>
        <v>251</v>
      </c>
      <c r="BL257" s="215">
        <f t="shared" si="307"/>
        <v>219</v>
      </c>
      <c r="BM257" s="215">
        <f t="shared" si="308"/>
        <v>179</v>
      </c>
      <c r="BN257" s="215">
        <f t="shared" si="309"/>
        <v>175</v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251</v>
      </c>
      <c r="BT257" s="215">
        <f t="shared" si="322"/>
        <v>0</v>
      </c>
      <c r="BU257" s="215" t="str">
        <f t="shared" si="323"/>
        <v>Bowlinghaus Bamberg 1</v>
      </c>
      <c r="BV257" s="214">
        <f t="shared" si="324"/>
        <v>2</v>
      </c>
      <c r="BW257" s="215">
        <f t="shared" si="325"/>
        <v>1285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00000000000001" customHeight="1" thickBot="1" x14ac:dyDescent="0.3">
      <c r="A258" s="378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50"/>
      <c r="F258" s="69" t="str">
        <f t="shared" si="294"/>
        <v/>
      </c>
      <c r="G258" s="350"/>
      <c r="H258" s="69" t="str">
        <f t="shared" si="295"/>
        <v/>
      </c>
      <c r="I258" s="350"/>
      <c r="J258" s="69" t="str">
        <f t="shared" si="296"/>
        <v/>
      </c>
      <c r="K258" s="350"/>
      <c r="L258" s="69" t="str">
        <f t="shared" si="297"/>
        <v/>
      </c>
      <c r="M258" s="350"/>
      <c r="N258" s="69" t="str">
        <f t="shared" si="316"/>
        <v/>
      </c>
      <c r="O258" s="350"/>
      <c r="P258" s="69" t="str">
        <f t="shared" si="298"/>
        <v/>
      </c>
      <c r="Q258" s="350"/>
      <c r="R258" s="69" t="str">
        <f t="shared" si="299"/>
        <v/>
      </c>
      <c r="S258" s="350"/>
      <c r="T258" s="69" t="str">
        <f t="shared" si="300"/>
        <v/>
      </c>
      <c r="U258" s="350"/>
      <c r="V258" s="69" t="str">
        <f t="shared" si="301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Bowlinghaus Bamberg 1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314"/>
        <v/>
      </c>
      <c r="D259" s="83">
        <f t="shared" si="315"/>
        <v>732</v>
      </c>
      <c r="E259" s="84">
        <f>IF(AD259="","",AD259)</f>
        <v>0</v>
      </c>
      <c r="F259" s="83">
        <f t="shared" si="294"/>
        <v>846</v>
      </c>
      <c r="G259" s="84">
        <f>IF(AF259="","",AF259)</f>
        <v>2</v>
      </c>
      <c r="H259" s="83">
        <f t="shared" si="295"/>
        <v>745</v>
      </c>
      <c r="I259" s="84">
        <f>IF(AH259="","",AH259)</f>
        <v>0</v>
      </c>
      <c r="J259" s="83">
        <f t="shared" si="296"/>
        <v>839</v>
      </c>
      <c r="K259" s="84">
        <f>IF(AJ259="","",AJ259)</f>
        <v>2</v>
      </c>
      <c r="L259" s="83">
        <f t="shared" si="297"/>
        <v>825</v>
      </c>
      <c r="M259" s="84">
        <f>IF(AL259="","",AL259)</f>
        <v>0</v>
      </c>
      <c r="N259" s="83">
        <f t="shared" si="316"/>
        <v>763</v>
      </c>
      <c r="O259" s="84">
        <f>IF(AN259="","",AN259)</f>
        <v>2</v>
      </c>
      <c r="P259" s="83">
        <f t="shared" si="298"/>
        <v>714</v>
      </c>
      <c r="Q259" s="84">
        <f>IF(AP259="","",AP259)</f>
        <v>2</v>
      </c>
      <c r="R259" s="83">
        <f t="shared" si="299"/>
        <v>792</v>
      </c>
      <c r="S259" s="84">
        <f>IF(AR259="","",AR259)</f>
        <v>2</v>
      </c>
      <c r="T259" s="83">
        <f t="shared" si="300"/>
        <v>730</v>
      </c>
      <c r="U259" s="84">
        <f>IF(AT259="","",AT259)</f>
        <v>0</v>
      </c>
      <c r="V259" s="83">
        <f t="shared" si="301"/>
        <v>6986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846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745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839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825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763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714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792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730</v>
      </c>
      <c r="AT259" s="121">
        <f>IF(AS259+AS269=0,0,IF(AS259=AS269,1,IF(AS259&gt;AS269,2,0)))</f>
        <v>0</v>
      </c>
      <c r="AU259" s="122">
        <f>SUM(AC259+AE259+AG259+AI259+AK259+AM259+AO259+AQ259+AS259)</f>
        <v>6986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2.5</v>
      </c>
      <c r="F260" s="86" t="str">
        <f t="shared" si="294"/>
        <v/>
      </c>
      <c r="G260" s="87">
        <f>IF(AF260="","",AF260)</f>
        <v>6</v>
      </c>
      <c r="H260" s="86" t="str">
        <f t="shared" si="295"/>
        <v/>
      </c>
      <c r="I260" s="87">
        <f>IF(AH260="","",AH260)</f>
        <v>1</v>
      </c>
      <c r="J260" s="86" t="str">
        <f t="shared" si="296"/>
        <v/>
      </c>
      <c r="K260" s="87">
        <f>IF(AJ260="","",AJ260)</f>
        <v>5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4</v>
      </c>
      <c r="P260" s="86" t="str">
        <f t="shared" si="298"/>
        <v/>
      </c>
      <c r="Q260" s="87">
        <f>IF(AP260="","",AP260)</f>
        <v>4</v>
      </c>
      <c r="R260" s="86" t="str">
        <f t="shared" si="299"/>
        <v/>
      </c>
      <c r="S260" s="87">
        <f>IF(AR260="","",AR260)</f>
        <v>4</v>
      </c>
      <c r="T260" s="86" t="str">
        <f t="shared" si="300"/>
        <v/>
      </c>
      <c r="U260" s="87">
        <f>IF(AT260="","",AT260)</f>
        <v>1</v>
      </c>
      <c r="V260" s="86" t="str">
        <f t="shared" si="301"/>
        <v/>
      </c>
      <c r="W260" s="87">
        <f>IF(AV260="","",AV260)</f>
        <v>28.5</v>
      </c>
      <c r="AA260" s="85" t="s">
        <v>1814</v>
      </c>
      <c r="AB260" s="86"/>
      <c r="AC260" s="86"/>
      <c r="AD260" s="124">
        <f>SUM(AD247:AD259)</f>
        <v>2.5</v>
      </c>
      <c r="AE260" s="86"/>
      <c r="AF260" s="124">
        <f>SUM(AF247:AF259)</f>
        <v>6</v>
      </c>
      <c r="AG260" s="86"/>
      <c r="AH260" s="124">
        <f>SUM(AH247:AH259)</f>
        <v>1</v>
      </c>
      <c r="AI260" s="86"/>
      <c r="AJ260" s="124">
        <f>SUM(AJ247:AJ259)</f>
        <v>5</v>
      </c>
      <c r="AK260" s="86"/>
      <c r="AL260" s="124">
        <f>SUM(AL247:AL259)</f>
        <v>1</v>
      </c>
      <c r="AM260" s="86"/>
      <c r="AN260" s="124">
        <f>SUM(AN247:AN259)</f>
        <v>4</v>
      </c>
      <c r="AO260" s="86"/>
      <c r="AP260" s="124">
        <f>SUM(AP247:AP259)</f>
        <v>4</v>
      </c>
      <c r="AQ260" s="86"/>
      <c r="AR260" s="124">
        <f>SUM(AR247:AR259)</f>
        <v>4</v>
      </c>
      <c r="AS260" s="86"/>
      <c r="AT260" s="124">
        <f>SUM(AT247:AT259)</f>
        <v>1</v>
      </c>
      <c r="AU260" s="86"/>
      <c r="AV260" s="125">
        <f>SUM(AV247:AV259)</f>
        <v>28.5</v>
      </c>
      <c r="AW260" s="101"/>
      <c r="AX260" s="102"/>
      <c r="BA260" s="212">
        <f>+AV260</f>
        <v>28.5</v>
      </c>
      <c r="BB260" s="213">
        <f>+AU259</f>
        <v>6986</v>
      </c>
      <c r="BC260" s="214">
        <f>+AA242</f>
        <v>9</v>
      </c>
      <c r="BF260" s="215">
        <f>SUM(BF241:BF259)</f>
        <v>36</v>
      </c>
      <c r="BQ260" s="212">
        <f>+BB260/1000000+BA260</f>
        <v>28.506986000000001</v>
      </c>
      <c r="BR260" s="214">
        <f>RANK(BQ260,BQ:BQ)</f>
        <v>5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56">
        <f t="shared" ref="D262:M264" si="329">IF(AC262=0,"",AC262)</f>
        <v>5</v>
      </c>
      <c r="E262" s="356" t="str">
        <f t="shared" si="329"/>
        <v/>
      </c>
      <c r="F262" s="356">
        <f t="shared" si="329"/>
        <v>1</v>
      </c>
      <c r="G262" s="356" t="str">
        <f t="shared" si="329"/>
        <v/>
      </c>
      <c r="H262" s="356">
        <f t="shared" si="329"/>
        <v>4</v>
      </c>
      <c r="I262" s="356" t="str">
        <f t="shared" si="329"/>
        <v/>
      </c>
      <c r="J262" s="356">
        <f t="shared" si="329"/>
        <v>3</v>
      </c>
      <c r="K262" s="356" t="str">
        <f t="shared" si="329"/>
        <v/>
      </c>
      <c r="L262" s="356">
        <f t="shared" si="329"/>
        <v>8</v>
      </c>
      <c r="M262" s="356" t="str">
        <f t="shared" si="329"/>
        <v/>
      </c>
      <c r="N262" s="356">
        <f t="shared" ref="N262:U264" si="330">IF(AM262=0,"",AM262)</f>
        <v>10</v>
      </c>
      <c r="O262" s="356" t="str">
        <f t="shared" si="330"/>
        <v/>
      </c>
      <c r="P262" s="356">
        <f t="shared" si="330"/>
        <v>7</v>
      </c>
      <c r="Q262" s="356" t="str">
        <f t="shared" si="330"/>
        <v/>
      </c>
      <c r="R262" s="356">
        <f t="shared" si="330"/>
        <v>6</v>
      </c>
      <c r="S262" s="356" t="str">
        <f t="shared" si="330"/>
        <v/>
      </c>
      <c r="T262" s="356">
        <f t="shared" si="330"/>
        <v>2</v>
      </c>
      <c r="U262" s="356" t="str">
        <f t="shared" si="330"/>
        <v/>
      </c>
      <c r="V262" s="357"/>
      <c r="W262" s="357"/>
      <c r="AA262" s="88" t="s">
        <v>1797</v>
      </c>
      <c r="AB262" s="89" t="s">
        <v>1798</v>
      </c>
      <c r="AC262" s="370">
        <f>VLOOKUP($AA242,Schlüssel!$A$5:$K$14,3)</f>
        <v>5</v>
      </c>
      <c r="AD262" s="371"/>
      <c r="AE262" s="370">
        <f>VLOOKUP($AA242,Schlüssel!$A$5:$K$14,4)</f>
        <v>1</v>
      </c>
      <c r="AF262" s="371"/>
      <c r="AG262" s="370">
        <f>VLOOKUP($AA242,Schlüssel!$A$5:$K$14,5)</f>
        <v>4</v>
      </c>
      <c r="AH262" s="371"/>
      <c r="AI262" s="370">
        <f>VLOOKUP($AA242,Schlüssel!$A$5:$K$14,6)</f>
        <v>3</v>
      </c>
      <c r="AJ262" s="371"/>
      <c r="AK262" s="370">
        <f>VLOOKUP($AA242,Schlüssel!$A$5:$K$14,7)</f>
        <v>8</v>
      </c>
      <c r="AL262" s="371"/>
      <c r="AM262" s="370">
        <f>VLOOKUP($AA242,Schlüssel!$A$5:$K$14,8)</f>
        <v>10</v>
      </c>
      <c r="AN262" s="371"/>
      <c r="AO262" s="370">
        <f>VLOOKUP($AA242,Schlüssel!$A$5:$K$14,9)</f>
        <v>7</v>
      </c>
      <c r="AP262" s="371"/>
      <c r="AQ262" s="370">
        <f>VLOOKUP($AA242,Schlüssel!$A$5:$K$14,10)</f>
        <v>6</v>
      </c>
      <c r="AR262" s="371"/>
      <c r="AS262" s="370">
        <f>VLOOKUP($AA242,Schlüssel!$A$5:$K$14,11)</f>
        <v>2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27"/>
        <v/>
      </c>
      <c r="C263" s="86" t="str">
        <f t="shared" si="328"/>
        <v/>
      </c>
      <c r="D263" s="358" t="str">
        <f t="shared" si="329"/>
        <v>RW Lichtenhof Stein 1</v>
      </c>
      <c r="E263" s="359" t="str">
        <f t="shared" si="329"/>
        <v/>
      </c>
      <c r="F263" s="358" t="str">
        <f t="shared" si="329"/>
        <v>BC Comet Nürnberg</v>
      </c>
      <c r="G263" s="359" t="str">
        <f t="shared" si="329"/>
        <v/>
      </c>
      <c r="H263" s="358" t="str">
        <f t="shared" si="329"/>
        <v>SG DJK Rimpar</v>
      </c>
      <c r="I263" s="359" t="str">
        <f t="shared" si="329"/>
        <v/>
      </c>
      <c r="J263" s="358" t="str">
        <f t="shared" si="329"/>
        <v>BK München 3</v>
      </c>
      <c r="K263" s="359" t="str">
        <f t="shared" si="329"/>
        <v/>
      </c>
      <c r="L263" s="358" t="str">
        <f t="shared" si="329"/>
        <v>BC EMAX Unterföhring 2</v>
      </c>
      <c r="M263" s="359" t="str">
        <f t="shared" si="329"/>
        <v/>
      </c>
      <c r="N263" s="358" t="str">
        <f t="shared" si="330"/>
        <v>High Roller Rosenheim 1</v>
      </c>
      <c r="O263" s="359" t="str">
        <f t="shared" si="330"/>
        <v/>
      </c>
      <c r="P263" s="358" t="str">
        <f t="shared" si="330"/>
        <v>Schanzer Ingolstadt 1</v>
      </c>
      <c r="Q263" s="359" t="str">
        <f t="shared" si="330"/>
        <v/>
      </c>
      <c r="R263" s="358" t="str">
        <f t="shared" si="330"/>
        <v>SG Rottendorf 1</v>
      </c>
      <c r="S263" s="359" t="str">
        <f t="shared" si="330"/>
        <v/>
      </c>
      <c r="T263" s="358" t="str">
        <f t="shared" si="330"/>
        <v>Bajuwaren München 1</v>
      </c>
      <c r="U263" s="359" t="str">
        <f t="shared" si="330"/>
        <v/>
      </c>
      <c r="V263" s="363"/>
      <c r="W263" s="363"/>
      <c r="AA263" s="90"/>
      <c r="AB263" s="86"/>
      <c r="AC263" s="358" t="str">
        <f>VLOOKUP(AC262,Schlüssel!$A$5:$K$14,2)</f>
        <v>RW Lichtenhof Stein 1</v>
      </c>
      <c r="AD263" s="359"/>
      <c r="AE263" s="358" t="str">
        <f>VLOOKUP(AE262,Schlüssel!$A$5:$K$14,2)</f>
        <v>BC Comet Nürnberg</v>
      </c>
      <c r="AF263" s="359"/>
      <c r="AG263" s="358" t="str">
        <f>VLOOKUP(AG262,Schlüssel!$A$5:$K$14,2)</f>
        <v>SG DJK Rimpar</v>
      </c>
      <c r="AH263" s="359"/>
      <c r="AI263" s="358" t="str">
        <f>VLOOKUP(AI262,Schlüssel!$A$5:$K$14,2)</f>
        <v>BK München 3</v>
      </c>
      <c r="AJ263" s="359"/>
      <c r="AK263" s="358" t="str">
        <f>VLOOKUP(AK262,Schlüssel!$A$5:$K$14,2)</f>
        <v>BC EMAX Unterföhring 2</v>
      </c>
      <c r="AL263" s="359"/>
      <c r="AM263" s="358" t="str">
        <f>VLOOKUP(AM262,Schlüssel!$A$5:$K$14,2)</f>
        <v>High Roller Rosenheim 1</v>
      </c>
      <c r="AN263" s="359"/>
      <c r="AO263" s="358" t="str">
        <f>VLOOKUP(AO262,Schlüssel!$A$5:$K$14,2)</f>
        <v>Schanzer Ingolstadt 1</v>
      </c>
      <c r="AP263" s="359"/>
      <c r="AQ263" s="358" t="str">
        <f>VLOOKUP(AQ262,Schlüssel!$A$5:$K$14,2)</f>
        <v>SG Rottendorf 1</v>
      </c>
      <c r="AR263" s="359"/>
      <c r="AS263" s="358" t="str">
        <f>VLOOKUP(AS262,Schlüssel!$A$5:$K$14,2)</f>
        <v>Bajuwaren München 1</v>
      </c>
      <c r="AT263" s="359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27"/>
        <v/>
      </c>
      <c r="C264" s="86" t="str">
        <f t="shared" si="328"/>
        <v/>
      </c>
      <c r="D264" s="360" t="str">
        <f t="shared" si="329"/>
        <v/>
      </c>
      <c r="E264" s="360" t="str">
        <f t="shared" si="329"/>
        <v/>
      </c>
      <c r="F264" s="360" t="str">
        <f t="shared" si="329"/>
        <v/>
      </c>
      <c r="G264" s="360" t="str">
        <f t="shared" si="329"/>
        <v/>
      </c>
      <c r="H264" s="360" t="str">
        <f t="shared" si="329"/>
        <v/>
      </c>
      <c r="I264" s="360" t="str">
        <f t="shared" si="329"/>
        <v/>
      </c>
      <c r="J264" s="360" t="str">
        <f t="shared" si="329"/>
        <v/>
      </c>
      <c r="K264" s="360" t="str">
        <f t="shared" si="329"/>
        <v/>
      </c>
      <c r="L264" s="360" t="str">
        <f t="shared" si="329"/>
        <v/>
      </c>
      <c r="M264" s="360" t="str">
        <f t="shared" si="329"/>
        <v/>
      </c>
      <c r="N264" s="360" t="str">
        <f t="shared" si="330"/>
        <v/>
      </c>
      <c r="O264" s="360" t="str">
        <f t="shared" si="330"/>
        <v/>
      </c>
      <c r="P264" s="360" t="str">
        <f t="shared" si="330"/>
        <v/>
      </c>
      <c r="Q264" s="360" t="str">
        <f t="shared" si="330"/>
        <v/>
      </c>
      <c r="R264" s="360" t="str">
        <f t="shared" si="330"/>
        <v/>
      </c>
      <c r="S264" s="360" t="str">
        <f t="shared" si="330"/>
        <v/>
      </c>
      <c r="T264" s="360" t="str">
        <f t="shared" si="330"/>
        <v/>
      </c>
      <c r="U264" s="361" t="str">
        <f t="shared" si="330"/>
        <v/>
      </c>
      <c r="V264" s="298"/>
      <c r="W264" s="298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4" t="str">
        <f t="shared" si="327"/>
        <v>Spieler 1</v>
      </c>
      <c r="C265" s="375" t="str">
        <f t="shared" si="328"/>
        <v/>
      </c>
      <c r="D265" s="362">
        <f>IF(AC265=301,"",AC265)</f>
        <v>189</v>
      </c>
      <c r="E265" s="362" t="str">
        <f>IF(AD265=0,"",AD265)</f>
        <v/>
      </c>
      <c r="F265" s="362">
        <f>IF(AE265=301,"",AE265)</f>
        <v>185</v>
      </c>
      <c r="G265" s="362" t="str">
        <f>IF(AF265=0,"",AF265)</f>
        <v/>
      </c>
      <c r="H265" s="362">
        <f>IF(AG265=301,"",AG265)</f>
        <v>180</v>
      </c>
      <c r="I265" s="362" t="str">
        <f>IF(AH265=0,"",AH265)</f>
        <v/>
      </c>
      <c r="J265" s="362">
        <f>IF(AI265=301,"",AI265)</f>
        <v>179</v>
      </c>
      <c r="K265" s="362" t="str">
        <f>IF(AJ265=0,"",AJ265)</f>
        <v/>
      </c>
      <c r="L265" s="362">
        <f>IF(AK265=301,"",AK265)</f>
        <v>259</v>
      </c>
      <c r="M265" s="362" t="str">
        <f>IF(AL265=0,"",AL265)</f>
        <v/>
      </c>
      <c r="N265" s="362">
        <f>IF(AM265=301,"",AM265)</f>
        <v>143</v>
      </c>
      <c r="O265" s="362" t="str">
        <f>IF(AN265=0,"",AN265)</f>
        <v/>
      </c>
      <c r="P265" s="362">
        <f>IF(AO265=301,"",AO265)</f>
        <v>166</v>
      </c>
      <c r="Q265" s="362" t="str">
        <f>IF(AP265=0,"",AP265)</f>
        <v/>
      </c>
      <c r="R265" s="362">
        <f>IF(AQ265=301,"",AQ265)</f>
        <v>204</v>
      </c>
      <c r="S265" s="362" t="str">
        <f>IF(AR265=0,"",AR265)</f>
        <v/>
      </c>
      <c r="T265" s="362">
        <f>IF(AS265=301,"",AS265)</f>
        <v>207</v>
      </c>
      <c r="U265" s="362" t="str">
        <f>IF(AT265=0,"",AT265)</f>
        <v/>
      </c>
      <c r="V265" s="364"/>
      <c r="W265" s="364"/>
      <c r="AA265" s="91" t="s">
        <v>0</v>
      </c>
      <c r="AB265" s="92"/>
      <c r="AC265" s="368">
        <f>ABS(INDEX(AC:AC,MATCH(AC262,$AA:$AA,0)+5)+INDEX(AC:AC,MATCH(AC262,$AA:$AA,0)+6)+INDEX(AC:AC,MATCH(AC262,$AA:$AA,0)+7))</f>
        <v>189</v>
      </c>
      <c r="AD265" s="369"/>
      <c r="AE265" s="368">
        <f>ABS(INDEX(AE:AE,MATCH(AE262,$AA:$AA,0)+5)+INDEX(AE:AE,MATCH(AE262,$AA:$AA,0)+6)+INDEX(AE:AE,MATCH(AE262,$AA:$AA,0)+7))</f>
        <v>185</v>
      </c>
      <c r="AF265" s="369"/>
      <c r="AG265" s="368">
        <f>ABS(INDEX(AG:AG,MATCH(AG262,$AA:$AA,0)+5)+INDEX(AG:AG,MATCH(AG262,$AA:$AA,0)+6)+INDEX(AG:AG,MATCH(AG262,$AA:$AA,0)+7))</f>
        <v>180</v>
      </c>
      <c r="AH265" s="369"/>
      <c r="AI265" s="368">
        <f>ABS(INDEX(AI:AI,MATCH(AI262,$AA:$AA,0)+5)+INDEX(AI:AI,MATCH(AI262,$AA:$AA,0)+6)+INDEX(AI:AI,MATCH(AI262,$AA:$AA,0)+7))</f>
        <v>179</v>
      </c>
      <c r="AJ265" s="369"/>
      <c r="AK265" s="368">
        <f>ABS(INDEX(AK:AK,MATCH(AK262,$AA:$AA,0)+5)+INDEX(AK:AK,MATCH(AK262,$AA:$AA,0)+6)+INDEX(AK:AK,MATCH(AK262,$AA:$AA,0)+7))</f>
        <v>259</v>
      </c>
      <c r="AL265" s="369"/>
      <c r="AM265" s="368">
        <f>ABS(INDEX(AM:AM,MATCH(AM262,$AA:$AA,0)+5)+INDEX(AM:AM,MATCH(AM262,$AA:$AA,0)+6)+INDEX(AM:AM,MATCH(AM262,$AA:$AA,0)+7))</f>
        <v>143</v>
      </c>
      <c r="AN265" s="369"/>
      <c r="AO265" s="368">
        <f>ABS(INDEX(AO:AO,MATCH(AO262,$AA:$AA,0)+5)+INDEX(AO:AO,MATCH(AO262,$AA:$AA,0)+6)+INDEX(AO:AO,MATCH(AO262,$AA:$AA,0)+7))</f>
        <v>166</v>
      </c>
      <c r="AP265" s="369"/>
      <c r="AQ265" s="368">
        <f>ABS(INDEX(AQ:AQ,MATCH(AQ262,$AA:$AA,0)+5)+INDEX(AQ:AQ,MATCH(AQ262,$AA:$AA,0)+6)+INDEX(AQ:AQ,MATCH(AQ262,$AA:$AA,0)+7))</f>
        <v>204</v>
      </c>
      <c r="AR265" s="369"/>
      <c r="AS265" s="368">
        <f>ABS(INDEX(AS:AS,MATCH(AS262,$AA:$AA,0)+5)+INDEX(AS:AS,MATCH(AS262,$AA:$AA,0)+6)+INDEX(AS:AS,MATCH(AS262,$AA:$AA,0)+7))</f>
        <v>207</v>
      </c>
      <c r="AT265" s="369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4" t="str">
        <f t="shared" si="327"/>
        <v>Spieler 2</v>
      </c>
      <c r="C266" s="375" t="str">
        <f t="shared" si="328"/>
        <v/>
      </c>
      <c r="D266" s="362">
        <f>IF(AC266=301,"",AC266)</f>
        <v>183</v>
      </c>
      <c r="E266" s="362" t="str">
        <f>IF(AD266=0,"",AD266)</f>
        <v/>
      </c>
      <c r="F266" s="362">
        <f>IF(AE266=301,"",AE266)</f>
        <v>185</v>
      </c>
      <c r="G266" s="362" t="str">
        <f>IF(AF266=0,"",AF266)</f>
        <v/>
      </c>
      <c r="H266" s="362">
        <f>IF(AG266=301,"",AG266)</f>
        <v>180</v>
      </c>
      <c r="I266" s="362" t="str">
        <f>IF(AH266=0,"",AH266)</f>
        <v/>
      </c>
      <c r="J266" s="362">
        <f>IF(AI266=301,"",AI266)</f>
        <v>208</v>
      </c>
      <c r="K266" s="362" t="str">
        <f>IF(AJ266=0,"",AJ266)</f>
        <v/>
      </c>
      <c r="L266" s="362">
        <f>IF(AK266=301,"",AK266)</f>
        <v>212</v>
      </c>
      <c r="M266" s="362" t="str">
        <f>IF(AL266=0,"",AL266)</f>
        <v/>
      </c>
      <c r="N266" s="362">
        <f>IF(AM266=301,"",AM266)</f>
        <v>223</v>
      </c>
      <c r="O266" s="362" t="str">
        <f>IF(AN266=0,"",AN266)</f>
        <v/>
      </c>
      <c r="P266" s="362">
        <f>IF(AO266=301,"",AO266)</f>
        <v>170</v>
      </c>
      <c r="Q266" s="362" t="str">
        <f>IF(AP266=0,"",AP266)</f>
        <v/>
      </c>
      <c r="R266" s="362">
        <f>IF(AQ266=301,"",AQ266)</f>
        <v>231</v>
      </c>
      <c r="S266" s="362" t="str">
        <f>IF(AR266=0,"",AR266)</f>
        <v/>
      </c>
      <c r="T266" s="362">
        <f>IF(AS266=301,"",AS266)</f>
        <v>195</v>
      </c>
      <c r="U266" s="362" t="str">
        <f>IF(AT266=0,"",AT266)</f>
        <v/>
      </c>
      <c r="V266" s="364"/>
      <c r="W266" s="364"/>
      <c r="AA266" s="91" t="s">
        <v>2</v>
      </c>
      <c r="AB266" s="92"/>
      <c r="AC266" s="366">
        <f>ABS(INDEX(AC:AC,MATCH(AC262,$AA:$AA,0)+8)+INDEX(AC:AC,MATCH(AC262,$AA:$AA,0)+9)+INDEX(AC:AC,MATCH(AC262,$AA:$AA,0)+10))</f>
        <v>183</v>
      </c>
      <c r="AD266" s="367"/>
      <c r="AE266" s="366">
        <f>ABS(INDEX(AE:AE,MATCH(AE262,$AA:$AA,0)+8)+INDEX(AE:AE,MATCH(AE262,$AA:$AA,0)+9)+INDEX(AE:AE,MATCH(AE262,$AA:$AA,0)+10))</f>
        <v>185</v>
      </c>
      <c r="AF266" s="367"/>
      <c r="AG266" s="366">
        <f>ABS(INDEX(AG:AG,MATCH(AG262,$AA:$AA,0)+8)+INDEX(AG:AG,MATCH(AG262,$AA:$AA,0)+9)+INDEX(AG:AG,MATCH(AG262,$AA:$AA,0)+10))</f>
        <v>180</v>
      </c>
      <c r="AH266" s="367"/>
      <c r="AI266" s="366">
        <f>ABS(INDEX(AI:AI,MATCH(AI262,$AA:$AA,0)+8)+INDEX(AI:AI,MATCH(AI262,$AA:$AA,0)+9)+INDEX(AI:AI,MATCH(AI262,$AA:$AA,0)+10))</f>
        <v>208</v>
      </c>
      <c r="AJ266" s="367"/>
      <c r="AK266" s="366">
        <f>ABS(INDEX(AK:AK,MATCH(AK262,$AA:$AA,0)+8)+INDEX(AK:AK,MATCH(AK262,$AA:$AA,0)+9)+INDEX(AK:AK,MATCH(AK262,$AA:$AA,0)+10))</f>
        <v>212</v>
      </c>
      <c r="AL266" s="367"/>
      <c r="AM266" s="366">
        <f>ABS(INDEX(AM:AM,MATCH(AM262,$AA:$AA,0)+8)+INDEX(AM:AM,MATCH(AM262,$AA:$AA,0)+9)+INDEX(AM:AM,MATCH(AM262,$AA:$AA,0)+10))</f>
        <v>223</v>
      </c>
      <c r="AN266" s="367"/>
      <c r="AO266" s="366">
        <f>ABS(INDEX(AO:AO,MATCH(AO262,$AA:$AA,0)+8)+INDEX(AO:AO,MATCH(AO262,$AA:$AA,0)+9)+INDEX(AO:AO,MATCH(AO262,$AA:$AA,0)+10))</f>
        <v>170</v>
      </c>
      <c r="AP266" s="367"/>
      <c r="AQ266" s="366">
        <f>ABS(INDEX(AQ:AQ,MATCH(AQ262,$AA:$AA,0)+8)+INDEX(AQ:AQ,MATCH(AQ262,$AA:$AA,0)+9)+INDEX(AQ:AQ,MATCH(AQ262,$AA:$AA,0)+10))</f>
        <v>231</v>
      </c>
      <c r="AR266" s="367"/>
      <c r="AS266" s="366">
        <f>ABS(INDEX(AS:AS,MATCH(AS262,$AA:$AA,0)+8)+INDEX(AS:AS,MATCH(AS262,$AA:$AA,0)+9)+INDEX(AS:AS,MATCH(AS262,$AA:$AA,0)+10))</f>
        <v>195</v>
      </c>
      <c r="AT266" s="367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4" t="str">
        <f t="shared" si="327"/>
        <v>Spieler 3</v>
      </c>
      <c r="C267" s="375" t="str">
        <f t="shared" si="328"/>
        <v/>
      </c>
      <c r="D267" s="362">
        <f>IF(AC267=301,"",AC267)</f>
        <v>181</v>
      </c>
      <c r="E267" s="362" t="str">
        <f>IF(AD267=0,"",AD267)</f>
        <v/>
      </c>
      <c r="F267" s="362">
        <f>IF(AE267=301,"",AE267)</f>
        <v>183</v>
      </c>
      <c r="G267" s="362" t="str">
        <f>IF(AF267=0,"",AF267)</f>
        <v/>
      </c>
      <c r="H267" s="362">
        <f>IF(AG267=301,"",AG267)</f>
        <v>239</v>
      </c>
      <c r="I267" s="362" t="str">
        <f>IF(AH267=0,"",AH267)</f>
        <v/>
      </c>
      <c r="J267" s="362">
        <f>IF(AI267=301,"",AI267)</f>
        <v>167</v>
      </c>
      <c r="K267" s="362" t="str">
        <f>IF(AJ267=0,"",AJ267)</f>
        <v/>
      </c>
      <c r="L267" s="362">
        <f>IF(AK267=301,"",AK267)</f>
        <v>205</v>
      </c>
      <c r="M267" s="362" t="str">
        <f>IF(AL267=0,"",AL267)</f>
        <v/>
      </c>
      <c r="N267" s="362">
        <f>IF(AM267=301,"",AM267)</f>
        <v>130</v>
      </c>
      <c r="O267" s="362" t="str">
        <f>IF(AN267=0,"",AN267)</f>
        <v/>
      </c>
      <c r="P267" s="362">
        <f>IF(AO267=301,"",AO267)</f>
        <v>183</v>
      </c>
      <c r="Q267" s="362" t="str">
        <f>IF(AP267=0,"",AP267)</f>
        <v/>
      </c>
      <c r="R267" s="362">
        <f>IF(AQ267=301,"",AQ267)</f>
        <v>201</v>
      </c>
      <c r="S267" s="362" t="str">
        <f>IF(AR267=0,"",AR267)</f>
        <v/>
      </c>
      <c r="T267" s="362">
        <f>IF(AS267=301,"",AS267)</f>
        <v>213</v>
      </c>
      <c r="U267" s="362" t="str">
        <f>IF(AT267=0,"",AT267)</f>
        <v/>
      </c>
      <c r="V267" s="364"/>
      <c r="W267" s="364"/>
      <c r="AA267" s="91" t="s">
        <v>3</v>
      </c>
      <c r="AB267" s="92"/>
      <c r="AC267" s="366">
        <f>ABS(INDEX(AC:AC,MATCH(AC262,$AA:$AA,0)+11)+INDEX(AC:AC,MATCH(AC262,$AA:$AA,0)+12)+INDEX(AC:AC,MATCH(AC262,$AA:$AA,0)+13))</f>
        <v>181</v>
      </c>
      <c r="AD267" s="367"/>
      <c r="AE267" s="366">
        <f>ABS(INDEX(AE:AE,MATCH(AE262,$AA:$AA,0)+11)+INDEX(AE:AE,MATCH(AE262,$AA:$AA,0)+12)+INDEX(AE:AE,MATCH(AE262,$AA:$AA,0)+13))</f>
        <v>183</v>
      </c>
      <c r="AF267" s="367"/>
      <c r="AG267" s="366">
        <f>ABS(INDEX(AG:AG,MATCH(AG262,$AA:$AA,0)+11)+INDEX(AG:AG,MATCH(AG262,$AA:$AA,0)+12)+INDEX(AG:AG,MATCH(AG262,$AA:$AA,0)+13))</f>
        <v>239</v>
      </c>
      <c r="AH267" s="367"/>
      <c r="AI267" s="366">
        <f>ABS(INDEX(AI:AI,MATCH(AI262,$AA:$AA,0)+11)+INDEX(AI:AI,MATCH(AI262,$AA:$AA,0)+12)+INDEX(AI:AI,MATCH(AI262,$AA:$AA,0)+13))</f>
        <v>167</v>
      </c>
      <c r="AJ267" s="367"/>
      <c r="AK267" s="366">
        <f>ABS(INDEX(AK:AK,MATCH(AK262,$AA:$AA,0)+11)+INDEX(AK:AK,MATCH(AK262,$AA:$AA,0)+12)+INDEX(AK:AK,MATCH(AK262,$AA:$AA,0)+13))</f>
        <v>205</v>
      </c>
      <c r="AL267" s="367"/>
      <c r="AM267" s="366">
        <f>ABS(INDEX(AM:AM,MATCH(AM262,$AA:$AA,0)+11)+INDEX(AM:AM,MATCH(AM262,$AA:$AA,0)+12)+INDEX(AM:AM,MATCH(AM262,$AA:$AA,0)+13))</f>
        <v>130</v>
      </c>
      <c r="AN267" s="367"/>
      <c r="AO267" s="366">
        <f>ABS(INDEX(AO:AO,MATCH(AO262,$AA:$AA,0)+11)+INDEX(AO:AO,MATCH(AO262,$AA:$AA,0)+12)+INDEX(AO:AO,MATCH(AO262,$AA:$AA,0)+13))</f>
        <v>183</v>
      </c>
      <c r="AP267" s="367"/>
      <c r="AQ267" s="366">
        <f>ABS(INDEX(AQ:AQ,MATCH(AQ262,$AA:$AA,0)+11)+INDEX(AQ:AQ,MATCH(AQ262,$AA:$AA,0)+12)+INDEX(AQ:AQ,MATCH(AQ262,$AA:$AA,0)+13))</f>
        <v>201</v>
      </c>
      <c r="AR267" s="367"/>
      <c r="AS267" s="366">
        <f>ABS(INDEX(AS:AS,MATCH(AS262,$AA:$AA,0)+11)+INDEX(AS:AS,MATCH(AS262,$AA:$AA,0)+12)+INDEX(AS:AS,MATCH(AS262,$AA:$AA,0)+13))</f>
        <v>213</v>
      </c>
      <c r="AT267" s="367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4" t="str">
        <f t="shared" si="327"/>
        <v>Spieler 4</v>
      </c>
      <c r="C268" s="375" t="str">
        <f t="shared" si="328"/>
        <v/>
      </c>
      <c r="D268" s="362">
        <f>IF(AC268=301,"",AC268)</f>
        <v>200</v>
      </c>
      <c r="E268" s="362" t="str">
        <f>IF(AD268=0,"",AD268)</f>
        <v/>
      </c>
      <c r="F268" s="362">
        <f>IF(AE268=301,"",AE268)</f>
        <v>212</v>
      </c>
      <c r="G268" s="362" t="str">
        <f>IF(AF268=0,"",AF268)</f>
        <v/>
      </c>
      <c r="H268" s="362">
        <f>IF(AG268=301,"",AG268)</f>
        <v>280</v>
      </c>
      <c r="I268" s="362" t="str">
        <f>IF(AH268=0,"",AH268)</f>
        <v/>
      </c>
      <c r="J268" s="362">
        <f>IF(AI268=301,"",AI268)</f>
        <v>233</v>
      </c>
      <c r="K268" s="362" t="str">
        <f>IF(AJ268=0,"",AJ268)</f>
        <v/>
      </c>
      <c r="L268" s="362">
        <f>IF(AK268=301,"",AK268)</f>
        <v>234</v>
      </c>
      <c r="M268" s="362" t="str">
        <f>IF(AL268=0,"",AL268)</f>
        <v/>
      </c>
      <c r="N268" s="362">
        <f>IF(AM268=301,"",AM268)</f>
        <v>184</v>
      </c>
      <c r="O268" s="362" t="str">
        <f>IF(AN268=0,"",AN268)</f>
        <v/>
      </c>
      <c r="P268" s="362">
        <f>IF(AO268=301,"",AO268)</f>
        <v>189</v>
      </c>
      <c r="Q268" s="362" t="str">
        <f>IF(AP268=0,"",AP268)</f>
        <v/>
      </c>
      <c r="R268" s="362">
        <f>IF(AQ268=301,"",AQ268)</f>
        <v>0</v>
      </c>
      <c r="S268" s="362" t="str">
        <f>IF(AR268=0,"",AR268)</f>
        <v/>
      </c>
      <c r="T268" s="362">
        <f>IF(AS268=301,"",AS268)</f>
        <v>212</v>
      </c>
      <c r="U268" s="362" t="str">
        <f>IF(AT268=0,"",AT268)</f>
        <v/>
      </c>
      <c r="V268" s="364"/>
      <c r="W268" s="364"/>
      <c r="AA268" s="91" t="s">
        <v>11</v>
      </c>
      <c r="AB268" s="92"/>
      <c r="AC268" s="366">
        <f>ABS(INDEX(AC:AC,MATCH(AC262,$AA:$AA,0)+14)+INDEX(AC:AC,MATCH(AC262,$AA:$AA,0)+15)+INDEX(AC:AC,MATCH(AC262,$AA:$AA,0)+16))</f>
        <v>200</v>
      </c>
      <c r="AD268" s="367"/>
      <c r="AE268" s="366">
        <f>ABS(INDEX(AE:AE,MATCH(AE262,$AA:$AA,0)+14)+INDEX(AE:AE,MATCH(AE262,$AA:$AA,0)+15)+INDEX(AE:AE,MATCH(AE262,$AA:$AA,0)+16))</f>
        <v>212</v>
      </c>
      <c r="AF268" s="367"/>
      <c r="AG268" s="366">
        <f>ABS(INDEX(AG:AG,MATCH(AG262,$AA:$AA,0)+14)+INDEX(AG:AG,MATCH(AG262,$AA:$AA,0)+15)+INDEX(AG:AG,MATCH(AG262,$AA:$AA,0)+16))</f>
        <v>280</v>
      </c>
      <c r="AH268" s="367"/>
      <c r="AI268" s="366">
        <f>ABS(INDEX(AI:AI,MATCH(AI262,$AA:$AA,0)+14)+INDEX(AI:AI,MATCH(AI262,$AA:$AA,0)+15)+INDEX(AI:AI,MATCH(AI262,$AA:$AA,0)+16))</f>
        <v>233</v>
      </c>
      <c r="AJ268" s="367"/>
      <c r="AK268" s="366">
        <f>ABS(INDEX(AK:AK,MATCH(AK262,$AA:$AA,0)+14)+INDEX(AK:AK,MATCH(AK262,$AA:$AA,0)+15)+INDEX(AK:AK,MATCH(AK262,$AA:$AA,0)+16))</f>
        <v>234</v>
      </c>
      <c r="AL268" s="367"/>
      <c r="AM268" s="366">
        <f>ABS(INDEX(AM:AM,MATCH(AM262,$AA:$AA,0)+14)+INDEX(AM:AM,MATCH(AM262,$AA:$AA,0)+15)+INDEX(AM:AM,MATCH(AM262,$AA:$AA,0)+16))</f>
        <v>184</v>
      </c>
      <c r="AN268" s="367"/>
      <c r="AO268" s="366">
        <f>ABS(INDEX(AO:AO,MATCH(AO262,$AA:$AA,0)+14)+INDEX(AO:AO,MATCH(AO262,$AA:$AA,0)+15)+INDEX(AO:AO,MATCH(AO262,$AA:$AA,0)+16))</f>
        <v>189</v>
      </c>
      <c r="AP268" s="367"/>
      <c r="AQ268" s="366">
        <f>ABS(INDEX(AQ:AQ,MATCH(AQ262,$AA:$AA,0)+14)+INDEX(AQ:AQ,MATCH(AQ262,$AA:$AA,0)+15)+INDEX(AQ:AQ,MATCH(AQ262,$AA:$AA,0)+16))</f>
        <v>0</v>
      </c>
      <c r="AR268" s="367"/>
      <c r="AS268" s="366">
        <f>ABS(INDEX(AS:AS,MATCH(AS262,$AA:$AA,0)+14)+INDEX(AS:AS,MATCH(AS262,$AA:$AA,0)+15)+INDEX(AS:AS,MATCH(AS262,$AA:$AA,0)+16))</f>
        <v>212</v>
      </c>
      <c r="AT268" s="367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6" t="str">
        <f t="shared" si="327"/>
        <v>Gesamt</v>
      </c>
      <c r="C269" s="347" t="str">
        <f t="shared" si="328"/>
        <v/>
      </c>
      <c r="D269" s="365">
        <f>IF(AC269=1505,"",AC269)</f>
        <v>753</v>
      </c>
      <c r="E269" s="365" t="str">
        <f>IF(AD269=0,"",AD269)</f>
        <v/>
      </c>
      <c r="F269" s="365">
        <f>IF(AE269=1505,"",AE269)</f>
        <v>765</v>
      </c>
      <c r="G269" s="365" t="str">
        <f>IF(AF269=0,"",AF269)</f>
        <v/>
      </c>
      <c r="H269" s="365">
        <f>IF(AG269=1505,"",AG269)</f>
        <v>879</v>
      </c>
      <c r="I269" s="365" t="str">
        <f>IF(AH269=0,"",AH269)</f>
        <v/>
      </c>
      <c r="J269" s="365">
        <f>IF(AI269=1505,"",AI269)</f>
        <v>787</v>
      </c>
      <c r="K269" s="365" t="str">
        <f>IF(AJ269=0,"",AJ269)</f>
        <v/>
      </c>
      <c r="L269" s="365">
        <f>IF(AK269=1505,"",AK269)</f>
        <v>910</v>
      </c>
      <c r="M269" s="365" t="str">
        <f>IF(AL269=0,"",AL269)</f>
        <v/>
      </c>
      <c r="N269" s="365">
        <f>IF(AM269=1505,"",AM269)</f>
        <v>680</v>
      </c>
      <c r="O269" s="365" t="str">
        <f>IF(AN269=0,"",AN269)</f>
        <v/>
      </c>
      <c r="P269" s="365">
        <f>IF(AO269=1505,"",AO269)</f>
        <v>708</v>
      </c>
      <c r="Q269" s="365" t="str">
        <f>IF(AP269=0,"",AP269)</f>
        <v/>
      </c>
      <c r="R269" s="365">
        <f>IF(AQ269=1505,"",AQ269)</f>
        <v>636</v>
      </c>
      <c r="S269" s="365" t="str">
        <f>IF(AR269=0,"",AR269)</f>
        <v/>
      </c>
      <c r="T269" s="365">
        <f>IF(AS269=1505,"",AS269)</f>
        <v>827</v>
      </c>
      <c r="U269" s="365" t="str">
        <f>IF(AT269=0,"",AT269)</f>
        <v/>
      </c>
      <c r="V269" s="301"/>
      <c r="W269" s="301"/>
      <c r="AA269" s="93" t="s">
        <v>1799</v>
      </c>
      <c r="AB269" s="94"/>
      <c r="AC269" s="346">
        <f>SUM(AC265:AC268)</f>
        <v>753</v>
      </c>
      <c r="AD269" s="347"/>
      <c r="AE269" s="346">
        <f>SUM(AE265:AE268)</f>
        <v>765</v>
      </c>
      <c r="AF269" s="347"/>
      <c r="AG269" s="346">
        <f>SUM(AG265:AG268)</f>
        <v>879</v>
      </c>
      <c r="AH269" s="347"/>
      <c r="AI269" s="346">
        <f>SUM(AI265:AI268)</f>
        <v>787</v>
      </c>
      <c r="AJ269" s="347"/>
      <c r="AK269" s="346">
        <f>SUM(AK265:AK268)</f>
        <v>910</v>
      </c>
      <c r="AL269" s="347"/>
      <c r="AM269" s="346">
        <f>SUM(AM265:AM268)</f>
        <v>680</v>
      </c>
      <c r="AN269" s="347"/>
      <c r="AO269" s="346">
        <f>SUM(AO265:AO268)</f>
        <v>708</v>
      </c>
      <c r="AP269" s="347"/>
      <c r="AQ269" s="346">
        <f>SUM(AQ265:AQ268)</f>
        <v>636</v>
      </c>
      <c r="AR269" s="347"/>
      <c r="AS269" s="346">
        <f>SUM(AS265:AS268)</f>
        <v>827</v>
      </c>
      <c r="AT269" s="347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5" t="str">
        <f>AE271</f>
        <v>Bayernliga Herren</v>
      </c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48"/>
      <c r="S271" s="49" t="s">
        <v>1794</v>
      </c>
      <c r="T271" s="50"/>
      <c r="U271" s="341" t="str">
        <f>AT271</f>
        <v>12.10./13.10.</v>
      </c>
      <c r="V271" s="342"/>
      <c r="W271" s="343"/>
      <c r="X271" s="372"/>
      <c r="Y271" s="373"/>
      <c r="Z271" s="373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41" t="str">
        <f>VLOOKUP(AS272,Spielorte!$A$1:$C$6,2)</f>
        <v>12.10./13.10.</v>
      </c>
      <c r="AU271" s="342"/>
      <c r="AV271" s="34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4" t="str">
        <f>AE272</f>
        <v>Unterföhring Dreambowl Palace</v>
      </c>
      <c r="G272" s="344"/>
      <c r="H272" s="344"/>
      <c r="I272" s="344"/>
      <c r="J272" s="344"/>
      <c r="K272" s="344"/>
      <c r="L272" s="344"/>
      <c r="M272" s="344"/>
      <c r="N272" s="344"/>
      <c r="O272" s="344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6" t="s">
        <v>1800</v>
      </c>
      <c r="E275" s="347"/>
      <c r="F275" s="346" t="s">
        <v>1801</v>
      </c>
      <c r="G275" s="347"/>
      <c r="H275" s="346" t="s">
        <v>1802</v>
      </c>
      <c r="I275" s="347"/>
      <c r="J275" s="346" t="s">
        <v>1803</v>
      </c>
      <c r="K275" s="347"/>
      <c r="L275" s="346" t="s">
        <v>1804</v>
      </c>
      <c r="M275" s="347"/>
      <c r="N275" s="346" t="s">
        <v>1805</v>
      </c>
      <c r="O275" s="347"/>
      <c r="P275" s="346" t="s">
        <v>1806</v>
      </c>
      <c r="Q275" s="347"/>
      <c r="R275" s="346" t="s">
        <v>1807</v>
      </c>
      <c r="S275" s="347"/>
      <c r="T275" s="346" t="s">
        <v>1808</v>
      </c>
      <c r="U275" s="347"/>
      <c r="V275" s="354" t="s">
        <v>1799</v>
      </c>
      <c r="W275" s="355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6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196</v>
      </c>
      <c r="E277" s="348">
        <f>IF(AD277="","",AD277)</f>
        <v>1</v>
      </c>
      <c r="F277" s="75">
        <f t="shared" ref="F277:F290" si="331">IF(AE277=0,"",AE277)</f>
        <v>207</v>
      </c>
      <c r="G277" s="348">
        <f>IF(AF277="","",AF277)</f>
        <v>0</v>
      </c>
      <c r="H277" s="75">
        <f t="shared" ref="H277:H290" si="332">IF(AG277=0,"",AG277)</f>
        <v>217</v>
      </c>
      <c r="I277" s="348">
        <f>IF(AH277="","",AH277)</f>
        <v>1</v>
      </c>
      <c r="J277" s="75">
        <f t="shared" ref="J277:J290" si="333">IF(AI277=0,"",AI277)</f>
        <v>223</v>
      </c>
      <c r="K277" s="348">
        <f>IF(AJ277="","",AJ277)</f>
        <v>1</v>
      </c>
      <c r="L277" s="75">
        <f t="shared" ref="L277:L290" si="334">IF(AK277=0,"",AK277)</f>
        <v>212</v>
      </c>
      <c r="M277" s="348">
        <f>IF(AL277="","",AL277)</f>
        <v>1</v>
      </c>
      <c r="N277" s="75">
        <f>IF(AM277=0,"",AM277)</f>
        <v>143</v>
      </c>
      <c r="O277" s="348">
        <f>IF(AN277="","",AN277)</f>
        <v>0</v>
      </c>
      <c r="P277" s="75" t="str">
        <f t="shared" ref="P277:P290" si="335">IF(AO277=0,"",AO277)</f>
        <v/>
      </c>
      <c r="Q277" s="348">
        <f>IF(AP277="","",AP277)</f>
        <v>0</v>
      </c>
      <c r="R277" s="75">
        <f t="shared" ref="R277:R290" si="336">IF(AQ277=0,"",AQ277)</f>
        <v>241</v>
      </c>
      <c r="S277" s="348">
        <f>IF(AR277="","",AR277)</f>
        <v>1</v>
      </c>
      <c r="T277" s="75">
        <f t="shared" ref="T277:T290" si="337">IF(AS277=0,"",AS277)</f>
        <v>135</v>
      </c>
      <c r="U277" s="348">
        <f>IF(AT277="","",AT277)</f>
        <v>0</v>
      </c>
      <c r="V277" s="75">
        <f t="shared" ref="V277:V290" si="338">IF(AU277=0,"",AU277)</f>
        <v>1574</v>
      </c>
      <c r="W277" s="348">
        <f>IF(AV277="","",AV277)</f>
        <v>5</v>
      </c>
      <c r="Z277" s="351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196</v>
      </c>
      <c r="AD277" s="109">
        <f>IF(SUM(AC277:AC279)+AC295=0,0,IF(SUM(ABS(AC277),ABS(AC278),ABS(AC279))=AC295,0.5,IF(SUM(ABS(AC277),ABS(AC278),ABS(AC279))&gt;AC295,1,0)))</f>
        <v>1</v>
      </c>
      <c r="AE277" s="185">
        <v>207</v>
      </c>
      <c r="AF277" s="109">
        <f>IF(SUM(AE277:AE279)+AE295=0,0,IF(SUM(ABS(AE277),ABS(AE278),ABS(AE279))=AE295,0.5,IF(SUM(ABS(AE277),ABS(AE278),ABS(AE279))&gt;AE295,1,0)))</f>
        <v>0</v>
      </c>
      <c r="AG277" s="185">
        <v>217</v>
      </c>
      <c r="AH277" s="109">
        <f>IF(SUM(AG277:AG279)+AG295=0,0,IF(SUM(ABS(AG277),ABS(AG278),ABS(AG279))=AG295,0.5,IF(SUM(ABS(AG277),ABS(AG278),ABS(AG279))&gt;AG295,1,0)))</f>
        <v>1</v>
      </c>
      <c r="AI277" s="185">
        <v>223</v>
      </c>
      <c r="AJ277" s="109">
        <f>IF(SUM(AI277:AI279)+AI295=0,0,IF(SUM(ABS(AI277),ABS(AI278),ABS(AI279))=AI295,0.5,IF(SUM(ABS(AI277),ABS(AI278),ABS(AI279))&gt;AI295,1,0)))</f>
        <v>1</v>
      </c>
      <c r="AK277" s="185">
        <v>212</v>
      </c>
      <c r="AL277" s="109">
        <f>IF(SUM(AK277:AK279)+AK295=0,0,IF(SUM(ABS(AK277),ABS(AK278),ABS(AK279))=AK295,0.5,IF(SUM(ABS(AK277),ABS(AK278),ABS(AK279))&gt;AK295,1,0)))</f>
        <v>1</v>
      </c>
      <c r="AM277" s="185">
        <v>143</v>
      </c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>
        <v>241</v>
      </c>
      <c r="AR277" s="109">
        <f>IF(SUM(AQ277:AQ279)+AQ295=0,0,IF(SUM(ABS(AQ277),ABS(AQ278),ABS(AQ279))=AQ295,0.5,IF(SUM(ABS(AQ277),ABS(AQ278),ABS(AQ279))&gt;AQ295,1,0)))</f>
        <v>1</v>
      </c>
      <c r="AS277" s="185">
        <v>135</v>
      </c>
      <c r="AT277" s="109">
        <f>IF(SUM(AS277:AS279)+AS295=0,0,IF(SUM(ABS(AS277),ABS(AS278),ABS(AS279))=AS295,0.5,IF(SUM(ABS(AS277),ABS(AS278),ABS(AS279))&gt;AS295,1,0)))</f>
        <v>0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1574</v>
      </c>
      <c r="AV277" s="111">
        <f>SUM(AD277+AF277+AH277+AJ277+AL277+AN277+AP277+AR277+AT277)</f>
        <v>5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1574</v>
      </c>
      <c r="BF277" s="215">
        <f>COUNT(BH277:BP277)</f>
        <v>8</v>
      </c>
      <c r="BG277" s="215">
        <f>COUNTIF(BH277:BP277,"&gt;0")</f>
        <v>8</v>
      </c>
      <c r="BH277" s="215">
        <f t="shared" ref="BH277:BH288" si="340">IF(AC277=0,"",AC277)</f>
        <v>196</v>
      </c>
      <c r="BI277" s="215">
        <f t="shared" ref="BI277:BI288" si="341">IF(AE277=0,"",AE277)</f>
        <v>207</v>
      </c>
      <c r="BJ277" s="215">
        <f t="shared" ref="BJ277:BJ288" si="342">IF(AG277=0,"",AG277)</f>
        <v>217</v>
      </c>
      <c r="BK277" s="215">
        <f t="shared" ref="BK277:BK288" si="343">IF(AI277=0,"",AI277)</f>
        <v>223</v>
      </c>
      <c r="BL277" s="215">
        <f t="shared" ref="BL277:BL288" si="344">IF(AK277=0,"",AK277)</f>
        <v>212</v>
      </c>
      <c r="BM277" s="215">
        <f t="shared" ref="BM277:BM288" si="345">IF(AM277=0,"",AM277)</f>
        <v>143</v>
      </c>
      <c r="BN277" s="215" t="str">
        <f t="shared" ref="BN277:BN288" si="346">IF(AO277=0,"",AO277)</f>
        <v/>
      </c>
      <c r="BO277" s="215">
        <f t="shared" ref="BO277:BO288" si="347">IF(AQ277=0,"",AQ277)</f>
        <v>241</v>
      </c>
      <c r="BP277" s="215">
        <f t="shared" ref="BP277:BP288" si="348">IF(AS277=0,"",AS277)</f>
        <v>135</v>
      </c>
      <c r="BQ277" s="216"/>
      <c r="BR277" s="214"/>
      <c r="BS277" s="215">
        <f>MAX(BH277:BP277)</f>
        <v>241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1574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00000000000001" customHeight="1" x14ac:dyDescent="0.25">
      <c r="A278" s="377"/>
      <c r="B278" s="76" t="str">
        <f t="shared" ref="B278:B285" si="350">IF(AA278=0,"",AA278)</f>
        <v>Lengen, Peter</v>
      </c>
      <c r="C278" s="77">
        <f t="shared" ref="C278:C290" si="351">IF(AB278=0,"",AB278)</f>
        <v>25297</v>
      </c>
      <c r="D278" s="78" t="str">
        <f t="shared" ref="D278:D290" si="352">IF(AC278=0,"",AC278)</f>
        <v/>
      </c>
      <c r="E278" s="349"/>
      <c r="F278" s="78" t="str">
        <f t="shared" si="331"/>
        <v/>
      </c>
      <c r="G278" s="349"/>
      <c r="H278" s="78" t="str">
        <f t="shared" si="332"/>
        <v/>
      </c>
      <c r="I278" s="349"/>
      <c r="J278" s="78" t="str">
        <f t="shared" si="333"/>
        <v/>
      </c>
      <c r="K278" s="349"/>
      <c r="L278" s="78" t="str">
        <f t="shared" si="334"/>
        <v/>
      </c>
      <c r="M278" s="349"/>
      <c r="N278" s="78" t="str">
        <f t="shared" ref="N278:N290" si="353">IF(AM278=0,"",AM278)</f>
        <v/>
      </c>
      <c r="O278" s="349"/>
      <c r="P278" s="78">
        <f t="shared" si="335"/>
        <v>156</v>
      </c>
      <c r="Q278" s="349"/>
      <c r="R278" s="78" t="str">
        <f t="shared" si="336"/>
        <v/>
      </c>
      <c r="S278" s="349"/>
      <c r="T278" s="78" t="str">
        <f t="shared" si="337"/>
        <v/>
      </c>
      <c r="U278" s="349"/>
      <c r="V278" s="78">
        <f t="shared" si="338"/>
        <v>156</v>
      </c>
      <c r="W278" s="349"/>
      <c r="Z278" s="352"/>
      <c r="AA278" s="108" t="str">
        <f>IF(AB278=0,"",VLOOKUP(AB278,Starter!$A$1:$D$199,2,FALSE))</f>
        <v>Lengen, Peter</v>
      </c>
      <c r="AB278" s="98">
        <v>25297</v>
      </c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>
        <v>156</v>
      </c>
      <c r="AP278" s="112"/>
      <c r="AQ278" s="186"/>
      <c r="AR278" s="112"/>
      <c r="AS278" s="186"/>
      <c r="AT278" s="112"/>
      <c r="AU278" s="113">
        <f t="shared" si="339"/>
        <v>156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25297</v>
      </c>
      <c r="BE278" s="213">
        <f t="shared" ref="BE278:BE288" si="355">+AU278</f>
        <v>156</v>
      </c>
      <c r="BF278" s="215">
        <f t="shared" ref="BF278:BF288" si="356">COUNT(BH278:BP278)</f>
        <v>1</v>
      </c>
      <c r="BG278" s="215">
        <f t="shared" ref="BG278:BG288" si="357">COUNTIF(BH278:BP278,"&gt;0")</f>
        <v>1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 t="str">
        <f t="shared" si="344"/>
        <v/>
      </c>
      <c r="BM278" s="215" t="str">
        <f t="shared" si="345"/>
        <v/>
      </c>
      <c r="BN278" s="215">
        <f t="shared" si="346"/>
        <v>156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156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High Roller Rosenheim 1</v>
      </c>
      <c r="BV278" s="214">
        <f t="shared" ref="BV278:BV288" si="361">RANK(BT278,BT:BT)</f>
        <v>2</v>
      </c>
      <c r="BW278" s="215">
        <f t="shared" ref="BW278:BW288" si="362">SUMIF(BH278:BP278,"&gt;0")</f>
        <v>156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00000000000001" customHeight="1" thickBot="1" x14ac:dyDescent="0.3">
      <c r="A279" s="378"/>
      <c r="B279" s="79" t="str">
        <f t="shared" si="350"/>
        <v/>
      </c>
      <c r="C279" s="80" t="str">
        <f t="shared" si="351"/>
        <v/>
      </c>
      <c r="D279" s="69" t="str">
        <f t="shared" si="352"/>
        <v/>
      </c>
      <c r="E279" s="350"/>
      <c r="F279" s="69" t="str">
        <f t="shared" si="331"/>
        <v/>
      </c>
      <c r="G279" s="350"/>
      <c r="H279" s="69" t="str">
        <f t="shared" si="332"/>
        <v/>
      </c>
      <c r="I279" s="350"/>
      <c r="J279" s="69" t="str">
        <f t="shared" si="333"/>
        <v/>
      </c>
      <c r="K279" s="350"/>
      <c r="L279" s="69" t="str">
        <f t="shared" si="334"/>
        <v/>
      </c>
      <c r="M279" s="350"/>
      <c r="N279" s="69" t="str">
        <f t="shared" si="353"/>
        <v/>
      </c>
      <c r="O279" s="350"/>
      <c r="P279" s="69" t="str">
        <f t="shared" si="335"/>
        <v/>
      </c>
      <c r="Q279" s="350"/>
      <c r="R279" s="69" t="str">
        <f t="shared" si="336"/>
        <v/>
      </c>
      <c r="S279" s="350"/>
      <c r="T279" s="69" t="str">
        <f t="shared" si="337"/>
        <v/>
      </c>
      <c r="U279" s="350"/>
      <c r="V279" s="69" t="str">
        <f t="shared" si="338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39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0</v>
      </c>
      <c r="BE279" s="213">
        <f t="shared" si="355"/>
        <v>0</v>
      </c>
      <c r="BF279" s="215">
        <f t="shared" si="356"/>
        <v>0</v>
      </c>
      <c r="BG279" s="215">
        <f t="shared" si="357"/>
        <v>0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 t="str">
        <f t="shared" si="347"/>
        <v/>
      </c>
      <c r="BP279" s="215" t="str">
        <f t="shared" si="348"/>
        <v/>
      </c>
      <c r="BQ279" s="216"/>
      <c r="BR279" s="214"/>
      <c r="BS279" s="215">
        <f t="shared" si="358"/>
        <v>0</v>
      </c>
      <c r="BT279" s="215">
        <f t="shared" si="359"/>
        <v>0</v>
      </c>
      <c r="BU279" s="215" t="str">
        <f t="shared" si="360"/>
        <v>High Roller Rosenheim 1</v>
      </c>
      <c r="BV279" s="214">
        <f t="shared" si="361"/>
        <v>2</v>
      </c>
      <c r="BW279" s="215">
        <f t="shared" si="362"/>
        <v>0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00000000000001" customHeight="1" x14ac:dyDescent="0.25">
      <c r="A280" s="376" t="s">
        <v>2</v>
      </c>
      <c r="B280" s="73" t="str">
        <f t="shared" si="350"/>
        <v>Kabel, Nicolas</v>
      </c>
      <c r="C280" s="74">
        <f t="shared" si="351"/>
        <v>38092</v>
      </c>
      <c r="D280" s="75">
        <f t="shared" si="352"/>
        <v>190</v>
      </c>
      <c r="E280" s="348">
        <f>IF(AD280="","",AD280)</f>
        <v>0</v>
      </c>
      <c r="F280" s="75">
        <f t="shared" si="331"/>
        <v>200</v>
      </c>
      <c r="G280" s="348">
        <f>IF(AF280="","",AF280)</f>
        <v>0</v>
      </c>
      <c r="H280" s="75">
        <f t="shared" si="332"/>
        <v>200</v>
      </c>
      <c r="I280" s="348">
        <f>IF(AH280="","",AH280)</f>
        <v>1</v>
      </c>
      <c r="J280" s="75">
        <f t="shared" si="333"/>
        <v>225</v>
      </c>
      <c r="K280" s="348">
        <f>IF(AJ280="","",AJ280)</f>
        <v>1</v>
      </c>
      <c r="L280" s="75">
        <f t="shared" si="334"/>
        <v>166</v>
      </c>
      <c r="M280" s="348">
        <f>IF(AL280="","",AL280)</f>
        <v>0</v>
      </c>
      <c r="N280" s="75">
        <f t="shared" si="353"/>
        <v>223</v>
      </c>
      <c r="O280" s="348">
        <f>IF(AN280="","",AN280)</f>
        <v>1</v>
      </c>
      <c r="P280" s="75">
        <f t="shared" si="335"/>
        <v>199</v>
      </c>
      <c r="Q280" s="348">
        <f>IF(AP280="","",AP280)</f>
        <v>0</v>
      </c>
      <c r="R280" s="75">
        <f t="shared" si="336"/>
        <v>176</v>
      </c>
      <c r="S280" s="348">
        <f>IF(AR280="","",AR280)</f>
        <v>0</v>
      </c>
      <c r="T280" s="75">
        <f t="shared" si="337"/>
        <v>204</v>
      </c>
      <c r="U280" s="348">
        <f>IF(AT280="","",AT280)</f>
        <v>0.5</v>
      </c>
      <c r="V280" s="75">
        <f t="shared" si="338"/>
        <v>1783</v>
      </c>
      <c r="W280" s="348">
        <f>IF(AV280="","",AV280)</f>
        <v>3.5</v>
      </c>
      <c r="Z280" s="351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190</v>
      </c>
      <c r="AD280" s="109">
        <f>IF(SUM(AC280:AC282)+AC296=0,0,IF(SUM(ABS(AC280),ABS(AC281),ABS(AC282))=AC296,0.5,IF(SUM(ABS(AC280),ABS(AC281),ABS(AC282))&gt;AC296,1,0)))</f>
        <v>0</v>
      </c>
      <c r="AE280" s="188">
        <v>200</v>
      </c>
      <c r="AF280" s="109">
        <f>IF(SUM(AE280:AE282)+AE296=0,0,IF(SUM(ABS(AE280),ABS(AE281),ABS(AE282))=AE296,0.5,IF(SUM(ABS(AE280),ABS(AE281),ABS(AE282))&gt;AE296,1,0)))</f>
        <v>0</v>
      </c>
      <c r="AG280" s="188">
        <v>200</v>
      </c>
      <c r="AH280" s="109">
        <f>IF(SUM(AG280:AG282)+AG296=0,0,IF(SUM(ABS(AG280),ABS(AG281),ABS(AG282))=AG296,0.5,IF(SUM(ABS(AG280),ABS(AG281),ABS(AG282))&gt;AG296,1,0)))</f>
        <v>1</v>
      </c>
      <c r="AI280" s="188">
        <v>225</v>
      </c>
      <c r="AJ280" s="109">
        <f>IF(SUM(AI280:AI282)+AI296=0,0,IF(SUM(ABS(AI280),ABS(AI281),ABS(AI282))=AI296,0.5,IF(SUM(ABS(AI280),ABS(AI281),ABS(AI282))&gt;AI296,1,0)))</f>
        <v>1</v>
      </c>
      <c r="AK280" s="188">
        <v>166</v>
      </c>
      <c r="AL280" s="109">
        <f>IF(SUM(AK280:AK282)+AK296=0,0,IF(SUM(ABS(AK280),ABS(AK281),ABS(AK282))=AK296,0.5,IF(SUM(ABS(AK280),ABS(AK281),ABS(AK282))&gt;AK296,1,0)))</f>
        <v>0</v>
      </c>
      <c r="AM280" s="188">
        <v>223</v>
      </c>
      <c r="AN280" s="109">
        <f>IF(SUM(AM280:AM282)+AM296=0,0,IF(SUM(ABS(AM280),ABS(AM281),ABS(AM282))=AM296,0.5,IF(SUM(ABS(AM280),ABS(AM281),ABS(AM282))&gt;AM296,1,0)))</f>
        <v>1</v>
      </c>
      <c r="AO280" s="188">
        <v>199</v>
      </c>
      <c r="AP280" s="109">
        <f>IF(SUM(AO280:AO282)+AO296=0,0,IF(SUM(ABS(AO280),ABS(AO281),ABS(AO282))=AO296,0.5,IF(SUM(ABS(AO280),ABS(AO281),ABS(AO282))&gt;AO296,1,0)))</f>
        <v>0</v>
      </c>
      <c r="AQ280" s="188">
        <v>176</v>
      </c>
      <c r="AR280" s="109">
        <f>IF(SUM(AQ280:AQ282)+AQ296=0,0,IF(SUM(ABS(AQ280),ABS(AQ281),ABS(AQ282))=AQ296,0.5,IF(SUM(ABS(AQ280),ABS(AQ281),ABS(AQ282))&gt;AQ296,1,0)))</f>
        <v>0</v>
      </c>
      <c r="AS280" s="188">
        <v>204</v>
      </c>
      <c r="AT280" s="109">
        <f>IF(SUM(AS280:AS282)+AS296=0,0,IF(SUM(ABS(AS280),ABS(AS281),ABS(AS282))=AS296,0.5,IF(SUM(ABS(AS280),ABS(AS281),ABS(AS282))&gt;AS296,1,0)))</f>
        <v>0.5</v>
      </c>
      <c r="AU280" s="110">
        <f t="shared" si="339"/>
        <v>1783</v>
      </c>
      <c r="AV280" s="111">
        <f>SUM(AD280+AF280+AH280+AJ280+AL280+AN280+AP280+AR280+AT280)</f>
        <v>3.5</v>
      </c>
      <c r="AW280" s="101"/>
      <c r="AX280" s="102"/>
      <c r="AZ280" s="63"/>
      <c r="BA280" s="212"/>
      <c r="BB280" s="213"/>
      <c r="BC280" s="214"/>
      <c r="BD280" s="217">
        <f t="shared" si="354"/>
        <v>38092</v>
      </c>
      <c r="BE280" s="213">
        <f t="shared" si="355"/>
        <v>1783</v>
      </c>
      <c r="BF280" s="215">
        <f t="shared" si="356"/>
        <v>9</v>
      </c>
      <c r="BG280" s="215">
        <f t="shared" si="357"/>
        <v>9</v>
      </c>
      <c r="BH280" s="215">
        <f t="shared" si="340"/>
        <v>190</v>
      </c>
      <c r="BI280" s="215">
        <f t="shared" si="341"/>
        <v>200</v>
      </c>
      <c r="BJ280" s="215">
        <f t="shared" si="342"/>
        <v>200</v>
      </c>
      <c r="BK280" s="215">
        <f t="shared" si="343"/>
        <v>225</v>
      </c>
      <c r="BL280" s="215">
        <f t="shared" si="344"/>
        <v>166</v>
      </c>
      <c r="BM280" s="215">
        <f t="shared" si="345"/>
        <v>223</v>
      </c>
      <c r="BN280" s="215">
        <f t="shared" si="346"/>
        <v>199</v>
      </c>
      <c r="BO280" s="215">
        <f t="shared" si="347"/>
        <v>176</v>
      </c>
      <c r="BP280" s="215">
        <f t="shared" si="348"/>
        <v>204</v>
      </c>
      <c r="BQ280" s="216"/>
      <c r="BR280" s="214"/>
      <c r="BS280" s="215">
        <f t="shared" si="358"/>
        <v>225</v>
      </c>
      <c r="BT280" s="215">
        <f t="shared" si="359"/>
        <v>0</v>
      </c>
      <c r="BU280" s="215" t="str">
        <f t="shared" si="360"/>
        <v>High Roller Rosenheim 1</v>
      </c>
      <c r="BV280" s="214">
        <f t="shared" si="361"/>
        <v>2</v>
      </c>
      <c r="BW280" s="215">
        <f t="shared" si="362"/>
        <v>1783</v>
      </c>
      <c r="BX280" s="215">
        <f>IF(COUNTIF(BH280:BP280,"&gt;0")&lt;Spielorte!$A$23,0,BE280/Spielorte!$A$23)</f>
        <v>198.11111111111111</v>
      </c>
      <c r="BY280" s="215">
        <f t="shared" si="363"/>
        <v>0</v>
      </c>
      <c r="BZ280" s="214">
        <f t="shared" si="349"/>
        <v>0</v>
      </c>
    </row>
    <row r="281" spans="1:78" ht="17.100000000000001" customHeight="1" x14ac:dyDescent="0.25">
      <c r="A281" s="377"/>
      <c r="B281" s="76" t="str">
        <f t="shared" si="350"/>
        <v/>
      </c>
      <c r="C281" s="77" t="str">
        <f t="shared" si="351"/>
        <v/>
      </c>
      <c r="D281" s="78" t="str">
        <f t="shared" si="352"/>
        <v/>
      </c>
      <c r="E281" s="349"/>
      <c r="F281" s="78" t="str">
        <f t="shared" si="331"/>
        <v/>
      </c>
      <c r="G281" s="349"/>
      <c r="H281" s="78" t="str">
        <f t="shared" si="332"/>
        <v/>
      </c>
      <c r="I281" s="349"/>
      <c r="J281" s="78" t="str">
        <f t="shared" si="333"/>
        <v/>
      </c>
      <c r="K281" s="349"/>
      <c r="L281" s="78" t="str">
        <f t="shared" si="334"/>
        <v/>
      </c>
      <c r="M281" s="349"/>
      <c r="N281" s="78" t="str">
        <f t="shared" si="353"/>
        <v/>
      </c>
      <c r="O281" s="349"/>
      <c r="P281" s="78" t="str">
        <f t="shared" si="335"/>
        <v/>
      </c>
      <c r="Q281" s="349"/>
      <c r="R281" s="78" t="str">
        <f t="shared" si="336"/>
        <v/>
      </c>
      <c r="S281" s="349"/>
      <c r="T281" s="78" t="str">
        <f t="shared" si="337"/>
        <v/>
      </c>
      <c r="U281" s="349"/>
      <c r="V281" s="78" t="str">
        <f t="shared" si="338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39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0</v>
      </c>
      <c r="BE281" s="213">
        <f t="shared" si="355"/>
        <v>0</v>
      </c>
      <c r="BF281" s="215">
        <f t="shared" si="356"/>
        <v>0</v>
      </c>
      <c r="BG281" s="215">
        <f t="shared" si="357"/>
        <v>0</v>
      </c>
      <c r="BH281" s="215" t="str">
        <f t="shared" si="340"/>
        <v/>
      </c>
      <c r="BI281" s="215" t="str">
        <f t="shared" si="341"/>
        <v/>
      </c>
      <c r="BJ281" s="215" t="str">
        <f t="shared" si="342"/>
        <v/>
      </c>
      <c r="BK281" s="215" t="str">
        <f t="shared" si="343"/>
        <v/>
      </c>
      <c r="BL281" s="215" t="str">
        <f t="shared" si="344"/>
        <v/>
      </c>
      <c r="BM281" s="215" t="str">
        <f t="shared" si="345"/>
        <v/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0</v>
      </c>
      <c r="BT281" s="215">
        <f t="shared" si="359"/>
        <v>0</v>
      </c>
      <c r="BU281" s="215" t="str">
        <f t="shared" si="360"/>
        <v>High Roller Rosenheim 1</v>
      </c>
      <c r="BV281" s="214">
        <f t="shared" si="361"/>
        <v>2</v>
      </c>
      <c r="BW281" s="215">
        <f t="shared" si="362"/>
        <v>0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00000000000001" customHeight="1" thickBot="1" x14ac:dyDescent="0.3">
      <c r="A282" s="378"/>
      <c r="B282" s="79" t="str">
        <f t="shared" si="350"/>
        <v/>
      </c>
      <c r="C282" s="80" t="str">
        <f t="shared" si="351"/>
        <v/>
      </c>
      <c r="D282" s="69" t="str">
        <f t="shared" si="352"/>
        <v/>
      </c>
      <c r="E282" s="350"/>
      <c r="F282" s="69" t="str">
        <f t="shared" si="331"/>
        <v/>
      </c>
      <c r="G282" s="350"/>
      <c r="H282" s="69" t="str">
        <f t="shared" si="332"/>
        <v/>
      </c>
      <c r="I282" s="350"/>
      <c r="J282" s="69" t="str">
        <f t="shared" si="333"/>
        <v/>
      </c>
      <c r="K282" s="350"/>
      <c r="L282" s="69" t="str">
        <f t="shared" si="334"/>
        <v/>
      </c>
      <c r="M282" s="350"/>
      <c r="N282" s="69" t="str">
        <f t="shared" si="353"/>
        <v/>
      </c>
      <c r="O282" s="350"/>
      <c r="P282" s="69" t="str">
        <f t="shared" si="335"/>
        <v/>
      </c>
      <c r="Q282" s="350"/>
      <c r="R282" s="69" t="str">
        <f t="shared" si="336"/>
        <v/>
      </c>
      <c r="S282" s="350"/>
      <c r="T282" s="69" t="str">
        <f t="shared" si="337"/>
        <v/>
      </c>
      <c r="U282" s="350"/>
      <c r="V282" s="69" t="str">
        <f t="shared" si="338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39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0</v>
      </c>
      <c r="BE282" s="213">
        <f t="shared" si="355"/>
        <v>0</v>
      </c>
      <c r="BF282" s="215">
        <f t="shared" si="356"/>
        <v>0</v>
      </c>
      <c r="BG282" s="215">
        <f t="shared" si="357"/>
        <v>0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 t="str">
        <f t="shared" si="346"/>
        <v/>
      </c>
      <c r="BO282" s="215" t="str">
        <f t="shared" si="347"/>
        <v/>
      </c>
      <c r="BP282" s="215" t="str">
        <f t="shared" si="348"/>
        <v/>
      </c>
      <c r="BQ282" s="216"/>
      <c r="BR282" s="214"/>
      <c r="BS282" s="215">
        <f t="shared" si="358"/>
        <v>0</v>
      </c>
      <c r="BT282" s="215">
        <f t="shared" si="359"/>
        <v>0</v>
      </c>
      <c r="BU282" s="215" t="str">
        <f t="shared" si="360"/>
        <v>High Roller Rosenheim 1</v>
      </c>
      <c r="BV282" s="214">
        <f t="shared" si="361"/>
        <v>2</v>
      </c>
      <c r="BW282" s="215">
        <f t="shared" si="362"/>
        <v>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00000000000001" customHeight="1" x14ac:dyDescent="0.25">
      <c r="A283" s="376" t="s">
        <v>3</v>
      </c>
      <c r="B283" s="73" t="str">
        <f t="shared" si="350"/>
        <v>Schwarz, Christian</v>
      </c>
      <c r="C283" s="74">
        <f t="shared" si="351"/>
        <v>25061</v>
      </c>
      <c r="D283" s="75">
        <f t="shared" si="352"/>
        <v>188</v>
      </c>
      <c r="E283" s="348">
        <f>IF(AD283="","",AD283)</f>
        <v>0</v>
      </c>
      <c r="F283" s="75">
        <f t="shared" si="331"/>
        <v>178</v>
      </c>
      <c r="G283" s="348">
        <f>IF(AF283="","",AF283)</f>
        <v>1</v>
      </c>
      <c r="H283" s="75">
        <f t="shared" si="332"/>
        <v>159</v>
      </c>
      <c r="I283" s="348">
        <f>IF(AH283="","",AH283)</f>
        <v>0</v>
      </c>
      <c r="J283" s="75">
        <f t="shared" si="333"/>
        <v>172</v>
      </c>
      <c r="K283" s="348">
        <f>IF(AJ283="","",AJ283)</f>
        <v>0</v>
      </c>
      <c r="L283" s="75" t="str">
        <f t="shared" si="334"/>
        <v/>
      </c>
      <c r="M283" s="348">
        <f>IF(AL283="","",AL283)</f>
        <v>0</v>
      </c>
      <c r="N283" s="75" t="str">
        <f t="shared" si="353"/>
        <v/>
      </c>
      <c r="O283" s="348">
        <f>IF(AN283="","",AN283)</f>
        <v>0</v>
      </c>
      <c r="P283" s="75">
        <f t="shared" si="335"/>
        <v>167</v>
      </c>
      <c r="Q283" s="348">
        <f>IF(AP283="","",AP283)</f>
        <v>0</v>
      </c>
      <c r="R283" s="75">
        <f t="shared" si="336"/>
        <v>172</v>
      </c>
      <c r="S283" s="348">
        <f>IF(AR283="","",AR283)</f>
        <v>1</v>
      </c>
      <c r="T283" s="75">
        <f t="shared" si="337"/>
        <v>200</v>
      </c>
      <c r="U283" s="348">
        <f>IF(AT283="","",AT283)</f>
        <v>1</v>
      </c>
      <c r="V283" s="75">
        <f t="shared" si="338"/>
        <v>1236</v>
      </c>
      <c r="W283" s="348">
        <f>IF(AV283="","",AV283)</f>
        <v>3</v>
      </c>
      <c r="Z283" s="351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188</v>
      </c>
      <c r="AD283" s="109">
        <f>IF(SUM(AC283:AC285)+AC297=0,0,IF(SUM(ABS(AC283),ABS(AC284),ABS(AC285))=AC297,0.5,IF(SUM(ABS(AC283),ABS(AC284),ABS(AC285))&gt;AC297,1,0)))</f>
        <v>0</v>
      </c>
      <c r="AE283" s="188">
        <v>178</v>
      </c>
      <c r="AF283" s="109">
        <f>IF(SUM(AE283:AE285)+AE297=0,0,IF(SUM(ABS(AE283),ABS(AE284),ABS(AE285))=AE297,0.5,IF(SUM(ABS(AE283),ABS(AE284),ABS(AE285))&gt;AE297,1,0)))</f>
        <v>1</v>
      </c>
      <c r="AG283" s="188">
        <v>159</v>
      </c>
      <c r="AH283" s="109">
        <f>IF(SUM(AG283:AG285)+AG297=0,0,IF(SUM(ABS(AG283),ABS(AG284),ABS(AG285))=AG297,0.5,IF(SUM(ABS(AG283),ABS(AG284),ABS(AG285))&gt;AG297,1,0)))</f>
        <v>0</v>
      </c>
      <c r="AI283" s="188">
        <v>172</v>
      </c>
      <c r="AJ283" s="109">
        <f>IF(SUM(AI283:AI285)+AI297=0,0,IF(SUM(ABS(AI283),ABS(AI284),ABS(AI285))=AI297,0.5,IF(SUM(ABS(AI283),ABS(AI284),ABS(AI285))&gt;AI297,1,0)))</f>
        <v>0</v>
      </c>
      <c r="AK283" s="188"/>
      <c r="AL283" s="109">
        <f>IF(SUM(AK283:AK285)+AK297=0,0,IF(SUM(ABS(AK283),ABS(AK284),ABS(AK285))=AK297,0.5,IF(SUM(ABS(AK283),ABS(AK284),ABS(AK285))&gt;AK297,1,0)))</f>
        <v>0</v>
      </c>
      <c r="AM283" s="188"/>
      <c r="AN283" s="109">
        <f>IF(SUM(AM283:AM285)+AM297=0,0,IF(SUM(ABS(AM283),ABS(AM284),ABS(AM285))=AM297,0.5,IF(SUM(ABS(AM283),ABS(AM284),ABS(AM285))&gt;AM297,1,0)))</f>
        <v>0</v>
      </c>
      <c r="AO283" s="188">
        <v>167</v>
      </c>
      <c r="AP283" s="109">
        <f>IF(SUM(AO283:AO285)+AO297=0,0,IF(SUM(ABS(AO283),ABS(AO284),ABS(AO285))=AO297,0.5,IF(SUM(ABS(AO283),ABS(AO284),ABS(AO285))&gt;AO297,1,0)))</f>
        <v>0</v>
      </c>
      <c r="AQ283" s="188">
        <v>172</v>
      </c>
      <c r="AR283" s="109">
        <f>IF(SUM(AQ283:AQ285)+AQ297=0,0,IF(SUM(ABS(AQ283),ABS(AQ284),ABS(AQ285))=AQ297,0.5,IF(SUM(ABS(AQ283),ABS(AQ284),ABS(AQ285))&gt;AQ297,1,0)))</f>
        <v>1</v>
      </c>
      <c r="AS283" s="188">
        <v>200</v>
      </c>
      <c r="AT283" s="109">
        <f>IF(SUM(AS283:AS285)+AS297=0,0,IF(SUM(ABS(AS283),ABS(AS284),ABS(AS285))=AS297,0.5,IF(SUM(ABS(AS283),ABS(AS284),ABS(AS285))&gt;AS297,1,0)))</f>
        <v>1</v>
      </c>
      <c r="AU283" s="110">
        <f t="shared" si="339"/>
        <v>1236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54"/>
        <v>25061</v>
      </c>
      <c r="BE283" s="213">
        <f t="shared" si="355"/>
        <v>1236</v>
      </c>
      <c r="BF283" s="215">
        <f t="shared" si="356"/>
        <v>7</v>
      </c>
      <c r="BG283" s="215">
        <f t="shared" si="357"/>
        <v>7</v>
      </c>
      <c r="BH283" s="215">
        <f t="shared" si="340"/>
        <v>188</v>
      </c>
      <c r="BI283" s="215">
        <f t="shared" si="341"/>
        <v>178</v>
      </c>
      <c r="BJ283" s="215">
        <f t="shared" si="342"/>
        <v>159</v>
      </c>
      <c r="BK283" s="215">
        <f t="shared" si="343"/>
        <v>172</v>
      </c>
      <c r="BL283" s="215" t="str">
        <f t="shared" si="344"/>
        <v/>
      </c>
      <c r="BM283" s="215" t="str">
        <f t="shared" si="345"/>
        <v/>
      </c>
      <c r="BN283" s="215">
        <f t="shared" si="346"/>
        <v>167</v>
      </c>
      <c r="BO283" s="215">
        <f t="shared" si="347"/>
        <v>172</v>
      </c>
      <c r="BP283" s="215">
        <f t="shared" si="348"/>
        <v>200</v>
      </c>
      <c r="BQ283" s="216"/>
      <c r="BR283" s="214"/>
      <c r="BS283" s="215">
        <f t="shared" si="358"/>
        <v>200</v>
      </c>
      <c r="BT283" s="215">
        <f t="shared" si="359"/>
        <v>0</v>
      </c>
      <c r="BU283" s="215" t="str">
        <f t="shared" si="360"/>
        <v>High Roller Rosenheim 1</v>
      </c>
      <c r="BV283" s="214">
        <f t="shared" si="361"/>
        <v>2</v>
      </c>
      <c r="BW283" s="215">
        <f t="shared" si="362"/>
        <v>1236</v>
      </c>
      <c r="BX283" s="215">
        <f>IF(COUNTIF(BH283:BP283,"&gt;0")&lt;Spielorte!$A$23,0,BE283/Spielorte!$A$23)</f>
        <v>0</v>
      </c>
      <c r="BY283" s="215">
        <f t="shared" si="363"/>
        <v>0</v>
      </c>
      <c r="BZ283" s="214">
        <f t="shared" si="349"/>
        <v>0</v>
      </c>
    </row>
    <row r="284" spans="1:78" ht="17.100000000000001" customHeight="1" x14ac:dyDescent="0.25">
      <c r="A284" s="377"/>
      <c r="B284" s="76" t="str">
        <f t="shared" si="350"/>
        <v>Wimmer, Peter</v>
      </c>
      <c r="C284" s="77">
        <f t="shared" si="351"/>
        <v>7425</v>
      </c>
      <c r="D284" s="78" t="str">
        <f t="shared" si="352"/>
        <v/>
      </c>
      <c r="E284" s="349"/>
      <c r="F284" s="78" t="str">
        <f t="shared" si="331"/>
        <v/>
      </c>
      <c r="G284" s="349"/>
      <c r="H284" s="78" t="str">
        <f t="shared" si="332"/>
        <v/>
      </c>
      <c r="I284" s="349"/>
      <c r="J284" s="78" t="str">
        <f t="shared" si="333"/>
        <v/>
      </c>
      <c r="K284" s="349"/>
      <c r="L284" s="78">
        <f t="shared" si="334"/>
        <v>170</v>
      </c>
      <c r="M284" s="349"/>
      <c r="N284" s="78">
        <f t="shared" si="353"/>
        <v>130</v>
      </c>
      <c r="O284" s="349"/>
      <c r="P284" s="78" t="str">
        <f t="shared" si="335"/>
        <v/>
      </c>
      <c r="Q284" s="349"/>
      <c r="R284" s="78" t="str">
        <f t="shared" si="336"/>
        <v/>
      </c>
      <c r="S284" s="349"/>
      <c r="T284" s="78" t="str">
        <f t="shared" si="337"/>
        <v/>
      </c>
      <c r="U284" s="349"/>
      <c r="V284" s="78">
        <f t="shared" si="338"/>
        <v>300</v>
      </c>
      <c r="W284" s="349"/>
      <c r="Z284" s="352"/>
      <c r="AA284" s="108" t="str">
        <f>IF(AB284=0,"",VLOOKUP(AB284,Starter!$A$1:$D$199,2,FALSE))</f>
        <v>Wimmer, Peter</v>
      </c>
      <c r="AB284" s="98">
        <v>7425</v>
      </c>
      <c r="AC284" s="186"/>
      <c r="AD284" s="112"/>
      <c r="AE284" s="186"/>
      <c r="AF284" s="112"/>
      <c r="AG284" s="186"/>
      <c r="AH284" s="112"/>
      <c r="AI284" s="186"/>
      <c r="AJ284" s="112"/>
      <c r="AK284" s="186">
        <v>170</v>
      </c>
      <c r="AL284" s="112"/>
      <c r="AM284" s="186">
        <v>130</v>
      </c>
      <c r="AN284" s="112"/>
      <c r="AO284" s="186"/>
      <c r="AP284" s="112"/>
      <c r="AQ284" s="186"/>
      <c r="AR284" s="112"/>
      <c r="AS284" s="186"/>
      <c r="AT284" s="112"/>
      <c r="AU284" s="113">
        <f t="shared" si="339"/>
        <v>300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7425</v>
      </c>
      <c r="BE284" s="213">
        <f t="shared" si="355"/>
        <v>300</v>
      </c>
      <c r="BF284" s="215">
        <f t="shared" si="356"/>
        <v>2</v>
      </c>
      <c r="BG284" s="215">
        <f t="shared" si="357"/>
        <v>2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>
        <f t="shared" si="344"/>
        <v>170</v>
      </c>
      <c r="BM284" s="215">
        <f t="shared" si="345"/>
        <v>130</v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170</v>
      </c>
      <c r="BT284" s="215">
        <f t="shared" si="359"/>
        <v>0</v>
      </c>
      <c r="BU284" s="215" t="str">
        <f t="shared" si="360"/>
        <v>High Roller Rosenheim 1</v>
      </c>
      <c r="BV284" s="214">
        <f t="shared" si="361"/>
        <v>2</v>
      </c>
      <c r="BW284" s="215">
        <f t="shared" si="362"/>
        <v>300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00000000000001" customHeight="1" thickBot="1" x14ac:dyDescent="0.3">
      <c r="A285" s="378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50"/>
      <c r="F285" s="69" t="str">
        <f t="shared" si="331"/>
        <v/>
      </c>
      <c r="G285" s="350"/>
      <c r="H285" s="69" t="str">
        <f t="shared" si="332"/>
        <v/>
      </c>
      <c r="I285" s="350"/>
      <c r="J285" s="69" t="str">
        <f t="shared" si="333"/>
        <v/>
      </c>
      <c r="K285" s="350"/>
      <c r="L285" s="69" t="str">
        <f t="shared" si="334"/>
        <v/>
      </c>
      <c r="M285" s="350"/>
      <c r="N285" s="69" t="str">
        <f t="shared" si="353"/>
        <v/>
      </c>
      <c r="O285" s="350"/>
      <c r="P285" s="69" t="str">
        <f t="shared" si="335"/>
        <v/>
      </c>
      <c r="Q285" s="350"/>
      <c r="R285" s="69" t="str">
        <f t="shared" si="336"/>
        <v/>
      </c>
      <c r="S285" s="350"/>
      <c r="T285" s="69" t="str">
        <f t="shared" si="337"/>
        <v/>
      </c>
      <c r="U285" s="350"/>
      <c r="V285" s="69" t="str">
        <f t="shared" si="338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High Roller Rosenheim 1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00000000000001" customHeight="1" x14ac:dyDescent="0.25">
      <c r="A286" s="376" t="s">
        <v>11</v>
      </c>
      <c r="B286" s="73" t="str">
        <f>IF(AA286=0,"",AA286)</f>
        <v>Lengen, Peter</v>
      </c>
      <c r="C286" s="74">
        <f t="shared" si="351"/>
        <v>25297</v>
      </c>
      <c r="D286" s="75">
        <f t="shared" si="352"/>
        <v>155</v>
      </c>
      <c r="E286" s="348">
        <f>IF(AD286="","",AD286)</f>
        <v>0</v>
      </c>
      <c r="F286" s="75">
        <f t="shared" si="331"/>
        <v>147</v>
      </c>
      <c r="G286" s="348">
        <f>IF(AF286="","",AF286)</f>
        <v>0</v>
      </c>
      <c r="H286" s="75" t="str">
        <f t="shared" si="332"/>
        <v/>
      </c>
      <c r="I286" s="348">
        <f>IF(AH286="","",AH286)</f>
        <v>1</v>
      </c>
      <c r="J286" s="75" t="str">
        <f t="shared" si="333"/>
        <v/>
      </c>
      <c r="K286" s="348">
        <f>IF(AJ286="","",AJ286)</f>
        <v>0</v>
      </c>
      <c r="L286" s="75" t="str">
        <f t="shared" si="334"/>
        <v/>
      </c>
      <c r="M286" s="348">
        <f>IF(AL286="","",AL286)</f>
        <v>1</v>
      </c>
      <c r="N286" s="75" t="str">
        <f t="shared" si="353"/>
        <v/>
      </c>
      <c r="O286" s="348">
        <f>IF(AN286="","",AN286)</f>
        <v>1</v>
      </c>
      <c r="P286" s="75" t="str">
        <f t="shared" si="335"/>
        <v/>
      </c>
      <c r="Q286" s="348">
        <f>IF(AP286="","",AP286)</f>
        <v>1</v>
      </c>
      <c r="R286" s="75" t="str">
        <f t="shared" si="336"/>
        <v/>
      </c>
      <c r="S286" s="348">
        <f>IF(AR286="","",AR286)</f>
        <v>0</v>
      </c>
      <c r="T286" s="75" t="str">
        <f t="shared" si="337"/>
        <v/>
      </c>
      <c r="U286" s="348">
        <f>IF(AT286="","",AT286)</f>
        <v>1</v>
      </c>
      <c r="V286" s="75">
        <f t="shared" si="338"/>
        <v>302</v>
      </c>
      <c r="W286" s="348">
        <f>IF(AV286="","",AV286)</f>
        <v>5</v>
      </c>
      <c r="Z286" s="351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IF(SUM(AC286:AC288)+AC298=0,0,IF(SUM(ABS(AC286),ABS(AC287),ABS(AC288))=AC298,0.5,IF(SUM(ABS(AC286),ABS(AC287),ABS(AC288))&gt;AC298,1,0)))</f>
        <v>0</v>
      </c>
      <c r="AE286" s="188">
        <v>147</v>
      </c>
      <c r="AF286" s="109">
        <f>IF(SUM(AE286:AE288)+AE298=0,0,IF(SUM(ABS(AE286),ABS(AE287),ABS(AE288))=AE298,0.5,IF(SUM(ABS(AE286),ABS(AE287),ABS(AE288))&gt;AE298,1,0)))</f>
        <v>0</v>
      </c>
      <c r="AG286" s="188"/>
      <c r="AH286" s="109">
        <f>IF(SUM(AG286:AG288)+AG298=0,0,IF(SUM(ABS(AG286),ABS(AG287),ABS(AG288))=AG298,0.5,IF(SUM(ABS(AG286),ABS(AG287),ABS(AG288))&gt;AG298,1,0)))</f>
        <v>1</v>
      </c>
      <c r="AI286" s="188"/>
      <c r="AJ286" s="109">
        <f>IF(SUM(AI286:AI288)+AI298=0,0,IF(SUM(ABS(AI286),ABS(AI287),ABS(AI288))=AI298,0.5,IF(SUM(ABS(AI286),ABS(AI287),ABS(AI288))&gt;AI298,1,0)))</f>
        <v>0</v>
      </c>
      <c r="AK286" s="188"/>
      <c r="AL286" s="109">
        <f>IF(SUM(AK286:AK288)+AK298=0,0,IF(SUM(ABS(AK286),ABS(AK287),ABS(AK288))=AK298,0.5,IF(SUM(ABS(AK286),ABS(AK287),ABS(AK288))&gt;AK298,1,0)))</f>
        <v>1</v>
      </c>
      <c r="AM286" s="188"/>
      <c r="AN286" s="109">
        <f>IF(SUM(AM286:AM288)+AM298=0,0,IF(SUM(ABS(AM286),ABS(AM287),ABS(AM288))=AM298,0.5,IF(SUM(ABS(AM286),ABS(AM287),ABS(AM288))&gt;AM298,1,0)))</f>
        <v>1</v>
      </c>
      <c r="AO286" s="188"/>
      <c r="AP286" s="109">
        <f>IF(SUM(AO286:AO288)+AO298=0,0,IF(SUM(ABS(AO286),ABS(AO287),ABS(AO288))=AO298,0.5,IF(SUM(ABS(AO286),ABS(AO287),ABS(AO288))&gt;AO298,1,0)))</f>
        <v>1</v>
      </c>
      <c r="AQ286" s="188"/>
      <c r="AR286" s="109">
        <f>IF(SUM(AQ286:AQ288)+AQ298=0,0,IF(SUM(ABS(AQ286),ABS(AQ287),ABS(AQ288))=AQ298,0.5,IF(SUM(ABS(AQ286),ABS(AQ287),ABS(AQ288))&gt;AQ298,1,0)))</f>
        <v>0</v>
      </c>
      <c r="AS286" s="188"/>
      <c r="AT286" s="109">
        <f>IF(SUM(AS286:AS288)+AS298=0,0,IF(SUM(ABS(AS286),ABS(AS287),ABS(AS288))=AS298,0.5,IF(SUM(ABS(AS286),ABS(AS287),ABS(AS288))&gt;AS298,1,0)))</f>
        <v>1</v>
      </c>
      <c r="AU286" s="110">
        <f t="shared" si="339"/>
        <v>302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54"/>
        <v>25297</v>
      </c>
      <c r="BE286" s="213">
        <f t="shared" si="355"/>
        <v>302</v>
      </c>
      <c r="BF286" s="215">
        <f t="shared" si="356"/>
        <v>2</v>
      </c>
      <c r="BG286" s="215">
        <f t="shared" si="357"/>
        <v>2</v>
      </c>
      <c r="BH286" s="215">
        <f t="shared" si="340"/>
        <v>155</v>
      </c>
      <c r="BI286" s="215">
        <f t="shared" si="341"/>
        <v>147</v>
      </c>
      <c r="BJ286" s="215" t="str">
        <f t="shared" si="342"/>
        <v/>
      </c>
      <c r="BK286" s="215" t="str">
        <f t="shared" si="343"/>
        <v/>
      </c>
      <c r="BL286" s="215" t="str">
        <f t="shared" si="344"/>
        <v/>
      </c>
      <c r="BM286" s="215" t="str">
        <f t="shared" si="345"/>
        <v/>
      </c>
      <c r="BN286" s="215" t="str">
        <f t="shared" si="346"/>
        <v/>
      </c>
      <c r="BO286" s="215" t="str">
        <f t="shared" si="347"/>
        <v/>
      </c>
      <c r="BP286" s="215" t="str">
        <f t="shared" si="348"/>
        <v/>
      </c>
      <c r="BQ286" s="216"/>
      <c r="BR286" s="214"/>
      <c r="BS286" s="215">
        <f t="shared" si="358"/>
        <v>155</v>
      </c>
      <c r="BT286" s="215">
        <f t="shared" si="359"/>
        <v>0</v>
      </c>
      <c r="BU286" s="215" t="str">
        <f t="shared" si="360"/>
        <v>High Roller Rosenheim 1</v>
      </c>
      <c r="BV286" s="214">
        <f t="shared" si="361"/>
        <v>2</v>
      </c>
      <c r="BW286" s="215">
        <f t="shared" si="362"/>
        <v>302</v>
      </c>
      <c r="BX286" s="215">
        <f>IF(COUNTIF(BH286:BP286,"&gt;0")&lt;Spielorte!$A$23,0,BE286/Spielorte!$A$23)</f>
        <v>0</v>
      </c>
      <c r="BY286" s="215">
        <f t="shared" si="363"/>
        <v>0</v>
      </c>
      <c r="BZ286" s="214">
        <f t="shared" si="349"/>
        <v>0</v>
      </c>
    </row>
    <row r="287" spans="1:78" ht="17.100000000000001" customHeight="1" x14ac:dyDescent="0.25">
      <c r="A287" s="377"/>
      <c r="B287" s="76" t="str">
        <f>IF(AA287=0,"",AA287)</f>
        <v>Tos, Sascha</v>
      </c>
      <c r="C287" s="77">
        <f t="shared" si="351"/>
        <v>16519</v>
      </c>
      <c r="D287" s="78" t="str">
        <f t="shared" si="352"/>
        <v/>
      </c>
      <c r="E287" s="349"/>
      <c r="F287" s="78" t="str">
        <f t="shared" si="331"/>
        <v/>
      </c>
      <c r="G287" s="349"/>
      <c r="H287" s="78">
        <f t="shared" si="332"/>
        <v>180</v>
      </c>
      <c r="I287" s="349"/>
      <c r="J287" s="78">
        <f t="shared" si="333"/>
        <v>214</v>
      </c>
      <c r="K287" s="349"/>
      <c r="L287" s="78">
        <f t="shared" si="334"/>
        <v>199</v>
      </c>
      <c r="M287" s="349"/>
      <c r="N287" s="78">
        <f t="shared" si="353"/>
        <v>184</v>
      </c>
      <c r="O287" s="349"/>
      <c r="P287" s="78">
        <f t="shared" si="335"/>
        <v>193</v>
      </c>
      <c r="Q287" s="349"/>
      <c r="R287" s="78">
        <f t="shared" si="336"/>
        <v>159</v>
      </c>
      <c r="S287" s="349"/>
      <c r="T287" s="78">
        <f t="shared" si="337"/>
        <v>216</v>
      </c>
      <c r="U287" s="349"/>
      <c r="V287" s="78">
        <f t="shared" si="338"/>
        <v>1345</v>
      </c>
      <c r="W287" s="349"/>
      <c r="Z287" s="352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180</v>
      </c>
      <c r="AH287" s="112"/>
      <c r="AI287" s="186">
        <v>214</v>
      </c>
      <c r="AJ287" s="112"/>
      <c r="AK287" s="186">
        <v>199</v>
      </c>
      <c r="AL287" s="112"/>
      <c r="AM287" s="186">
        <v>184</v>
      </c>
      <c r="AN287" s="112"/>
      <c r="AO287" s="186">
        <v>193</v>
      </c>
      <c r="AP287" s="112"/>
      <c r="AQ287" s="186">
        <v>159</v>
      </c>
      <c r="AR287" s="112"/>
      <c r="AS287" s="186">
        <v>216</v>
      </c>
      <c r="AT287" s="112"/>
      <c r="AU287" s="113">
        <f t="shared" si="339"/>
        <v>1345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16519</v>
      </c>
      <c r="BE287" s="213">
        <f t="shared" si="355"/>
        <v>1345</v>
      </c>
      <c r="BF287" s="215">
        <f t="shared" si="356"/>
        <v>7</v>
      </c>
      <c r="BG287" s="215">
        <f t="shared" si="357"/>
        <v>7</v>
      </c>
      <c r="BH287" s="215" t="str">
        <f t="shared" si="340"/>
        <v/>
      </c>
      <c r="BI287" s="215" t="str">
        <f t="shared" si="341"/>
        <v/>
      </c>
      <c r="BJ287" s="215">
        <f t="shared" si="342"/>
        <v>180</v>
      </c>
      <c r="BK287" s="215">
        <f t="shared" si="343"/>
        <v>214</v>
      </c>
      <c r="BL287" s="215">
        <f t="shared" si="344"/>
        <v>199</v>
      </c>
      <c r="BM287" s="215">
        <f t="shared" si="345"/>
        <v>184</v>
      </c>
      <c r="BN287" s="215">
        <f t="shared" si="346"/>
        <v>193</v>
      </c>
      <c r="BO287" s="215">
        <f t="shared" si="347"/>
        <v>159</v>
      </c>
      <c r="BP287" s="215">
        <f t="shared" si="348"/>
        <v>216</v>
      </c>
      <c r="BQ287" s="216"/>
      <c r="BR287" s="214"/>
      <c r="BS287" s="215">
        <f t="shared" si="358"/>
        <v>216</v>
      </c>
      <c r="BT287" s="215">
        <f t="shared" si="359"/>
        <v>0</v>
      </c>
      <c r="BU287" s="215" t="str">
        <f t="shared" si="360"/>
        <v>High Roller Rosenheim 1</v>
      </c>
      <c r="BV287" s="214">
        <f t="shared" si="361"/>
        <v>2</v>
      </c>
      <c r="BW287" s="215">
        <f t="shared" si="362"/>
        <v>1345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00000000000001" customHeight="1" thickBot="1" x14ac:dyDescent="0.3">
      <c r="A288" s="378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50"/>
      <c r="F288" s="69" t="str">
        <f t="shared" si="331"/>
        <v/>
      </c>
      <c r="G288" s="350"/>
      <c r="H288" s="69" t="str">
        <f t="shared" si="332"/>
        <v/>
      </c>
      <c r="I288" s="350"/>
      <c r="J288" s="69" t="str">
        <f t="shared" si="333"/>
        <v/>
      </c>
      <c r="K288" s="350"/>
      <c r="L288" s="69" t="str">
        <f t="shared" si="334"/>
        <v/>
      </c>
      <c r="M288" s="350"/>
      <c r="N288" s="69" t="str">
        <f t="shared" si="353"/>
        <v/>
      </c>
      <c r="O288" s="350"/>
      <c r="P288" s="69" t="str">
        <f t="shared" si="335"/>
        <v/>
      </c>
      <c r="Q288" s="350"/>
      <c r="R288" s="69" t="str">
        <f t="shared" si="336"/>
        <v/>
      </c>
      <c r="S288" s="350"/>
      <c r="T288" s="69" t="str">
        <f t="shared" si="337"/>
        <v/>
      </c>
      <c r="U288" s="350"/>
      <c r="V288" s="69" t="str">
        <f t="shared" si="338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High Roller Rosenheim 1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51"/>
        <v/>
      </c>
      <c r="D289" s="83">
        <f t="shared" si="352"/>
        <v>729</v>
      </c>
      <c r="E289" s="84">
        <f>IF(AD289="","",AD289)</f>
        <v>0</v>
      </c>
      <c r="F289" s="83">
        <f t="shared" si="331"/>
        <v>732</v>
      </c>
      <c r="G289" s="84">
        <f>IF(AF289="","",AF289)</f>
        <v>0</v>
      </c>
      <c r="H289" s="83">
        <f t="shared" si="332"/>
        <v>756</v>
      </c>
      <c r="I289" s="84">
        <f>IF(AH289="","",AH289)</f>
        <v>2</v>
      </c>
      <c r="J289" s="83">
        <f t="shared" si="333"/>
        <v>834</v>
      </c>
      <c r="K289" s="84">
        <f>IF(AJ289="","",AJ289)</f>
        <v>2</v>
      </c>
      <c r="L289" s="83">
        <f t="shared" si="334"/>
        <v>747</v>
      </c>
      <c r="M289" s="84">
        <f>IF(AL289="","",AL289)</f>
        <v>0</v>
      </c>
      <c r="N289" s="83">
        <f t="shared" si="353"/>
        <v>680</v>
      </c>
      <c r="O289" s="84">
        <f>IF(AN289="","",AN289)</f>
        <v>0</v>
      </c>
      <c r="P289" s="83">
        <f t="shared" si="335"/>
        <v>715</v>
      </c>
      <c r="Q289" s="84">
        <f>IF(AP289="","",AP289)</f>
        <v>0</v>
      </c>
      <c r="R289" s="83">
        <f t="shared" si="336"/>
        <v>748</v>
      </c>
      <c r="S289" s="84">
        <f>IF(AR289="","",AR289)</f>
        <v>0</v>
      </c>
      <c r="T289" s="83">
        <f t="shared" si="337"/>
        <v>755</v>
      </c>
      <c r="U289" s="84">
        <f>IF(AT289="","",AT289)</f>
        <v>0</v>
      </c>
      <c r="V289" s="83">
        <f t="shared" si="338"/>
        <v>6696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729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732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756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834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747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680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715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748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755</v>
      </c>
      <c r="AT289" s="121">
        <f>IF(AS289+AS299=0,0,IF(AS289=AS299,1,IF(AS289&gt;AS299,2,0)))</f>
        <v>0</v>
      </c>
      <c r="AU289" s="122">
        <f>SUM(AC289+AE289+AG289+AI289+AK289+AM289+AO289+AQ289+AS289)</f>
        <v>6696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1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4</v>
      </c>
      <c r="L290" s="86" t="str">
        <f t="shared" si="334"/>
        <v/>
      </c>
      <c r="M290" s="87">
        <f>IF(AL290="","",AL290)</f>
        <v>2</v>
      </c>
      <c r="N290" s="86" t="str">
        <f t="shared" si="353"/>
        <v/>
      </c>
      <c r="O290" s="87">
        <f>IF(AN290="","",AN290)</f>
        <v>2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2</v>
      </c>
      <c r="T290" s="86" t="str">
        <f t="shared" si="337"/>
        <v/>
      </c>
      <c r="U290" s="87">
        <f>IF(AT290="","",AT290)</f>
        <v>2.5</v>
      </c>
      <c r="V290" s="86" t="str">
        <f t="shared" si="338"/>
        <v/>
      </c>
      <c r="W290" s="87">
        <f>IF(AV290="","",AV290)</f>
        <v>20.5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4</v>
      </c>
      <c r="AK290" s="86"/>
      <c r="AL290" s="124">
        <f>SUM(AL277:AL289)</f>
        <v>2</v>
      </c>
      <c r="AM290" s="86"/>
      <c r="AN290" s="124">
        <f>SUM(AN277:AN289)</f>
        <v>2</v>
      </c>
      <c r="AO290" s="86"/>
      <c r="AP290" s="124">
        <f>SUM(AP277:AP289)</f>
        <v>1</v>
      </c>
      <c r="AQ290" s="86"/>
      <c r="AR290" s="124">
        <f>SUM(AR277:AR289)</f>
        <v>2</v>
      </c>
      <c r="AS290" s="86"/>
      <c r="AT290" s="124">
        <f>SUM(AT277:AT289)</f>
        <v>2.5</v>
      </c>
      <c r="AU290" s="86"/>
      <c r="AV290" s="125">
        <f>SUM(AV277:AV289)</f>
        <v>20.5</v>
      </c>
      <c r="AW290" s="101"/>
      <c r="AX290" s="102"/>
      <c r="BA290" s="212">
        <f>+AV290</f>
        <v>20.5</v>
      </c>
      <c r="BB290" s="213">
        <f>+AU289</f>
        <v>6696</v>
      </c>
      <c r="BC290" s="214">
        <f>+AA272</f>
        <v>10</v>
      </c>
      <c r="BF290" s="215">
        <f>SUM(BF271:BF289)</f>
        <v>36</v>
      </c>
      <c r="BQ290" s="212">
        <f>+BB290/1000000+BA290</f>
        <v>20.506696000000002</v>
      </c>
      <c r="BR290" s="214">
        <f>RANK(BQ290,BQ:BQ)</f>
        <v>9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56">
        <f t="shared" ref="D292:M294" si="366">IF(AC292=0,"",AC292)</f>
        <v>8</v>
      </c>
      <c r="E292" s="356" t="str">
        <f t="shared" si="366"/>
        <v/>
      </c>
      <c r="F292" s="356">
        <f t="shared" si="366"/>
        <v>3</v>
      </c>
      <c r="G292" s="356" t="str">
        <f t="shared" si="366"/>
        <v/>
      </c>
      <c r="H292" s="356">
        <f t="shared" si="366"/>
        <v>7</v>
      </c>
      <c r="I292" s="356" t="str">
        <f t="shared" si="366"/>
        <v/>
      </c>
      <c r="J292" s="356">
        <f t="shared" si="366"/>
        <v>4</v>
      </c>
      <c r="K292" s="356" t="str">
        <f t="shared" si="366"/>
        <v/>
      </c>
      <c r="L292" s="356">
        <f t="shared" si="366"/>
        <v>1</v>
      </c>
      <c r="M292" s="356" t="str">
        <f t="shared" si="366"/>
        <v/>
      </c>
      <c r="N292" s="356">
        <f t="shared" ref="N292:U294" si="367">IF(AM292=0,"",AM292)</f>
        <v>9</v>
      </c>
      <c r="O292" s="356" t="str">
        <f t="shared" si="367"/>
        <v/>
      </c>
      <c r="P292" s="356">
        <f t="shared" si="367"/>
        <v>2</v>
      </c>
      <c r="Q292" s="356" t="str">
        <f t="shared" si="367"/>
        <v/>
      </c>
      <c r="R292" s="356">
        <f t="shared" si="367"/>
        <v>5</v>
      </c>
      <c r="S292" s="356" t="str">
        <f t="shared" si="367"/>
        <v/>
      </c>
      <c r="T292" s="356">
        <f t="shared" si="367"/>
        <v>6</v>
      </c>
      <c r="U292" s="356" t="str">
        <f t="shared" si="367"/>
        <v/>
      </c>
      <c r="V292" s="357"/>
      <c r="W292" s="357"/>
      <c r="AA292" s="88" t="s">
        <v>1797</v>
      </c>
      <c r="AB292" s="89" t="s">
        <v>1798</v>
      </c>
      <c r="AC292" s="370">
        <f>VLOOKUP($AA272,Schlüssel!$A$5:$K$14,3)</f>
        <v>8</v>
      </c>
      <c r="AD292" s="371"/>
      <c r="AE292" s="370">
        <f>VLOOKUP($AA272,Schlüssel!$A$5:$K$14,4)</f>
        <v>3</v>
      </c>
      <c r="AF292" s="371"/>
      <c r="AG292" s="370">
        <f>VLOOKUP($AA272,Schlüssel!$A$5:$K$14,5)</f>
        <v>7</v>
      </c>
      <c r="AH292" s="371"/>
      <c r="AI292" s="370">
        <f>VLOOKUP($AA272,Schlüssel!$A$5:$K$14,6)</f>
        <v>4</v>
      </c>
      <c r="AJ292" s="371"/>
      <c r="AK292" s="370">
        <f>VLOOKUP($AA272,Schlüssel!$A$5:$K$14,7)</f>
        <v>1</v>
      </c>
      <c r="AL292" s="371"/>
      <c r="AM292" s="370">
        <f>VLOOKUP($AA272,Schlüssel!$A$5:$K$14,8)</f>
        <v>9</v>
      </c>
      <c r="AN292" s="371"/>
      <c r="AO292" s="370">
        <f>VLOOKUP($AA272,Schlüssel!$A$5:$K$14,9)</f>
        <v>2</v>
      </c>
      <c r="AP292" s="371"/>
      <c r="AQ292" s="370">
        <f>VLOOKUP($AA272,Schlüssel!$A$5:$K$14,10)</f>
        <v>5</v>
      </c>
      <c r="AR292" s="371"/>
      <c r="AS292" s="370">
        <f>VLOOKUP($AA272,Schlüssel!$A$5:$K$14,11)</f>
        <v>6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64"/>
        <v/>
      </c>
      <c r="C293" s="86" t="str">
        <f t="shared" si="365"/>
        <v/>
      </c>
      <c r="D293" s="358" t="str">
        <f t="shared" si="366"/>
        <v>BC EMAX Unterföhring 2</v>
      </c>
      <c r="E293" s="359" t="str">
        <f t="shared" si="366"/>
        <v/>
      </c>
      <c r="F293" s="358" t="str">
        <f t="shared" si="366"/>
        <v>BK München 3</v>
      </c>
      <c r="G293" s="359" t="str">
        <f t="shared" si="366"/>
        <v/>
      </c>
      <c r="H293" s="358" t="str">
        <f t="shared" si="366"/>
        <v>Schanzer Ingolstadt 1</v>
      </c>
      <c r="I293" s="359" t="str">
        <f t="shared" si="366"/>
        <v/>
      </c>
      <c r="J293" s="358" t="str">
        <f t="shared" si="366"/>
        <v>SG DJK Rimpar</v>
      </c>
      <c r="K293" s="359" t="str">
        <f t="shared" si="366"/>
        <v/>
      </c>
      <c r="L293" s="358" t="str">
        <f t="shared" si="366"/>
        <v>BC Comet Nürnberg</v>
      </c>
      <c r="M293" s="359" t="str">
        <f t="shared" si="366"/>
        <v/>
      </c>
      <c r="N293" s="358" t="str">
        <f t="shared" si="367"/>
        <v>Bowlinghaus Bamberg 1</v>
      </c>
      <c r="O293" s="359" t="str">
        <f t="shared" si="367"/>
        <v/>
      </c>
      <c r="P293" s="358" t="str">
        <f t="shared" si="367"/>
        <v>Bajuwaren München 1</v>
      </c>
      <c r="Q293" s="359" t="str">
        <f t="shared" si="367"/>
        <v/>
      </c>
      <c r="R293" s="358" t="str">
        <f t="shared" si="367"/>
        <v>RW Lichtenhof Stein 1</v>
      </c>
      <c r="S293" s="359" t="str">
        <f t="shared" si="367"/>
        <v/>
      </c>
      <c r="T293" s="358" t="str">
        <f t="shared" si="367"/>
        <v>SG Rottendorf 1</v>
      </c>
      <c r="U293" s="359" t="str">
        <f t="shared" si="367"/>
        <v/>
      </c>
      <c r="V293" s="363"/>
      <c r="W293" s="363"/>
      <c r="AA293" s="90"/>
      <c r="AB293" s="86"/>
      <c r="AC293" s="358" t="str">
        <f>VLOOKUP(AC292,Schlüssel!$A$5:$K$14,2)</f>
        <v>BC EMAX Unterföhring 2</v>
      </c>
      <c r="AD293" s="359"/>
      <c r="AE293" s="358" t="str">
        <f>VLOOKUP(AE292,Schlüssel!$A$5:$K$14,2)</f>
        <v>BK München 3</v>
      </c>
      <c r="AF293" s="359"/>
      <c r="AG293" s="358" t="str">
        <f>VLOOKUP(AG292,Schlüssel!$A$5:$K$14,2)</f>
        <v>Schanzer Ingolstadt 1</v>
      </c>
      <c r="AH293" s="359"/>
      <c r="AI293" s="358" t="str">
        <f>VLOOKUP(AI292,Schlüssel!$A$5:$K$14,2)</f>
        <v>SG DJK Rimpar</v>
      </c>
      <c r="AJ293" s="359"/>
      <c r="AK293" s="358" t="str">
        <f>VLOOKUP(AK292,Schlüssel!$A$5:$K$14,2)</f>
        <v>BC Comet Nürnberg</v>
      </c>
      <c r="AL293" s="359"/>
      <c r="AM293" s="358" t="str">
        <f>VLOOKUP(AM292,Schlüssel!$A$5:$K$14,2)</f>
        <v>Bowlinghaus Bamberg 1</v>
      </c>
      <c r="AN293" s="359"/>
      <c r="AO293" s="358" t="str">
        <f>VLOOKUP(AO292,Schlüssel!$A$5:$K$14,2)</f>
        <v>Bajuwaren München 1</v>
      </c>
      <c r="AP293" s="359"/>
      <c r="AQ293" s="358" t="str">
        <f>VLOOKUP(AQ292,Schlüssel!$A$5:$K$14,2)</f>
        <v>RW Lichtenhof Stein 1</v>
      </c>
      <c r="AR293" s="359"/>
      <c r="AS293" s="358" t="str">
        <f>VLOOKUP(AS292,Schlüssel!$A$5:$K$14,2)</f>
        <v>SG Rottendorf 1</v>
      </c>
      <c r="AT293" s="359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64"/>
        <v/>
      </c>
      <c r="C294" s="86" t="str">
        <f t="shared" si="365"/>
        <v/>
      </c>
      <c r="D294" s="360" t="str">
        <f t="shared" si="366"/>
        <v/>
      </c>
      <c r="E294" s="360" t="str">
        <f t="shared" si="366"/>
        <v/>
      </c>
      <c r="F294" s="360" t="str">
        <f t="shared" si="366"/>
        <v/>
      </c>
      <c r="G294" s="360" t="str">
        <f t="shared" si="366"/>
        <v/>
      </c>
      <c r="H294" s="360" t="str">
        <f t="shared" si="366"/>
        <v/>
      </c>
      <c r="I294" s="360" t="str">
        <f t="shared" si="366"/>
        <v/>
      </c>
      <c r="J294" s="360" t="str">
        <f t="shared" si="366"/>
        <v/>
      </c>
      <c r="K294" s="360" t="str">
        <f t="shared" si="366"/>
        <v/>
      </c>
      <c r="L294" s="360" t="str">
        <f t="shared" si="366"/>
        <v/>
      </c>
      <c r="M294" s="360" t="str">
        <f t="shared" si="366"/>
        <v/>
      </c>
      <c r="N294" s="360" t="str">
        <f t="shared" si="367"/>
        <v/>
      </c>
      <c r="O294" s="360" t="str">
        <f t="shared" si="367"/>
        <v/>
      </c>
      <c r="P294" s="360" t="str">
        <f t="shared" si="367"/>
        <v/>
      </c>
      <c r="Q294" s="360" t="str">
        <f t="shared" si="367"/>
        <v/>
      </c>
      <c r="R294" s="360" t="str">
        <f t="shared" si="367"/>
        <v/>
      </c>
      <c r="S294" s="360" t="str">
        <f t="shared" si="367"/>
        <v/>
      </c>
      <c r="T294" s="360" t="str">
        <f t="shared" si="367"/>
        <v/>
      </c>
      <c r="U294" s="361" t="str">
        <f t="shared" si="367"/>
        <v/>
      </c>
      <c r="V294" s="298"/>
      <c r="W294" s="298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4" t="str">
        <f t="shared" si="364"/>
        <v>Spieler 1</v>
      </c>
      <c r="C295" s="375" t="str">
        <f t="shared" si="365"/>
        <v/>
      </c>
      <c r="D295" s="362">
        <f>IF(AC295=301,"",AC295)</f>
        <v>194</v>
      </c>
      <c r="E295" s="362" t="str">
        <f>IF(AD295=0,"",AD295)</f>
        <v/>
      </c>
      <c r="F295" s="362">
        <f>IF(AE295=301,"",AE295)</f>
        <v>269</v>
      </c>
      <c r="G295" s="362" t="str">
        <f>IF(AF295=0,"",AF295)</f>
        <v/>
      </c>
      <c r="H295" s="362">
        <f>IF(AG295=301,"",AG295)</f>
        <v>148</v>
      </c>
      <c r="I295" s="362" t="str">
        <f>IF(AH295=0,"",AH295)</f>
        <v/>
      </c>
      <c r="J295" s="362">
        <f>IF(AI295=301,"",AI295)</f>
        <v>215</v>
      </c>
      <c r="K295" s="362" t="str">
        <f>IF(AJ295=0,"",AJ295)</f>
        <v/>
      </c>
      <c r="L295" s="362">
        <f>IF(AK295=301,"",AK295)</f>
        <v>169</v>
      </c>
      <c r="M295" s="362" t="str">
        <f>IF(AL295=0,"",AL295)</f>
        <v/>
      </c>
      <c r="N295" s="362">
        <f>IF(AM295=301,"",AM295)</f>
        <v>183</v>
      </c>
      <c r="O295" s="362" t="str">
        <f>IF(AN295=0,"",AN295)</f>
        <v/>
      </c>
      <c r="P295" s="362">
        <f>IF(AO295=301,"",AO295)</f>
        <v>236</v>
      </c>
      <c r="Q295" s="362" t="str">
        <f>IF(AP295=0,"",AP295)</f>
        <v/>
      </c>
      <c r="R295" s="362">
        <f>IF(AQ295=301,"",AQ295)</f>
        <v>201</v>
      </c>
      <c r="S295" s="362" t="str">
        <f>IF(AR295=0,"",AR295)</f>
        <v/>
      </c>
      <c r="T295" s="362">
        <f>IF(AS295=301,"",AS295)</f>
        <v>236</v>
      </c>
      <c r="U295" s="362" t="str">
        <f>IF(AT295=0,"",AT295)</f>
        <v/>
      </c>
      <c r="V295" s="364"/>
      <c r="W295" s="364"/>
      <c r="AA295" s="91" t="s">
        <v>0</v>
      </c>
      <c r="AB295" s="92"/>
      <c r="AC295" s="368">
        <f>ABS(INDEX(AC:AC,MATCH(AC292,$AA:$AA,0)+5)+INDEX(AC:AC,MATCH(AC292,$AA:$AA,0)+6)+INDEX(AC:AC,MATCH(AC292,$AA:$AA,0)+7))</f>
        <v>194</v>
      </c>
      <c r="AD295" s="369"/>
      <c r="AE295" s="368">
        <f>ABS(INDEX(AE:AE,MATCH(AE292,$AA:$AA,0)+5)+INDEX(AE:AE,MATCH(AE292,$AA:$AA,0)+6)+INDEX(AE:AE,MATCH(AE292,$AA:$AA,0)+7))</f>
        <v>269</v>
      </c>
      <c r="AF295" s="369"/>
      <c r="AG295" s="368">
        <f>ABS(INDEX(AG:AG,MATCH(AG292,$AA:$AA,0)+5)+INDEX(AG:AG,MATCH(AG292,$AA:$AA,0)+6)+INDEX(AG:AG,MATCH(AG292,$AA:$AA,0)+7))</f>
        <v>148</v>
      </c>
      <c r="AH295" s="369"/>
      <c r="AI295" s="368">
        <f>ABS(INDEX(AI:AI,MATCH(AI292,$AA:$AA,0)+5)+INDEX(AI:AI,MATCH(AI292,$AA:$AA,0)+6)+INDEX(AI:AI,MATCH(AI292,$AA:$AA,0)+7))</f>
        <v>215</v>
      </c>
      <c r="AJ295" s="369"/>
      <c r="AK295" s="368">
        <f>ABS(INDEX(AK:AK,MATCH(AK292,$AA:$AA,0)+5)+INDEX(AK:AK,MATCH(AK292,$AA:$AA,0)+6)+INDEX(AK:AK,MATCH(AK292,$AA:$AA,0)+7))</f>
        <v>169</v>
      </c>
      <c r="AL295" s="369"/>
      <c r="AM295" s="368">
        <f>ABS(INDEX(AM:AM,MATCH(AM292,$AA:$AA,0)+5)+INDEX(AM:AM,MATCH(AM292,$AA:$AA,0)+6)+INDEX(AM:AM,MATCH(AM292,$AA:$AA,0)+7))</f>
        <v>183</v>
      </c>
      <c r="AN295" s="369"/>
      <c r="AO295" s="368">
        <f>ABS(INDEX(AO:AO,MATCH(AO292,$AA:$AA,0)+5)+INDEX(AO:AO,MATCH(AO292,$AA:$AA,0)+6)+INDEX(AO:AO,MATCH(AO292,$AA:$AA,0)+7))</f>
        <v>236</v>
      </c>
      <c r="AP295" s="369"/>
      <c r="AQ295" s="368">
        <f>ABS(INDEX(AQ:AQ,MATCH(AQ292,$AA:$AA,0)+5)+INDEX(AQ:AQ,MATCH(AQ292,$AA:$AA,0)+6)+INDEX(AQ:AQ,MATCH(AQ292,$AA:$AA,0)+7))</f>
        <v>201</v>
      </c>
      <c r="AR295" s="369"/>
      <c r="AS295" s="368">
        <f>ABS(INDEX(AS:AS,MATCH(AS292,$AA:$AA,0)+5)+INDEX(AS:AS,MATCH(AS292,$AA:$AA,0)+6)+INDEX(AS:AS,MATCH(AS292,$AA:$AA,0)+7))</f>
        <v>236</v>
      </c>
      <c r="AT295" s="369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4" t="str">
        <f t="shared" si="364"/>
        <v>Spieler 2</v>
      </c>
      <c r="C296" s="375" t="str">
        <f t="shared" si="365"/>
        <v/>
      </c>
      <c r="D296" s="362">
        <f>IF(AC296=301,"",AC296)</f>
        <v>224</v>
      </c>
      <c r="E296" s="362" t="str">
        <f>IF(AD296=0,"",AD296)</f>
        <v/>
      </c>
      <c r="F296" s="362">
        <f>IF(AE296=301,"",AE296)</f>
        <v>235</v>
      </c>
      <c r="G296" s="362" t="str">
        <f>IF(AF296=0,"",AF296)</f>
        <v/>
      </c>
      <c r="H296" s="362">
        <f>IF(AG296=301,"",AG296)</f>
        <v>138</v>
      </c>
      <c r="I296" s="362" t="str">
        <f>IF(AH296=0,"",AH296)</f>
        <v/>
      </c>
      <c r="J296" s="362">
        <f>IF(AI296=301,"",AI296)</f>
        <v>191</v>
      </c>
      <c r="K296" s="362" t="str">
        <f>IF(AJ296=0,"",AJ296)</f>
        <v/>
      </c>
      <c r="L296" s="362">
        <f>IF(AK296=301,"",AK296)</f>
        <v>238</v>
      </c>
      <c r="M296" s="362" t="str">
        <f>IF(AL296=0,"",AL296)</f>
        <v/>
      </c>
      <c r="N296" s="362">
        <f>IF(AM296=301,"",AM296)</f>
        <v>199</v>
      </c>
      <c r="O296" s="362" t="str">
        <f>IF(AN296=0,"",AN296)</f>
        <v/>
      </c>
      <c r="P296" s="362">
        <f>IF(AO296=301,"",AO296)</f>
        <v>219</v>
      </c>
      <c r="Q296" s="362" t="str">
        <f>IF(AP296=0,"",AP296)</f>
        <v/>
      </c>
      <c r="R296" s="362">
        <f>IF(AQ296=301,"",AQ296)</f>
        <v>179</v>
      </c>
      <c r="S296" s="362" t="str">
        <f>IF(AR296=0,"",AR296)</f>
        <v/>
      </c>
      <c r="T296" s="362">
        <f>IF(AS296=301,"",AS296)</f>
        <v>204</v>
      </c>
      <c r="U296" s="362" t="str">
        <f>IF(AT296=0,"",AT296)</f>
        <v/>
      </c>
      <c r="V296" s="364"/>
      <c r="W296" s="364"/>
      <c r="AA296" s="91" t="s">
        <v>2</v>
      </c>
      <c r="AB296" s="92"/>
      <c r="AC296" s="366">
        <f>ABS(INDEX(AC:AC,MATCH(AC292,$AA:$AA,0)+8)+INDEX(AC:AC,MATCH(AC292,$AA:$AA,0)+9)+INDEX(AC:AC,MATCH(AC292,$AA:$AA,0)+10))</f>
        <v>224</v>
      </c>
      <c r="AD296" s="367"/>
      <c r="AE296" s="366">
        <f>ABS(INDEX(AE:AE,MATCH(AE292,$AA:$AA,0)+8)+INDEX(AE:AE,MATCH(AE292,$AA:$AA,0)+9)+INDEX(AE:AE,MATCH(AE292,$AA:$AA,0)+10))</f>
        <v>235</v>
      </c>
      <c r="AF296" s="367"/>
      <c r="AG296" s="366">
        <f>ABS(INDEX(AG:AG,MATCH(AG292,$AA:$AA,0)+8)+INDEX(AG:AG,MATCH(AG292,$AA:$AA,0)+9)+INDEX(AG:AG,MATCH(AG292,$AA:$AA,0)+10))</f>
        <v>138</v>
      </c>
      <c r="AH296" s="367"/>
      <c r="AI296" s="366">
        <f>ABS(INDEX(AI:AI,MATCH(AI292,$AA:$AA,0)+8)+INDEX(AI:AI,MATCH(AI292,$AA:$AA,0)+9)+INDEX(AI:AI,MATCH(AI292,$AA:$AA,0)+10))</f>
        <v>191</v>
      </c>
      <c r="AJ296" s="367"/>
      <c r="AK296" s="366">
        <f>ABS(INDEX(AK:AK,MATCH(AK292,$AA:$AA,0)+8)+INDEX(AK:AK,MATCH(AK292,$AA:$AA,0)+9)+INDEX(AK:AK,MATCH(AK292,$AA:$AA,0)+10))</f>
        <v>238</v>
      </c>
      <c r="AL296" s="367"/>
      <c r="AM296" s="366">
        <f>ABS(INDEX(AM:AM,MATCH(AM292,$AA:$AA,0)+8)+INDEX(AM:AM,MATCH(AM292,$AA:$AA,0)+9)+INDEX(AM:AM,MATCH(AM292,$AA:$AA,0)+10))</f>
        <v>199</v>
      </c>
      <c r="AN296" s="367"/>
      <c r="AO296" s="366">
        <f>ABS(INDEX(AO:AO,MATCH(AO292,$AA:$AA,0)+8)+INDEX(AO:AO,MATCH(AO292,$AA:$AA,0)+9)+INDEX(AO:AO,MATCH(AO292,$AA:$AA,0)+10))</f>
        <v>219</v>
      </c>
      <c r="AP296" s="367"/>
      <c r="AQ296" s="366">
        <f>ABS(INDEX(AQ:AQ,MATCH(AQ292,$AA:$AA,0)+8)+INDEX(AQ:AQ,MATCH(AQ292,$AA:$AA,0)+9)+INDEX(AQ:AQ,MATCH(AQ292,$AA:$AA,0)+10))</f>
        <v>179</v>
      </c>
      <c r="AR296" s="367"/>
      <c r="AS296" s="366">
        <f>ABS(INDEX(AS:AS,MATCH(AS292,$AA:$AA,0)+8)+INDEX(AS:AS,MATCH(AS292,$AA:$AA,0)+9)+INDEX(AS:AS,MATCH(AS292,$AA:$AA,0)+10))</f>
        <v>204</v>
      </c>
      <c r="AT296" s="367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4" t="str">
        <f t="shared" si="364"/>
        <v>Spieler 3</v>
      </c>
      <c r="C297" s="375" t="str">
        <f t="shared" si="365"/>
        <v/>
      </c>
      <c r="D297" s="362">
        <f>IF(AC297=301,"",AC297)</f>
        <v>200</v>
      </c>
      <c r="E297" s="362" t="str">
        <f>IF(AD297=0,"",AD297)</f>
        <v/>
      </c>
      <c r="F297" s="362">
        <f>IF(AE297=301,"",AE297)</f>
        <v>147</v>
      </c>
      <c r="G297" s="362" t="str">
        <f>IF(AF297=0,"",AF297)</f>
        <v/>
      </c>
      <c r="H297" s="362">
        <f>IF(AG297=301,"",AG297)</f>
        <v>168</v>
      </c>
      <c r="I297" s="362" t="str">
        <f>IF(AH297=0,"",AH297)</f>
        <v/>
      </c>
      <c r="J297" s="362">
        <f>IF(AI297=301,"",AI297)</f>
        <v>176</v>
      </c>
      <c r="K297" s="362" t="str">
        <f>IF(AJ297=0,"",AJ297)</f>
        <v/>
      </c>
      <c r="L297" s="362">
        <f>IF(AK297=301,"",AK297)</f>
        <v>246</v>
      </c>
      <c r="M297" s="362" t="str">
        <f>IF(AL297=0,"",AL297)</f>
        <v/>
      </c>
      <c r="N297" s="362">
        <f>IF(AM297=301,"",AM297)</f>
        <v>202</v>
      </c>
      <c r="O297" s="362" t="str">
        <f>IF(AN297=0,"",AN297)</f>
        <v/>
      </c>
      <c r="P297" s="362">
        <f>IF(AO297=301,"",AO297)</f>
        <v>200</v>
      </c>
      <c r="Q297" s="362" t="str">
        <f>IF(AP297=0,"",AP297)</f>
        <v/>
      </c>
      <c r="R297" s="362">
        <f>IF(AQ297=301,"",AQ297)</f>
        <v>162</v>
      </c>
      <c r="S297" s="362" t="str">
        <f>IF(AR297=0,"",AR297)</f>
        <v/>
      </c>
      <c r="T297" s="362">
        <f>IF(AS297=301,"",AS297)</f>
        <v>177</v>
      </c>
      <c r="U297" s="362" t="str">
        <f>IF(AT297=0,"",AT297)</f>
        <v/>
      </c>
      <c r="V297" s="364"/>
      <c r="W297" s="364"/>
      <c r="AA297" s="91" t="s">
        <v>3</v>
      </c>
      <c r="AB297" s="92"/>
      <c r="AC297" s="366">
        <f>ABS(INDEX(AC:AC,MATCH(AC292,$AA:$AA,0)+11)+INDEX(AC:AC,MATCH(AC292,$AA:$AA,0)+12)+INDEX(AC:AC,MATCH(AC292,$AA:$AA,0)+13))</f>
        <v>200</v>
      </c>
      <c r="AD297" s="367"/>
      <c r="AE297" s="366">
        <f>ABS(INDEX(AE:AE,MATCH(AE292,$AA:$AA,0)+11)+INDEX(AE:AE,MATCH(AE292,$AA:$AA,0)+12)+INDEX(AE:AE,MATCH(AE292,$AA:$AA,0)+13))</f>
        <v>147</v>
      </c>
      <c r="AF297" s="367"/>
      <c r="AG297" s="366">
        <f>ABS(INDEX(AG:AG,MATCH(AG292,$AA:$AA,0)+11)+INDEX(AG:AG,MATCH(AG292,$AA:$AA,0)+12)+INDEX(AG:AG,MATCH(AG292,$AA:$AA,0)+13))</f>
        <v>168</v>
      </c>
      <c r="AH297" s="367"/>
      <c r="AI297" s="366">
        <f>ABS(INDEX(AI:AI,MATCH(AI292,$AA:$AA,0)+11)+INDEX(AI:AI,MATCH(AI292,$AA:$AA,0)+12)+INDEX(AI:AI,MATCH(AI292,$AA:$AA,0)+13))</f>
        <v>176</v>
      </c>
      <c r="AJ297" s="367"/>
      <c r="AK297" s="366">
        <f>ABS(INDEX(AK:AK,MATCH(AK292,$AA:$AA,0)+11)+INDEX(AK:AK,MATCH(AK292,$AA:$AA,0)+12)+INDEX(AK:AK,MATCH(AK292,$AA:$AA,0)+13))</f>
        <v>246</v>
      </c>
      <c r="AL297" s="367"/>
      <c r="AM297" s="366">
        <f>ABS(INDEX(AM:AM,MATCH(AM292,$AA:$AA,0)+11)+INDEX(AM:AM,MATCH(AM292,$AA:$AA,0)+12)+INDEX(AM:AM,MATCH(AM292,$AA:$AA,0)+13))</f>
        <v>202</v>
      </c>
      <c r="AN297" s="367"/>
      <c r="AO297" s="366">
        <f>ABS(INDEX(AO:AO,MATCH(AO292,$AA:$AA,0)+11)+INDEX(AO:AO,MATCH(AO292,$AA:$AA,0)+12)+INDEX(AO:AO,MATCH(AO292,$AA:$AA,0)+13))</f>
        <v>200</v>
      </c>
      <c r="AP297" s="367"/>
      <c r="AQ297" s="366">
        <f>ABS(INDEX(AQ:AQ,MATCH(AQ292,$AA:$AA,0)+11)+INDEX(AQ:AQ,MATCH(AQ292,$AA:$AA,0)+12)+INDEX(AQ:AQ,MATCH(AQ292,$AA:$AA,0)+13))</f>
        <v>162</v>
      </c>
      <c r="AR297" s="367"/>
      <c r="AS297" s="366">
        <f>ABS(INDEX(AS:AS,MATCH(AS292,$AA:$AA,0)+11)+INDEX(AS:AS,MATCH(AS292,$AA:$AA,0)+12)+INDEX(AS:AS,MATCH(AS292,$AA:$AA,0)+13))</f>
        <v>177</v>
      </c>
      <c r="AT297" s="367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4" t="str">
        <f t="shared" si="364"/>
        <v>Spieler 4</v>
      </c>
      <c r="C298" s="375" t="str">
        <f t="shared" si="365"/>
        <v/>
      </c>
      <c r="D298" s="362">
        <f>IF(AC298=301,"",AC298)</f>
        <v>258</v>
      </c>
      <c r="E298" s="362" t="str">
        <f>IF(AD298=0,"",AD298)</f>
        <v/>
      </c>
      <c r="F298" s="362">
        <f>IF(AE298=301,"",AE298)</f>
        <v>193</v>
      </c>
      <c r="G298" s="362" t="str">
        <f>IF(AF298=0,"",AF298)</f>
        <v/>
      </c>
      <c r="H298" s="362">
        <f>IF(AG298=301,"",AG298)</f>
        <v>166</v>
      </c>
      <c r="I298" s="362" t="str">
        <f>IF(AH298=0,"",AH298)</f>
        <v/>
      </c>
      <c r="J298" s="362">
        <f>IF(AI298=301,"",AI298)</f>
        <v>236</v>
      </c>
      <c r="K298" s="362" t="str">
        <f>IF(AJ298=0,"",AJ298)</f>
        <v/>
      </c>
      <c r="L298" s="362">
        <f>IF(AK298=301,"",AK298)</f>
        <v>176</v>
      </c>
      <c r="M298" s="362" t="str">
        <f>IF(AL298=0,"",AL298)</f>
        <v/>
      </c>
      <c r="N298" s="362">
        <f>IF(AM298=301,"",AM298)</f>
        <v>179</v>
      </c>
      <c r="O298" s="362" t="str">
        <f>IF(AN298=0,"",AN298)</f>
        <v/>
      </c>
      <c r="P298" s="362">
        <f>IF(AO298=301,"",AO298)</f>
        <v>160</v>
      </c>
      <c r="Q298" s="362" t="str">
        <f>IF(AP298=0,"",AP298)</f>
        <v/>
      </c>
      <c r="R298" s="362">
        <f>IF(AQ298=301,"",AQ298)</f>
        <v>218</v>
      </c>
      <c r="S298" s="362" t="str">
        <f>IF(AR298=0,"",AR298)</f>
        <v/>
      </c>
      <c r="T298" s="362">
        <f>IF(AS298=301,"",AS298)</f>
        <v>185</v>
      </c>
      <c r="U298" s="362" t="str">
        <f>IF(AT298=0,"",AT298)</f>
        <v/>
      </c>
      <c r="V298" s="364"/>
      <c r="W298" s="364"/>
      <c r="AA298" s="91" t="s">
        <v>11</v>
      </c>
      <c r="AB298" s="92"/>
      <c r="AC298" s="366">
        <f>ABS(INDEX(AC:AC,MATCH(AC292,$AA:$AA,0)+14)+INDEX(AC:AC,MATCH(AC292,$AA:$AA,0)+15)+INDEX(AC:AC,MATCH(AC292,$AA:$AA,0)+16))</f>
        <v>258</v>
      </c>
      <c r="AD298" s="367"/>
      <c r="AE298" s="366">
        <f>ABS(INDEX(AE:AE,MATCH(AE292,$AA:$AA,0)+14)+INDEX(AE:AE,MATCH(AE292,$AA:$AA,0)+15)+INDEX(AE:AE,MATCH(AE292,$AA:$AA,0)+16))</f>
        <v>193</v>
      </c>
      <c r="AF298" s="367"/>
      <c r="AG298" s="366">
        <f>ABS(INDEX(AG:AG,MATCH(AG292,$AA:$AA,0)+14)+INDEX(AG:AG,MATCH(AG292,$AA:$AA,0)+15)+INDEX(AG:AG,MATCH(AG292,$AA:$AA,0)+16))</f>
        <v>166</v>
      </c>
      <c r="AH298" s="367"/>
      <c r="AI298" s="366">
        <f>ABS(INDEX(AI:AI,MATCH(AI292,$AA:$AA,0)+14)+INDEX(AI:AI,MATCH(AI292,$AA:$AA,0)+15)+INDEX(AI:AI,MATCH(AI292,$AA:$AA,0)+16))</f>
        <v>236</v>
      </c>
      <c r="AJ298" s="367"/>
      <c r="AK298" s="366">
        <f>ABS(INDEX(AK:AK,MATCH(AK292,$AA:$AA,0)+14)+INDEX(AK:AK,MATCH(AK292,$AA:$AA,0)+15)+INDEX(AK:AK,MATCH(AK292,$AA:$AA,0)+16))</f>
        <v>176</v>
      </c>
      <c r="AL298" s="367"/>
      <c r="AM298" s="366">
        <f>ABS(INDEX(AM:AM,MATCH(AM292,$AA:$AA,0)+14)+INDEX(AM:AM,MATCH(AM292,$AA:$AA,0)+15)+INDEX(AM:AM,MATCH(AM292,$AA:$AA,0)+16))</f>
        <v>179</v>
      </c>
      <c r="AN298" s="367"/>
      <c r="AO298" s="366">
        <f>ABS(INDEX(AO:AO,MATCH(AO292,$AA:$AA,0)+14)+INDEX(AO:AO,MATCH(AO292,$AA:$AA,0)+15)+INDEX(AO:AO,MATCH(AO292,$AA:$AA,0)+16))</f>
        <v>160</v>
      </c>
      <c r="AP298" s="367"/>
      <c r="AQ298" s="366">
        <f>ABS(INDEX(AQ:AQ,MATCH(AQ292,$AA:$AA,0)+14)+INDEX(AQ:AQ,MATCH(AQ292,$AA:$AA,0)+15)+INDEX(AQ:AQ,MATCH(AQ292,$AA:$AA,0)+16))</f>
        <v>218</v>
      </c>
      <c r="AR298" s="367"/>
      <c r="AS298" s="366">
        <f>ABS(INDEX(AS:AS,MATCH(AS292,$AA:$AA,0)+14)+INDEX(AS:AS,MATCH(AS292,$AA:$AA,0)+15)+INDEX(AS:AS,MATCH(AS292,$AA:$AA,0)+16))</f>
        <v>185</v>
      </c>
      <c r="AT298" s="367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6" t="str">
        <f t="shared" si="364"/>
        <v>Gesamt</v>
      </c>
      <c r="C299" s="347" t="str">
        <f t="shared" si="365"/>
        <v/>
      </c>
      <c r="D299" s="365">
        <f>IF(AC299=1505,"",AC299)</f>
        <v>876</v>
      </c>
      <c r="E299" s="365" t="str">
        <f>IF(AD299=0,"",AD299)</f>
        <v/>
      </c>
      <c r="F299" s="365">
        <f>IF(AE299=1505,"",AE299)</f>
        <v>844</v>
      </c>
      <c r="G299" s="365" t="str">
        <f>IF(AF299=0,"",AF299)</f>
        <v/>
      </c>
      <c r="H299" s="365">
        <f>IF(AG299=1505,"",AG299)</f>
        <v>620</v>
      </c>
      <c r="I299" s="365" t="str">
        <f>IF(AH299=0,"",AH299)</f>
        <v/>
      </c>
      <c r="J299" s="365">
        <f>IF(AI299=1505,"",AI299)</f>
        <v>818</v>
      </c>
      <c r="K299" s="365" t="str">
        <f>IF(AJ299=0,"",AJ299)</f>
        <v/>
      </c>
      <c r="L299" s="365">
        <f>IF(AK299=1505,"",AK299)</f>
        <v>829</v>
      </c>
      <c r="M299" s="365" t="str">
        <f>IF(AL299=0,"",AL299)</f>
        <v/>
      </c>
      <c r="N299" s="365">
        <f>IF(AM299=1505,"",AM299)</f>
        <v>763</v>
      </c>
      <c r="O299" s="365" t="str">
        <f>IF(AN299=0,"",AN299)</f>
        <v/>
      </c>
      <c r="P299" s="365">
        <f>IF(AO299=1505,"",AO299)</f>
        <v>815</v>
      </c>
      <c r="Q299" s="365" t="str">
        <f>IF(AP299=0,"",AP299)</f>
        <v/>
      </c>
      <c r="R299" s="365">
        <f>IF(AQ299=1505,"",AQ299)</f>
        <v>760</v>
      </c>
      <c r="S299" s="365" t="str">
        <f>IF(AR299=0,"",AR299)</f>
        <v/>
      </c>
      <c r="T299" s="365">
        <f>IF(AS299=1505,"",AS299)</f>
        <v>802</v>
      </c>
      <c r="U299" s="365" t="str">
        <f>IF(AT299=0,"",AT299)</f>
        <v/>
      </c>
      <c r="V299" s="301"/>
      <c r="W299" s="301"/>
      <c r="AA299" s="93" t="s">
        <v>1799</v>
      </c>
      <c r="AB299" s="94"/>
      <c r="AC299" s="346">
        <f>SUM(AC295:AC298)</f>
        <v>876</v>
      </c>
      <c r="AD299" s="347"/>
      <c r="AE299" s="346">
        <f>SUM(AE295:AE298)</f>
        <v>844</v>
      </c>
      <c r="AF299" s="347"/>
      <c r="AG299" s="346">
        <f>SUM(AG295:AG298)</f>
        <v>620</v>
      </c>
      <c r="AH299" s="347"/>
      <c r="AI299" s="346">
        <f>SUM(AI295:AI298)</f>
        <v>818</v>
      </c>
      <c r="AJ299" s="347"/>
      <c r="AK299" s="346">
        <f>SUM(AK295:AK298)</f>
        <v>829</v>
      </c>
      <c r="AL299" s="347"/>
      <c r="AM299" s="346">
        <f>SUM(AM295:AM298)</f>
        <v>763</v>
      </c>
      <c r="AN299" s="347"/>
      <c r="AO299" s="346">
        <f>SUM(AO295:AO298)</f>
        <v>815</v>
      </c>
      <c r="AP299" s="347"/>
      <c r="AQ299" s="346">
        <f>SUM(AQ295:AQ298)</f>
        <v>760</v>
      </c>
      <c r="AR299" s="347"/>
      <c r="AS299" s="346">
        <f>SUM(AS295:AS298)</f>
        <v>802</v>
      </c>
      <c r="AT299" s="347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5"/>
      <c r="Y1" s="5"/>
      <c r="AA1" s="215" t="s">
        <v>2080</v>
      </c>
    </row>
    <row r="2" spans="1:31" ht="28.5" customHeight="1" x14ac:dyDescent="0.25">
      <c r="A2" s="386" t="str">
        <f>"Saison "&amp;Spielorte!C18&amp;"     -     Spieltag "&amp;Erfassung1!AS2&amp;"     -     "&amp;Erfassung1!AT1</f>
        <v>Saison 2024/2025     -     Spieltag 1     -     12.10./13.10.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5"/>
      <c r="Y2" s="5"/>
    </row>
    <row r="3" spans="1:31" ht="28.5" customHeight="1" x14ac:dyDescent="0.25">
      <c r="A3" s="386" t="str">
        <f>+Erfassung1!AE2</f>
        <v>Unterföhring Dreambowl Palace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9" t="s">
        <v>1816</v>
      </c>
      <c r="B5" s="391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1" t="s">
        <v>1808</v>
      </c>
      <c r="T5" s="380"/>
      <c r="U5" s="379" t="s">
        <v>1799</v>
      </c>
      <c r="V5" s="380"/>
      <c r="W5" s="387" t="s">
        <v>1818</v>
      </c>
    </row>
    <row r="6" spans="1:31" ht="13.8" thickBot="1" x14ac:dyDescent="0.3">
      <c r="A6" s="390"/>
      <c r="B6" s="392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8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INDEX(Erfassung1!$AA:$AA,MATCH($A7,Erfassung1!$BR:$BR,0)-17)</f>
        <v>Bajuwaren München 1</v>
      </c>
      <c r="C7" s="129">
        <f>INDEX(Erfassung1!AC:AC,MATCH($A7,Erfassung1!$BR:$BR,0)-1)</f>
        <v>912</v>
      </c>
      <c r="D7" s="130">
        <f>INDEX(Erfassung1!AD:AD,MATCH($A7,Erfassung1!$BR:$BR,0))</f>
        <v>6</v>
      </c>
      <c r="E7" s="129">
        <f>INDEX(Erfassung1!AE:AE,MATCH($A7,Erfassung1!$BR:$BR,0)-1)</f>
        <v>781</v>
      </c>
      <c r="F7" s="130">
        <f>INDEX(Erfassung1!AF:AF,MATCH($A7,Erfassung1!$BR:$BR,0))</f>
        <v>4</v>
      </c>
      <c r="G7" s="129">
        <f>INDEX(Erfassung1!AG:AG,MATCH($A7,Erfassung1!$BR:$BR,0)-1)</f>
        <v>872</v>
      </c>
      <c r="H7" s="130">
        <f>INDEX(Erfassung1!AH:AH,MATCH($A7,Erfassung1!$BR:$BR,0))</f>
        <v>6</v>
      </c>
      <c r="I7" s="129">
        <f>INDEX(Erfassung1!AI:AI,MATCH($A7,Erfassung1!$BR:$BR,0)-1)</f>
        <v>866</v>
      </c>
      <c r="J7" s="130">
        <f>INDEX(Erfassung1!AJ:AJ,MATCH($A7,Erfassung1!$BR:$BR,0))</f>
        <v>6</v>
      </c>
      <c r="K7" s="129">
        <f>INDEX(Erfassung1!AK:AK,MATCH($A7,Erfassung1!$BR:$BR,0)-1)</f>
        <v>809</v>
      </c>
      <c r="L7" s="130">
        <f>INDEX(Erfassung1!AL:AL,MATCH($A7,Erfassung1!$BR:$BR,0))</f>
        <v>1</v>
      </c>
      <c r="M7" s="129">
        <f>INDEX(Erfassung1!AM:AM,MATCH($A7,Erfassung1!$BR:$BR,0)-1)</f>
        <v>835</v>
      </c>
      <c r="N7" s="130">
        <f>INDEX(Erfassung1!AN:AN,MATCH($A7,Erfassung1!$BR:$BR,0))</f>
        <v>5</v>
      </c>
      <c r="O7" s="129">
        <f>INDEX(Erfassung1!AO:AO,MATCH($A7,Erfassung1!$BR:$BR,0)-1)</f>
        <v>815</v>
      </c>
      <c r="P7" s="130">
        <f>INDEX(Erfassung1!AP:AP,MATCH($A7,Erfassung1!$BR:$BR,0))</f>
        <v>5</v>
      </c>
      <c r="Q7" s="129">
        <f>INDEX(Erfassung1!AQ:AQ,MATCH($A7,Erfassung1!$BR:$BR,0)-1)</f>
        <v>687</v>
      </c>
      <c r="R7" s="130">
        <f>INDEX(Erfassung1!AR:AR,MATCH($A7,Erfassung1!$BR:$BR,0))</f>
        <v>1</v>
      </c>
      <c r="S7" s="129">
        <f>INDEX(Erfassung1!AS:AS,MATCH($A7,Erfassung1!$BR:$BR,0)-1)</f>
        <v>827</v>
      </c>
      <c r="T7" s="130">
        <f>INDEX(Erfassung1!AT:AT,MATCH($A7,Erfassung1!$BR:$BR,0))</f>
        <v>5</v>
      </c>
      <c r="U7" s="131">
        <f t="shared" ref="U7:U16" si="0">SUM(C7+E7+G7+I7+K7+M7+O7+Q7+S7)</f>
        <v>7404</v>
      </c>
      <c r="V7" s="132">
        <f t="shared" ref="V7:V16" si="1">SUM(D7+F7+H7+J7+L7+N7+P7+R7+T7)</f>
        <v>39</v>
      </c>
      <c r="W7" s="224">
        <f>IFERROR(U7/INDEX(Erfassung1!BF:BF,MATCH(A7,Erfassung1!BR:BR,0)),0)</f>
        <v>205.66666666666666</v>
      </c>
      <c r="X7" s="25"/>
      <c r="AE7" s="215">
        <f>SUMIF(Erfassung1!BU:BU,B7,Erfassung1!BF:BF)</f>
        <v>36</v>
      </c>
    </row>
    <row r="8" spans="1:31" ht="42" customHeight="1" thickBot="1" x14ac:dyDescent="0.3">
      <c r="A8" s="223">
        <v>2</v>
      </c>
      <c r="B8" s="128" t="str">
        <f>INDEX(Erfassung1!$AA:$AA,MATCH($A8,Erfassung1!$BR:$BR,0)-17)</f>
        <v>BK München 3</v>
      </c>
      <c r="C8" s="129">
        <f>INDEX(Erfassung1!AC:AC,MATCH($A8,Erfassung1!$BR:$BR,0)-1)</f>
        <v>854</v>
      </c>
      <c r="D8" s="130">
        <f>INDEX(Erfassung1!AD:AD,MATCH($A8,Erfassung1!$BR:$BR,0))</f>
        <v>6</v>
      </c>
      <c r="E8" s="129">
        <f>INDEX(Erfassung1!AE:AE,MATCH($A8,Erfassung1!$BR:$BR,0)-1)</f>
        <v>844</v>
      </c>
      <c r="F8" s="130">
        <f>INDEX(Erfassung1!AF:AF,MATCH($A8,Erfassung1!$BR:$BR,0))</f>
        <v>5</v>
      </c>
      <c r="G8" s="129">
        <f>INDEX(Erfassung1!AG:AG,MATCH($A8,Erfassung1!$BR:$BR,0)-1)</f>
        <v>858</v>
      </c>
      <c r="H8" s="130">
        <f>INDEX(Erfassung1!AH:AH,MATCH($A8,Erfassung1!$BR:$BR,0))</f>
        <v>5</v>
      </c>
      <c r="I8" s="129">
        <f>INDEX(Erfassung1!AI:AI,MATCH($A8,Erfassung1!$BR:$BR,0)-1)</f>
        <v>787</v>
      </c>
      <c r="J8" s="130">
        <f>INDEX(Erfassung1!AJ:AJ,MATCH($A8,Erfassung1!$BR:$BR,0))</f>
        <v>1</v>
      </c>
      <c r="K8" s="129">
        <f>INDEX(Erfassung1!AK:AK,MATCH($A8,Erfassung1!$BR:$BR,0)-1)</f>
        <v>876</v>
      </c>
      <c r="L8" s="130">
        <f>INDEX(Erfassung1!AL:AL,MATCH($A8,Erfassung1!$BR:$BR,0))</f>
        <v>5</v>
      </c>
      <c r="M8" s="129">
        <f>INDEX(Erfassung1!AM:AM,MATCH($A8,Erfassung1!$BR:$BR,0)-1)</f>
        <v>861</v>
      </c>
      <c r="N8" s="130">
        <f>INDEX(Erfassung1!AN:AN,MATCH($A8,Erfassung1!$BR:$BR,0))</f>
        <v>1</v>
      </c>
      <c r="O8" s="129">
        <f>INDEX(Erfassung1!AO:AO,MATCH($A8,Erfassung1!$BR:$BR,0)-1)</f>
        <v>892</v>
      </c>
      <c r="P8" s="130">
        <f>INDEX(Erfassung1!AP:AP,MATCH($A8,Erfassung1!$BR:$BR,0))</f>
        <v>4</v>
      </c>
      <c r="Q8" s="129">
        <f>INDEX(Erfassung1!AQ:AQ,MATCH($A8,Erfassung1!$BR:$BR,0)-1)</f>
        <v>804</v>
      </c>
      <c r="R8" s="130">
        <f>INDEX(Erfassung1!AR:AR,MATCH($A8,Erfassung1!$BR:$BR,0))</f>
        <v>4</v>
      </c>
      <c r="S8" s="129">
        <f>INDEX(Erfassung1!AS:AS,MATCH($A8,Erfassung1!$BR:$BR,0)-1)</f>
        <v>894</v>
      </c>
      <c r="T8" s="130">
        <f>INDEX(Erfassung1!AT:AT,MATCH($A8,Erfassung1!$BR:$BR,0))</f>
        <v>4</v>
      </c>
      <c r="U8" s="131">
        <f t="shared" si="0"/>
        <v>7670</v>
      </c>
      <c r="V8" s="132">
        <f t="shared" si="1"/>
        <v>35</v>
      </c>
      <c r="W8" s="224">
        <f>IFERROR(U8/INDEX(Erfassung1!BF:BF,MATCH(A8,Erfassung1!BR:BR,0)),0)</f>
        <v>213.05555555555554</v>
      </c>
      <c r="X8" s="25"/>
      <c r="AE8" s="215">
        <f>SUMIF(Erfassung1!BU:BU,B8,Erfassung1!BF:BF)</f>
        <v>36</v>
      </c>
    </row>
    <row r="9" spans="1:31" ht="42" customHeight="1" thickBot="1" x14ac:dyDescent="0.3">
      <c r="A9" s="223">
        <v>3</v>
      </c>
      <c r="B9" s="128" t="str">
        <f>INDEX(Erfassung1!$AA:$AA,MATCH($A9,Erfassung1!$BR:$BR,0)-17)</f>
        <v>BC Comet Nürnberg</v>
      </c>
      <c r="C9" s="129">
        <f>INDEX(Erfassung1!AC:AC,MATCH($A9,Erfassung1!$BR:$BR,0)-1)</f>
        <v>777</v>
      </c>
      <c r="D9" s="130">
        <f>INDEX(Erfassung1!AD:AD,MATCH($A9,Erfassung1!$BR:$BR,0))</f>
        <v>0</v>
      </c>
      <c r="E9" s="129">
        <f>INDEX(Erfassung1!AE:AE,MATCH($A9,Erfassung1!$BR:$BR,0)-1)</f>
        <v>765</v>
      </c>
      <c r="F9" s="130">
        <f>INDEX(Erfassung1!AF:AF,MATCH($A9,Erfassung1!$BR:$BR,0))</f>
        <v>0</v>
      </c>
      <c r="G9" s="129">
        <f>INDEX(Erfassung1!AG:AG,MATCH($A9,Erfassung1!$BR:$BR,0)-1)</f>
        <v>879</v>
      </c>
      <c r="H9" s="130">
        <f>INDEX(Erfassung1!AH:AH,MATCH($A9,Erfassung1!$BR:$BR,0))</f>
        <v>5</v>
      </c>
      <c r="I9" s="129">
        <f>INDEX(Erfassung1!AI:AI,MATCH($A9,Erfassung1!$BR:$BR,0)-1)</f>
        <v>849</v>
      </c>
      <c r="J9" s="130">
        <f>INDEX(Erfassung1!AJ:AJ,MATCH($A9,Erfassung1!$BR:$BR,0))</f>
        <v>5</v>
      </c>
      <c r="K9" s="129">
        <f>INDEX(Erfassung1!AK:AK,MATCH($A9,Erfassung1!$BR:$BR,0)-1)</f>
        <v>829</v>
      </c>
      <c r="L9" s="130">
        <f>INDEX(Erfassung1!AL:AL,MATCH($A9,Erfassung1!$BR:$BR,0))</f>
        <v>4</v>
      </c>
      <c r="M9" s="129">
        <f>INDEX(Erfassung1!AM:AM,MATCH($A9,Erfassung1!$BR:$BR,0)-1)</f>
        <v>845</v>
      </c>
      <c r="N9" s="130">
        <f>INDEX(Erfassung1!AN:AN,MATCH($A9,Erfassung1!$BR:$BR,0))</f>
        <v>5</v>
      </c>
      <c r="O9" s="129">
        <f>INDEX(Erfassung1!AO:AO,MATCH($A9,Erfassung1!$BR:$BR,0)-1)</f>
        <v>828</v>
      </c>
      <c r="P9" s="130">
        <f>INDEX(Erfassung1!AP:AP,MATCH($A9,Erfassung1!$BR:$BR,0))</f>
        <v>2</v>
      </c>
      <c r="Q9" s="129">
        <f>INDEX(Erfassung1!AQ:AQ,MATCH($A9,Erfassung1!$BR:$BR,0)-1)</f>
        <v>832</v>
      </c>
      <c r="R9" s="130">
        <f>INDEX(Erfassung1!AR:AR,MATCH($A9,Erfassung1!$BR:$BR,0))</f>
        <v>5</v>
      </c>
      <c r="S9" s="129">
        <f>INDEX(Erfassung1!AS:AS,MATCH($A9,Erfassung1!$BR:$BR,0)-1)</f>
        <v>752</v>
      </c>
      <c r="T9" s="130">
        <f>INDEX(Erfassung1!AT:AT,MATCH($A9,Erfassung1!$BR:$BR,0))</f>
        <v>5.5</v>
      </c>
      <c r="U9" s="131">
        <f t="shared" si="0"/>
        <v>7356</v>
      </c>
      <c r="V9" s="132">
        <f t="shared" si="1"/>
        <v>31.5</v>
      </c>
      <c r="W9" s="224">
        <f>IFERROR(U9/INDEX(Erfassung1!BF:BF,MATCH(A9,Erfassung1!BR:BR,0)),0)</f>
        <v>204.33333333333334</v>
      </c>
      <c r="X9" s="25"/>
      <c r="AE9" s="215">
        <f>SUMIF(Erfassung1!BU:BU,B9,Erfassung1!BF:BF)</f>
        <v>36</v>
      </c>
    </row>
    <row r="10" spans="1:31" ht="42" customHeight="1" thickBot="1" x14ac:dyDescent="0.3">
      <c r="A10" s="223">
        <v>4</v>
      </c>
      <c r="B10" s="128" t="str">
        <f>INDEX(Erfassung1!$AA:$AA,MATCH($A10,Erfassung1!$BR:$BR,0)-17)</f>
        <v>SG DJK Rimpar</v>
      </c>
      <c r="C10" s="129">
        <f>INDEX(Erfassung1!AC:AC,MATCH($A10,Erfassung1!$BR:$BR,0)-1)</f>
        <v>888</v>
      </c>
      <c r="D10" s="130">
        <f>INDEX(Erfassung1!AD:AD,MATCH($A10,Erfassung1!$BR:$BR,0))</f>
        <v>5</v>
      </c>
      <c r="E10" s="129">
        <f>INDEX(Erfassung1!AE:AE,MATCH($A10,Erfassung1!$BR:$BR,0)-1)</f>
        <v>767</v>
      </c>
      <c r="F10" s="130">
        <f>INDEX(Erfassung1!AF:AF,MATCH($A10,Erfassung1!$BR:$BR,0))</f>
        <v>2</v>
      </c>
      <c r="G10" s="129">
        <f>INDEX(Erfassung1!AG:AG,MATCH($A10,Erfassung1!$BR:$BR,0)-1)</f>
        <v>879</v>
      </c>
      <c r="H10" s="130">
        <f>INDEX(Erfassung1!AH:AH,MATCH($A10,Erfassung1!$BR:$BR,0))</f>
        <v>5</v>
      </c>
      <c r="I10" s="129">
        <f>INDEX(Erfassung1!AI:AI,MATCH($A10,Erfassung1!$BR:$BR,0)-1)</f>
        <v>818</v>
      </c>
      <c r="J10" s="130">
        <f>INDEX(Erfassung1!AJ:AJ,MATCH($A10,Erfassung1!$BR:$BR,0))</f>
        <v>2</v>
      </c>
      <c r="K10" s="129">
        <f>INDEX(Erfassung1!AK:AK,MATCH($A10,Erfassung1!$BR:$BR,0)-1)</f>
        <v>817</v>
      </c>
      <c r="L10" s="130">
        <f>INDEX(Erfassung1!AL:AL,MATCH($A10,Erfassung1!$BR:$BR,0))</f>
        <v>1</v>
      </c>
      <c r="M10" s="129">
        <f>INDEX(Erfassung1!AM:AM,MATCH($A10,Erfassung1!$BR:$BR,0)-1)</f>
        <v>845</v>
      </c>
      <c r="N10" s="130">
        <f>INDEX(Erfassung1!AN:AN,MATCH($A10,Erfassung1!$BR:$BR,0))</f>
        <v>2</v>
      </c>
      <c r="O10" s="129">
        <f>INDEX(Erfassung1!AO:AO,MATCH($A10,Erfassung1!$BR:$BR,0)-1)</f>
        <v>840</v>
      </c>
      <c r="P10" s="130">
        <f>INDEX(Erfassung1!AP:AP,MATCH($A10,Erfassung1!$BR:$BR,0))</f>
        <v>4</v>
      </c>
      <c r="Q10" s="129">
        <f>INDEX(Erfassung1!AQ:AQ,MATCH($A10,Erfassung1!$BR:$BR,0)-1)</f>
        <v>780</v>
      </c>
      <c r="R10" s="130">
        <f>INDEX(Erfassung1!AR:AR,MATCH($A10,Erfassung1!$BR:$BR,0))</f>
        <v>2</v>
      </c>
      <c r="S10" s="129">
        <f>INDEX(Erfassung1!AS:AS,MATCH($A10,Erfassung1!$BR:$BR,0)-1)</f>
        <v>805</v>
      </c>
      <c r="T10" s="130">
        <f>INDEX(Erfassung1!AT:AT,MATCH($A10,Erfassung1!$BR:$BR,0))</f>
        <v>6</v>
      </c>
      <c r="U10" s="131">
        <f t="shared" si="0"/>
        <v>7439</v>
      </c>
      <c r="V10" s="132">
        <f t="shared" si="1"/>
        <v>29</v>
      </c>
      <c r="W10" s="224">
        <f>IFERROR(U10/INDEX(Erfassung1!BF:BF,MATCH(A10,Erfassung1!BR:BR,0)),0)</f>
        <v>206.63888888888889</v>
      </c>
      <c r="X10" s="25"/>
      <c r="AE10" s="215">
        <f>SUMIF(Erfassung1!BU:BU,B10,Erfassung1!BF:BF)</f>
        <v>36</v>
      </c>
    </row>
    <row r="11" spans="1:31" ht="42" customHeight="1" thickBot="1" x14ac:dyDescent="0.3">
      <c r="A11" s="223">
        <v>5</v>
      </c>
      <c r="B11" s="128" t="str">
        <f>INDEX(Erfassung1!$AA:$AA,MATCH($A11,Erfassung1!$BR:$BR,0)-17)</f>
        <v>Bowlinghaus Bamberg 1</v>
      </c>
      <c r="C11" s="129">
        <f>INDEX(Erfassung1!AC:AC,MATCH($A11,Erfassung1!$BR:$BR,0)-1)</f>
        <v>732</v>
      </c>
      <c r="D11" s="130">
        <f>INDEX(Erfassung1!AD:AD,MATCH($A11,Erfassung1!$BR:$BR,0))</f>
        <v>2.5</v>
      </c>
      <c r="E11" s="129">
        <f>INDEX(Erfassung1!AE:AE,MATCH($A11,Erfassung1!$BR:$BR,0)-1)</f>
        <v>846</v>
      </c>
      <c r="F11" s="130">
        <f>INDEX(Erfassung1!AF:AF,MATCH($A11,Erfassung1!$BR:$BR,0))</f>
        <v>6</v>
      </c>
      <c r="G11" s="129">
        <f>INDEX(Erfassung1!AG:AG,MATCH($A11,Erfassung1!$BR:$BR,0)-1)</f>
        <v>745</v>
      </c>
      <c r="H11" s="130">
        <f>INDEX(Erfassung1!AH:AH,MATCH($A11,Erfassung1!$BR:$BR,0))</f>
        <v>1</v>
      </c>
      <c r="I11" s="129">
        <f>INDEX(Erfassung1!AI:AI,MATCH($A11,Erfassung1!$BR:$BR,0)-1)</f>
        <v>839</v>
      </c>
      <c r="J11" s="130">
        <f>INDEX(Erfassung1!AJ:AJ,MATCH($A11,Erfassung1!$BR:$BR,0))</f>
        <v>5</v>
      </c>
      <c r="K11" s="129">
        <f>INDEX(Erfassung1!AK:AK,MATCH($A11,Erfassung1!$BR:$BR,0)-1)</f>
        <v>825</v>
      </c>
      <c r="L11" s="130">
        <f>INDEX(Erfassung1!AL:AL,MATCH($A11,Erfassung1!$BR:$BR,0))</f>
        <v>1</v>
      </c>
      <c r="M11" s="129">
        <f>INDEX(Erfassung1!AM:AM,MATCH($A11,Erfassung1!$BR:$BR,0)-1)</f>
        <v>763</v>
      </c>
      <c r="N11" s="130">
        <f>INDEX(Erfassung1!AN:AN,MATCH($A11,Erfassung1!$BR:$BR,0))</f>
        <v>4</v>
      </c>
      <c r="O11" s="129">
        <f>INDEX(Erfassung1!AO:AO,MATCH($A11,Erfassung1!$BR:$BR,0)-1)</f>
        <v>714</v>
      </c>
      <c r="P11" s="130">
        <f>INDEX(Erfassung1!AP:AP,MATCH($A11,Erfassung1!$BR:$BR,0))</f>
        <v>4</v>
      </c>
      <c r="Q11" s="129">
        <f>INDEX(Erfassung1!AQ:AQ,MATCH($A11,Erfassung1!$BR:$BR,0)-1)</f>
        <v>792</v>
      </c>
      <c r="R11" s="130">
        <f>INDEX(Erfassung1!AR:AR,MATCH($A11,Erfassung1!$BR:$BR,0))</f>
        <v>4</v>
      </c>
      <c r="S11" s="129">
        <f>INDEX(Erfassung1!AS:AS,MATCH($A11,Erfassung1!$BR:$BR,0)-1)</f>
        <v>730</v>
      </c>
      <c r="T11" s="130">
        <f>INDEX(Erfassung1!AT:AT,MATCH($A11,Erfassung1!$BR:$BR,0))</f>
        <v>1</v>
      </c>
      <c r="U11" s="131">
        <f t="shared" si="0"/>
        <v>6986</v>
      </c>
      <c r="V11" s="132">
        <f t="shared" si="1"/>
        <v>28.5</v>
      </c>
      <c r="W11" s="224">
        <f>IFERROR(U11/INDEX(Erfassung1!BF:BF,MATCH(A11,Erfassung1!BR:BR,0)),0)</f>
        <v>194.05555555555554</v>
      </c>
      <c r="X11" s="25"/>
      <c r="AE11" s="215">
        <f>SUMIF(Erfassung1!BU:BU,B11,Erfassung1!BF:BF)</f>
        <v>36</v>
      </c>
    </row>
    <row r="12" spans="1:31" ht="42" customHeight="1" thickBot="1" x14ac:dyDescent="0.3">
      <c r="A12" s="223">
        <v>6</v>
      </c>
      <c r="B12" s="128" t="str">
        <f>INDEX(Erfassung1!$AA:$AA,MATCH($A12,Erfassung1!$BR:$BR,0)-17)</f>
        <v>SG Rottendorf 1</v>
      </c>
      <c r="C12" s="129">
        <f>INDEX(Erfassung1!AC:AC,MATCH($A12,Erfassung1!$BR:$BR,0)-1)</f>
        <v>746</v>
      </c>
      <c r="D12" s="130">
        <f>INDEX(Erfassung1!AD:AD,MATCH($A12,Erfassung1!$BR:$BR,0))</f>
        <v>0</v>
      </c>
      <c r="E12" s="129">
        <f>INDEX(Erfassung1!AE:AE,MATCH($A12,Erfassung1!$BR:$BR,0)-1)</f>
        <v>700</v>
      </c>
      <c r="F12" s="130">
        <f>INDEX(Erfassung1!AF:AF,MATCH($A12,Erfassung1!$BR:$BR,0))</f>
        <v>5</v>
      </c>
      <c r="G12" s="129">
        <f>INDEX(Erfassung1!AG:AG,MATCH($A12,Erfassung1!$BR:$BR,0)-1)</f>
        <v>757</v>
      </c>
      <c r="H12" s="130">
        <f>INDEX(Erfassung1!AH:AH,MATCH($A12,Erfassung1!$BR:$BR,0))</f>
        <v>1</v>
      </c>
      <c r="I12" s="129">
        <f>INDEX(Erfassung1!AI:AI,MATCH($A12,Erfassung1!$BR:$BR,0)-1)</f>
        <v>795</v>
      </c>
      <c r="J12" s="130">
        <f>INDEX(Erfassung1!AJ:AJ,MATCH($A12,Erfassung1!$BR:$BR,0))</f>
        <v>4</v>
      </c>
      <c r="K12" s="129">
        <f>INDEX(Erfassung1!AK:AK,MATCH($A12,Erfassung1!$BR:$BR,0)-1)</f>
        <v>849</v>
      </c>
      <c r="L12" s="130">
        <f>INDEX(Erfassung1!AL:AL,MATCH($A12,Erfassung1!$BR:$BR,0))</f>
        <v>5</v>
      </c>
      <c r="M12" s="129">
        <f>INDEX(Erfassung1!AM:AM,MATCH($A12,Erfassung1!$BR:$BR,0)-1)</f>
        <v>876</v>
      </c>
      <c r="N12" s="130">
        <f>INDEX(Erfassung1!AN:AN,MATCH($A12,Erfassung1!$BR:$BR,0))</f>
        <v>5</v>
      </c>
      <c r="O12" s="129">
        <f>INDEX(Erfassung1!AO:AO,MATCH($A12,Erfassung1!$BR:$BR,0)-1)</f>
        <v>669</v>
      </c>
      <c r="P12" s="130">
        <f>INDEX(Erfassung1!AP:AP,MATCH($A12,Erfassung1!$BR:$BR,0))</f>
        <v>1</v>
      </c>
      <c r="Q12" s="129">
        <f>INDEX(Erfassung1!AQ:AQ,MATCH($A12,Erfassung1!$BR:$BR,0)-1)</f>
        <v>636</v>
      </c>
      <c r="R12" s="130">
        <f>INDEX(Erfassung1!AR:AR,MATCH($A12,Erfassung1!$BR:$BR,0))</f>
        <v>2</v>
      </c>
      <c r="S12" s="129">
        <f>INDEX(Erfassung1!AS:AS,MATCH($A12,Erfassung1!$BR:$BR,0)-1)</f>
        <v>802</v>
      </c>
      <c r="T12" s="130">
        <f>INDEX(Erfassung1!AT:AT,MATCH($A12,Erfassung1!$BR:$BR,0))</f>
        <v>3.5</v>
      </c>
      <c r="U12" s="131">
        <f t="shared" si="0"/>
        <v>6830</v>
      </c>
      <c r="V12" s="132">
        <f t="shared" si="1"/>
        <v>26.5</v>
      </c>
      <c r="W12" s="224">
        <f>IFERROR(U12/INDEX(Erfassung1!BF:BF,MATCH(A12,Erfassung1!BR:BR,0)),0)</f>
        <v>195.14285714285714</v>
      </c>
      <c r="X12" s="25"/>
      <c r="AE12" s="215">
        <f>SUMIF(Erfassung1!BU:BU,B12,Erfassung1!BF:BF)</f>
        <v>35</v>
      </c>
    </row>
    <row r="13" spans="1:31" ht="42" customHeight="1" thickBot="1" x14ac:dyDescent="0.3">
      <c r="A13" s="223">
        <v>7</v>
      </c>
      <c r="B13" s="128" t="str">
        <f>INDEX(Erfassung1!$AA:$AA,MATCH($A13,Erfassung1!$BR:$BR,0)-17)</f>
        <v>BC EMAX Unterföhring 2</v>
      </c>
      <c r="C13" s="129">
        <f>INDEX(Erfassung1!AC:AC,MATCH($A13,Erfassung1!$BR:$BR,0)-1)</f>
        <v>876</v>
      </c>
      <c r="D13" s="130">
        <f>INDEX(Erfassung1!AD:AD,MATCH($A13,Erfassung1!$BR:$BR,0))</f>
        <v>5</v>
      </c>
      <c r="E13" s="129">
        <f>INDEX(Erfassung1!AE:AE,MATCH($A13,Erfassung1!$BR:$BR,0)-1)</f>
        <v>846</v>
      </c>
      <c r="F13" s="130">
        <f>INDEX(Erfassung1!AF:AF,MATCH($A13,Erfassung1!$BR:$BR,0))</f>
        <v>5</v>
      </c>
      <c r="G13" s="129">
        <f>INDEX(Erfassung1!AG:AG,MATCH($A13,Erfassung1!$BR:$BR,0)-1)</f>
        <v>707</v>
      </c>
      <c r="H13" s="130">
        <f>INDEX(Erfassung1!AH:AH,MATCH($A13,Erfassung1!$BR:$BR,0))</f>
        <v>0</v>
      </c>
      <c r="I13" s="129">
        <f>INDEX(Erfassung1!AI:AI,MATCH($A13,Erfassung1!$BR:$BR,0)-1)</f>
        <v>764</v>
      </c>
      <c r="J13" s="130">
        <f>INDEX(Erfassung1!AJ:AJ,MATCH($A13,Erfassung1!$BR:$BR,0))</f>
        <v>2</v>
      </c>
      <c r="K13" s="129">
        <f>INDEX(Erfassung1!AK:AK,MATCH($A13,Erfassung1!$BR:$BR,0)-1)</f>
        <v>910</v>
      </c>
      <c r="L13" s="130">
        <f>INDEX(Erfassung1!AL:AL,MATCH($A13,Erfassung1!$BR:$BR,0))</f>
        <v>5</v>
      </c>
      <c r="M13" s="129">
        <f>INDEX(Erfassung1!AM:AM,MATCH($A13,Erfassung1!$BR:$BR,0)-1)</f>
        <v>848</v>
      </c>
      <c r="N13" s="130">
        <f>INDEX(Erfassung1!AN:AN,MATCH($A13,Erfassung1!$BR:$BR,0))</f>
        <v>4</v>
      </c>
      <c r="O13" s="129">
        <f>INDEX(Erfassung1!AO:AO,MATCH($A13,Erfassung1!$BR:$BR,0)-1)</f>
        <v>863</v>
      </c>
      <c r="P13" s="130">
        <f>INDEX(Erfassung1!AP:AP,MATCH($A13,Erfassung1!$BR:$BR,0))</f>
        <v>2</v>
      </c>
      <c r="Q13" s="129">
        <f>INDEX(Erfassung1!AQ:AQ,MATCH($A13,Erfassung1!$BR:$BR,0)-1)</f>
        <v>689</v>
      </c>
      <c r="R13" s="130">
        <f>INDEX(Erfassung1!AR:AR,MATCH($A13,Erfassung1!$BR:$BR,0))</f>
        <v>1</v>
      </c>
      <c r="S13" s="129">
        <f>INDEX(Erfassung1!AS:AS,MATCH($A13,Erfassung1!$BR:$BR,0)-1)</f>
        <v>702</v>
      </c>
      <c r="T13" s="130">
        <f>INDEX(Erfassung1!AT:AT,MATCH($A13,Erfassung1!$BR:$BR,0))</f>
        <v>0.5</v>
      </c>
      <c r="U13" s="131">
        <f t="shared" si="0"/>
        <v>7205</v>
      </c>
      <c r="V13" s="132">
        <f t="shared" si="1"/>
        <v>24.5</v>
      </c>
      <c r="W13" s="224">
        <f>IFERROR(U13/INDEX(Erfassung1!BF:BF,MATCH(A13,Erfassung1!BR:BR,0)),0)</f>
        <v>200.13888888888889</v>
      </c>
      <c r="X13" s="25"/>
      <c r="AE13" s="215">
        <f>SUMIF(Erfassung1!BU:BU,B13,Erfassung1!BF:BF)</f>
        <v>36</v>
      </c>
    </row>
    <row r="14" spans="1:31" ht="42" customHeight="1" thickBot="1" x14ac:dyDescent="0.3">
      <c r="A14" s="223">
        <v>8</v>
      </c>
      <c r="B14" s="128" t="str">
        <f>INDEX(Erfassung1!$AA:$AA,MATCH($A14,Erfassung1!$BR:$BR,0)-17)</f>
        <v>RW Lichtenhof Stein 1</v>
      </c>
      <c r="C14" s="129">
        <f>INDEX(Erfassung1!AC:AC,MATCH($A14,Erfassung1!$BR:$BR,0)-1)</f>
        <v>753</v>
      </c>
      <c r="D14" s="130">
        <f>INDEX(Erfassung1!AD:AD,MATCH($A14,Erfassung1!$BR:$BR,0))</f>
        <v>3.5</v>
      </c>
      <c r="E14" s="129">
        <f>INDEX(Erfassung1!AE:AE,MATCH($A14,Erfassung1!$BR:$BR,0)-1)</f>
        <v>777</v>
      </c>
      <c r="F14" s="130">
        <f>INDEX(Erfassung1!AF:AF,MATCH($A14,Erfassung1!$BR:$BR,0))</f>
        <v>1</v>
      </c>
      <c r="G14" s="129">
        <f>INDEX(Erfassung1!AG:AG,MATCH($A14,Erfassung1!$BR:$BR,0)-1)</f>
        <v>796</v>
      </c>
      <c r="H14" s="130">
        <f>INDEX(Erfassung1!AH:AH,MATCH($A14,Erfassung1!$BR:$BR,0))</f>
        <v>1</v>
      </c>
      <c r="I14" s="129">
        <f>INDEX(Erfassung1!AI:AI,MATCH($A14,Erfassung1!$BR:$BR,0)-1)</f>
        <v>739</v>
      </c>
      <c r="J14" s="130">
        <f>INDEX(Erfassung1!AJ:AJ,MATCH($A14,Erfassung1!$BR:$BR,0))</f>
        <v>1</v>
      </c>
      <c r="K14" s="129">
        <f>INDEX(Erfassung1!AK:AK,MATCH($A14,Erfassung1!$BR:$BR,0)-1)</f>
        <v>766</v>
      </c>
      <c r="L14" s="130">
        <f>INDEX(Erfassung1!AL:AL,MATCH($A14,Erfassung1!$BR:$BR,0))</f>
        <v>5</v>
      </c>
      <c r="M14" s="129">
        <f>INDEX(Erfassung1!AM:AM,MATCH($A14,Erfassung1!$BR:$BR,0)-1)</f>
        <v>748</v>
      </c>
      <c r="N14" s="130">
        <f>INDEX(Erfassung1!AN:AN,MATCH($A14,Erfassung1!$BR:$BR,0))</f>
        <v>1</v>
      </c>
      <c r="O14" s="129">
        <f>INDEX(Erfassung1!AO:AO,MATCH($A14,Erfassung1!$BR:$BR,0)-1)</f>
        <v>771</v>
      </c>
      <c r="P14" s="130">
        <f>INDEX(Erfassung1!AP:AP,MATCH($A14,Erfassung1!$BR:$BR,0))</f>
        <v>5</v>
      </c>
      <c r="Q14" s="129">
        <f>INDEX(Erfassung1!AQ:AQ,MATCH($A14,Erfassung1!$BR:$BR,0)-1)</f>
        <v>760</v>
      </c>
      <c r="R14" s="130">
        <f>INDEX(Erfassung1!AR:AR,MATCH($A14,Erfassung1!$BR:$BR,0))</f>
        <v>4</v>
      </c>
      <c r="S14" s="129">
        <f>INDEX(Erfassung1!AS:AS,MATCH($A14,Erfassung1!$BR:$BR,0)-1)</f>
        <v>691</v>
      </c>
      <c r="T14" s="130">
        <f>INDEX(Erfassung1!AT:AT,MATCH($A14,Erfassung1!$BR:$BR,0))</f>
        <v>0</v>
      </c>
      <c r="U14" s="131">
        <f t="shared" si="0"/>
        <v>6801</v>
      </c>
      <c r="V14" s="132">
        <f t="shared" si="1"/>
        <v>21.5</v>
      </c>
      <c r="W14" s="224">
        <f>IFERROR(U14/INDEX(Erfassung1!BF:BF,MATCH(A14,Erfassung1!BR:BR,0)),0)</f>
        <v>188.91666666666666</v>
      </c>
      <c r="X14" s="25"/>
      <c r="AE14" s="215">
        <f>SUMIF(Erfassung1!BU:BU,B14,Erfassung1!BF:BF)</f>
        <v>36</v>
      </c>
    </row>
    <row r="15" spans="1:31" ht="42" customHeight="1" thickBot="1" x14ac:dyDescent="0.3">
      <c r="A15" s="223">
        <v>9</v>
      </c>
      <c r="B15" s="128" t="str">
        <f>INDEX(Erfassung1!$AA:$AA,MATCH($A15,Erfassung1!$BR:$BR,0)-17)</f>
        <v>High Roller Rosenheim 1</v>
      </c>
      <c r="C15" s="129">
        <f>INDEX(Erfassung1!AC:AC,MATCH($A15,Erfassung1!$BR:$BR,0)-1)</f>
        <v>729</v>
      </c>
      <c r="D15" s="130">
        <f>INDEX(Erfassung1!AD:AD,MATCH($A15,Erfassung1!$BR:$BR,0))</f>
        <v>1</v>
      </c>
      <c r="E15" s="129">
        <f>INDEX(Erfassung1!AE:AE,MATCH($A15,Erfassung1!$BR:$BR,0)-1)</f>
        <v>732</v>
      </c>
      <c r="F15" s="130">
        <f>INDEX(Erfassung1!AF:AF,MATCH($A15,Erfassung1!$BR:$BR,0))</f>
        <v>1</v>
      </c>
      <c r="G15" s="129">
        <f>INDEX(Erfassung1!AG:AG,MATCH($A15,Erfassung1!$BR:$BR,0)-1)</f>
        <v>756</v>
      </c>
      <c r="H15" s="130">
        <f>INDEX(Erfassung1!AH:AH,MATCH($A15,Erfassung1!$BR:$BR,0))</f>
        <v>5</v>
      </c>
      <c r="I15" s="129">
        <f>INDEX(Erfassung1!AI:AI,MATCH($A15,Erfassung1!$BR:$BR,0)-1)</f>
        <v>834</v>
      </c>
      <c r="J15" s="130">
        <f>INDEX(Erfassung1!AJ:AJ,MATCH($A15,Erfassung1!$BR:$BR,0))</f>
        <v>4</v>
      </c>
      <c r="K15" s="129">
        <f>INDEX(Erfassung1!AK:AK,MATCH($A15,Erfassung1!$BR:$BR,0)-1)</f>
        <v>747</v>
      </c>
      <c r="L15" s="130">
        <f>INDEX(Erfassung1!AL:AL,MATCH($A15,Erfassung1!$BR:$BR,0))</f>
        <v>2</v>
      </c>
      <c r="M15" s="129">
        <f>INDEX(Erfassung1!AM:AM,MATCH($A15,Erfassung1!$BR:$BR,0)-1)</f>
        <v>680</v>
      </c>
      <c r="N15" s="130">
        <f>INDEX(Erfassung1!AN:AN,MATCH($A15,Erfassung1!$BR:$BR,0))</f>
        <v>2</v>
      </c>
      <c r="O15" s="129">
        <f>INDEX(Erfassung1!AO:AO,MATCH($A15,Erfassung1!$BR:$BR,0)-1)</f>
        <v>715</v>
      </c>
      <c r="P15" s="130">
        <f>INDEX(Erfassung1!AP:AP,MATCH($A15,Erfassung1!$BR:$BR,0))</f>
        <v>1</v>
      </c>
      <c r="Q15" s="129">
        <f>INDEX(Erfassung1!AQ:AQ,MATCH($A15,Erfassung1!$BR:$BR,0)-1)</f>
        <v>748</v>
      </c>
      <c r="R15" s="130">
        <f>INDEX(Erfassung1!AR:AR,MATCH($A15,Erfassung1!$BR:$BR,0))</f>
        <v>2</v>
      </c>
      <c r="S15" s="129">
        <f>INDEX(Erfassung1!AS:AS,MATCH($A15,Erfassung1!$BR:$BR,0)-1)</f>
        <v>755</v>
      </c>
      <c r="T15" s="130">
        <f>INDEX(Erfassung1!AT:AT,MATCH($A15,Erfassung1!$BR:$BR,0))</f>
        <v>2.5</v>
      </c>
      <c r="U15" s="131">
        <f t="shared" si="0"/>
        <v>6696</v>
      </c>
      <c r="V15" s="132">
        <f t="shared" si="1"/>
        <v>20.5</v>
      </c>
      <c r="W15" s="224">
        <f>IFERROR(U15/INDEX(Erfassung1!BF:BF,MATCH(A15,Erfassung1!BR:BR,0)),0)</f>
        <v>186</v>
      </c>
      <c r="X15" s="25"/>
      <c r="AE15" s="215">
        <f>SUMIF(Erfassung1!BU:BU,B15,Erfassung1!BF:BF)</f>
        <v>36</v>
      </c>
    </row>
    <row r="16" spans="1:31" ht="42" customHeight="1" thickBot="1" x14ac:dyDescent="0.3">
      <c r="A16" s="223">
        <v>10</v>
      </c>
      <c r="B16" s="128" t="str">
        <f>INDEX(Erfassung1!$AA:$AA,MATCH($A16,Erfassung1!$BR:$BR,0)-17)</f>
        <v>Schanzer Ingolstadt 1</v>
      </c>
      <c r="C16" s="129">
        <f>INDEX(Erfassung1!AC:AC,MATCH($A16,Erfassung1!$BR:$BR,0)-1)</f>
        <v>721</v>
      </c>
      <c r="D16" s="130">
        <f>INDEX(Erfassung1!AD:AD,MATCH($A16,Erfassung1!$BR:$BR,0))</f>
        <v>1</v>
      </c>
      <c r="E16" s="129">
        <f>INDEX(Erfassung1!AE:AE,MATCH($A16,Erfassung1!$BR:$BR,0)-1)</f>
        <v>625</v>
      </c>
      <c r="F16" s="130">
        <f>INDEX(Erfassung1!AF:AF,MATCH($A16,Erfassung1!$BR:$BR,0))</f>
        <v>1</v>
      </c>
      <c r="G16" s="129">
        <f>INDEX(Erfassung1!AG:AG,MATCH($A16,Erfassung1!$BR:$BR,0)-1)</f>
        <v>620</v>
      </c>
      <c r="H16" s="130">
        <f>INDEX(Erfassung1!AH:AH,MATCH($A16,Erfassung1!$BR:$BR,0))</f>
        <v>1</v>
      </c>
      <c r="I16" s="129">
        <f>INDEX(Erfassung1!AI:AI,MATCH($A16,Erfassung1!$BR:$BR,0)-1)</f>
        <v>653</v>
      </c>
      <c r="J16" s="130">
        <f>INDEX(Erfassung1!AJ:AJ,MATCH($A16,Erfassung1!$BR:$BR,0))</f>
        <v>0</v>
      </c>
      <c r="K16" s="129">
        <f>INDEX(Erfassung1!AK:AK,MATCH($A16,Erfassung1!$BR:$BR,0)-1)</f>
        <v>680</v>
      </c>
      <c r="L16" s="130">
        <f>INDEX(Erfassung1!AL:AL,MATCH($A16,Erfassung1!$BR:$BR,0))</f>
        <v>1</v>
      </c>
      <c r="M16" s="129">
        <f>INDEX(Erfassung1!AM:AM,MATCH($A16,Erfassung1!$BR:$BR,0)-1)</f>
        <v>780</v>
      </c>
      <c r="N16" s="130">
        <f>INDEX(Erfassung1!AN:AN,MATCH($A16,Erfassung1!$BR:$BR,0))</f>
        <v>1</v>
      </c>
      <c r="O16" s="129">
        <f>INDEX(Erfassung1!AO:AO,MATCH($A16,Erfassung1!$BR:$BR,0)-1)</f>
        <v>708</v>
      </c>
      <c r="P16" s="130">
        <f>INDEX(Erfassung1!AP:AP,MATCH($A16,Erfassung1!$BR:$BR,0))</f>
        <v>2</v>
      </c>
      <c r="Q16" s="129">
        <f>INDEX(Erfassung1!AQ:AQ,MATCH($A16,Erfassung1!$BR:$BR,0)-1)</f>
        <v>698</v>
      </c>
      <c r="R16" s="130">
        <f>INDEX(Erfassung1!AR:AR,MATCH($A16,Erfassung1!$BR:$BR,0))</f>
        <v>5</v>
      </c>
      <c r="S16" s="129">
        <f>INDEX(Erfassung1!AS:AS,MATCH($A16,Erfassung1!$BR:$BR,0)-1)</f>
        <v>769</v>
      </c>
      <c r="T16" s="130">
        <f>INDEX(Erfassung1!AT:AT,MATCH($A16,Erfassung1!$BR:$BR,0))</f>
        <v>2</v>
      </c>
      <c r="U16" s="131">
        <f t="shared" si="0"/>
        <v>6254</v>
      </c>
      <c r="V16" s="132">
        <f t="shared" si="1"/>
        <v>14</v>
      </c>
      <c r="W16" s="224">
        <f>IFERROR(U16/INDEX(Erfassung1!BF:BF,MATCH(A16,Erfassung1!BR:BR,0)),0)</f>
        <v>173.72222222222223</v>
      </c>
      <c r="X16" s="25"/>
      <c r="AE16" s="215">
        <f>SUMIF(Erfassung1!BU:BU,B16,Erfassung1!BF:BF)</f>
        <v>36</v>
      </c>
    </row>
    <row r="19" spans="2:23" ht="15.6" x14ac:dyDescent="0.3">
      <c r="B19" s="382" t="s">
        <v>1827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3"/>
      <c r="V19" s="383"/>
      <c r="W19" s="383"/>
    </row>
    <row r="20" spans="2:23" x14ac:dyDescent="0.25">
      <c r="C20" s="383"/>
      <c r="D20" s="383"/>
      <c r="E20" s="383"/>
      <c r="F20" s="383"/>
      <c r="G20" s="383"/>
      <c r="H20" s="383"/>
    </row>
    <row r="21" spans="2:23" x14ac:dyDescent="0.25">
      <c r="B21" s="166" t="s">
        <v>1826</v>
      </c>
      <c r="C21" t="str">
        <f>IFERROR(INDEX(Erfassung1!AA:AA,MATCH(1,Erfassung1!BV:BV,0)),"")</f>
        <v>Altenfeld, Marco</v>
      </c>
      <c r="H21" t="str">
        <f>INDEX(Erfassung1!BU:BU,MATCH(C21,Erfassung1!AA:AA,0))</f>
        <v>SG DJK Rimpar</v>
      </c>
      <c r="N21" s="133">
        <f>IFERROR(ROUND(INDEX(Erfassung1!BT:BT,MATCH(1,Erfassung1!BV:BV,0)),0),"")</f>
        <v>280</v>
      </c>
    </row>
    <row r="22" spans="2:23" x14ac:dyDescent="0.25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x14ac:dyDescent="0.25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x14ac:dyDescent="0.25">
      <c r="B24" s="166" t="s">
        <v>1828</v>
      </c>
      <c r="C24" t="str">
        <f>IFERROR(INDEX(Erfassung1!AA:AA,MATCH(1,Erfassung1!BZ:BZ,0)),"")</f>
        <v>Glasl jun., Hans-Jürgen</v>
      </c>
      <c r="H24" t="str">
        <f>INDEX(Erfassung1!BU:BU,MATCH(C24,Erfassung1!AA:AA,0))</f>
        <v>Bajuwaren München 1</v>
      </c>
      <c r="N24" s="384" t="str">
        <f>IFERROR(ROUND(INDEX(Erfassung1!BW:BW,MATCH(1,Erfassung1!BZ:BZ,0)),0),"")&amp;"  /  "&amp;ROUND(IFERROR(ROUND(INDEX(Erfassung1!BW:BW,MATCH(1,Erfassung1!BZ:BZ,0)),0),"")/9,2)</f>
        <v>2081  /  231,22</v>
      </c>
      <c r="O24" s="384"/>
      <c r="P24" s="384"/>
    </row>
    <row r="25" spans="2:23" x14ac:dyDescent="0.25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25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  <mergeCell ref="G5:H5"/>
    <mergeCell ref="Q5:R5"/>
    <mergeCell ref="S5:T5"/>
    <mergeCell ref="B19:T19"/>
    <mergeCell ref="U19:W19"/>
    <mergeCell ref="C20:H20"/>
  </mergeCells>
  <conditionalFormatting sqref="C7:T16">
    <cfRule type="top10" dxfId="13" priority="1" stopIfTrue="1" rank="1"/>
  </conditionalFormatting>
  <conditionalFormatting sqref="U7:U16">
    <cfRule type="top10" dxfId="1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16253</v>
      </c>
      <c r="M2">
        <f>SUMIF(Erfassung1!BD:BD,L2,Erfassung1!BW:BW)</f>
        <v>2065</v>
      </c>
      <c r="N2">
        <f>SUMIF(Erfassung1!BD:BD,L2,Erfassung1!BG:BG)</f>
        <v>9</v>
      </c>
      <c r="O2">
        <f>IF(N2=0,0,M2/N2-ROW()/1000000000)</f>
        <v>229.44444444244445</v>
      </c>
      <c r="P2">
        <f t="shared" ref="P2:P33" si="0">RANK(O2,O:O)</f>
        <v>2</v>
      </c>
    </row>
    <row r="3" spans="1:16" x14ac:dyDescent="0.25">
      <c r="L3" s="227">
        <f>INDEX(Starter!A:A,ROW()-1)</f>
        <v>38687</v>
      </c>
      <c r="M3">
        <f>SUMIF(Erfassung1!BD:BD,L3,Erfassung1!BW:BW)</f>
        <v>937</v>
      </c>
      <c r="N3">
        <f>SUMIF(Erfassung1!BD:BD,L3,Erfassung1!BG:BG)</f>
        <v>5</v>
      </c>
      <c r="O3">
        <f t="shared" ref="O3:O66" si="1">IF(N3=0,0,M3/N3-ROW()/1000000000)</f>
        <v>187.39999999700001</v>
      </c>
      <c r="P3">
        <f t="shared" si="0"/>
        <v>34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SUMIF(Erfassung1!BD:BD,L4,Erfassung1!BW:BW)</f>
        <v>1854</v>
      </c>
      <c r="N4">
        <f>SUMIF(Erfassung1!BD:BD,L4,Erfassung1!BG:BG)</f>
        <v>9</v>
      </c>
      <c r="O4">
        <f t="shared" si="1"/>
        <v>205.99999999600001</v>
      </c>
      <c r="P4">
        <f t="shared" si="0"/>
        <v>11</v>
      </c>
    </row>
    <row r="5" spans="1:16" x14ac:dyDescent="0.25">
      <c r="A5">
        <v>1</v>
      </c>
      <c r="B5">
        <f t="shared" ref="B5:B36" si="2">IFERROR(INDEX(L:L,MATCH(A5,P:P,0)),"")</f>
        <v>7408</v>
      </c>
      <c r="C5" t="str">
        <f>IFERROR(INDEX(Starter!B:B,MATCH(B5,Starter!A:A,0)),"")</f>
        <v>Glasl jun., Hans-Jürgen</v>
      </c>
      <c r="D5" t="str">
        <f>IFERROR(INDEX(Starter!C:C,MATCH(B5,Starter!A:A,0)),"")</f>
        <v>BC Bajuwaren 1976 München</v>
      </c>
      <c r="E5" s="102">
        <f t="shared" ref="E5:E36" si="3">IFERROR(INDEX(M:M,MATCH(A5,P:P,0)),"")</f>
        <v>2081</v>
      </c>
      <c r="F5">
        <f t="shared" ref="F5:F36" si="4">IFERROR(INDEX(N:N,MATCH(A5,P:P,0)),"")</f>
        <v>9</v>
      </c>
      <c r="G5" s="137">
        <f t="shared" ref="G5:G36" si="5">IFERROR(INDEX(O:O,MATCH(A5,P:P,0)),"")</f>
        <v>231.22222220422222</v>
      </c>
      <c r="L5" s="227">
        <f>INDEX(Starter!A:A,ROW()-1)</f>
        <v>16301</v>
      </c>
      <c r="M5">
        <f>SUMIF(Erfassung1!BD:BD,L5,Erfassung1!BW:BW)</f>
        <v>1426</v>
      </c>
      <c r="N5">
        <f>SUMIF(Erfassung1!BD:BD,L5,Erfassung1!BG:BG)</f>
        <v>7</v>
      </c>
      <c r="O5">
        <f t="shared" si="1"/>
        <v>203.71428570928572</v>
      </c>
      <c r="P5">
        <f t="shared" si="0"/>
        <v>14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2065</v>
      </c>
      <c r="F6">
        <f t="shared" si="4"/>
        <v>9</v>
      </c>
      <c r="G6" s="137">
        <f t="shared" si="5"/>
        <v>229.44444444244445</v>
      </c>
      <c r="L6" s="227">
        <f>INDEX(Starter!A:A,ROW()-1)</f>
        <v>38411</v>
      </c>
      <c r="M6">
        <f>SUMIF(Erfassung1!BD:BD,L6,Erfassung1!BW:BW)</f>
        <v>0</v>
      </c>
      <c r="N6">
        <f>SUMIF(Erfassung1!BD:BD,L6,Erfassung1!BG:BG)</f>
        <v>0</v>
      </c>
      <c r="O6">
        <f t="shared" si="1"/>
        <v>0</v>
      </c>
      <c r="P6">
        <f t="shared" si="0"/>
        <v>49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1146</v>
      </c>
      <c r="F7">
        <f t="shared" si="4"/>
        <v>5</v>
      </c>
      <c r="G7" s="137">
        <f t="shared" si="5"/>
        <v>229.199999953</v>
      </c>
      <c r="L7" s="227">
        <f>INDEX(Starter!A:A,ROW()-1)</f>
        <v>38361</v>
      </c>
      <c r="M7">
        <f>SUMIF(Erfassung1!BD:BD,L7,Erfassung1!BW:BW)</f>
        <v>1551</v>
      </c>
      <c r="N7">
        <f>SUMIF(Erfassung1!BD:BD,L7,Erfassung1!BG:BG)</f>
        <v>9</v>
      </c>
      <c r="O7">
        <f t="shared" si="1"/>
        <v>172.33333332633333</v>
      </c>
      <c r="P7">
        <f t="shared" si="0"/>
        <v>43</v>
      </c>
    </row>
    <row r="8" spans="1:16" x14ac:dyDescent="0.25">
      <c r="A8">
        <f t="shared" si="6"/>
        <v>4</v>
      </c>
      <c r="B8">
        <f t="shared" si="2"/>
        <v>7885</v>
      </c>
      <c r="C8" t="str">
        <f>IFERROR(INDEX(Starter!B:B,MATCH(B8,Starter!A:A,0)),"")</f>
        <v>Hinterwimmer, Sebastian</v>
      </c>
      <c r="D8" t="str">
        <f>IFERROR(INDEX(Starter!C:C,MATCH(B8,Starter!A:A,0)),"")</f>
        <v>BK München</v>
      </c>
      <c r="E8" s="102">
        <f t="shared" si="3"/>
        <v>2057</v>
      </c>
      <c r="F8">
        <f t="shared" si="4"/>
        <v>9</v>
      </c>
      <c r="G8" s="137">
        <f t="shared" si="5"/>
        <v>228.55555553855555</v>
      </c>
      <c r="L8" s="227">
        <f>INDEX(Starter!A:A,ROW()-1)</f>
        <v>38550</v>
      </c>
      <c r="M8">
        <f>SUMIF(Erfassung1!BD:BD,L8,Erfassung1!BW:BW)</f>
        <v>0</v>
      </c>
      <c r="N8">
        <f>SUMIF(Erfassung1!BD:BD,L8,Erfassung1!BG:BG)</f>
        <v>0</v>
      </c>
      <c r="O8">
        <f t="shared" si="1"/>
        <v>0</v>
      </c>
      <c r="P8">
        <f t="shared" si="0"/>
        <v>49</v>
      </c>
    </row>
    <row r="9" spans="1:16" x14ac:dyDescent="0.25">
      <c r="A9">
        <f t="shared" si="6"/>
        <v>5</v>
      </c>
      <c r="B9">
        <f t="shared" si="2"/>
        <v>7937</v>
      </c>
      <c r="C9" t="str">
        <f>IFERROR(INDEX(Starter!B:B,MATCH(B9,Starter!A:A,0)),"")</f>
        <v>Birkner, Jochen</v>
      </c>
      <c r="D9" t="str">
        <f>IFERROR(INDEX(Starter!C:C,MATCH(B9,Starter!A:A,0)),"")</f>
        <v>BF Rot-Weiß Lichtenhof 69</v>
      </c>
      <c r="E9" s="102">
        <f t="shared" si="3"/>
        <v>1958</v>
      </c>
      <c r="F9">
        <f t="shared" si="4"/>
        <v>9</v>
      </c>
      <c r="G9" s="137">
        <f t="shared" si="5"/>
        <v>217.55555551455555</v>
      </c>
      <c r="L9" s="227">
        <f>INDEX(Starter!A:A,ROW()-1)</f>
        <v>7348</v>
      </c>
      <c r="M9">
        <f>SUMIF(Erfassung1!BD:BD,L9,Erfassung1!BW:BW)</f>
        <v>1741</v>
      </c>
      <c r="N9">
        <f>SUMIF(Erfassung1!BD:BD,L9,Erfassung1!BG:BG)</f>
        <v>9</v>
      </c>
      <c r="O9">
        <f t="shared" si="1"/>
        <v>193.44444443544447</v>
      </c>
      <c r="P9">
        <f t="shared" si="0"/>
        <v>26</v>
      </c>
    </row>
    <row r="10" spans="1:16" x14ac:dyDescent="0.25">
      <c r="A10">
        <f t="shared" si="6"/>
        <v>6</v>
      </c>
      <c r="B10">
        <f t="shared" si="2"/>
        <v>7416</v>
      </c>
      <c r="C10" t="str">
        <f>IFERROR(INDEX(Starter!B:B,MATCH(B10,Starter!A:A,0)),"")</f>
        <v>Reichert, Ralph</v>
      </c>
      <c r="D10" t="str">
        <f>IFERROR(INDEX(Starter!C:C,MATCH(B10,Starter!A:A,0)),"")</f>
        <v>BC Bajuwaren 1976 München</v>
      </c>
      <c r="E10" s="102">
        <f t="shared" si="3"/>
        <v>1947</v>
      </c>
      <c r="F10">
        <f t="shared" si="4"/>
        <v>9</v>
      </c>
      <c r="G10" s="137">
        <f t="shared" si="5"/>
        <v>216.33333331233334</v>
      </c>
      <c r="L10" s="227">
        <f>INDEX(Starter!A:A,ROW()-1)</f>
        <v>16852</v>
      </c>
      <c r="M10">
        <f>SUMIF(Erfassung1!BD:BD,L10,Erfassung1!BW:BW)</f>
        <v>1534</v>
      </c>
      <c r="N10">
        <f>SUMIF(Erfassung1!BD:BD,L10,Erfassung1!BG:BG)</f>
        <v>8</v>
      </c>
      <c r="O10">
        <f t="shared" si="1"/>
        <v>191.74999998999999</v>
      </c>
      <c r="P10">
        <f t="shared" si="0"/>
        <v>30</v>
      </c>
    </row>
    <row r="11" spans="1:16" x14ac:dyDescent="0.25">
      <c r="A11">
        <f t="shared" si="6"/>
        <v>7</v>
      </c>
      <c r="B11">
        <f t="shared" si="2"/>
        <v>7593</v>
      </c>
      <c r="C11" t="str">
        <f>IFERROR(INDEX(Starter!B:B,MATCH(B11,Starter!A:A,0)),"")</f>
        <v>Börding, Peter</v>
      </c>
      <c r="D11" t="str">
        <f>IFERROR(INDEX(Starter!C:C,MATCH(B11,Starter!A:A,0)),"")</f>
        <v>BK München</v>
      </c>
      <c r="E11" s="102">
        <f t="shared" si="3"/>
        <v>1929</v>
      </c>
      <c r="F11">
        <f t="shared" si="4"/>
        <v>9</v>
      </c>
      <c r="G11" s="137">
        <f t="shared" si="5"/>
        <v>214.33333328733335</v>
      </c>
      <c r="L11" s="227">
        <f>INDEX(Starter!A:A,ROW()-1)</f>
        <v>16352</v>
      </c>
      <c r="M11">
        <f>SUMIF(Erfassung1!BD:BD,L11,Erfassung1!BW:BW)</f>
        <v>0</v>
      </c>
      <c r="N11">
        <f>SUMIF(Erfassung1!BD:BD,L11,Erfassung1!BG:BG)</f>
        <v>0</v>
      </c>
      <c r="O11">
        <f t="shared" si="1"/>
        <v>0</v>
      </c>
      <c r="P11">
        <f t="shared" si="0"/>
        <v>49</v>
      </c>
    </row>
    <row r="12" spans="1:16" x14ac:dyDescent="0.25">
      <c r="A12">
        <f t="shared" si="6"/>
        <v>8</v>
      </c>
      <c r="B12">
        <f t="shared" si="2"/>
        <v>38041</v>
      </c>
      <c r="C12" t="str">
        <f>IFERROR(INDEX(Starter!B:B,MATCH(B12,Starter!A:A,0)),"")</f>
        <v>Röhlig, Jörg</v>
      </c>
      <c r="D12" t="str">
        <f>IFERROR(INDEX(Starter!C:C,MATCH(B12,Starter!A:A,0)),"")</f>
        <v>BC Bamberger Bowlinghaus</v>
      </c>
      <c r="E12" s="102">
        <f t="shared" si="3"/>
        <v>1285</v>
      </c>
      <c r="F12">
        <f t="shared" si="4"/>
        <v>6</v>
      </c>
      <c r="G12" s="137">
        <f t="shared" si="5"/>
        <v>214.16666662866666</v>
      </c>
      <c r="L12" s="227">
        <f>INDEX(Starter!A:A,ROW()-1)</f>
        <v>16495</v>
      </c>
      <c r="M12">
        <f>SUMIF(Erfassung1!BD:BD,L12,Erfassung1!BW:BW)</f>
        <v>1702</v>
      </c>
      <c r="N12">
        <f>SUMIF(Erfassung1!BD:BD,L12,Erfassung1!BG:BG)</f>
        <v>9</v>
      </c>
      <c r="O12">
        <f t="shared" si="1"/>
        <v>189.11111109911113</v>
      </c>
      <c r="P12">
        <f t="shared" si="0"/>
        <v>33</v>
      </c>
    </row>
    <row r="13" spans="1:16" x14ac:dyDescent="0.25">
      <c r="A13">
        <f t="shared" si="6"/>
        <v>9</v>
      </c>
      <c r="B13">
        <f t="shared" si="2"/>
        <v>7724</v>
      </c>
      <c r="C13" t="str">
        <f>IFERROR(INDEX(Starter!B:B,MATCH(B13,Starter!A:A,0)),"")</f>
        <v>Schlick, Christian</v>
      </c>
      <c r="D13" t="str">
        <f>IFERROR(INDEX(Starter!C:C,MATCH(B13,Starter!A:A,0)),"")</f>
        <v>Comet</v>
      </c>
      <c r="E13" s="102">
        <f t="shared" si="3"/>
        <v>1891</v>
      </c>
      <c r="F13">
        <f t="shared" si="4"/>
        <v>9</v>
      </c>
      <c r="G13" s="137">
        <f t="shared" si="5"/>
        <v>210.11111108211111</v>
      </c>
      <c r="L13" s="227">
        <f>INDEX(Starter!A:A,ROW()-1)</f>
        <v>16945</v>
      </c>
      <c r="M13">
        <f>SUMIF(Erfassung1!BD:BD,L13,Erfassung1!BW:BW)</f>
        <v>1804</v>
      </c>
      <c r="N13">
        <f>SUMIF(Erfassung1!BD:BD,L13,Erfassung1!BG:BG)</f>
        <v>9</v>
      </c>
      <c r="O13">
        <f t="shared" si="1"/>
        <v>200.44444443144445</v>
      </c>
      <c r="P13">
        <f t="shared" si="0"/>
        <v>18</v>
      </c>
    </row>
    <row r="14" spans="1:16" x14ac:dyDescent="0.25">
      <c r="A14">
        <f t="shared" si="6"/>
        <v>10</v>
      </c>
      <c r="B14">
        <f t="shared" si="2"/>
        <v>16896</v>
      </c>
      <c r="C14" t="str">
        <f>IFERROR(INDEX(Starter!B:B,MATCH(B14,Starter!A:A,0)),"")</f>
        <v>Mittelmaier, Andreas</v>
      </c>
      <c r="D14" t="str">
        <f>IFERROR(INDEX(Starter!C:C,MATCH(B14,Starter!A:A,0)),"")</f>
        <v>Comet</v>
      </c>
      <c r="E14" s="102">
        <f t="shared" si="3"/>
        <v>1877</v>
      </c>
      <c r="F14">
        <f t="shared" si="4"/>
        <v>9</v>
      </c>
      <c r="G14" s="137">
        <f t="shared" si="5"/>
        <v>208.55555552555555</v>
      </c>
      <c r="L14" s="227">
        <f>INDEX(Starter!A:A,ROW()-1)</f>
        <v>7867</v>
      </c>
      <c r="M14">
        <f>SUMIF(Erfassung1!BD:BD,L14,Erfassung1!BW:BW)</f>
        <v>0</v>
      </c>
      <c r="N14">
        <f>SUMIF(Erfassung1!BD:BD,L14,Erfassung1!BG:BG)</f>
        <v>0</v>
      </c>
      <c r="O14">
        <f t="shared" si="1"/>
        <v>0</v>
      </c>
      <c r="P14">
        <f t="shared" si="0"/>
        <v>49</v>
      </c>
    </row>
    <row r="15" spans="1:16" x14ac:dyDescent="0.25">
      <c r="A15">
        <f t="shared" si="6"/>
        <v>11</v>
      </c>
      <c r="B15">
        <f t="shared" si="2"/>
        <v>10622</v>
      </c>
      <c r="C15" t="str">
        <f>IFERROR(INDEX(Starter!B:B,MATCH(B15,Starter!A:A,0)),"")</f>
        <v>Kreß, Michael</v>
      </c>
      <c r="D15" t="str">
        <f>IFERROR(INDEX(Starter!C:C,MATCH(B15,Starter!A:A,0)),"")</f>
        <v>DJK Rimpar</v>
      </c>
      <c r="E15" s="102">
        <f t="shared" si="3"/>
        <v>1854</v>
      </c>
      <c r="F15">
        <f t="shared" si="4"/>
        <v>9</v>
      </c>
      <c r="G15" s="137">
        <f t="shared" si="5"/>
        <v>205.99999999600001</v>
      </c>
      <c r="L15" s="227">
        <f>INDEX(Starter!A:A,ROW()-1)</f>
        <v>7597</v>
      </c>
      <c r="M15">
        <f>SUMIF(Erfassung1!BD:BD,L15,Erfassung1!BW:BW)</f>
        <v>711</v>
      </c>
      <c r="N15">
        <f>SUMIF(Erfassung1!BD:BD,L15,Erfassung1!BG:BG)</f>
        <v>4</v>
      </c>
      <c r="O15">
        <f t="shared" si="1"/>
        <v>177.74999998499999</v>
      </c>
      <c r="P15">
        <f t="shared" si="0"/>
        <v>37</v>
      </c>
    </row>
    <row r="16" spans="1:16" x14ac:dyDescent="0.25">
      <c r="A16">
        <f t="shared" si="6"/>
        <v>12</v>
      </c>
      <c r="B16">
        <f t="shared" si="2"/>
        <v>25325</v>
      </c>
      <c r="C16" t="str">
        <f>IFERROR(INDEX(Starter!B:B,MATCH(B16,Starter!A:A,0)),"")</f>
        <v>Wegenast, Robert</v>
      </c>
      <c r="D16" t="str">
        <f>IFERROR(INDEX(Starter!C:C,MATCH(B16,Starter!A:A,0)),"")</f>
        <v>BC EMAX</v>
      </c>
      <c r="E16" s="102">
        <f t="shared" si="3"/>
        <v>1848</v>
      </c>
      <c r="F16">
        <f t="shared" si="4"/>
        <v>9</v>
      </c>
      <c r="G16" s="137">
        <f t="shared" si="5"/>
        <v>205.33333327833336</v>
      </c>
      <c r="L16" s="227">
        <f>INDEX(Starter!A:A,ROW()-1)</f>
        <v>16912</v>
      </c>
      <c r="M16">
        <f>SUMIF(Erfassung1!BD:BD,L16,Erfassung1!BW:BW)</f>
        <v>1827</v>
      </c>
      <c r="N16">
        <f>SUMIF(Erfassung1!BD:BD,L16,Erfassung1!BG:BG)</f>
        <v>9</v>
      </c>
      <c r="O16">
        <f t="shared" si="1"/>
        <v>202.999999984</v>
      </c>
      <c r="P16">
        <f t="shared" si="0"/>
        <v>15</v>
      </c>
    </row>
    <row r="17" spans="1:16" x14ac:dyDescent="0.25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1848</v>
      </c>
      <c r="F17">
        <f t="shared" si="4"/>
        <v>9</v>
      </c>
      <c r="G17" s="137">
        <f t="shared" si="5"/>
        <v>205.33333327733334</v>
      </c>
      <c r="L17" s="227">
        <f>INDEX(Starter!A:A,ROW()-1)</f>
        <v>7885</v>
      </c>
      <c r="M17">
        <f>SUMIF(Erfassung1!BD:BD,L17,Erfassung1!BW:BW)</f>
        <v>2057</v>
      </c>
      <c r="N17">
        <f>SUMIF(Erfassung1!BD:BD,L17,Erfassung1!BG:BG)</f>
        <v>9</v>
      </c>
      <c r="O17">
        <f t="shared" si="1"/>
        <v>228.55555553855555</v>
      </c>
      <c r="P17">
        <f t="shared" si="0"/>
        <v>4</v>
      </c>
    </row>
    <row r="18" spans="1:16" x14ac:dyDescent="0.25">
      <c r="A18">
        <f t="shared" si="6"/>
        <v>14</v>
      </c>
      <c r="B18">
        <f t="shared" si="2"/>
        <v>16301</v>
      </c>
      <c r="C18" t="str">
        <f>IFERROR(INDEX(Starter!B:B,MATCH(B18,Starter!A:A,0)),"")</f>
        <v>Werder, Jan-Uwe</v>
      </c>
      <c r="D18" t="str">
        <f>IFERROR(INDEX(Starter!C:C,MATCH(B18,Starter!A:A,0)),"")</f>
        <v>DJK Rimpar</v>
      </c>
      <c r="E18" s="102">
        <f t="shared" si="3"/>
        <v>1426</v>
      </c>
      <c r="F18">
        <f t="shared" si="4"/>
        <v>7</v>
      </c>
      <c r="G18" s="137">
        <f t="shared" si="5"/>
        <v>203.71428570928572</v>
      </c>
      <c r="L18" s="227">
        <f>INDEX(Starter!A:A,ROW()-1)</f>
        <v>7408</v>
      </c>
      <c r="M18">
        <f>SUMIF(Erfassung1!BD:BD,L18,Erfassung1!BW:BW)</f>
        <v>2081</v>
      </c>
      <c r="N18">
        <f>SUMIF(Erfassung1!BD:BD,L18,Erfassung1!BG:BG)</f>
        <v>9</v>
      </c>
      <c r="O18">
        <f t="shared" si="1"/>
        <v>231.22222220422222</v>
      </c>
      <c r="P18">
        <f t="shared" si="0"/>
        <v>1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1827</v>
      </c>
      <c r="F19">
        <f t="shared" si="4"/>
        <v>9</v>
      </c>
      <c r="G19" s="137">
        <f t="shared" si="5"/>
        <v>202.999999984</v>
      </c>
      <c r="L19" s="227">
        <f>INDEX(Starter!A:A,ROW()-1)</f>
        <v>16762</v>
      </c>
      <c r="M19">
        <f>SUMIF(Erfassung1!BD:BD,L19,Erfassung1!BW:BW)</f>
        <v>732</v>
      </c>
      <c r="N19">
        <f>SUMIF(Erfassung1!BD:BD,L19,Erfassung1!BG:BG)</f>
        <v>4</v>
      </c>
      <c r="O19">
        <f t="shared" si="1"/>
        <v>182.999999981</v>
      </c>
      <c r="P19">
        <f t="shared" si="0"/>
        <v>35</v>
      </c>
    </row>
    <row r="20" spans="1:16" x14ac:dyDescent="0.25">
      <c r="A20">
        <f t="shared" si="6"/>
        <v>16</v>
      </c>
      <c r="B20">
        <f t="shared" si="2"/>
        <v>7099</v>
      </c>
      <c r="C20" t="str">
        <f>IFERROR(INDEX(Starter!B:B,MATCH(B20,Starter!A:A,0)),"")</f>
        <v>Holzinger, Sebastian</v>
      </c>
      <c r="D20" t="str">
        <f>IFERROR(INDEX(Starter!C:C,MATCH(B20,Starter!A:A,0)),"")</f>
        <v>BC Bamberger Bowlinghaus</v>
      </c>
      <c r="E20" s="102">
        <f t="shared" si="3"/>
        <v>1009</v>
      </c>
      <c r="F20">
        <f t="shared" si="4"/>
        <v>5</v>
      </c>
      <c r="G20" s="137">
        <f t="shared" si="5"/>
        <v>201.799999963</v>
      </c>
      <c r="L20" s="227">
        <f>INDEX(Starter!A:A,ROW()-1)</f>
        <v>7600</v>
      </c>
      <c r="M20">
        <f>SUMIF(Erfassung1!BD:BD,L20,Erfassung1!BW:BW)</f>
        <v>1760</v>
      </c>
      <c r="N20">
        <f>SUMIF(Erfassung1!BD:BD,L20,Erfassung1!BG:BG)</f>
        <v>9</v>
      </c>
      <c r="O20">
        <f t="shared" si="1"/>
        <v>195.55555553555556</v>
      </c>
      <c r="P20">
        <f t="shared" si="0"/>
        <v>25</v>
      </c>
    </row>
    <row r="21" spans="1:16" x14ac:dyDescent="0.25">
      <c r="A21">
        <f t="shared" si="6"/>
        <v>17</v>
      </c>
      <c r="B21">
        <f t="shared" si="2"/>
        <v>16243</v>
      </c>
      <c r="C21" t="str">
        <f>IFERROR(INDEX(Starter!B:B,MATCH(B21,Starter!A:A,0)),"")</f>
        <v>Glatzer, Daniel</v>
      </c>
      <c r="D21" t="str">
        <f>IFERROR(INDEX(Starter!C:C,MATCH(B21,Starter!A:A,0)),"")</f>
        <v>Comet</v>
      </c>
      <c r="E21" s="102">
        <f t="shared" si="3"/>
        <v>1805</v>
      </c>
      <c r="F21">
        <f t="shared" si="4"/>
        <v>9</v>
      </c>
      <c r="G21" s="137">
        <f t="shared" si="5"/>
        <v>200.55555552955553</v>
      </c>
      <c r="L21" s="227">
        <f>INDEX(Starter!A:A,ROW()-1)</f>
        <v>7416</v>
      </c>
      <c r="M21">
        <f>SUMIF(Erfassung1!BD:BD,L21,Erfassung1!BW:BW)</f>
        <v>1947</v>
      </c>
      <c r="N21">
        <f>SUMIF(Erfassung1!BD:BD,L21,Erfassung1!BG:BG)</f>
        <v>9</v>
      </c>
      <c r="O21">
        <f t="shared" si="1"/>
        <v>216.33333331233334</v>
      </c>
      <c r="P21">
        <f t="shared" si="0"/>
        <v>6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1804</v>
      </c>
      <c r="F22">
        <f t="shared" si="4"/>
        <v>9</v>
      </c>
      <c r="G22" s="137">
        <f t="shared" si="5"/>
        <v>200.44444443144445</v>
      </c>
      <c r="L22" s="227">
        <f>INDEX(Starter!A:A,ROW()-1)</f>
        <v>7425</v>
      </c>
      <c r="M22">
        <f>SUMIF(Erfassung1!BD:BD,L22,Erfassung1!BW:BW)</f>
        <v>300</v>
      </c>
      <c r="N22">
        <f>SUMIF(Erfassung1!BD:BD,L22,Erfassung1!BG:BG)</f>
        <v>2</v>
      </c>
      <c r="O22">
        <f t="shared" si="1"/>
        <v>149.99999997800001</v>
      </c>
      <c r="P22">
        <f t="shared" si="0"/>
        <v>48</v>
      </c>
    </row>
    <row r="23" spans="1:16" x14ac:dyDescent="0.25">
      <c r="A23">
        <f t="shared" si="6"/>
        <v>19</v>
      </c>
      <c r="B23">
        <f t="shared" si="2"/>
        <v>16862</v>
      </c>
      <c r="C23" t="str">
        <f>IFERROR(INDEX(Starter!B:B,MATCH(B23,Starter!A:A,0)),"")</f>
        <v>Büttner, Christian</v>
      </c>
      <c r="D23" t="str">
        <f>IFERROR(INDEX(Starter!C:C,MATCH(B23,Starter!A:A,0)),"")</f>
        <v>SG Rottendorf</v>
      </c>
      <c r="E23" s="102">
        <f t="shared" si="3"/>
        <v>1790</v>
      </c>
      <c r="F23">
        <f t="shared" si="4"/>
        <v>9</v>
      </c>
      <c r="G23" s="137">
        <f t="shared" si="5"/>
        <v>198.88888883888887</v>
      </c>
      <c r="L23" s="227">
        <f>INDEX(Starter!A:A,ROW()-1)</f>
        <v>25297</v>
      </c>
      <c r="M23">
        <f>SUMIF(Erfassung1!BD:BD,L23,Erfassung1!BW:BW)</f>
        <v>458</v>
      </c>
      <c r="N23">
        <f>SUMIF(Erfassung1!BD:BD,L23,Erfassung1!BG:BG)</f>
        <v>3</v>
      </c>
      <c r="O23">
        <f t="shared" si="1"/>
        <v>152.66666664366664</v>
      </c>
      <c r="P23">
        <f t="shared" si="0"/>
        <v>47</v>
      </c>
    </row>
    <row r="24" spans="1:16" x14ac:dyDescent="0.25">
      <c r="A24">
        <f t="shared" si="6"/>
        <v>20</v>
      </c>
      <c r="B24">
        <f t="shared" si="2"/>
        <v>38092</v>
      </c>
      <c r="C24" t="str">
        <f>IFERROR(INDEX(Starter!B:B,MATCH(B24,Starter!A:A,0)),"")</f>
        <v>Kabel, Nicolas</v>
      </c>
      <c r="D24" t="str">
        <f>IFERROR(INDEX(Starter!C:C,MATCH(B24,Starter!A:A,0)),"")</f>
        <v>BSC Highroller Rosenheim</v>
      </c>
      <c r="E24" s="102">
        <f t="shared" si="3"/>
        <v>1783</v>
      </c>
      <c r="F24">
        <f t="shared" si="4"/>
        <v>9</v>
      </c>
      <c r="G24" s="137">
        <f t="shared" si="5"/>
        <v>198.11111108611112</v>
      </c>
      <c r="L24" s="227">
        <f>INDEX(Starter!A:A,ROW()-1)</f>
        <v>16888</v>
      </c>
      <c r="M24">
        <f>SUMIF(Erfassung1!BD:BD,L24,Erfassung1!BW:BW)</f>
        <v>1574</v>
      </c>
      <c r="N24">
        <f>SUMIF(Erfassung1!BD:BD,L24,Erfassung1!BG:BG)</f>
        <v>8</v>
      </c>
      <c r="O24">
        <f t="shared" si="1"/>
        <v>196.749999976</v>
      </c>
      <c r="P24">
        <f t="shared" si="0"/>
        <v>24</v>
      </c>
    </row>
    <row r="25" spans="1:16" x14ac:dyDescent="0.25">
      <c r="A25">
        <f t="shared" si="6"/>
        <v>21</v>
      </c>
      <c r="B25">
        <f t="shared" si="2"/>
        <v>7725</v>
      </c>
      <c r="C25" t="str">
        <f>IFERROR(INDEX(Starter!B:B,MATCH(B25,Starter!A:A,0)),"")</f>
        <v>Schlundt, Michael</v>
      </c>
      <c r="D25" t="str">
        <f>IFERROR(INDEX(Starter!C:C,MATCH(B25,Starter!A:A,0)),"")</f>
        <v>Comet</v>
      </c>
      <c r="E25" s="102">
        <f t="shared" si="3"/>
        <v>1783</v>
      </c>
      <c r="F25">
        <f t="shared" si="4"/>
        <v>9</v>
      </c>
      <c r="G25" s="137">
        <f t="shared" si="5"/>
        <v>198.11111108411112</v>
      </c>
      <c r="L25" s="227">
        <f>INDEX(Starter!A:A,ROW()-1)</f>
        <v>38092</v>
      </c>
      <c r="M25">
        <f>SUMIF(Erfassung1!BD:BD,L25,Erfassung1!BW:BW)</f>
        <v>1783</v>
      </c>
      <c r="N25">
        <f>SUMIF(Erfassung1!BD:BD,L25,Erfassung1!BG:BG)</f>
        <v>9</v>
      </c>
      <c r="O25">
        <f t="shared" si="1"/>
        <v>198.11111108611112</v>
      </c>
      <c r="P25">
        <f t="shared" si="0"/>
        <v>20</v>
      </c>
    </row>
    <row r="26" spans="1:16" x14ac:dyDescent="0.25">
      <c r="A26">
        <f t="shared" si="6"/>
        <v>22</v>
      </c>
      <c r="B26">
        <f t="shared" si="2"/>
        <v>16532</v>
      </c>
      <c r="C26" t="str">
        <f>IFERROR(INDEX(Starter!B:B,MATCH(B26,Starter!A:A,0)),"")</f>
        <v>Karl, William</v>
      </c>
      <c r="D26" t="str">
        <f>IFERROR(INDEX(Starter!C:C,MATCH(B26,Starter!A:A,0)),"")</f>
        <v>BC Bamberger Bowlinghaus</v>
      </c>
      <c r="E26" s="102">
        <f t="shared" si="3"/>
        <v>1384</v>
      </c>
      <c r="F26">
        <f t="shared" si="4"/>
        <v>7</v>
      </c>
      <c r="G26" s="137">
        <f t="shared" si="5"/>
        <v>197.71428565728573</v>
      </c>
      <c r="L26" s="227">
        <f>INDEX(Starter!A:A,ROW()-1)</f>
        <v>16243</v>
      </c>
      <c r="M26">
        <f>SUMIF(Erfassung1!BD:BD,L26,Erfassung1!BW:BW)</f>
        <v>1805</v>
      </c>
      <c r="N26">
        <f>SUMIF(Erfassung1!BD:BD,L26,Erfassung1!BG:BG)</f>
        <v>9</v>
      </c>
      <c r="O26">
        <f t="shared" si="1"/>
        <v>200.55555552955553</v>
      </c>
      <c r="P26">
        <f t="shared" si="0"/>
        <v>17</v>
      </c>
    </row>
    <row r="27" spans="1:16" x14ac:dyDescent="0.25">
      <c r="A27">
        <f t="shared" si="6"/>
        <v>23</v>
      </c>
      <c r="B27">
        <f t="shared" si="2"/>
        <v>7602</v>
      </c>
      <c r="C27" t="str">
        <f>IFERROR(INDEX(Starter!B:B,MATCH(B27,Starter!A:A,0)),"")</f>
        <v>Probst, Marco</v>
      </c>
      <c r="D27" t="str">
        <f>IFERROR(INDEX(Starter!C:C,MATCH(B27,Starter!A:A,0)),"")</f>
        <v>BC EMAX</v>
      </c>
      <c r="E27" s="102">
        <f t="shared" si="3"/>
        <v>1774</v>
      </c>
      <c r="F27">
        <f t="shared" si="4"/>
        <v>9</v>
      </c>
      <c r="G27" s="137">
        <f t="shared" si="5"/>
        <v>197.11111105711112</v>
      </c>
      <c r="L27" s="227">
        <f>INDEX(Starter!A:A,ROW()-1)</f>
        <v>7725</v>
      </c>
      <c r="M27">
        <f>SUMIF(Erfassung1!BD:BD,L27,Erfassung1!BW:BW)</f>
        <v>1783</v>
      </c>
      <c r="N27">
        <f>SUMIF(Erfassung1!BD:BD,L27,Erfassung1!BG:BG)</f>
        <v>9</v>
      </c>
      <c r="O27">
        <f t="shared" si="1"/>
        <v>198.11111108411112</v>
      </c>
      <c r="P27">
        <f t="shared" si="0"/>
        <v>21</v>
      </c>
    </row>
    <row r="28" spans="1:16" x14ac:dyDescent="0.25">
      <c r="A28">
        <f t="shared" si="6"/>
        <v>24</v>
      </c>
      <c r="B28">
        <f t="shared" si="2"/>
        <v>16888</v>
      </c>
      <c r="C28" t="str">
        <f>IFERROR(INDEX(Starter!B:B,MATCH(B28,Starter!A:A,0)),"")</f>
        <v>Auer, Thomas</v>
      </c>
      <c r="D28" t="str">
        <f>IFERROR(INDEX(Starter!C:C,MATCH(B28,Starter!A:A,0)),"")</f>
        <v>BSC Highroller Rosenheim</v>
      </c>
      <c r="E28" s="102">
        <f t="shared" si="3"/>
        <v>1574</v>
      </c>
      <c r="F28">
        <f t="shared" si="4"/>
        <v>8</v>
      </c>
      <c r="G28" s="137">
        <f t="shared" si="5"/>
        <v>196.749999976</v>
      </c>
      <c r="L28" s="227">
        <f>INDEX(Starter!A:A,ROW()-1)</f>
        <v>7734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49</v>
      </c>
    </row>
    <row r="29" spans="1:16" x14ac:dyDescent="0.25">
      <c r="A29">
        <f t="shared" si="6"/>
        <v>25</v>
      </c>
      <c r="B29">
        <f t="shared" si="2"/>
        <v>7600</v>
      </c>
      <c r="C29" t="str">
        <f>IFERROR(INDEX(Starter!B:B,MATCH(B29,Starter!A:A,0)),"")</f>
        <v>Lüthje, Dennis</v>
      </c>
      <c r="D29" t="str">
        <f>IFERROR(INDEX(Starter!C:C,MATCH(B29,Starter!A:A,0)),"")</f>
        <v>BC Bajuwaren 1976 München</v>
      </c>
      <c r="E29" s="102">
        <f t="shared" si="3"/>
        <v>1760</v>
      </c>
      <c r="F29">
        <f t="shared" si="4"/>
        <v>9</v>
      </c>
      <c r="G29" s="137">
        <f t="shared" si="5"/>
        <v>195.55555553555556</v>
      </c>
      <c r="L29" s="227">
        <f>INDEX(Starter!A:A,ROW()-1)</f>
        <v>7724</v>
      </c>
      <c r="M29">
        <f>SUMIF(Erfassung1!BD:BD,L29,Erfassung1!BW:BW)</f>
        <v>1891</v>
      </c>
      <c r="N29">
        <f>SUMIF(Erfassung1!BD:BD,L29,Erfassung1!BG:BG)</f>
        <v>9</v>
      </c>
      <c r="O29">
        <f t="shared" si="1"/>
        <v>210.11111108211111</v>
      </c>
      <c r="P29">
        <f t="shared" si="0"/>
        <v>9</v>
      </c>
    </row>
    <row r="30" spans="1:16" x14ac:dyDescent="0.25">
      <c r="A30">
        <f t="shared" si="6"/>
        <v>26</v>
      </c>
      <c r="B30">
        <f t="shared" si="2"/>
        <v>7348</v>
      </c>
      <c r="C30" t="str">
        <f>IFERROR(INDEX(Starter!B:B,MATCH(B30,Starter!A:A,0)),"")</f>
        <v>Spielvogel, Jochen</v>
      </c>
      <c r="D30" t="str">
        <f>IFERROR(INDEX(Starter!C:C,MATCH(B30,Starter!A:A,0)),"")</f>
        <v>BC Schanzer Strikers</v>
      </c>
      <c r="E30" s="102">
        <f t="shared" si="3"/>
        <v>1741</v>
      </c>
      <c r="F30">
        <f t="shared" si="4"/>
        <v>9</v>
      </c>
      <c r="G30" s="137">
        <f t="shared" si="5"/>
        <v>193.44444443544447</v>
      </c>
      <c r="L30" s="227">
        <f>INDEX(Starter!A:A,ROW()-1)</f>
        <v>16896</v>
      </c>
      <c r="M30">
        <f>SUMIF(Erfassung1!BD:BD,L30,Erfassung1!BW:BW)</f>
        <v>1877</v>
      </c>
      <c r="N30">
        <f>SUMIF(Erfassung1!BD:BD,L30,Erfassung1!BG:BG)</f>
        <v>9</v>
      </c>
      <c r="O30">
        <f t="shared" si="1"/>
        <v>208.55555552555555</v>
      </c>
      <c r="P30">
        <f t="shared" si="0"/>
        <v>10</v>
      </c>
    </row>
    <row r="31" spans="1:16" x14ac:dyDescent="0.25">
      <c r="A31">
        <f t="shared" si="6"/>
        <v>27</v>
      </c>
      <c r="B31">
        <f t="shared" si="2"/>
        <v>38039</v>
      </c>
      <c r="C31" t="str">
        <f>IFERROR(INDEX(Starter!B:B,MATCH(B31,Starter!A:A,0)),"")</f>
        <v>Plaschka, Nico</v>
      </c>
      <c r="D31" t="str">
        <f>IFERROR(INDEX(Starter!C:C,MATCH(B31,Starter!A:A,0)),"")</f>
        <v>DJK Rimpar</v>
      </c>
      <c r="E31" s="102">
        <f t="shared" si="3"/>
        <v>1157</v>
      </c>
      <c r="F31">
        <f t="shared" si="4"/>
        <v>6</v>
      </c>
      <c r="G31" s="137">
        <f t="shared" si="5"/>
        <v>192.83333328533334</v>
      </c>
      <c r="L31" s="227">
        <f>INDEX(Starter!A:A,ROW()-1)</f>
        <v>7102</v>
      </c>
      <c r="M31">
        <f>SUMIF(Erfassung1!BD:BD,L31,Erfassung1!BW:BW)</f>
        <v>0</v>
      </c>
      <c r="N31">
        <f>SUMIF(Erfassung1!BD:BD,L31,Erfassung1!BG:BG)</f>
        <v>0</v>
      </c>
      <c r="O31">
        <f t="shared" si="1"/>
        <v>0</v>
      </c>
      <c r="P31">
        <f t="shared" si="0"/>
        <v>49</v>
      </c>
    </row>
    <row r="32" spans="1:16" x14ac:dyDescent="0.25">
      <c r="A32">
        <f t="shared" si="6"/>
        <v>28</v>
      </c>
      <c r="B32">
        <f t="shared" si="2"/>
        <v>25554</v>
      </c>
      <c r="C32" t="str">
        <f>IFERROR(INDEX(Starter!B:B,MATCH(B32,Starter!A:A,0)),"")</f>
        <v>Blasits, Ernst</v>
      </c>
      <c r="D32" t="str">
        <f>IFERROR(INDEX(Starter!C:C,MATCH(B32,Starter!A:A,0)),"")</f>
        <v>BC EMAX</v>
      </c>
      <c r="E32" s="102">
        <f t="shared" si="3"/>
        <v>1735</v>
      </c>
      <c r="F32">
        <f t="shared" si="4"/>
        <v>9</v>
      </c>
      <c r="G32" s="137">
        <f t="shared" si="5"/>
        <v>192.77777774177778</v>
      </c>
      <c r="L32" s="227">
        <f>INDEX(Starter!A:A,ROW()-1)</f>
        <v>16245</v>
      </c>
      <c r="M32">
        <f>SUMIF(Erfassung1!BD:BD,L32,Erfassung1!BW:BW)</f>
        <v>0</v>
      </c>
      <c r="N32">
        <f>SUMIF(Erfassung1!BD:BD,L32,Erfassung1!BG:BG)</f>
        <v>0</v>
      </c>
      <c r="O32">
        <f t="shared" si="1"/>
        <v>0</v>
      </c>
      <c r="P32">
        <f t="shared" si="0"/>
        <v>49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1345</v>
      </c>
      <c r="F33">
        <f t="shared" si="4"/>
        <v>7</v>
      </c>
      <c r="G33" s="137">
        <f t="shared" si="5"/>
        <v>192.14285708285715</v>
      </c>
      <c r="L33" s="227">
        <f>INDEX(Starter!A:A,ROW()-1)</f>
        <v>27134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49</v>
      </c>
    </row>
    <row r="34" spans="1:16" x14ac:dyDescent="0.25">
      <c r="A34">
        <f t="shared" si="6"/>
        <v>30</v>
      </c>
      <c r="B34">
        <f t="shared" si="2"/>
        <v>16852</v>
      </c>
      <c r="C34" t="str">
        <f>IFERROR(INDEX(Starter!B:B,MATCH(B34,Starter!A:A,0)),"")</f>
        <v>Wendel, Dominik</v>
      </c>
      <c r="D34" t="str">
        <f>IFERROR(INDEX(Starter!C:C,MATCH(B34,Starter!A:A,0)),"")</f>
        <v>SG Rottendorf</v>
      </c>
      <c r="E34" s="102">
        <f t="shared" si="3"/>
        <v>1534</v>
      </c>
      <c r="F34">
        <f t="shared" si="4"/>
        <v>8</v>
      </c>
      <c r="G34" s="137">
        <f t="shared" si="5"/>
        <v>191.74999998999999</v>
      </c>
      <c r="L34" s="227">
        <f>INDEX(Starter!A:A,ROW()-1)</f>
        <v>7883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49</v>
      </c>
    </row>
    <row r="35" spans="1:16" x14ac:dyDescent="0.25">
      <c r="A35">
        <f t="shared" si="6"/>
        <v>31</v>
      </c>
      <c r="B35">
        <f t="shared" si="2"/>
        <v>16263</v>
      </c>
      <c r="C35" t="str">
        <f>IFERROR(INDEX(Starter!B:B,MATCH(B35,Starter!A:A,0)),"")</f>
        <v>Jackwerth, Enno</v>
      </c>
      <c r="D35" t="str">
        <f>IFERROR(INDEX(Starter!C:C,MATCH(B35,Starter!A:A,0)),"")</f>
        <v>BF Rot-Weiß Lichtenhof 69</v>
      </c>
      <c r="E35" s="102">
        <f t="shared" si="3"/>
        <v>1719</v>
      </c>
      <c r="F35">
        <f t="shared" si="4"/>
        <v>9</v>
      </c>
      <c r="G35" s="137">
        <f t="shared" si="5"/>
        <v>190.999999957</v>
      </c>
      <c r="L35" s="227">
        <f>INDEX(Starter!A:A,ROW()-1)</f>
        <v>7653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49</v>
      </c>
    </row>
    <row r="36" spans="1:16" x14ac:dyDescent="0.25">
      <c r="A36">
        <f t="shared" si="6"/>
        <v>32</v>
      </c>
      <c r="B36">
        <f t="shared" si="2"/>
        <v>16873</v>
      </c>
      <c r="C36" t="str">
        <f>IFERROR(INDEX(Starter!B:B,MATCH(B36,Starter!A:A,0)),"")</f>
        <v>Nolan, Jonathan</v>
      </c>
      <c r="D36" t="str">
        <f>IFERROR(INDEX(Starter!C:C,MATCH(B36,Starter!A:A,0)),"")</f>
        <v>BC Bamberger Bowlinghaus</v>
      </c>
      <c r="E36" s="102">
        <f t="shared" si="3"/>
        <v>1710</v>
      </c>
      <c r="F36">
        <f t="shared" si="4"/>
        <v>9</v>
      </c>
      <c r="G36" s="137">
        <f t="shared" si="5"/>
        <v>189.99999996</v>
      </c>
      <c r="L36" s="227">
        <f>INDEX(Starter!A:A,ROW()-1)</f>
        <v>25554</v>
      </c>
      <c r="M36">
        <f>SUMIF(Erfassung1!BD:BD,L36,Erfassung1!BW:BW)</f>
        <v>1735</v>
      </c>
      <c r="N36">
        <f>SUMIF(Erfassung1!BD:BD,L36,Erfassung1!BG:BG)</f>
        <v>9</v>
      </c>
      <c r="O36">
        <f t="shared" si="1"/>
        <v>192.77777774177778</v>
      </c>
      <c r="P36">
        <f t="shared" si="7"/>
        <v>28</v>
      </c>
    </row>
    <row r="37" spans="1:16" x14ac:dyDescent="0.25">
      <c r="A37">
        <f t="shared" si="6"/>
        <v>33</v>
      </c>
      <c r="B37">
        <f t="shared" ref="B37:B68" si="8">IFERROR(INDEX(L:L,MATCH(A37,P:P,0)),"")</f>
        <v>16495</v>
      </c>
      <c r="C37" t="str">
        <f>IFERROR(INDEX(Starter!B:B,MATCH(B37,Starter!A:A,0)),"")</f>
        <v>Stemmler, Patrick</v>
      </c>
      <c r="D37" t="str">
        <f>IFERROR(INDEX(Starter!C:C,MATCH(B37,Starter!A:A,0)),"")</f>
        <v>SG Rottendorf</v>
      </c>
      <c r="E37" s="102">
        <f t="shared" ref="E37:E68" si="9">IFERROR(INDEX(M:M,MATCH(A37,P:P,0)),"")</f>
        <v>1702</v>
      </c>
      <c r="F37">
        <f t="shared" ref="F37:F68" si="10">IFERROR(INDEX(N:N,MATCH(A37,P:P,0)),"")</f>
        <v>9</v>
      </c>
      <c r="G37" s="137">
        <f t="shared" ref="G37:G68" si="11">IFERROR(INDEX(O:O,MATCH(A37,P:P,0)),"")</f>
        <v>189.11111109911113</v>
      </c>
      <c r="L37" s="227">
        <f>INDEX(Starter!A:A,ROW()-1)</f>
        <v>7099</v>
      </c>
      <c r="M37">
        <f>SUMIF(Erfassung1!BD:BD,L37,Erfassung1!BW:BW)</f>
        <v>1009</v>
      </c>
      <c r="N37">
        <f>SUMIF(Erfassung1!BD:BD,L37,Erfassung1!BG:BG)</f>
        <v>5</v>
      </c>
      <c r="O37">
        <f t="shared" si="1"/>
        <v>201.799999963</v>
      </c>
      <c r="P37">
        <f t="shared" si="7"/>
        <v>16</v>
      </c>
    </row>
    <row r="38" spans="1:16" x14ac:dyDescent="0.25">
      <c r="A38">
        <f t="shared" ref="A38:A69" si="12">IFERROR(IF(A37+1&gt;MAX(P:P)-1,"",A37+1),"")</f>
        <v>34</v>
      </c>
      <c r="B38">
        <f t="shared" si="8"/>
        <v>38687</v>
      </c>
      <c r="C38" t="str">
        <f>IFERROR(INDEX(Starter!B:B,MATCH(B38,Starter!A:A,0)),"")</f>
        <v>Gräfe, Sebastian</v>
      </c>
      <c r="D38" t="str">
        <f>IFERROR(INDEX(Starter!C:C,MATCH(B38,Starter!A:A,0)),"")</f>
        <v>DJK Rimpar</v>
      </c>
      <c r="E38" s="102">
        <f t="shared" si="9"/>
        <v>937</v>
      </c>
      <c r="F38">
        <f t="shared" si="10"/>
        <v>5</v>
      </c>
      <c r="G38" s="137">
        <f t="shared" si="11"/>
        <v>187.39999999700001</v>
      </c>
      <c r="L38" s="227">
        <f>INDEX(Starter!A:A,ROW()-1)</f>
        <v>38041</v>
      </c>
      <c r="M38">
        <f>SUMIF(Erfassung1!BD:BD,L38,Erfassung1!BW:BW)</f>
        <v>1285</v>
      </c>
      <c r="N38">
        <f>SUMIF(Erfassung1!BD:BD,L38,Erfassung1!BG:BG)</f>
        <v>6</v>
      </c>
      <c r="O38">
        <f t="shared" si="1"/>
        <v>214.16666662866666</v>
      </c>
      <c r="P38">
        <f t="shared" si="7"/>
        <v>8</v>
      </c>
    </row>
    <row r="39" spans="1:16" x14ac:dyDescent="0.25">
      <c r="A39">
        <f t="shared" si="12"/>
        <v>35</v>
      </c>
      <c r="B39">
        <f t="shared" si="8"/>
        <v>16762</v>
      </c>
      <c r="C39" t="str">
        <f>IFERROR(INDEX(Starter!B:B,MATCH(B39,Starter!A:A,0)),"")</f>
        <v>Glasl sen., Hans</v>
      </c>
      <c r="D39" t="str">
        <f>IFERROR(INDEX(Starter!C:C,MATCH(B39,Starter!A:A,0)),"")</f>
        <v>BC Bajuwaren 1976 München</v>
      </c>
      <c r="E39" s="102">
        <f t="shared" si="9"/>
        <v>732</v>
      </c>
      <c r="F39">
        <f t="shared" si="10"/>
        <v>4</v>
      </c>
      <c r="G39" s="137">
        <f t="shared" si="11"/>
        <v>182.999999981</v>
      </c>
      <c r="L39" s="227">
        <f>INDEX(Starter!A:A,ROW()-1)</f>
        <v>25516</v>
      </c>
      <c r="M39">
        <f>SUMIF(Erfassung1!BD:BD,L39,Erfassung1!BW:BW)</f>
        <v>895</v>
      </c>
      <c r="N39">
        <f>SUMIF(Erfassung1!BD:BD,L39,Erfassung1!BG:BG)</f>
        <v>5</v>
      </c>
      <c r="O39">
        <f t="shared" si="1"/>
        <v>178.99999996099999</v>
      </c>
      <c r="P39">
        <f t="shared" si="7"/>
        <v>36</v>
      </c>
    </row>
    <row r="40" spans="1:16" x14ac:dyDescent="0.25">
      <c r="A40">
        <f t="shared" si="12"/>
        <v>36</v>
      </c>
      <c r="B40">
        <f t="shared" si="8"/>
        <v>25516</v>
      </c>
      <c r="C40" t="str">
        <f>IFERROR(INDEX(Starter!B:B,MATCH(B40,Starter!A:A,0)),"")</f>
        <v>Nikoleit, Thomas</v>
      </c>
      <c r="D40" t="str">
        <f>IFERROR(INDEX(Starter!C:C,MATCH(B40,Starter!A:A,0)),"")</f>
        <v>BC Bamberger Bowlinghaus</v>
      </c>
      <c r="E40" s="102">
        <f t="shared" si="9"/>
        <v>895</v>
      </c>
      <c r="F40">
        <f t="shared" si="10"/>
        <v>5</v>
      </c>
      <c r="G40" s="137">
        <f t="shared" si="11"/>
        <v>178.99999996099999</v>
      </c>
      <c r="L40" s="227">
        <f>INDEX(Starter!A:A,ROW()-1)</f>
        <v>16873</v>
      </c>
      <c r="M40">
        <f>SUMIF(Erfassung1!BD:BD,L40,Erfassung1!BW:BW)</f>
        <v>1710</v>
      </c>
      <c r="N40">
        <f>SUMIF(Erfassung1!BD:BD,L40,Erfassung1!BG:BG)</f>
        <v>9</v>
      </c>
      <c r="O40">
        <f t="shared" si="1"/>
        <v>189.99999996</v>
      </c>
      <c r="P40">
        <f t="shared" si="7"/>
        <v>32</v>
      </c>
    </row>
    <row r="41" spans="1:16" x14ac:dyDescent="0.25">
      <c r="A41">
        <f t="shared" si="12"/>
        <v>37</v>
      </c>
      <c r="B41">
        <f t="shared" si="8"/>
        <v>7597</v>
      </c>
      <c r="C41" t="str">
        <f>IFERROR(INDEX(Starter!B:B,MATCH(B41,Starter!A:A,0)),"")</f>
        <v>Laub, Harald</v>
      </c>
      <c r="D41" t="str">
        <f>IFERROR(INDEX(Starter!C:C,MATCH(B41,Starter!A:A,0)),"")</f>
        <v>BK München</v>
      </c>
      <c r="E41" s="102">
        <f t="shared" si="9"/>
        <v>711</v>
      </c>
      <c r="F41">
        <f t="shared" si="10"/>
        <v>4</v>
      </c>
      <c r="G41" s="137">
        <f t="shared" si="11"/>
        <v>177.74999998499999</v>
      </c>
      <c r="L41" s="227">
        <f>INDEX(Starter!A:A,ROW()-1)</f>
        <v>7937</v>
      </c>
      <c r="M41">
        <f>SUMIF(Erfassung1!BD:BD,L41,Erfassung1!BW:BW)</f>
        <v>1958</v>
      </c>
      <c r="N41">
        <f>SUMIF(Erfassung1!BD:BD,L41,Erfassung1!BG:BG)</f>
        <v>9</v>
      </c>
      <c r="O41">
        <f t="shared" si="1"/>
        <v>217.55555551455555</v>
      </c>
      <c r="P41">
        <f t="shared" si="7"/>
        <v>5</v>
      </c>
    </row>
    <row r="42" spans="1:16" x14ac:dyDescent="0.25">
      <c r="A42">
        <f t="shared" si="12"/>
        <v>38</v>
      </c>
      <c r="B42">
        <f t="shared" si="8"/>
        <v>7601</v>
      </c>
      <c r="C42" t="str">
        <f>IFERROR(INDEX(Starter!B:B,MATCH(B42,Starter!A:A,0)),"")</f>
        <v>Lüthje, Volker</v>
      </c>
      <c r="D42" t="str">
        <f>IFERROR(INDEX(Starter!C:C,MATCH(B42,Starter!A:A,0)),"")</f>
        <v>BC Bajuwaren 1976 München</v>
      </c>
      <c r="E42" s="102">
        <f t="shared" si="9"/>
        <v>884</v>
      </c>
      <c r="F42">
        <f t="shared" si="10"/>
        <v>5</v>
      </c>
      <c r="G42" s="137">
        <f t="shared" si="11"/>
        <v>176.799999955</v>
      </c>
      <c r="L42" s="227">
        <f>INDEX(Starter!A:A,ROW()-1)</f>
        <v>10124</v>
      </c>
      <c r="M42">
        <f>SUMIF(Erfassung1!BD:BD,L42,Erfassung1!BW:BW)</f>
        <v>1543</v>
      </c>
      <c r="N42">
        <f>SUMIF(Erfassung1!BD:BD,L42,Erfassung1!BG:BG)</f>
        <v>9</v>
      </c>
      <c r="O42">
        <f t="shared" si="1"/>
        <v>171.44444440244445</v>
      </c>
      <c r="P42">
        <f t="shared" si="7"/>
        <v>44</v>
      </c>
    </row>
    <row r="43" spans="1:16" x14ac:dyDescent="0.25">
      <c r="A43">
        <f t="shared" si="12"/>
        <v>39</v>
      </c>
      <c r="B43">
        <f t="shared" si="8"/>
        <v>25061</v>
      </c>
      <c r="C43" t="str">
        <f>IFERROR(INDEX(Starter!B:B,MATCH(B43,Starter!A:A,0)),"")</f>
        <v>Schwarz, Christian</v>
      </c>
      <c r="D43" t="str">
        <f>IFERROR(INDEX(Starter!C:C,MATCH(B43,Starter!A:A,0)),"")</f>
        <v>BSC Highroller Rosenheim</v>
      </c>
      <c r="E43" s="102">
        <f t="shared" si="9"/>
        <v>1236</v>
      </c>
      <c r="F43">
        <f t="shared" si="10"/>
        <v>7</v>
      </c>
      <c r="G43" s="137">
        <f t="shared" si="11"/>
        <v>176.57142851242858</v>
      </c>
      <c r="L43" s="227">
        <f>INDEX(Starter!A:A,ROW()-1)</f>
        <v>16263</v>
      </c>
      <c r="M43">
        <f>SUMIF(Erfassung1!BD:BD,L43,Erfassung1!BW:BW)</f>
        <v>1719</v>
      </c>
      <c r="N43">
        <f>SUMIF(Erfassung1!BD:BD,L43,Erfassung1!BG:BG)</f>
        <v>9</v>
      </c>
      <c r="O43">
        <f t="shared" si="1"/>
        <v>190.999999957</v>
      </c>
      <c r="P43">
        <f t="shared" si="7"/>
        <v>31</v>
      </c>
    </row>
    <row r="44" spans="1:16" x14ac:dyDescent="0.25">
      <c r="A44">
        <f t="shared" si="12"/>
        <v>40</v>
      </c>
      <c r="B44">
        <f t="shared" si="8"/>
        <v>7738</v>
      </c>
      <c r="C44" t="str">
        <f>IFERROR(INDEX(Starter!B:B,MATCH(B44,Starter!A:A,0)),"")</f>
        <v>Stöhr, Jürgen</v>
      </c>
      <c r="D44" t="str">
        <f>IFERROR(INDEX(Starter!C:C,MATCH(B44,Starter!A:A,0)),"")</f>
        <v>BF Rot-Weiß Lichtenhof 69</v>
      </c>
      <c r="E44" s="102">
        <f t="shared" si="9"/>
        <v>704</v>
      </c>
      <c r="F44">
        <f t="shared" si="10"/>
        <v>4</v>
      </c>
      <c r="G44" s="137">
        <f t="shared" si="11"/>
        <v>175.99999995100001</v>
      </c>
      <c r="L44" s="227">
        <f>INDEX(Starter!A:A,ROW()-1)</f>
        <v>7959</v>
      </c>
      <c r="M44">
        <f>SUMIF(Erfassung1!BD:BD,L44,Erfassung1!BW:BW)</f>
        <v>877</v>
      </c>
      <c r="N44">
        <f>SUMIF(Erfassung1!BD:BD,L44,Erfassung1!BG:BG)</f>
        <v>5</v>
      </c>
      <c r="O44">
        <f t="shared" si="1"/>
        <v>175.39999995600002</v>
      </c>
      <c r="P44">
        <f t="shared" si="7"/>
        <v>42</v>
      </c>
    </row>
    <row r="45" spans="1:16" x14ac:dyDescent="0.25">
      <c r="A45">
        <f t="shared" si="12"/>
        <v>41</v>
      </c>
      <c r="B45">
        <f t="shared" si="8"/>
        <v>38043</v>
      </c>
      <c r="C45" t="str">
        <f>IFERROR(INDEX(Starter!B:B,MATCH(B45,Starter!A:A,0)),"")</f>
        <v>Badum, Daniel</v>
      </c>
      <c r="D45" t="str">
        <f>IFERROR(INDEX(Starter!C:C,MATCH(B45,Starter!A:A,0)),"")</f>
        <v>BC Bamberger Bowlinghaus</v>
      </c>
      <c r="E45" s="102">
        <f t="shared" si="9"/>
        <v>703</v>
      </c>
      <c r="F45">
        <f t="shared" si="10"/>
        <v>4</v>
      </c>
      <c r="G45" s="137">
        <f t="shared" si="11"/>
        <v>175.74999994199999</v>
      </c>
      <c r="L45" s="227">
        <f>INDEX(Starter!A:A,ROW()-1)</f>
        <v>7601</v>
      </c>
      <c r="M45">
        <f>SUMIF(Erfassung1!BD:BD,L45,Erfassung1!BW:BW)</f>
        <v>884</v>
      </c>
      <c r="N45">
        <f>SUMIF(Erfassung1!BD:BD,L45,Erfassung1!BG:BG)</f>
        <v>5</v>
      </c>
      <c r="O45">
        <f t="shared" si="1"/>
        <v>176.799999955</v>
      </c>
      <c r="P45">
        <f t="shared" si="7"/>
        <v>38</v>
      </c>
    </row>
    <row r="46" spans="1:16" x14ac:dyDescent="0.25">
      <c r="A46">
        <f t="shared" si="12"/>
        <v>42</v>
      </c>
      <c r="B46">
        <f t="shared" si="8"/>
        <v>7959</v>
      </c>
      <c r="C46" t="str">
        <f>IFERROR(INDEX(Starter!B:B,MATCH(B46,Starter!A:A,0)),"")</f>
        <v>Netscheporenko, Marco</v>
      </c>
      <c r="D46" t="str">
        <f>IFERROR(INDEX(Starter!C:C,MATCH(B46,Starter!A:A,0)),"")</f>
        <v>BF Rot-Weiß Lichtenhof 69</v>
      </c>
      <c r="E46" s="102">
        <f t="shared" si="9"/>
        <v>877</v>
      </c>
      <c r="F46">
        <f t="shared" si="10"/>
        <v>5</v>
      </c>
      <c r="G46" s="137">
        <f t="shared" si="11"/>
        <v>175.39999995600002</v>
      </c>
      <c r="L46" s="227">
        <f>INDEX(Starter!A:A,ROW()-1)</f>
        <v>7593</v>
      </c>
      <c r="M46">
        <f>SUMIF(Erfassung1!BD:BD,L46,Erfassung1!BW:BW)</f>
        <v>1929</v>
      </c>
      <c r="N46">
        <f>SUMIF(Erfassung1!BD:BD,L46,Erfassung1!BG:BG)</f>
        <v>9</v>
      </c>
      <c r="O46">
        <f t="shared" si="1"/>
        <v>214.33333328733335</v>
      </c>
      <c r="P46">
        <f t="shared" si="7"/>
        <v>7</v>
      </c>
    </row>
    <row r="47" spans="1:16" x14ac:dyDescent="0.25">
      <c r="A47">
        <f t="shared" si="12"/>
        <v>43</v>
      </c>
      <c r="B47">
        <f t="shared" si="8"/>
        <v>38361</v>
      </c>
      <c r="C47" t="str">
        <f>IFERROR(INDEX(Starter!B:B,MATCH(B47,Starter!A:A,0)),"")</f>
        <v>Schmied, Markus</v>
      </c>
      <c r="D47" t="str">
        <f>IFERROR(INDEX(Starter!C:C,MATCH(B47,Starter!A:A,0)),"")</f>
        <v>BC Schanzer Strikers</v>
      </c>
      <c r="E47" s="102">
        <f t="shared" si="9"/>
        <v>1551</v>
      </c>
      <c r="F47">
        <f t="shared" si="10"/>
        <v>9</v>
      </c>
      <c r="G47" s="137">
        <f t="shared" si="11"/>
        <v>172.33333332633333</v>
      </c>
      <c r="L47" s="227">
        <f>INDEX(Starter!A:A,ROW()-1)</f>
        <v>7591</v>
      </c>
      <c r="M47">
        <f>SUMIF(Erfassung1!BD:BD,L47,Erfassung1!BW:BW)</f>
        <v>1146</v>
      </c>
      <c r="N47">
        <f>SUMIF(Erfassung1!BD:BD,L47,Erfassung1!BG:BG)</f>
        <v>5</v>
      </c>
      <c r="O47">
        <f t="shared" si="1"/>
        <v>229.199999953</v>
      </c>
      <c r="P47">
        <f t="shared" si="7"/>
        <v>3</v>
      </c>
    </row>
    <row r="48" spans="1:16" x14ac:dyDescent="0.25">
      <c r="A48">
        <f t="shared" si="12"/>
        <v>44</v>
      </c>
      <c r="B48">
        <f t="shared" si="8"/>
        <v>10124</v>
      </c>
      <c r="C48" t="str">
        <f>IFERROR(INDEX(Starter!B:B,MATCH(B48,Starter!A:A,0)),"")</f>
        <v>Kristof, Robert</v>
      </c>
      <c r="D48" t="str">
        <f>IFERROR(INDEX(Starter!C:C,MATCH(B48,Starter!A:A,0)),"")</f>
        <v>BF Rot-Weiß Lichtenhof 69</v>
      </c>
      <c r="E48" s="102">
        <f t="shared" si="9"/>
        <v>1543</v>
      </c>
      <c r="F48">
        <f t="shared" si="10"/>
        <v>9</v>
      </c>
      <c r="G48" s="137">
        <f t="shared" si="11"/>
        <v>171.44444440244445</v>
      </c>
      <c r="L48" s="227">
        <f>INDEX(Starter!A:A,ROW()-1)</f>
        <v>38039</v>
      </c>
      <c r="M48">
        <f>SUMIF(Erfassung1!BD:BD,L48,Erfassung1!BW:BW)</f>
        <v>1157</v>
      </c>
      <c r="N48">
        <f>SUMIF(Erfassung1!BD:BD,L48,Erfassung1!BG:BG)</f>
        <v>6</v>
      </c>
      <c r="O48">
        <f t="shared" si="1"/>
        <v>192.83333328533334</v>
      </c>
      <c r="P48">
        <f t="shared" si="7"/>
        <v>27</v>
      </c>
    </row>
    <row r="49" spans="1:16" x14ac:dyDescent="0.25">
      <c r="A49">
        <f t="shared" si="12"/>
        <v>45</v>
      </c>
      <c r="B49">
        <f t="shared" si="8"/>
        <v>7344</v>
      </c>
      <c r="C49" t="str">
        <f>IFERROR(INDEX(Starter!B:B,MATCH(B49,Starter!A:A,0)),"")</f>
        <v>Kirschenbauer, Frank</v>
      </c>
      <c r="D49" t="str">
        <f>IFERROR(INDEX(Starter!C:C,MATCH(B49,Starter!A:A,0)),"")</f>
        <v>BC Schanzer Strikers</v>
      </c>
      <c r="E49" s="102">
        <f t="shared" si="9"/>
        <v>1528</v>
      </c>
      <c r="F49">
        <f t="shared" si="10"/>
        <v>9</v>
      </c>
      <c r="G49" s="137">
        <f t="shared" si="11"/>
        <v>169.77777772477776</v>
      </c>
      <c r="L49" s="227">
        <f>INDEX(Starter!A:A,ROW()-1)</f>
        <v>7738</v>
      </c>
      <c r="M49">
        <f>SUMIF(Erfassung1!BD:BD,L49,Erfassung1!BW:BW)</f>
        <v>704</v>
      </c>
      <c r="N49">
        <f>SUMIF(Erfassung1!BD:BD,L49,Erfassung1!BG:BG)</f>
        <v>4</v>
      </c>
      <c r="O49">
        <f t="shared" si="1"/>
        <v>175.99999995100001</v>
      </c>
      <c r="P49">
        <f t="shared" si="7"/>
        <v>40</v>
      </c>
    </row>
    <row r="50" spans="1:16" x14ac:dyDescent="0.25">
      <c r="A50">
        <f t="shared" si="12"/>
        <v>46</v>
      </c>
      <c r="B50">
        <f t="shared" si="8"/>
        <v>25024</v>
      </c>
      <c r="C50" t="str">
        <f>IFERROR(INDEX(Starter!B:B,MATCH(B50,Starter!A:A,0)),"")</f>
        <v>Klapper, Michael</v>
      </c>
      <c r="D50" t="str">
        <f>IFERROR(INDEX(Starter!C:C,MATCH(B50,Starter!A:A,0)),"")</f>
        <v>BC Schanzer Strikers</v>
      </c>
      <c r="E50" s="102">
        <f t="shared" si="9"/>
        <v>1434</v>
      </c>
      <c r="F50">
        <f t="shared" si="10"/>
        <v>9</v>
      </c>
      <c r="G50" s="137">
        <f t="shared" si="11"/>
        <v>159.33333328133335</v>
      </c>
      <c r="L50" s="227">
        <f>INDEX(Starter!A:A,ROW()-1)</f>
        <v>16862</v>
      </c>
      <c r="M50">
        <f>SUMIF(Erfassung1!BD:BD,L50,Erfassung1!BW:BW)</f>
        <v>1790</v>
      </c>
      <c r="N50">
        <f>SUMIF(Erfassung1!BD:BD,L50,Erfassung1!BG:BG)</f>
        <v>9</v>
      </c>
      <c r="O50">
        <f t="shared" si="1"/>
        <v>198.88888883888887</v>
      </c>
      <c r="P50">
        <f t="shared" si="7"/>
        <v>19</v>
      </c>
    </row>
    <row r="51" spans="1:16" x14ac:dyDescent="0.25">
      <c r="A51">
        <f t="shared" si="12"/>
        <v>47</v>
      </c>
      <c r="B51">
        <f t="shared" si="8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9"/>
        <v>458</v>
      </c>
      <c r="F51">
        <f t="shared" si="10"/>
        <v>3</v>
      </c>
      <c r="G51" s="137">
        <f t="shared" si="11"/>
        <v>152.66666664366664</v>
      </c>
      <c r="L51" s="227">
        <f>INDEX(Starter!A:A,ROW()-1)</f>
        <v>16346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49</v>
      </c>
    </row>
    <row r="52" spans="1:16" x14ac:dyDescent="0.25">
      <c r="A52">
        <f t="shared" si="12"/>
        <v>48</v>
      </c>
      <c r="B52">
        <f t="shared" si="8"/>
        <v>7425</v>
      </c>
      <c r="C52" t="str">
        <f>IFERROR(INDEX(Starter!B:B,MATCH(B52,Starter!A:A,0)),"")</f>
        <v>Wimmer, Peter</v>
      </c>
      <c r="D52" t="str">
        <f>IFERROR(INDEX(Starter!C:C,MATCH(B52,Starter!A:A,0)),"")</f>
        <v>BSC Highroller Rosenheim</v>
      </c>
      <c r="E52" s="102">
        <f t="shared" si="9"/>
        <v>300</v>
      </c>
      <c r="F52">
        <f t="shared" si="10"/>
        <v>2</v>
      </c>
      <c r="G52" s="137">
        <f t="shared" si="11"/>
        <v>149.99999997800001</v>
      </c>
      <c r="L52" s="227">
        <f>INDEX(Starter!A:A,ROW()-1)</f>
        <v>25024</v>
      </c>
      <c r="M52">
        <f>SUMIF(Erfassung1!BD:BD,L52,Erfassung1!BW:BW)</f>
        <v>1434</v>
      </c>
      <c r="N52">
        <f>SUMIF(Erfassung1!BD:BD,L52,Erfassung1!BG:BG)</f>
        <v>9</v>
      </c>
      <c r="O52">
        <f t="shared" si="1"/>
        <v>159.33333328133335</v>
      </c>
      <c r="P52">
        <f t="shared" si="7"/>
        <v>46</v>
      </c>
    </row>
    <row r="53" spans="1:16" x14ac:dyDescent="0.25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7344</v>
      </c>
      <c r="M53">
        <f>SUMIF(Erfassung1!BD:BD,L53,Erfassung1!BW:BW)</f>
        <v>1528</v>
      </c>
      <c r="N53">
        <f>SUMIF(Erfassung1!BD:BD,L53,Erfassung1!BG:BG)</f>
        <v>9</v>
      </c>
      <c r="O53">
        <f t="shared" si="1"/>
        <v>169.77777772477776</v>
      </c>
      <c r="P53">
        <f t="shared" si="7"/>
        <v>45</v>
      </c>
    </row>
    <row r="54" spans="1:16" x14ac:dyDescent="0.25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7602</v>
      </c>
      <c r="M54">
        <f>SUMIF(Erfassung1!BD:BD,L54,Erfassung1!BW:BW)</f>
        <v>1774</v>
      </c>
      <c r="N54">
        <f>SUMIF(Erfassung1!BD:BD,L54,Erfassung1!BG:BG)</f>
        <v>9</v>
      </c>
      <c r="O54">
        <f t="shared" si="1"/>
        <v>197.11111105711112</v>
      </c>
      <c r="P54">
        <f t="shared" si="7"/>
        <v>23</v>
      </c>
    </row>
    <row r="55" spans="1:16" x14ac:dyDescent="0.25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25325</v>
      </c>
      <c r="M55">
        <f>SUMIF(Erfassung1!BD:BD,L55,Erfassung1!BW:BW)</f>
        <v>1848</v>
      </c>
      <c r="N55">
        <f>SUMIF(Erfassung1!BD:BD,L55,Erfassung1!BG:BG)</f>
        <v>9</v>
      </c>
      <c r="O55">
        <f t="shared" si="1"/>
        <v>205.33333327833336</v>
      </c>
      <c r="P55">
        <f t="shared" si="7"/>
        <v>12</v>
      </c>
    </row>
    <row r="56" spans="1:16" x14ac:dyDescent="0.25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7428</v>
      </c>
      <c r="M56">
        <f>SUMIF(Erfassung1!BD:BD,L56,Erfassung1!BW:BW)</f>
        <v>1848</v>
      </c>
      <c r="N56">
        <f>SUMIF(Erfassung1!BD:BD,L56,Erfassung1!BG:BG)</f>
        <v>9</v>
      </c>
      <c r="O56">
        <f t="shared" si="1"/>
        <v>205.33333327733334</v>
      </c>
      <c r="P56">
        <f t="shared" si="7"/>
        <v>13</v>
      </c>
    </row>
    <row r="57" spans="1:16" x14ac:dyDescent="0.25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16532</v>
      </c>
      <c r="M57">
        <f>SUMIF(Erfassung1!BD:BD,L57,Erfassung1!BW:BW)</f>
        <v>1384</v>
      </c>
      <c r="N57">
        <f>SUMIF(Erfassung1!BD:BD,L57,Erfassung1!BG:BG)</f>
        <v>7</v>
      </c>
      <c r="O57">
        <f t="shared" si="1"/>
        <v>197.71428565728573</v>
      </c>
      <c r="P57">
        <f t="shared" si="7"/>
        <v>22</v>
      </c>
    </row>
    <row r="58" spans="1:16" x14ac:dyDescent="0.25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38043</v>
      </c>
      <c r="M58">
        <f>SUMIF(Erfassung1!BD:BD,L58,Erfassung1!BW:BW)</f>
        <v>703</v>
      </c>
      <c r="N58">
        <f>SUMIF(Erfassung1!BD:BD,L58,Erfassung1!BG:BG)</f>
        <v>4</v>
      </c>
      <c r="O58">
        <f t="shared" si="1"/>
        <v>175.74999994199999</v>
      </c>
      <c r="P58">
        <f t="shared" si="7"/>
        <v>41</v>
      </c>
    </row>
    <row r="59" spans="1:16" x14ac:dyDescent="0.25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25061</v>
      </c>
      <c r="M59">
        <f>SUMIF(Erfassung1!BD:BD,L59,Erfassung1!BW:BW)</f>
        <v>1236</v>
      </c>
      <c r="N59">
        <f>SUMIF(Erfassung1!BD:BD,L59,Erfassung1!BG:BG)</f>
        <v>7</v>
      </c>
      <c r="O59">
        <f t="shared" si="1"/>
        <v>176.57142851242858</v>
      </c>
      <c r="P59">
        <f t="shared" si="7"/>
        <v>39</v>
      </c>
    </row>
    <row r="60" spans="1:16" x14ac:dyDescent="0.25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16519</v>
      </c>
      <c r="M60">
        <f>SUMIF(Erfassung1!BD:BD,L60,Erfassung1!BW:BW)</f>
        <v>1345</v>
      </c>
      <c r="N60">
        <f>SUMIF(Erfassung1!BD:BD,L60,Erfassung1!BG:BG)</f>
        <v>7</v>
      </c>
      <c r="O60">
        <f t="shared" si="1"/>
        <v>192.14285708285715</v>
      </c>
      <c r="P60">
        <f t="shared" si="7"/>
        <v>29</v>
      </c>
    </row>
    <row r="61" spans="1:16" x14ac:dyDescent="0.25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7485</v>
      </c>
      <c r="M61">
        <f>SUMIF(Erfassung1!BD:BD,L61,Erfassung1!BW:BW)</f>
        <v>0</v>
      </c>
      <c r="N61">
        <f>SUMIF(Erfassung1!BD:BD,L61,Erfassung1!BG:BG)</f>
        <v>0</v>
      </c>
      <c r="O61">
        <f t="shared" si="1"/>
        <v>0</v>
      </c>
      <c r="P61">
        <f t="shared" si="7"/>
        <v>49</v>
      </c>
    </row>
    <row r="62" spans="1:16" x14ac:dyDescent="0.25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7740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49</v>
      </c>
    </row>
    <row r="63" spans="1:16" x14ac:dyDescent="0.25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7337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49</v>
      </c>
    </row>
    <row r="64" spans="1:16" x14ac:dyDescent="0.25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38360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49</v>
      </c>
    </row>
    <row r="65" spans="1:16" x14ac:dyDescent="0.25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41008</v>
      </c>
      <c r="M65">
        <f>SUMIF(Erfassung1!BD:BD,L65,Erfassung1!BW:BW)</f>
        <v>0</v>
      </c>
      <c r="N65">
        <f>SUMIF(Erfassung1!BD:BD,L65,Erfassung1!BG:BG)</f>
        <v>0</v>
      </c>
      <c r="O65">
        <f t="shared" si="1"/>
        <v>0</v>
      </c>
      <c r="P65">
        <f t="shared" si="7"/>
        <v>49</v>
      </c>
    </row>
    <row r="66" spans="1:16" x14ac:dyDescent="0.25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16398</v>
      </c>
      <c r="M66">
        <f>SUMIF(Erfassung1!BD:BD,L66,Erfassung1!BW:BW)</f>
        <v>0</v>
      </c>
      <c r="N66">
        <f>SUMIF(Erfassung1!BD:BD,L66,Erfassung1!BG:BG)</f>
        <v>0</v>
      </c>
      <c r="O66">
        <f t="shared" si="1"/>
        <v>0</v>
      </c>
      <c r="P66">
        <f t="shared" ref="P66:P97" si="13">RANK(O66,O:O)</f>
        <v>49</v>
      </c>
    </row>
    <row r="67" spans="1:16" x14ac:dyDescent="0.25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16251</v>
      </c>
      <c r="M67">
        <f>SUMIF(Erfassung1!BD:BD,L67,Erfassung1!BW:BW)</f>
        <v>0</v>
      </c>
      <c r="N67">
        <f>SUMIF(Erfassung1!BD:BD,L67,Erfassung1!BG:BG)</f>
        <v>0</v>
      </c>
      <c r="O67">
        <f t="shared" ref="O67:O104" si="14">IF(N67=0,0,M67/N67-ROW()/1000000000)</f>
        <v>0</v>
      </c>
      <c r="P67">
        <f t="shared" si="13"/>
        <v>49</v>
      </c>
    </row>
    <row r="68" spans="1:16" x14ac:dyDescent="0.25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38686</v>
      </c>
      <c r="M68">
        <f>SUMIF(Erfassung1!BD:BD,L68,Erfassung1!BW:BW)</f>
        <v>0</v>
      </c>
      <c r="N68">
        <f>SUMIF(Erfassung1!BD:BD,L68,Erfassung1!BG:BG)</f>
        <v>0</v>
      </c>
      <c r="O68">
        <f t="shared" si="14"/>
        <v>0</v>
      </c>
      <c r="P68">
        <f t="shared" si="13"/>
        <v>49</v>
      </c>
    </row>
    <row r="69" spans="1:16" x14ac:dyDescent="0.25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22116</v>
      </c>
      <c r="M69">
        <f>SUMIF(Erfassung1!BD:BD,L69,Erfassung1!BW:BW)</f>
        <v>0</v>
      </c>
      <c r="N69">
        <f>SUMIF(Erfassung1!BD:BD,L69,Erfassung1!BG:BG)</f>
        <v>0</v>
      </c>
      <c r="O69">
        <f t="shared" si="14"/>
        <v>0</v>
      </c>
      <c r="P69">
        <f t="shared" si="13"/>
        <v>49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SUMIF(Erfassung1!BD:BD,L70,Erfassung1!BW:BW)</f>
        <v>0</v>
      </c>
      <c r="N70">
        <f>SUMIF(Erfassung1!BD:BD,L70,Erfassung1!BG:BG)</f>
        <v>0</v>
      </c>
      <c r="O70">
        <f t="shared" si="14"/>
        <v>0</v>
      </c>
      <c r="P70">
        <f t="shared" si="13"/>
        <v>49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SUMIF(Erfassung1!BD:BD,L71,Erfassung1!BW:BW)</f>
        <v>0</v>
      </c>
      <c r="N71">
        <f>SUMIF(Erfassung1!BD:BD,L71,Erfassung1!BG:BG)</f>
        <v>0</v>
      </c>
      <c r="O71">
        <f t="shared" si="14"/>
        <v>0</v>
      </c>
      <c r="P71">
        <f t="shared" si="13"/>
        <v>49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38907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49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16469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49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38018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49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25465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49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49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49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49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49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49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49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49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49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49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49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49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49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49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49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49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49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49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49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49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49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49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49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49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49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49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49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49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49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Gerd Glaser</cp:lastModifiedBy>
  <cp:lastPrinted>2025-03-17T19:08:43Z</cp:lastPrinted>
  <dcterms:created xsi:type="dcterms:W3CDTF">2008-06-12T13:54:35Z</dcterms:created>
  <dcterms:modified xsi:type="dcterms:W3CDTF">2025-04-06T09:46:17Z</dcterms:modified>
</cp:coreProperties>
</file>