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d Glaser\Desktop\"/>
    </mc:Choice>
  </mc:AlternateContent>
  <xr:revisionPtr revIDLastSave="0" documentId="13_ncr:1_{C6C3CB18-92F2-4626-815F-1EFF4B8F6B9B}" xr6:coauthVersionLast="47" xr6:coauthVersionMax="47" xr10:uidLastSave="{00000000-0000-0000-0000-000000000000}"/>
  <workbookProtection workbookAlgorithmName="SHA-512" workbookHashValue="5Zw3sR0PSd7zN5GirxA3DqDg6QW8bjo2FORAk5TFQlwRi39PnmNwy/STAt6j4AbAo8P0KuX4boIn2AUaZtQd0g==" workbookSaltValue="2x0qb4RWBTF6loW0TjTkRw==" workbookSpinCount="100000" lockStructure="1"/>
  <bookViews>
    <workbookView xWindow="-108" yWindow="-108" windowWidth="19416" windowHeight="10296" tabRatio="690" firstSheet="37" activeTab="4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SchnittGes6!$A$1:$G$74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69" i="71"/>
  <c r="C69" i="71"/>
  <c r="B69" i="71"/>
  <c r="AA67" i="57" s="1"/>
  <c r="B67" i="57" s="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AA74" i="52" s="1"/>
  <c r="B74" i="52" s="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AA127" i="52" s="1"/>
  <c r="B127" i="52" s="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AA10" i="58" s="1"/>
  <c r="B10" i="58" s="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AA286" i="52" s="1"/>
  <c r="B286" i="52" s="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AA71" i="58" s="1"/>
  <c r="B71" i="58" s="1"/>
  <c r="D13" i="71"/>
  <c r="C13" i="71"/>
  <c r="B13" i="71"/>
  <c r="D12" i="71"/>
  <c r="C12" i="71"/>
  <c r="B12" i="71"/>
  <c r="AA160" i="52" s="1"/>
  <c r="B160" i="52" s="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44" i="52"/>
  <c r="B44" i="52" s="1"/>
  <c r="AA13" i="52"/>
  <c r="B13" i="52" s="1"/>
  <c r="AA11" i="52"/>
  <c r="B11" i="52" s="1"/>
  <c r="AA250" i="55"/>
  <c r="B250" i="55" s="1"/>
  <c r="AA137" i="52"/>
  <c r="B137" i="52" s="1"/>
  <c r="AA160" i="53"/>
  <c r="B160" i="53" s="1"/>
  <c r="DR4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W283" i="59" s="1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W187" i="59" s="1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G133" i="59" s="1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W104" i="59" s="1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X103" i="59" s="1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X78" i="59" s="1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W72" i="59" s="1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X43" i="59" s="1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X13" i="59" s="1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G7" i="59" s="1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G254" i="58" s="1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G249" i="58" s="1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X168" i="58" s="1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W162" i="58" s="1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X128" i="58" s="1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W105" i="58" s="1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X99" i="58" s="1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G7" i="58" s="1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G287" i="57" s="1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F283" i="57" s="1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S253" i="57" s="1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S227" i="57" s="1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S224" i="57" s="1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F192" i="57" s="1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X161" i="57" s="1"/>
  <c r="BD161" i="57"/>
  <c r="BP160" i="57"/>
  <c r="BO160" i="57"/>
  <c r="BN160" i="57"/>
  <c r="BM160" i="57"/>
  <c r="BL160" i="57"/>
  <c r="BK160" i="57"/>
  <c r="BJ160" i="57"/>
  <c r="BG160" i="57" s="1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F131" i="57" s="1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G288" i="55" s="1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G225" i="55" s="1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W281" i="53" s="1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G72" i="52" s="1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G15" i="52" s="1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AU248" i="59"/>
  <c r="AU247" i="59"/>
  <c r="V247" i="59" s="1"/>
  <c r="AU228" i="59"/>
  <c r="AU227" i="59"/>
  <c r="AU226" i="59"/>
  <c r="V226" i="59" s="1"/>
  <c r="AU225" i="59"/>
  <c r="BE225" i="59" s="1"/>
  <c r="AU224" i="59"/>
  <c r="BE224" i="59" s="1"/>
  <c r="AU223" i="59"/>
  <c r="AU222" i="59"/>
  <c r="BE222" i="59" s="1"/>
  <c r="AU221" i="59"/>
  <c r="AU220" i="59"/>
  <c r="BE220" i="59" s="1"/>
  <c r="AU219" i="59"/>
  <c r="AU218" i="59"/>
  <c r="AU217" i="59"/>
  <c r="BE217" i="59" s="1"/>
  <c r="AU198" i="59"/>
  <c r="BE198" i="59" s="1"/>
  <c r="AU197" i="59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BE165" i="59" s="1"/>
  <c r="AU164" i="59"/>
  <c r="BE164" i="59" s="1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AU131" i="59"/>
  <c r="AU130" i="59"/>
  <c r="BE130" i="59" s="1"/>
  <c r="AU129" i="59"/>
  <c r="AU128" i="59"/>
  <c r="AU127" i="59"/>
  <c r="BE127" i="59" s="1"/>
  <c r="AU108" i="59"/>
  <c r="V108" i="59" s="1"/>
  <c r="BE108" i="59"/>
  <c r="AU107" i="59"/>
  <c r="BE107" i="59" s="1"/>
  <c r="AU106" i="59"/>
  <c r="BE106" i="59" s="1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AU43" i="59"/>
  <c r="BE43" i="59" s="1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 s="1"/>
  <c r="AU10" i="59"/>
  <c r="BE10" i="59" s="1"/>
  <c r="AU9" i="59"/>
  <c r="AU8" i="59"/>
  <c r="BE8" i="59" s="1"/>
  <c r="AU7" i="59"/>
  <c r="BE7" i="59" s="1"/>
  <c r="AU288" i="58"/>
  <c r="AU287" i="58"/>
  <c r="BE287" i="58" s="1"/>
  <c r="AU286" i="58"/>
  <c r="V286" i="58" s="1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 s="1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 s="1"/>
  <c r="AU75" i="58"/>
  <c r="BE75" i="58" s="1"/>
  <c r="AU74" i="58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AU43" i="58"/>
  <c r="BE43" i="58" s="1"/>
  <c r="AU42" i="58"/>
  <c r="AU41" i="58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V282" i="57" s="1"/>
  <c r="BE282" i="57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AU131" i="57"/>
  <c r="BE131" i="57" s="1"/>
  <c r="AU130" i="57"/>
  <c r="BE130" i="57" s="1"/>
  <c r="AU129" i="57"/>
  <c r="BE129" i="57" s="1"/>
  <c r="AU128" i="57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AU102" i="57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AU191" i="55"/>
  <c r="BE191" i="55" s="1"/>
  <c r="AU190" i="55"/>
  <c r="BE190" i="55" s="1"/>
  <c r="AU189" i="55"/>
  <c r="AU188" i="55"/>
  <c r="BE188" i="55" s="1"/>
  <c r="AU187" i="55"/>
  <c r="BE187" i="55" s="1"/>
  <c r="AU168" i="55"/>
  <c r="BE168" i="55" s="1"/>
  <c r="AU167" i="55"/>
  <c r="AU166" i="55"/>
  <c r="AU165" i="55"/>
  <c r="BE165" i="55" s="1"/>
  <c r="AU164" i="55"/>
  <c r="BE164" i="55" s="1"/>
  <c r="AU163" i="55"/>
  <c r="BE163" i="55" s="1"/>
  <c r="AU162" i="55"/>
  <c r="AU161" i="55"/>
  <c r="BE161" i="55" s="1"/>
  <c r="AU160" i="55"/>
  <c r="BE160" i="55" s="1"/>
  <c r="AU159" i="55"/>
  <c r="AU158" i="55"/>
  <c r="AU157" i="55"/>
  <c r="BE157" i="55" s="1"/>
  <c r="AU138" i="55"/>
  <c r="AU137" i="55"/>
  <c r="AU136" i="55"/>
  <c r="BE136" i="55" s="1"/>
  <c r="AU135" i="55"/>
  <c r="AU134" i="55"/>
  <c r="AU133" i="55"/>
  <c r="AU132" i="55"/>
  <c r="AU131" i="55"/>
  <c r="BE131" i="55" s="1"/>
  <c r="AU130" i="55"/>
  <c r="AU129" i="55"/>
  <c r="BE129" i="55" s="1"/>
  <c r="AU128" i="55"/>
  <c r="BE128" i="55" s="1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 s="1"/>
  <c r="AU100" i="55"/>
  <c r="BE100" i="55" s="1"/>
  <c r="AU99" i="55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AU37" i="55"/>
  <c r="BE37" i="55" s="1"/>
  <c r="AU18" i="55"/>
  <c r="BE18" i="55" s="1"/>
  <c r="AU17" i="55"/>
  <c r="AU16" i="55"/>
  <c r="BE16" i="55" s="1"/>
  <c r="AU15" i="55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AU222" i="53"/>
  <c r="BE222" i="53" s="1"/>
  <c r="AU221" i="53"/>
  <c r="BE221" i="53" s="1"/>
  <c r="AU220" i="53"/>
  <c r="AU219" i="53"/>
  <c r="AU218" i="53"/>
  <c r="V218" i="53" s="1"/>
  <c r="AU217" i="53"/>
  <c r="AU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AU159" i="53"/>
  <c r="BE159" i="53" s="1"/>
  <c r="AU158" i="53"/>
  <c r="AU157" i="53"/>
  <c r="BE157" i="53" s="1"/>
  <c r="AU138" i="53"/>
  <c r="BE138" i="53" s="1"/>
  <c r="AU137" i="53"/>
  <c r="AU136" i="53"/>
  <c r="V136" i="53" s="1"/>
  <c r="AU135" i="53"/>
  <c r="AU134" i="53"/>
  <c r="V134" i="53" s="1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 s="1"/>
  <c r="AU127" i="53"/>
  <c r="AU108" i="53"/>
  <c r="BE108" i="53" s="1"/>
  <c r="AU107" i="53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AU78" i="53"/>
  <c r="BE78" i="53" s="1"/>
  <c r="AU77" i="53"/>
  <c r="BE77" i="53" s="1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 s="1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AU166" i="52"/>
  <c r="AU165" i="52"/>
  <c r="AU164" i="52"/>
  <c r="BE164" i="52" s="1"/>
  <c r="AU163" i="52"/>
  <c r="BE163" i="52" s="1"/>
  <c r="AU162" i="52"/>
  <c r="BE162" i="52" s="1"/>
  <c r="AU161" i="52"/>
  <c r="V161" i="52" s="1"/>
  <c r="AU160" i="52"/>
  <c r="AU159" i="52"/>
  <c r="BE159" i="52" s="1"/>
  <c r="AU158" i="52"/>
  <c r="BE158" i="52" s="1"/>
  <c r="AU157" i="52"/>
  <c r="BE157" i="52" s="1"/>
  <c r="AU138" i="52"/>
  <c r="V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AU68" i="52"/>
  <c r="BE68" i="52" s="1"/>
  <c r="AU67" i="52"/>
  <c r="BE67" i="52" s="1"/>
  <c r="AU48" i="52"/>
  <c r="AU47" i="52"/>
  <c r="BE47" i="52" s="1"/>
  <c r="AU46" i="52"/>
  <c r="V46" i="52" s="1"/>
  <c r="AU45" i="52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AU37" i="52"/>
  <c r="BE37" i="52" s="1"/>
  <c r="AU18" i="52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L259" i="59" s="1"/>
  <c r="AI259" i="59"/>
  <c r="AG259" i="59"/>
  <c r="AE259" i="59"/>
  <c r="AC259" i="59"/>
  <c r="D259" i="59" s="1"/>
  <c r="AS229" i="59"/>
  <c r="AQ229" i="59"/>
  <c r="R229" i="59" s="1"/>
  <c r="AO229" i="59"/>
  <c r="P229" i="59" s="1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D199" i="59" s="1"/>
  <c r="AS169" i="59"/>
  <c r="T169" i="59" s="1"/>
  <c r="AQ169" i="59"/>
  <c r="R169" i="59" s="1"/>
  <c r="AO169" i="59"/>
  <c r="AM169" i="59"/>
  <c r="N169" i="59" s="1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J109" i="59" s="1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L79" i="59" s="1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 s="1"/>
  <c r="AG19" i="59"/>
  <c r="H19" i="59" s="1"/>
  <c r="AE19" i="59"/>
  <c r="F19" i="59" s="1"/>
  <c r="AC19" i="59"/>
  <c r="D19" i="59" s="1"/>
  <c r="AS289" i="58"/>
  <c r="AQ289" i="58"/>
  <c r="AO289" i="58"/>
  <c r="AM289" i="58"/>
  <c r="N289" i="58" s="1"/>
  <c r="AK289" i="58"/>
  <c r="AI289" i="58"/>
  <c r="AG289" i="58"/>
  <c r="H289" i="58" s="1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P229" i="58" s="1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F169" i="58" s="1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J109" i="58" s="1"/>
  <c r="AG109" i="58"/>
  <c r="AE109" i="58"/>
  <c r="F109" i="58" s="1"/>
  <c r="AC109" i="58"/>
  <c r="AS79" i="58"/>
  <c r="T79" i="58" s="1"/>
  <c r="AQ79" i="58"/>
  <c r="R79" i="58" s="1"/>
  <c r="AO79" i="58"/>
  <c r="AM79" i="58"/>
  <c r="AK79" i="58"/>
  <c r="AI79" i="58"/>
  <c r="AG79" i="58"/>
  <c r="AE79" i="58"/>
  <c r="F79" i="58" s="1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P19" i="58" s="1"/>
  <c r="AM19" i="58"/>
  <c r="AK19" i="58"/>
  <c r="L19" i="58" s="1"/>
  <c r="AI19" i="58"/>
  <c r="J19" i="58" s="1"/>
  <c r="AG19" i="58"/>
  <c r="H19" i="58" s="1"/>
  <c r="AE19" i="58"/>
  <c r="F19" i="58" s="1"/>
  <c r="AC19" i="58"/>
  <c r="D19" i="58" s="1"/>
  <c r="AS289" i="57"/>
  <c r="T289" i="57" s="1"/>
  <c r="AQ289" i="57"/>
  <c r="R289" i="57" s="1"/>
  <c r="AO289" i="57"/>
  <c r="P289" i="57" s="1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J259" i="57" s="1"/>
  <c r="AG259" i="57"/>
  <c r="H259" i="57" s="1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N169" i="57" s="1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N109" i="57" s="1"/>
  <c r="AK109" i="57"/>
  <c r="L109" i="57" s="1"/>
  <c r="AI109" i="57"/>
  <c r="J109" i="57" s="1"/>
  <c r="AG109" i="57"/>
  <c r="H109" i="57" s="1"/>
  <c r="AE109" i="57"/>
  <c r="AC109" i="57"/>
  <c r="D109" i="57" s="1"/>
  <c r="AS79" i="57"/>
  <c r="AQ79" i="57"/>
  <c r="R79" i="57" s="1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R49" i="57" s="1"/>
  <c r="AO49" i="57"/>
  <c r="P49" i="57" s="1"/>
  <c r="AM49" i="57"/>
  <c r="AK49" i="57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R289" i="53" s="1"/>
  <c r="AO289" i="53"/>
  <c r="P289" i="53" s="1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N259" i="53" s="1"/>
  <c r="AK259" i="53"/>
  <c r="AI259" i="53"/>
  <c r="J259" i="53" s="1"/>
  <c r="AG259" i="53"/>
  <c r="H259" i="53" s="1"/>
  <c r="AE259" i="53"/>
  <c r="F259" i="53" s="1"/>
  <c r="AC259" i="53"/>
  <c r="D259" i="53" s="1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D229" i="53" s="1"/>
  <c r="AS199" i="53"/>
  <c r="T199" i="53" s="1"/>
  <c r="AQ199" i="53"/>
  <c r="R199" i="53" s="1"/>
  <c r="AO199" i="53"/>
  <c r="P199" i="53" s="1"/>
  <c r="AM199" i="53"/>
  <c r="AK199" i="53"/>
  <c r="AI199" i="53"/>
  <c r="J199" i="53" s="1"/>
  <c r="AG199" i="53"/>
  <c r="H199" i="53" s="1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Q139" i="53"/>
  <c r="R139" i="53" s="1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N109" i="53" s="1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P79" i="53" s="1"/>
  <c r="AM79" i="53"/>
  <c r="N79" i="53" s="1"/>
  <c r="AK79" i="53"/>
  <c r="L79" i="53" s="1"/>
  <c r="AI79" i="53"/>
  <c r="J79" i="53" s="1"/>
  <c r="AG79" i="53"/>
  <c r="H79" i="53" s="1"/>
  <c r="AE79" i="53"/>
  <c r="AC79" i="53"/>
  <c r="AS49" i="53"/>
  <c r="AQ49" i="53"/>
  <c r="R49" i="53" s="1"/>
  <c r="AO49" i="53"/>
  <c r="P49" i="53" s="1"/>
  <c r="AM49" i="53"/>
  <c r="N49" i="53" s="1"/>
  <c r="AK49" i="53"/>
  <c r="AI49" i="53"/>
  <c r="AG49" i="53"/>
  <c r="AE49" i="53"/>
  <c r="AC49" i="53"/>
  <c r="D49" i="53" s="1"/>
  <c r="AS19" i="53"/>
  <c r="T19" i="53" s="1"/>
  <c r="AQ19" i="53"/>
  <c r="R19" i="53" s="1"/>
  <c r="AO19" i="53"/>
  <c r="P19" i="53" s="1"/>
  <c r="AM19" i="53"/>
  <c r="N19" i="53" s="1"/>
  <c r="AK19" i="53"/>
  <c r="L19" i="53" s="1"/>
  <c r="AI19" i="53"/>
  <c r="J19" i="53" s="1"/>
  <c r="AG19" i="53"/>
  <c r="AE19" i="53"/>
  <c r="AC19" i="53"/>
  <c r="D19" i="53" s="1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P23" i="51" s="1"/>
  <c r="N22" i="51"/>
  <c r="L22" i="51"/>
  <c r="L23" i="51" s="1"/>
  <c r="J22" i="51"/>
  <c r="H22" i="51"/>
  <c r="H23" i="51" s="1"/>
  <c r="F22" i="51"/>
  <c r="D22" i="51"/>
  <c r="D23" i="51" s="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D23" i="46" s="1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77" i="52"/>
  <c r="B77" i="52" s="1"/>
  <c r="AA196" i="55"/>
  <c r="B196" i="55" s="1"/>
  <c r="AA196" i="53"/>
  <c r="B196" i="53" s="1"/>
  <c r="AA278" i="55"/>
  <c r="B278" i="55" s="1"/>
  <c r="B1" i="71"/>
  <c r="AA97" i="53" s="1"/>
  <c r="B97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 s="1"/>
  <c r="DL8" i="16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P9" i="16"/>
  <c r="AR124" i="59" s="1"/>
  <c r="DI10" i="16"/>
  <c r="DJ10" i="16"/>
  <c r="AF154" i="59" s="1"/>
  <c r="DK10" i="16"/>
  <c r="AH154" i="59" s="1"/>
  <c r="DL10" i="16"/>
  <c r="AJ154" i="59" s="1"/>
  <c r="DM10" i="16"/>
  <c r="AL154" i="59" s="1"/>
  <c r="DN10" i="16"/>
  <c r="DP10" i="16"/>
  <c r="DQ10" i="16"/>
  <c r="DI11" i="16"/>
  <c r="AD184" i="59" s="1"/>
  <c r="DJ11" i="16"/>
  <c r="AF184" i="59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N7" i="16"/>
  <c r="AN64" i="59" s="1"/>
  <c r="DO7" i="16"/>
  <c r="AP64" i="59" s="1"/>
  <c r="DP7" i="16"/>
  <c r="AR64" i="59" s="1"/>
  <c r="DQ7" i="16"/>
  <c r="CP8" i="16"/>
  <c r="AF94" i="58" s="1"/>
  <c r="CQ8" i="16"/>
  <c r="AH94" i="58" s="1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AP124" i="58" s="1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 s="1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AD274" i="58" s="1"/>
  <c r="CR14" i="16"/>
  <c r="AJ274" i="58" s="1"/>
  <c r="CS14" i="16"/>
  <c r="CT14" i="16"/>
  <c r="AN274" i="58" s="1"/>
  <c r="CV14" i="16"/>
  <c r="AR274" i="58" s="1"/>
  <c r="CQ7" i="16"/>
  <c r="CT7" i="16"/>
  <c r="CV7" i="16"/>
  <c r="AR64" i="58" s="1"/>
  <c r="BX6" i="16"/>
  <c r="AJ34" i="57" s="1"/>
  <c r="BV7" i="16"/>
  <c r="AF64" i="57" s="1"/>
  <c r="BW7" i="16"/>
  <c r="AH64" i="57" s="1"/>
  <c r="CA7" i="16"/>
  <c r="AP64" i="57" s="1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AN244" i="57" s="1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 s="1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F34" i="53" s="1"/>
  <c r="AM6" i="16"/>
  <c r="AP34" i="53" s="1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I112" i="53"/>
  <c r="AK112" i="53"/>
  <c r="L112" i="53" s="1"/>
  <c r="AM112" i="53"/>
  <c r="AO112" i="53"/>
  <c r="AQ112" i="53"/>
  <c r="AS112" i="53"/>
  <c r="AE121" i="53"/>
  <c r="F121" i="53" s="1"/>
  <c r="AT121" i="53"/>
  <c r="U121" i="53" s="1"/>
  <c r="AE122" i="53"/>
  <c r="F122" i="53" s="1"/>
  <c r="AC142" i="53"/>
  <c r="AE142" i="53"/>
  <c r="AG142" i="53"/>
  <c r="H142" i="53" s="1"/>
  <c r="AI142" i="53"/>
  <c r="AI143" i="53" s="1"/>
  <c r="J143" i="53" s="1"/>
  <c r="AK142" i="53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Q173" i="53" s="1"/>
  <c r="R173" i="53" s="1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AC262" i="53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G293" i="53" s="1"/>
  <c r="H293" i="53" s="1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R172" i="59" s="1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T9" i="59"/>
  <c r="R9" i="59"/>
  <c r="P9" i="59"/>
  <c r="N9" i="59"/>
  <c r="L9" i="59"/>
  <c r="J9" i="59"/>
  <c r="H9" i="59"/>
  <c r="F9" i="59"/>
  <c r="D9" i="59"/>
  <c r="C9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A3" i="69" s="1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O142" i="58"/>
  <c r="AM142" i="58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S113" i="58" s="1"/>
  <c r="T113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AM262" i="57"/>
  <c r="N262" i="57" s="1"/>
  <c r="AK262" i="57"/>
  <c r="AK263" i="57" s="1"/>
  <c r="L263" i="57" s="1"/>
  <c r="AI262" i="57"/>
  <c r="J262" i="57" s="1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G233" i="57" s="1"/>
  <c r="H233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N142" i="57" s="1"/>
  <c r="AK142" i="57"/>
  <c r="AI142" i="57"/>
  <c r="AI143" i="57" s="1"/>
  <c r="J143" i="57" s="1"/>
  <c r="AG142" i="57"/>
  <c r="H142" i="57" s="1"/>
  <c r="AE142" i="57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8" i="57" s="1"/>
  <c r="J118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T82" i="57" s="1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T292" i="55" s="1"/>
  <c r="AQ292" i="55"/>
  <c r="AO292" i="55"/>
  <c r="AM292" i="55"/>
  <c r="AK292" i="55"/>
  <c r="L292" i="55" s="1"/>
  <c r="AI292" i="55"/>
  <c r="AG292" i="55"/>
  <c r="AE292" i="55"/>
  <c r="AC292" i="55"/>
  <c r="AC293" i="55" s="1"/>
  <c r="D293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O172" i="55"/>
  <c r="AM172" i="55"/>
  <c r="N172" i="55" s="1"/>
  <c r="AK172" i="55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I292" i="52"/>
  <c r="AG292" i="52"/>
  <c r="H292" i="52" s="1"/>
  <c r="AE292" i="52"/>
  <c r="F292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H262" i="52" s="1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C88" i="52" s="1"/>
  <c r="AD76" i="52" s="1"/>
  <c r="E76" i="52" s="1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B3" i="52" s="1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D22" i="52" s="1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N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B3" i="46"/>
  <c r="F1" i="46"/>
  <c r="P8" i="93"/>
  <c r="P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CN14" i="16"/>
  <c r="AF244" i="59"/>
  <c r="DH13" i="16"/>
  <c r="AN244" i="58"/>
  <c r="CN13" i="16"/>
  <c r="AF214" i="59"/>
  <c r="DH12" i="16"/>
  <c r="CN12" i="16"/>
  <c r="DH11" i="16"/>
  <c r="CN11" i="16"/>
  <c r="AR154" i="59"/>
  <c r="AN154" i="59"/>
  <c r="DH10" i="16"/>
  <c r="CN10" i="16"/>
  <c r="DH9" i="16"/>
  <c r="CN9" i="16"/>
  <c r="AT94" i="59"/>
  <c r="DH8" i="16"/>
  <c r="CN8" i="16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80" i="57"/>
  <c r="V257" i="55"/>
  <c r="V279" i="55"/>
  <c r="F259" i="59"/>
  <c r="V68" i="59"/>
  <c r="V72" i="59"/>
  <c r="V105" i="59"/>
  <c r="V104" i="52"/>
  <c r="V188" i="52"/>
  <c r="V191" i="52"/>
  <c r="V71" i="52"/>
  <c r="V78" i="52"/>
  <c r="V223" i="52"/>
  <c r="V164" i="52"/>
  <c r="V134" i="52"/>
  <c r="V17" i="52"/>
  <c r="V42" i="52"/>
  <c r="J109" i="52"/>
  <c r="V282" i="52"/>
  <c r="V105" i="52"/>
  <c r="V72" i="52"/>
  <c r="V11" i="52"/>
  <c r="AD64" i="55"/>
  <c r="AD94" i="57"/>
  <c r="AF154" i="58"/>
  <c r="AD214" i="58"/>
  <c r="AD214" i="59"/>
  <c r="AD244" i="58"/>
  <c r="V249" i="52"/>
  <c r="H49" i="53"/>
  <c r="F19" i="53"/>
  <c r="V70" i="53"/>
  <c r="V282" i="53"/>
  <c r="N199" i="53"/>
  <c r="V100" i="53"/>
  <c r="L109" i="53"/>
  <c r="H109" i="53"/>
  <c r="F109" i="53"/>
  <c r="T139" i="53"/>
  <c r="F139" i="53"/>
  <c r="J16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AM143" i="57"/>
  <c r="N143" i="57" s="1"/>
  <c r="R262" i="53"/>
  <c r="AG173" i="53"/>
  <c r="H173" i="53" s="1"/>
  <c r="AE23" i="57"/>
  <c r="F23" i="57" s="1"/>
  <c r="T292" i="53"/>
  <c r="R232" i="53"/>
  <c r="J52" i="59"/>
  <c r="T52" i="58"/>
  <c r="AQ53" i="58"/>
  <c r="R53" i="58" s="1"/>
  <c r="T112" i="58"/>
  <c r="AO23" i="53"/>
  <c r="P23" i="53" s="1"/>
  <c r="P22" i="53"/>
  <c r="AM113" i="53"/>
  <c r="N113" i="53" s="1"/>
  <c r="N112" i="53"/>
  <c r="P262" i="59"/>
  <c r="AO83" i="53"/>
  <c r="P83" i="53" s="1"/>
  <c r="P82" i="53"/>
  <c r="AE173" i="53"/>
  <c r="F173" i="53" s="1"/>
  <c r="J172" i="58"/>
  <c r="N232" i="57"/>
  <c r="AG263" i="52"/>
  <c r="H263" i="52" s="1"/>
  <c r="AQ203" i="58"/>
  <c r="R203" i="58" s="1"/>
  <c r="AM263" i="58"/>
  <c r="N263" i="58" s="1"/>
  <c r="N262" i="58"/>
  <c r="AI203" i="59"/>
  <c r="J203" i="59" s="1"/>
  <c r="J202" i="59"/>
  <c r="N142" i="59"/>
  <c r="AM203" i="58"/>
  <c r="N203" i="58" s="1"/>
  <c r="N202" i="58"/>
  <c r="AE233" i="59"/>
  <c r="F233" i="59" s="1"/>
  <c r="F232" i="59"/>
  <c r="AQ263" i="55"/>
  <c r="R263" i="55" s="1"/>
  <c r="AS203" i="57"/>
  <c r="T203" i="57" s="1"/>
  <c r="T202" i="57"/>
  <c r="AC293" i="57"/>
  <c r="D293" i="57" s="1"/>
  <c r="H226" i="55"/>
  <c r="AQ263" i="53"/>
  <c r="R263" i="53" s="1"/>
  <c r="AS233" i="53"/>
  <c r="T233" i="53" s="1"/>
  <c r="J142" i="53"/>
  <c r="V288" i="55"/>
  <c r="V284" i="55"/>
  <c r="H196" i="55"/>
  <c r="H190" i="55"/>
  <c r="H127" i="55"/>
  <c r="P76" i="55"/>
  <c r="V72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24" i="59"/>
  <c r="V195" i="59"/>
  <c r="V162" i="59"/>
  <c r="V45" i="59"/>
  <c r="V42" i="59"/>
  <c r="V15" i="59"/>
  <c r="P283" i="58"/>
  <c r="V284" i="58"/>
  <c r="V287" i="58"/>
  <c r="V254" i="58"/>
  <c r="V248" i="58"/>
  <c r="R223" i="58"/>
  <c r="V218" i="58"/>
  <c r="V219" i="58"/>
  <c r="V225" i="58"/>
  <c r="V192" i="58"/>
  <c r="T157" i="58"/>
  <c r="V158" i="58"/>
  <c r="H76" i="58"/>
  <c r="H73" i="58"/>
  <c r="J70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T232" i="58"/>
  <c r="L262" i="58"/>
  <c r="T142" i="59"/>
  <c r="AS143" i="59"/>
  <c r="T143" i="59" s="1"/>
  <c r="H112" i="59"/>
  <c r="AM53" i="57"/>
  <c r="N53" i="57" s="1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4" i="57"/>
  <c r="V189" i="52"/>
  <c r="V192" i="53"/>
  <c r="V167" i="59"/>
  <c r="V168" i="59"/>
  <c r="V165" i="55"/>
  <c r="F169" i="57"/>
  <c r="N160" i="57"/>
  <c r="V168" i="55"/>
  <c r="V138" i="58"/>
  <c r="V131" i="55"/>
  <c r="L97" i="59"/>
  <c r="V108" i="58"/>
  <c r="N97" i="59"/>
  <c r="T40" i="59"/>
  <c r="L37" i="57"/>
  <c r="V39" i="55"/>
  <c r="V39" i="57"/>
  <c r="V39" i="59"/>
  <c r="L46" i="55"/>
  <c r="V42" i="57"/>
  <c r="N37" i="57"/>
  <c r="L43" i="55"/>
  <c r="J46" i="55"/>
  <c r="T11" i="57"/>
  <c r="J7" i="55"/>
  <c r="N13" i="55"/>
  <c r="T127" i="59"/>
  <c r="P40" i="59"/>
  <c r="T70" i="59"/>
  <c r="R40" i="59"/>
  <c r="P43" i="59"/>
  <c r="N73" i="59"/>
  <c r="V165" i="59"/>
  <c r="V137" i="59"/>
  <c r="J76" i="58"/>
  <c r="N73" i="58"/>
  <c r="N70" i="58"/>
  <c r="R67" i="58"/>
  <c r="R13" i="58"/>
  <c r="V39" i="58"/>
  <c r="V99" i="58"/>
  <c r="T223" i="57"/>
  <c r="V38" i="57"/>
  <c r="V69" i="57"/>
  <c r="V225" i="57"/>
  <c r="V248" i="57"/>
  <c r="V47" i="57"/>
  <c r="V9" i="57"/>
  <c r="L7" i="55"/>
  <c r="V69" i="55"/>
  <c r="V129" i="55"/>
  <c r="V164" i="55"/>
  <c r="V105" i="55"/>
  <c r="V197" i="55"/>
  <c r="V191" i="55"/>
  <c r="V249" i="55"/>
  <c r="V281" i="55"/>
  <c r="V228" i="55"/>
  <c r="V224" i="55"/>
  <c r="V225" i="55"/>
  <c r="V18" i="53"/>
  <c r="V8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J139" i="57"/>
  <c r="L43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T13" i="59"/>
  <c r="T253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D142" i="58"/>
  <c r="AI233" i="58"/>
  <c r="J233" i="58" s="1"/>
  <c r="AE293" i="58"/>
  <c r="F293" i="58" s="1"/>
  <c r="J52" i="53"/>
  <c r="AM203" i="57"/>
  <c r="N203" i="57" s="1"/>
  <c r="AK113" i="53"/>
  <c r="L113" i="53" s="1"/>
  <c r="V193" i="59"/>
  <c r="V217" i="58"/>
  <c r="V217" i="57"/>
  <c r="P289" i="59"/>
  <c r="H232" i="57"/>
  <c r="V71" i="58"/>
  <c r="AS83" i="58"/>
  <c r="T83" i="58" s="1"/>
  <c r="V194" i="58"/>
  <c r="T82" i="58"/>
  <c r="AC85" i="52"/>
  <c r="D85" i="52" s="1"/>
  <c r="V101" i="57"/>
  <c r="V284" i="57"/>
  <c r="V77" i="58"/>
  <c r="V131" i="58"/>
  <c r="R262" i="52"/>
  <c r="V16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R229" i="58"/>
  <c r="V280" i="55"/>
  <c r="V223" i="57"/>
  <c r="V157" i="58"/>
  <c r="V253" i="57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12" i="57"/>
  <c r="V164" i="58"/>
  <c r="V248" i="55"/>
  <c r="V105" i="57"/>
  <c r="V161" i="58"/>
  <c r="V287" i="55"/>
  <c r="AK53" i="53"/>
  <c r="L53" i="53" s="1"/>
  <c r="H51" i="49"/>
  <c r="H52" i="49" s="1"/>
  <c r="J51" i="49"/>
  <c r="J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98" i="57"/>
  <c r="V97" i="58"/>
  <c r="V13" i="57"/>
  <c r="D202" i="53"/>
  <c r="H112" i="53"/>
  <c r="V164" i="59"/>
  <c r="V159" i="53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W99" i="59"/>
  <c r="BG135" i="59"/>
  <c r="BS138" i="59"/>
  <c r="BF138" i="59"/>
  <c r="BG159" i="59"/>
  <c r="BS12" i="59"/>
  <c r="BF75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S100" i="58"/>
  <c r="BX105" i="58"/>
  <c r="BF102" i="58"/>
  <c r="BW131" i="58"/>
  <c r="BX225" i="58"/>
  <c r="BX228" i="58"/>
  <c r="BG162" i="58"/>
  <c r="BX165" i="58"/>
  <c r="BX191" i="58"/>
  <c r="BF278" i="58"/>
  <c r="BW283" i="58"/>
  <c r="BX283" i="58"/>
  <c r="BF283" i="58"/>
  <c r="BX162" i="58"/>
  <c r="BS225" i="58"/>
  <c r="BG225" i="58"/>
  <c r="BW225" i="58"/>
  <c r="BF249" i="58"/>
  <c r="BF257" i="58"/>
  <c r="BF254" i="58"/>
  <c r="BG257" i="58"/>
  <c r="BS283" i="58"/>
  <c r="BW220" i="58"/>
  <c r="BW228" i="58"/>
  <c r="BX48" i="57"/>
  <c r="BW135" i="57"/>
  <c r="BS75" i="57"/>
  <c r="BS74" i="57"/>
  <c r="BG77" i="57"/>
  <c r="BF43" i="57"/>
  <c r="BW74" i="57"/>
  <c r="BG9" i="57"/>
  <c r="BS45" i="57"/>
  <c r="BX98" i="57"/>
  <c r="BS108" i="57"/>
  <c r="BG127" i="57"/>
  <c r="BS161" i="57"/>
  <c r="BX108" i="57"/>
  <c r="BF198" i="57"/>
  <c r="BW161" i="57"/>
  <c r="BX218" i="57"/>
  <c r="BW192" i="57"/>
  <c r="BG221" i="57"/>
  <c r="BS158" i="57"/>
  <c r="BS134" i="57"/>
  <c r="BW258" i="57"/>
  <c r="BW218" i="57"/>
  <c r="BG188" i="55"/>
  <c r="BX38" i="55"/>
  <c r="BW188" i="55"/>
  <c r="BX282" i="55"/>
  <c r="BW219" i="55"/>
  <c r="BX225" i="55"/>
  <c r="BS285" i="55"/>
  <c r="BS282" i="55"/>
  <c r="BW282" i="55"/>
  <c r="BW39" i="53"/>
  <c r="BG48" i="53"/>
  <c r="BF39" i="53"/>
  <c r="BG42" i="53"/>
  <c r="BX47" i="53"/>
  <c r="BF189" i="53"/>
  <c r="BF16" i="53"/>
  <c r="BX71" i="53"/>
  <c r="BX165" i="53"/>
  <c r="BS165" i="53"/>
  <c r="BX78" i="53"/>
  <c r="BW102" i="53"/>
  <c r="BW249" i="53"/>
  <c r="BX102" i="53"/>
  <c r="BX197" i="53"/>
  <c r="BS194" i="53"/>
  <c r="BW134" i="53"/>
  <c r="BF157" i="53"/>
  <c r="BW226" i="53"/>
  <c r="BS255" i="53"/>
  <c r="BS283" i="53"/>
  <c r="BW220" i="53"/>
  <c r="BF278" i="53"/>
  <c r="BW283" i="53"/>
  <c r="BG258" i="52"/>
  <c r="BG195" i="52"/>
  <c r="AO263" i="52"/>
  <c r="P263" i="52" s="1"/>
  <c r="N292" i="52"/>
  <c r="BF10" i="52"/>
  <c r="AC23" i="52"/>
  <c r="D23" i="52" s="1"/>
  <c r="H79" i="52"/>
  <c r="V41" i="52"/>
  <c r="V101" i="52"/>
  <c r="V135" i="52"/>
  <c r="BE135" i="52"/>
  <c r="BE161" i="52"/>
  <c r="BX69" i="52"/>
  <c r="BS8" i="52"/>
  <c r="BF158" i="52"/>
  <c r="BW168" i="52"/>
  <c r="BW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V228" i="52"/>
  <c r="AQ173" i="57"/>
  <c r="R173" i="57" s="1"/>
  <c r="AK233" i="53"/>
  <c r="L233" i="53" s="1"/>
  <c r="T172" i="57"/>
  <c r="AS173" i="57"/>
  <c r="T173" i="57" s="1"/>
  <c r="AD214" i="55"/>
  <c r="AI265" i="58"/>
  <c r="AS173" i="59"/>
  <c r="T173" i="59" s="1"/>
  <c r="AS83" i="57"/>
  <c r="T83" i="57" s="1"/>
  <c r="F112" i="59"/>
  <c r="AA8" i="53"/>
  <c r="B8" i="53" s="1"/>
  <c r="AA7" i="52"/>
  <c r="T82" i="55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G146" i="59"/>
  <c r="AH130" i="59" s="1"/>
  <c r="I130" i="59" s="1"/>
  <c r="AG145" i="59"/>
  <c r="H145" i="59" s="1"/>
  <c r="AG143" i="59"/>
  <c r="H143" i="59" s="1"/>
  <c r="F49" i="53"/>
  <c r="R82" i="59"/>
  <c r="AC53" i="53"/>
  <c r="D53" i="53" s="1"/>
  <c r="D52" i="53"/>
  <c r="AG148" i="59"/>
  <c r="H148" i="59" s="1"/>
  <c r="AD154" i="59"/>
  <c r="AE173" i="55"/>
  <c r="F173" i="55" s="1"/>
  <c r="AE293" i="52"/>
  <c r="F293" i="52" s="1"/>
  <c r="AI113" i="57"/>
  <c r="J113" i="57" s="1"/>
  <c r="T292" i="59"/>
  <c r="AA221" i="55"/>
  <c r="B221" i="55" s="1"/>
  <c r="AH4" i="53"/>
  <c r="I4" i="4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8" i="55"/>
  <c r="AD136" i="55" s="1"/>
  <c r="E136" i="55" s="1"/>
  <c r="AK178" i="55"/>
  <c r="L178" i="55" s="1"/>
  <c r="AO206" i="55"/>
  <c r="AP190" i="55" s="1"/>
  <c r="Q190" i="55" s="1"/>
  <c r="AO205" i="55"/>
  <c r="P205" i="55" s="1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 s="1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AD244" i="57" s="1"/>
  <c r="BV11" i="16"/>
  <c r="AF184" i="57" s="1"/>
  <c r="BX8" i="16"/>
  <c r="AG118" i="53"/>
  <c r="H118" i="53" s="1"/>
  <c r="AM86" i="58"/>
  <c r="A2" i="68"/>
  <c r="R142" i="53"/>
  <c r="AO296" i="59"/>
  <c r="AP280" i="59" s="1"/>
  <c r="BS224" i="52"/>
  <c r="AC58" i="58"/>
  <c r="AC55" i="58"/>
  <c r="AD37" i="58" s="1"/>
  <c r="V128" i="58"/>
  <c r="AC57" i="58"/>
  <c r="AD43" i="58" s="1"/>
  <c r="E43" i="58" s="1"/>
  <c r="BS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S45" i="53"/>
  <c r="BX252" i="57"/>
  <c r="AK115" i="58"/>
  <c r="AL97" i="58" s="1"/>
  <c r="M97" i="58" s="1"/>
  <c r="AQ177" i="59"/>
  <c r="AQ176" i="59"/>
  <c r="R176" i="59" s="1"/>
  <c r="AI205" i="53"/>
  <c r="BX39" i="53"/>
  <c r="AO175" i="53"/>
  <c r="BF288" i="52"/>
  <c r="AM265" i="59"/>
  <c r="AN247" i="59" s="1"/>
  <c r="O247" i="59" s="1"/>
  <c r="BS279" i="52"/>
  <c r="BG165" i="55"/>
  <c r="BW219" i="59"/>
  <c r="BF219" i="59"/>
  <c r="BG219" i="59"/>
  <c r="BX219" i="59"/>
  <c r="BX68" i="53"/>
  <c r="BW157" i="53"/>
  <c r="BX77" i="57"/>
  <c r="BS162" i="58"/>
  <c r="BG198" i="59"/>
  <c r="BW288" i="55"/>
  <c r="BG67" i="57"/>
  <c r="BG102" i="55"/>
  <c r="BG47" i="53"/>
  <c r="BF188" i="55"/>
  <c r="BG194" i="53"/>
  <c r="BX219" i="57"/>
  <c r="BW47" i="53"/>
  <c r="BS40" i="53"/>
  <c r="BG40" i="53"/>
  <c r="BF100" i="53"/>
  <c r="V221" i="52"/>
  <c r="BE281" i="52"/>
  <c r="BF100" i="58"/>
  <c r="BF283" i="53"/>
  <c r="BS41" i="55"/>
  <c r="BG138" i="59"/>
  <c r="BS10" i="58"/>
  <c r="BS16" i="53"/>
  <c r="BG278" i="53"/>
  <c r="BG75" i="57"/>
  <c r="BS78" i="57"/>
  <c r="BW128" i="58"/>
  <c r="BS228" i="53"/>
  <c r="BG282" i="55"/>
  <c r="BG100" i="57"/>
  <c r="BW137" i="57"/>
  <c r="BW68" i="58"/>
  <c r="BG43" i="57"/>
  <c r="BS39" i="53"/>
  <c r="BF225" i="58"/>
  <c r="BS97" i="58"/>
  <c r="BW72" i="53"/>
  <c r="BG258" i="57"/>
  <c r="BX100" i="58"/>
  <c r="BF165" i="58"/>
  <c r="BS72" i="59"/>
  <c r="BF72" i="59"/>
  <c r="BG219" i="55"/>
  <c r="BW287" i="55"/>
  <c r="BS69" i="57"/>
  <c r="BG70" i="58"/>
  <c r="BG101" i="57"/>
  <c r="BF220" i="58"/>
  <c r="BX159" i="59"/>
  <c r="BF159" i="59"/>
  <c r="BF101" i="57"/>
  <c r="BG75" i="59"/>
  <c r="BG258" i="58"/>
  <c r="BG195" i="59"/>
  <c r="BX68" i="58"/>
  <c r="BF228" i="58"/>
  <c r="BW15" i="59"/>
  <c r="BX15" i="59"/>
  <c r="BS105" i="59"/>
  <c r="BF191" i="58"/>
  <c r="BS70" i="59"/>
  <c r="BF164" i="59"/>
  <c r="BS221" i="59"/>
  <c r="BG189" i="57"/>
  <c r="BF132" i="59"/>
  <c r="BF108" i="58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BG253" i="57"/>
  <c r="BF247" i="57"/>
  <c r="BS247" i="57"/>
  <c r="BG247" i="57"/>
  <c r="BW247" i="57"/>
  <c r="BX158" i="57"/>
  <c r="V158" i="57"/>
  <c r="BG158" i="57"/>
  <c r="BF158" i="57"/>
  <c r="BW158" i="57"/>
  <c r="V157" i="57"/>
  <c r="V130" i="57"/>
  <c r="BF106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W223" i="53"/>
  <c r="BG223" i="53"/>
  <c r="BG254" i="55"/>
  <c r="BF45" i="57"/>
  <c r="BG105" i="58"/>
  <c r="BX258" i="57"/>
  <c r="BS160" i="57"/>
  <c r="BF168" i="58"/>
  <c r="BF279" i="57"/>
  <c r="BW78" i="58"/>
  <c r="K33" i="49"/>
  <c r="BG285" i="57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 s="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AR4" i="58" s="1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T154" i="59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R6" i="16" s="1"/>
  <c r="DJ5" i="16"/>
  <c r="G4" i="51" s="1"/>
  <c r="DL5" i="16"/>
  <c r="DP5" i="16"/>
  <c r="AR4" i="59" s="1"/>
  <c r="BS280" i="58"/>
  <c r="BG280" i="58"/>
  <c r="BW280" i="58"/>
  <c r="BF280" i="58"/>
  <c r="BW277" i="58"/>
  <c r="BG277" i="58"/>
  <c r="BW256" i="58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D80" i="46"/>
  <c r="D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BW256" i="59"/>
  <c r="V250" i="59"/>
  <c r="BE226" i="59"/>
  <c r="BS226" i="59"/>
  <c r="V220" i="59"/>
  <c r="J229" i="59"/>
  <c r="BS193" i="59"/>
  <c r="BW193" i="59"/>
  <c r="V191" i="59"/>
  <c r="BG190" i="59"/>
  <c r="BS190" i="59"/>
  <c r="BW190" i="59"/>
  <c r="BF190" i="59"/>
  <c r="V187" i="59"/>
  <c r="BS166" i="59"/>
  <c r="BX166" i="59"/>
  <c r="BW166" i="59"/>
  <c r="BF166" i="59"/>
  <c r="BG163" i="59"/>
  <c r="BG161" i="59"/>
  <c r="BW161" i="59"/>
  <c r="BF161" i="59"/>
  <c r="V161" i="59"/>
  <c r="BW130" i="59"/>
  <c r="BF130" i="59"/>
  <c r="BS130" i="59"/>
  <c r="BG130" i="59"/>
  <c r="BX127" i="59"/>
  <c r="BF127" i="59"/>
  <c r="BS127" i="59"/>
  <c r="BW127" i="59"/>
  <c r="BG127" i="59"/>
  <c r="V107" i="59"/>
  <c r="BF107" i="59"/>
  <c r="BX107" i="59"/>
  <c r="BW107" i="59"/>
  <c r="V102" i="59"/>
  <c r="V97" i="59"/>
  <c r="BF76" i="59"/>
  <c r="BX76" i="59"/>
  <c r="BG74" i="59"/>
  <c r="BF74" i="59"/>
  <c r="V74" i="59"/>
  <c r="BS73" i="59"/>
  <c r="BG70" i="59"/>
  <c r="BG41" i="59"/>
  <c r="V40" i="59"/>
  <c r="BG13" i="59"/>
  <c r="BW13" i="59"/>
  <c r="V11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G17" i="59"/>
  <c r="BS17" i="59"/>
  <c r="BW17" i="59"/>
  <c r="BF17" i="59"/>
  <c r="BX17" i="59"/>
  <c r="BS38" i="59"/>
  <c r="BX38" i="59"/>
  <c r="BG38" i="59"/>
  <c r="BF38" i="59"/>
  <c r="BW38" i="59"/>
  <c r="BW40" i="59"/>
  <c r="BX42" i="59"/>
  <c r="BG42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G283" i="59"/>
  <c r="M4" i="49"/>
  <c r="AL4" i="57"/>
  <c r="BE195" i="53"/>
  <c r="V195" i="53"/>
  <c r="BE195" i="55"/>
  <c r="V195" i="55"/>
  <c r="BS16" i="58"/>
  <c r="BW18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T172" i="58"/>
  <c r="AS173" i="58"/>
  <c r="T173" i="58" s="1"/>
  <c r="AE263" i="59"/>
  <c r="F263" i="59" s="1"/>
  <c r="F262" i="59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AJ214" i="53"/>
  <c r="F205" i="50"/>
  <c r="R112" i="52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E247" i="59"/>
  <c r="BX190" i="59"/>
  <c r="BE188" i="59"/>
  <c r="BS195" i="59"/>
  <c r="BE163" i="59"/>
  <c r="BX16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D34" i="59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W16" i="58"/>
  <c r="BF16" i="58"/>
  <c r="BG16" i="58"/>
  <c r="BG17" i="58"/>
  <c r="BS38" i="58"/>
  <c r="BF38" i="58"/>
  <c r="BW45" i="58"/>
  <c r="BS45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AJ244" i="52" s="1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N15" i="16" s="1"/>
  <c r="S14" i="16"/>
  <c r="AP274" i="52" s="1"/>
  <c r="R12" i="16"/>
  <c r="AN214" i="52" s="1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AR124" i="52" s="1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X108" i="59"/>
  <c r="BG108" i="59"/>
  <c r="BF108" i="59"/>
  <c r="BW108" i="59"/>
  <c r="BX129" i="59"/>
  <c r="BF131" i="59"/>
  <c r="BW131" i="59"/>
  <c r="BX131" i="59"/>
  <c r="BS132" i="59"/>
  <c r="BW132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G62" i="45" s="1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M15" i="16" s="1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F161" i="52"/>
  <c r="BX191" i="59"/>
  <c r="AN184" i="52"/>
  <c r="Q244" i="55"/>
  <c r="Q4" i="53"/>
  <c r="G4" i="41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AT214" i="52"/>
  <c r="G154" i="59"/>
  <c r="G4" i="58"/>
  <c r="G34" i="55"/>
  <c r="G154" i="55"/>
  <c r="G94" i="52"/>
  <c r="G274" i="55"/>
  <c r="G154" i="53"/>
  <c r="S4" i="41"/>
  <c r="S94" i="52"/>
  <c r="S184" i="57"/>
  <c r="S124" i="59"/>
  <c r="S244" i="55"/>
  <c r="S34" i="55"/>
  <c r="G4" i="55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W127" i="53"/>
  <c r="BW188" i="58"/>
  <c r="BS42" i="59"/>
  <c r="BF100" i="59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244" i="53"/>
  <c r="G244" i="57"/>
  <c r="I94" i="53"/>
  <c r="I34" i="53"/>
  <c r="I274" i="55"/>
  <c r="AF94" i="53"/>
  <c r="O33" i="41"/>
  <c r="AT94" i="53"/>
  <c r="S4" i="50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H7" i="16"/>
  <c r="BB10" i="16"/>
  <c r="BD5" i="16"/>
  <c r="BC10" i="16"/>
  <c r="AH154" i="55" s="1"/>
  <c r="BH12" i="16"/>
  <c r="AR214" i="55" s="1"/>
  <c r="BE5" i="16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CD12" i="16" s="1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AN64" i="57" s="1"/>
  <c r="BW10" i="16"/>
  <c r="AH154" i="57" s="1"/>
  <c r="BX157" i="53"/>
  <c r="D199" i="55"/>
  <c r="BG46" i="58"/>
  <c r="BE256" i="58"/>
  <c r="J51" i="46"/>
  <c r="J52" i="46" s="1"/>
  <c r="V252" i="52"/>
  <c r="BG167" i="57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E62" i="51" s="1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AR154" i="53"/>
  <c r="AR154" i="52"/>
  <c r="K33" i="41"/>
  <c r="AJ34" i="52"/>
  <c r="AR124" i="53"/>
  <c r="AF124" i="53"/>
  <c r="E4" i="50"/>
  <c r="AD4" i="58"/>
  <c r="AJ244" i="57"/>
  <c r="AJ124" i="52"/>
  <c r="AJ124" i="53"/>
  <c r="F109" i="45"/>
  <c r="F110" i="45" s="1"/>
  <c r="AN94" i="53"/>
  <c r="S91" i="45"/>
  <c r="M124" i="59"/>
  <c r="M94" i="55"/>
  <c r="M4" i="55"/>
  <c r="M184" i="55"/>
  <c r="M214" i="53"/>
  <c r="M94" i="59"/>
  <c r="H109" i="45"/>
  <c r="H110" i="45" s="1"/>
  <c r="AJ64" i="53"/>
  <c r="AR184" i="52"/>
  <c r="U4" i="45"/>
  <c r="Q154" i="59"/>
  <c r="Q94" i="53"/>
  <c r="Q244" i="59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AJ154" i="52"/>
  <c r="AR64" i="55"/>
  <c r="E4" i="46"/>
  <c r="U33" i="51"/>
  <c r="AN64" i="53"/>
  <c r="O4" i="49"/>
  <c r="AN4" i="57"/>
  <c r="N80" i="51"/>
  <c r="N81" i="51" s="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 s="1"/>
  <c r="BS163" i="58"/>
  <c r="BG163" i="58"/>
  <c r="BE160" i="58"/>
  <c r="BX160" i="58"/>
  <c r="BE136" i="58"/>
  <c r="BX136" i="58" s="1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BS18" i="58"/>
  <c r="BF12" i="58"/>
  <c r="BX12" i="58"/>
  <c r="BS12" i="58"/>
  <c r="BE7" i="58"/>
  <c r="BX7" i="58" s="1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K4" i="59"/>
  <c r="S33" i="41"/>
  <c r="AJ94" i="57"/>
  <c r="BX15" i="16"/>
  <c r="CD8" i="16"/>
  <c r="AF4" i="57"/>
  <c r="B118" i="45"/>
  <c r="I120" i="45" s="1"/>
  <c r="D109" i="45"/>
  <c r="D110" i="45" s="1"/>
  <c r="T109" i="45"/>
  <c r="T110" i="45" s="1"/>
  <c r="G91" i="45"/>
  <c r="AJ274" i="52"/>
  <c r="AL214" i="57"/>
  <c r="I91" i="51"/>
  <c r="U91" i="51"/>
  <c r="F109" i="51"/>
  <c r="F110" i="51" s="1"/>
  <c r="T109" i="51"/>
  <c r="T110" i="51" s="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3" i="57"/>
  <c r="BS16" i="55"/>
  <c r="BS288" i="52"/>
  <c r="BE137" i="52"/>
  <c r="V137" i="52"/>
  <c r="BG253" i="58"/>
  <c r="BG161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O120" i="45"/>
  <c r="BS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S196" i="59"/>
  <c r="BG196" i="59"/>
  <c r="BW196" i="59"/>
  <c r="BF196" i="59"/>
  <c r="BG193" i="59"/>
  <c r="BF191" i="59"/>
  <c r="T199" i="59"/>
  <c r="BX167" i="59"/>
  <c r="BF167" i="59"/>
  <c r="BS167" i="59"/>
  <c r="V160" i="59"/>
  <c r="BS158" i="59"/>
  <c r="BG158" i="59"/>
  <c r="BW158" i="59"/>
  <c r="V136" i="59"/>
  <c r="V127" i="59"/>
  <c r="BS106" i="59"/>
  <c r="BG106" i="59"/>
  <c r="BW106" i="59"/>
  <c r="BF103" i="59"/>
  <c r="BS103" i="59"/>
  <c r="L109" i="59"/>
  <c r="AU79" i="59"/>
  <c r="V79" i="59" s="1"/>
  <c r="BW48" i="59"/>
  <c r="BS48" i="59"/>
  <c r="BG48" i="59"/>
  <c r="BX48" i="59"/>
  <c r="BW37" i="59"/>
  <c r="BS16" i="59"/>
  <c r="BE13" i="59"/>
  <c r="V7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91" i="59"/>
  <c r="BF193" i="59"/>
  <c r="BF163" i="58"/>
  <c r="BX158" i="59"/>
  <c r="V159" i="58"/>
  <c r="BX157" i="57"/>
  <c r="BS136" i="58"/>
  <c r="BF130" i="57"/>
  <c r="V139" i="58"/>
  <c r="BF132" i="58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X9" i="53"/>
  <c r="BF16" i="59"/>
  <c r="BF18" i="58"/>
  <c r="V16" i="59"/>
  <c r="BX196" i="59"/>
  <c r="H259" i="59"/>
  <c r="BE103" i="59"/>
  <c r="V106" i="59"/>
  <c r="T112" i="59"/>
  <c r="BE70" i="58"/>
  <c r="BX70" i="58"/>
  <c r="BE196" i="58"/>
  <c r="BX196" i="58" s="1"/>
  <c r="BE134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G100" i="59" l="1"/>
  <c r="BW247" i="59"/>
  <c r="BS134" i="59"/>
  <c r="BS280" i="59"/>
  <c r="BS223" i="59"/>
  <c r="AU229" i="59"/>
  <c r="V229" i="59" s="1"/>
  <c r="BF217" i="59"/>
  <c r="BF157" i="59"/>
  <c r="BW134" i="59"/>
  <c r="BG134" i="59"/>
  <c r="BF134" i="59"/>
  <c r="BX134" i="59"/>
  <c r="BG104" i="59"/>
  <c r="BX104" i="59"/>
  <c r="BX100" i="59"/>
  <c r="V100" i="59"/>
  <c r="BW100" i="59"/>
  <c r="BS100" i="59"/>
  <c r="BW67" i="59"/>
  <c r="BG67" i="59"/>
  <c r="BS67" i="59"/>
  <c r="BF67" i="59"/>
  <c r="BW43" i="59"/>
  <c r="BF43" i="59"/>
  <c r="AU289" i="59"/>
  <c r="BB290" i="59" s="1"/>
  <c r="BW223" i="59"/>
  <c r="BF223" i="59"/>
  <c r="BS157" i="59"/>
  <c r="BF40" i="59"/>
  <c r="AU49" i="59"/>
  <c r="V49" i="59" s="1"/>
  <c r="BF14" i="59"/>
  <c r="BS136" i="59"/>
  <c r="J49" i="59"/>
  <c r="BX283" i="59"/>
  <c r="BF283" i="59"/>
  <c r="BS283" i="59"/>
  <c r="BF280" i="59"/>
  <c r="BW280" i="59"/>
  <c r="BS247" i="59"/>
  <c r="BX247" i="59"/>
  <c r="BF247" i="59"/>
  <c r="BG247" i="59"/>
  <c r="BW217" i="59"/>
  <c r="BG217" i="59"/>
  <c r="V217" i="59"/>
  <c r="BX187" i="59"/>
  <c r="BS187" i="59"/>
  <c r="BG187" i="59"/>
  <c r="BF187" i="59"/>
  <c r="AU169" i="59"/>
  <c r="BB170" i="59" s="1"/>
  <c r="BW136" i="59"/>
  <c r="BF136" i="59"/>
  <c r="BW133" i="59"/>
  <c r="AU139" i="59"/>
  <c r="BB140" i="59" s="1"/>
  <c r="BX106" i="59"/>
  <c r="BW103" i="59"/>
  <c r="AU109" i="59"/>
  <c r="V109" i="59" s="1"/>
  <c r="V76" i="59"/>
  <c r="BW14" i="59"/>
  <c r="BS14" i="59"/>
  <c r="BX14" i="59"/>
  <c r="BG14" i="59"/>
  <c r="AU19" i="59"/>
  <c r="BS7" i="59"/>
  <c r="BF7" i="59"/>
  <c r="BS40" i="59"/>
  <c r="BG40" i="59"/>
  <c r="V8" i="59"/>
  <c r="V286" i="59"/>
  <c r="V280" i="59"/>
  <c r="V277" i="59"/>
  <c r="AU199" i="59"/>
  <c r="BB200" i="59" s="1"/>
  <c r="V166" i="59"/>
  <c r="V133" i="59"/>
  <c r="BX130" i="59"/>
  <c r="BE67" i="59"/>
  <c r="BX67" i="59" s="1"/>
  <c r="V43" i="59"/>
  <c r="BF13" i="59"/>
  <c r="V10" i="59"/>
  <c r="E154" i="53"/>
  <c r="B119" i="45"/>
  <c r="Q184" i="57"/>
  <c r="AJ94" i="53"/>
  <c r="Q214" i="59"/>
  <c r="DI15" i="16"/>
  <c r="Q34" i="55"/>
  <c r="Q94" i="55"/>
  <c r="Q214" i="52"/>
  <c r="Q64" i="58"/>
  <c r="CD5" i="16"/>
  <c r="G94" i="53"/>
  <c r="AR64" i="52"/>
  <c r="E214" i="55"/>
  <c r="G94" i="57"/>
  <c r="G4" i="57"/>
  <c r="AH154" i="52"/>
  <c r="Q184" i="53"/>
  <c r="Q274" i="55"/>
  <c r="AF64" i="53"/>
  <c r="B61" i="46"/>
  <c r="V132" i="53"/>
  <c r="AK295" i="52"/>
  <c r="AK298" i="52"/>
  <c r="AL286" i="52" s="1"/>
  <c r="M286" i="52" s="1"/>
  <c r="P262" i="57"/>
  <c r="AO263" i="57"/>
  <c r="P263" i="57" s="1"/>
  <c r="V198" i="53"/>
  <c r="BE198" i="53"/>
  <c r="BE132" i="59"/>
  <c r="V132" i="59"/>
  <c r="AS293" i="55"/>
  <c r="T293" i="55" s="1"/>
  <c r="AS296" i="55"/>
  <c r="R202" i="59"/>
  <c r="AQ203" i="59"/>
  <c r="R203" i="59" s="1"/>
  <c r="H292" i="59"/>
  <c r="AG293" i="59"/>
  <c r="H293" i="59" s="1"/>
  <c r="AI206" i="53"/>
  <c r="AI207" i="53"/>
  <c r="AJ193" i="53" s="1"/>
  <c r="K193" i="53" s="1"/>
  <c r="AI208" i="53"/>
  <c r="J208" i="53" s="1"/>
  <c r="AK143" i="53"/>
  <c r="L143" i="53" s="1"/>
  <c r="L142" i="53"/>
  <c r="T112" i="53"/>
  <c r="AS113" i="53"/>
  <c r="T113" i="53" s="1"/>
  <c r="BE158" i="53"/>
  <c r="V158" i="53"/>
  <c r="BE218" i="59"/>
  <c r="V218" i="59"/>
  <c r="BF41" i="53"/>
  <c r="BS277" i="53"/>
  <c r="BW43" i="57"/>
  <c r="BS43" i="57"/>
  <c r="BW98" i="57"/>
  <c r="BG98" i="57"/>
  <c r="BG218" i="57"/>
  <c r="BF218" i="57"/>
  <c r="E94" i="58"/>
  <c r="AT34" i="59"/>
  <c r="Q34" i="59"/>
  <c r="Q4" i="58"/>
  <c r="Q124" i="53"/>
  <c r="Q214" i="55"/>
  <c r="E4" i="59"/>
  <c r="G244" i="52"/>
  <c r="G214" i="57"/>
  <c r="AH214" i="52"/>
  <c r="Q64" i="52"/>
  <c r="Q64" i="57"/>
  <c r="P80" i="46"/>
  <c r="P81" i="46" s="1"/>
  <c r="B89" i="46"/>
  <c r="AC143" i="55"/>
  <c r="D143" i="55" s="1"/>
  <c r="D142" i="55"/>
  <c r="AC145" i="55"/>
  <c r="AC146" i="55"/>
  <c r="AD130" i="55" s="1"/>
  <c r="E130" i="55" s="1"/>
  <c r="AK177" i="55"/>
  <c r="AL163" i="55" s="1"/>
  <c r="M163" i="55" s="1"/>
  <c r="AK176" i="55"/>
  <c r="L176" i="55" s="1"/>
  <c r="AK175" i="55"/>
  <c r="L175" i="55" s="1"/>
  <c r="BE167" i="52"/>
  <c r="V167" i="52"/>
  <c r="BE107" i="53"/>
  <c r="V107" i="53"/>
  <c r="Q184" i="52"/>
  <c r="Q184" i="58"/>
  <c r="Q94" i="57"/>
  <c r="Q34" i="53"/>
  <c r="Q214" i="57"/>
  <c r="Q4" i="55"/>
  <c r="J80" i="46"/>
  <c r="J81" i="46" s="1"/>
  <c r="T80" i="46"/>
  <c r="T81" i="46" s="1"/>
  <c r="AI267" i="58"/>
  <c r="J267" i="58" s="1"/>
  <c r="AI268" i="58"/>
  <c r="AJ256" i="58" s="1"/>
  <c r="K256" i="58" s="1"/>
  <c r="AI263" i="58"/>
  <c r="J263" i="58" s="1"/>
  <c r="E4" i="55"/>
  <c r="E124" i="53"/>
  <c r="Q34" i="57"/>
  <c r="Q274" i="57"/>
  <c r="AD64" i="59"/>
  <c r="Q244" i="53"/>
  <c r="G4" i="53"/>
  <c r="AD4" i="52"/>
  <c r="G64" i="59"/>
  <c r="G214" i="59"/>
  <c r="AD124" i="53"/>
  <c r="Q244" i="57"/>
  <c r="Q64" i="55"/>
  <c r="L80" i="46"/>
  <c r="L81" i="46" s="1"/>
  <c r="D292" i="55"/>
  <c r="AS295" i="55"/>
  <c r="T295" i="55" s="1"/>
  <c r="D22" i="57"/>
  <c r="V46" i="53"/>
  <c r="AS57" i="59"/>
  <c r="AT43" i="59" s="1"/>
  <c r="U43" i="59" s="1"/>
  <c r="AS58" i="59"/>
  <c r="T58" i="59" s="1"/>
  <c r="H142" i="59"/>
  <c r="AG147" i="59"/>
  <c r="H147" i="59" s="1"/>
  <c r="AG203" i="59"/>
  <c r="H203" i="59" s="1"/>
  <c r="H202" i="59"/>
  <c r="N232" i="59"/>
  <c r="AM233" i="59"/>
  <c r="N233" i="59" s="1"/>
  <c r="AC263" i="53"/>
  <c r="D263" i="53" s="1"/>
  <c r="D262" i="53"/>
  <c r="S120" i="45"/>
  <c r="Q64" i="59"/>
  <c r="E4" i="58"/>
  <c r="BJ11" i="16"/>
  <c r="Q274" i="58"/>
  <c r="Q4" i="41"/>
  <c r="V8" i="16"/>
  <c r="BC15" i="16"/>
  <c r="Q154" i="55"/>
  <c r="AJ244" i="53"/>
  <c r="E154" i="52"/>
  <c r="G214" i="53"/>
  <c r="Q4" i="59"/>
  <c r="Q244" i="52"/>
  <c r="AN214" i="53"/>
  <c r="AS297" i="55"/>
  <c r="T297" i="55" s="1"/>
  <c r="AK203" i="52"/>
  <c r="L203" i="52" s="1"/>
  <c r="L202" i="52"/>
  <c r="AQ173" i="55"/>
  <c r="R173" i="55" s="1"/>
  <c r="R172" i="55"/>
  <c r="AG203" i="55"/>
  <c r="H203" i="55" s="1"/>
  <c r="H202" i="55"/>
  <c r="AO233" i="55"/>
  <c r="P233" i="55" s="1"/>
  <c r="P232" i="55"/>
  <c r="AI203" i="57"/>
  <c r="J203" i="57" s="1"/>
  <c r="J202" i="57"/>
  <c r="D22" i="59"/>
  <c r="AC23" i="59"/>
  <c r="D23" i="59" s="1"/>
  <c r="AU229" i="53"/>
  <c r="BB230" i="53" s="1"/>
  <c r="Q154" i="57"/>
  <c r="E91" i="46"/>
  <c r="E244" i="58"/>
  <c r="Q274" i="53"/>
  <c r="R80" i="46"/>
  <c r="R81" i="46" s="1"/>
  <c r="N80" i="46"/>
  <c r="N81" i="46" s="1"/>
  <c r="AC113" i="55"/>
  <c r="D113" i="55" s="1"/>
  <c r="D112" i="55"/>
  <c r="AE113" i="57"/>
  <c r="F113" i="57" s="1"/>
  <c r="F112" i="57"/>
  <c r="AQ143" i="58"/>
  <c r="R143" i="58" s="1"/>
  <c r="R142" i="58"/>
  <c r="AG295" i="58"/>
  <c r="AG298" i="58"/>
  <c r="BE248" i="53"/>
  <c r="V248" i="53"/>
  <c r="BE15" i="55"/>
  <c r="V15" i="55"/>
  <c r="BE189" i="59"/>
  <c r="V189" i="59"/>
  <c r="BE197" i="59"/>
  <c r="V197" i="59"/>
  <c r="BE223" i="59"/>
  <c r="V223" i="59"/>
  <c r="BE249" i="59"/>
  <c r="V249" i="59"/>
  <c r="BS11" i="52"/>
  <c r="BX42" i="52"/>
  <c r="BF44" i="52"/>
  <c r="BF45" i="52"/>
  <c r="BX71" i="52"/>
  <c r="BW73" i="52"/>
  <c r="BS99" i="52"/>
  <c r="BF105" i="52"/>
  <c r="BF129" i="52"/>
  <c r="BS129" i="52"/>
  <c r="BX129" i="52"/>
  <c r="BW132" i="52"/>
  <c r="BX132" i="52"/>
  <c r="BX158" i="52"/>
  <c r="BS159" i="52"/>
  <c r="BF165" i="52"/>
  <c r="BS167" i="52"/>
  <c r="BS188" i="52"/>
  <c r="BG191" i="52"/>
  <c r="BS194" i="52"/>
  <c r="BX194" i="52"/>
  <c r="BF221" i="52"/>
  <c r="BW221" i="52"/>
  <c r="BW225" i="52"/>
  <c r="BG249" i="52"/>
  <c r="BS252" i="52"/>
  <c r="BX255" i="52"/>
  <c r="BW258" i="52"/>
  <c r="BX279" i="52"/>
  <c r="BG279" i="52"/>
  <c r="BG288" i="52"/>
  <c r="BX8" i="53"/>
  <c r="BG10" i="53"/>
  <c r="BX12" i="53"/>
  <c r="BF14" i="53"/>
  <c r="BG14" i="53"/>
  <c r="Q94" i="59"/>
  <c r="G120" i="45"/>
  <c r="E34" i="58"/>
  <c r="Q15" i="16"/>
  <c r="Q274" i="52"/>
  <c r="Q4" i="57"/>
  <c r="Q124" i="57"/>
  <c r="Q154" i="52"/>
  <c r="G64" i="52"/>
  <c r="E33" i="41"/>
  <c r="E34" i="57"/>
  <c r="G274" i="59"/>
  <c r="G64" i="53"/>
  <c r="G214" i="55"/>
  <c r="G184" i="59"/>
  <c r="Q154" i="53"/>
  <c r="AN274" i="52"/>
  <c r="AS298" i="55"/>
  <c r="T298" i="55" s="1"/>
  <c r="H80" i="46"/>
  <c r="H81" i="46" s="1"/>
  <c r="AG115" i="53"/>
  <c r="AG117" i="53"/>
  <c r="AH103" i="53" s="1"/>
  <c r="I103" i="53" s="1"/>
  <c r="AG113" i="53"/>
  <c r="H113" i="53" s="1"/>
  <c r="AS23" i="53"/>
  <c r="T23" i="53" s="1"/>
  <c r="T22" i="53"/>
  <c r="P51" i="49"/>
  <c r="P52" i="49" s="1"/>
  <c r="D51" i="49"/>
  <c r="D52" i="49" s="1"/>
  <c r="BF37" i="53"/>
  <c r="BF40" i="53"/>
  <c r="BF74" i="53"/>
  <c r="BF133" i="53"/>
  <c r="BF160" i="53"/>
  <c r="BW192" i="53"/>
  <c r="BS253" i="53"/>
  <c r="BS8" i="55"/>
  <c r="BG16" i="55"/>
  <c r="BW73" i="55"/>
  <c r="BF76" i="55"/>
  <c r="BW279" i="55"/>
  <c r="BF72" i="57"/>
  <c r="BX135" i="57"/>
  <c r="BS168" i="57"/>
  <c r="BE15" i="52"/>
  <c r="V15" i="52"/>
  <c r="BE40" i="53"/>
  <c r="V40" i="53"/>
  <c r="BE130" i="55"/>
  <c r="V130" i="55"/>
  <c r="BE138" i="55"/>
  <c r="V138" i="55"/>
  <c r="BE44" i="59"/>
  <c r="V44" i="59"/>
  <c r="BE7" i="53"/>
  <c r="V7" i="53"/>
  <c r="BE15" i="53"/>
  <c r="V15" i="53"/>
  <c r="BE38" i="55"/>
  <c r="V38" i="55"/>
  <c r="BE71" i="55"/>
  <c r="V71" i="55"/>
  <c r="BE70" i="59"/>
  <c r="BX70" i="59" s="1"/>
  <c r="V70" i="59"/>
  <c r="BE102" i="52"/>
  <c r="V102" i="52"/>
  <c r="BE132" i="55"/>
  <c r="V132" i="55"/>
  <c r="BE158" i="55"/>
  <c r="V158" i="55"/>
  <c r="BE166" i="55"/>
  <c r="V166" i="55"/>
  <c r="BE192" i="55"/>
  <c r="V192" i="55"/>
  <c r="BE218" i="55"/>
  <c r="V218" i="55"/>
  <c r="BE76" i="57"/>
  <c r="BX76" i="57" s="1"/>
  <c r="V76" i="57"/>
  <c r="BE102" i="57"/>
  <c r="V102" i="57"/>
  <c r="BE128" i="57"/>
  <c r="V128" i="57"/>
  <c r="BE188" i="57"/>
  <c r="V188" i="57"/>
  <c r="BE41" i="58"/>
  <c r="V41" i="58"/>
  <c r="BE288" i="58"/>
  <c r="V288" i="58"/>
  <c r="BE69" i="52"/>
  <c r="V69" i="52"/>
  <c r="BE77" i="52"/>
  <c r="V77" i="52"/>
  <c r="BE189" i="53"/>
  <c r="V189" i="53"/>
  <c r="BE99" i="55"/>
  <c r="V99" i="55"/>
  <c r="BE159" i="55"/>
  <c r="V159" i="55"/>
  <c r="BE167" i="55"/>
  <c r="V167" i="55"/>
  <c r="BE252" i="55"/>
  <c r="V252" i="55"/>
  <c r="BE278" i="55"/>
  <c r="V278" i="55"/>
  <c r="BE45" i="57"/>
  <c r="V45" i="57"/>
  <c r="BE77" i="57"/>
  <c r="V77" i="57"/>
  <c r="BE103" i="57"/>
  <c r="V103" i="57"/>
  <c r="BE249" i="57"/>
  <c r="V249" i="57"/>
  <c r="BE8" i="58"/>
  <c r="V8" i="58"/>
  <c r="BE16" i="58"/>
  <c r="BX16" i="58" s="1"/>
  <c r="V16" i="58"/>
  <c r="BE42" i="58"/>
  <c r="V42" i="58"/>
  <c r="BE102" i="58"/>
  <c r="V102" i="58"/>
  <c r="BE247" i="58"/>
  <c r="V247" i="58"/>
  <c r="BW16" i="53"/>
  <c r="BX17" i="53"/>
  <c r="BG18" i="53"/>
  <c r="BF38" i="53"/>
  <c r="BG39" i="53"/>
  <c r="BF42" i="53"/>
  <c r="BF47" i="53"/>
  <c r="BS47" i="53"/>
  <c r="BW69" i="53"/>
  <c r="BG70" i="53"/>
  <c r="BS71" i="53"/>
  <c r="BW71" i="53"/>
  <c r="M15" i="79" s="1"/>
  <c r="BF71" i="53"/>
  <c r="BF75" i="53"/>
  <c r="BG78" i="53"/>
  <c r="BW98" i="53"/>
  <c r="BS102" i="53"/>
  <c r="BF102" i="53"/>
  <c r="BW105" i="53"/>
  <c r="BX107" i="53"/>
  <c r="BG132" i="53"/>
  <c r="BS134" i="53"/>
  <c r="BW135" i="53"/>
  <c r="BS157" i="53"/>
  <c r="BX161" i="53"/>
  <c r="BW164" i="53"/>
  <c r="BF165" i="53"/>
  <c r="BW165" i="53"/>
  <c r="M86" i="79" s="1"/>
  <c r="BG165" i="53"/>
  <c r="BS167" i="53"/>
  <c r="BW189" i="53"/>
  <c r="BS189" i="53"/>
  <c r="BS191" i="53"/>
  <c r="BX191" i="53"/>
  <c r="BF198" i="53"/>
  <c r="BG219" i="53"/>
  <c r="BS223" i="53"/>
  <c r="BF223" i="53"/>
  <c r="BW224" i="53"/>
  <c r="BG228" i="53"/>
  <c r="BX228" i="53"/>
  <c r="BW228" i="53"/>
  <c r="BG248" i="53"/>
  <c r="BS250" i="53"/>
  <c r="BX251" i="53"/>
  <c r="BG252" i="53"/>
  <c r="BS254" i="53"/>
  <c r="BS258" i="53"/>
  <c r="BX277" i="53"/>
  <c r="BG279" i="53"/>
  <c r="BG283" i="53"/>
  <c r="BW12" i="55"/>
  <c r="BG45" i="55"/>
  <c r="BX48" i="55"/>
  <c r="BG68" i="55"/>
  <c r="BG71" i="55"/>
  <c r="BX74" i="55"/>
  <c r="BS108" i="55"/>
  <c r="BS129" i="55"/>
  <c r="BX132" i="55"/>
  <c r="BS188" i="55"/>
  <c r="BG190" i="55"/>
  <c r="BW192" i="55"/>
  <c r="BX194" i="55"/>
  <c r="BS195" i="55"/>
  <c r="BF197" i="55"/>
  <c r="BS219" i="55"/>
  <c r="BF221" i="55"/>
  <c r="BG224" i="55"/>
  <c r="BS227" i="55"/>
  <c r="BW227" i="55"/>
  <c r="BG249" i="55"/>
  <c r="BX253" i="55"/>
  <c r="BG281" i="55"/>
  <c r="BF282" i="55"/>
  <c r="BX284" i="55"/>
  <c r="BW285" i="55"/>
  <c r="BF285" i="55"/>
  <c r="BW7" i="57"/>
  <c r="BF10" i="57"/>
  <c r="BW12" i="57"/>
  <c r="BS15" i="57"/>
  <c r="BS16" i="57"/>
  <c r="BW18" i="57"/>
  <c r="BS37" i="57"/>
  <c r="BS42" i="57"/>
  <c r="BG44" i="57"/>
  <c r="BW45" i="57"/>
  <c r="BG45" i="57"/>
  <c r="BS47" i="57"/>
  <c r="BF48" i="57"/>
  <c r="BG48" i="57"/>
  <c r="BS48" i="57"/>
  <c r="BG68" i="57"/>
  <c r="BG73" i="57"/>
  <c r="BG74" i="57"/>
  <c r="BX74" i="57"/>
  <c r="BW75" i="57"/>
  <c r="BG99" i="57"/>
  <c r="BW103" i="57"/>
  <c r="BF107" i="57"/>
  <c r="BW108" i="57"/>
  <c r="BF108" i="57"/>
  <c r="BG108" i="57"/>
  <c r="BX131" i="57"/>
  <c r="BX132" i="57"/>
  <c r="BW134" i="57"/>
  <c r="BS137" i="57"/>
  <c r="BS138" i="57"/>
  <c r="BX138" i="57"/>
  <c r="BS218" i="57"/>
  <c r="BX221" i="57"/>
  <c r="BF255" i="57"/>
  <c r="BE97" i="53"/>
  <c r="V97" i="53"/>
  <c r="BE223" i="53"/>
  <c r="BX223" i="53" s="1"/>
  <c r="V223" i="53"/>
  <c r="BX100" i="57"/>
  <c r="BS168" i="58"/>
  <c r="BE138" i="52"/>
  <c r="BE134" i="53"/>
  <c r="BE108" i="55"/>
  <c r="V108" i="55"/>
  <c r="BE134" i="55"/>
  <c r="V134" i="55"/>
  <c r="BE188" i="58"/>
  <c r="V188" i="58"/>
  <c r="BE219" i="59"/>
  <c r="V219" i="59"/>
  <c r="BW130" i="53"/>
  <c r="BX247" i="53"/>
  <c r="BG256" i="53"/>
  <c r="N37" i="79" s="1"/>
  <c r="BS7" i="55"/>
  <c r="BS131" i="55"/>
  <c r="BG133" i="55"/>
  <c r="BX217" i="55"/>
  <c r="BG223" i="55"/>
  <c r="DQ5" i="16"/>
  <c r="DN8" i="16"/>
  <c r="DN9" i="16"/>
  <c r="AN124" i="59" s="1"/>
  <c r="DO10" i="16"/>
  <c r="DM12" i="16"/>
  <c r="AL214" i="59" s="1"/>
  <c r="DN13" i="16"/>
  <c r="DM7" i="16"/>
  <c r="BW168" i="58"/>
  <c r="BS105" i="58"/>
  <c r="AE143" i="53"/>
  <c r="F143" i="53" s="1"/>
  <c r="F142" i="53"/>
  <c r="BE38" i="52"/>
  <c r="V38" i="52"/>
  <c r="BE45" i="52"/>
  <c r="V45" i="52"/>
  <c r="BX160" i="53"/>
  <c r="BE218" i="53"/>
  <c r="BE44" i="58"/>
  <c r="V44" i="58"/>
  <c r="BE228" i="59"/>
  <c r="V228" i="59"/>
  <c r="BG286" i="53"/>
  <c r="BW43" i="55"/>
  <c r="BF67" i="55"/>
  <c r="BG100" i="55"/>
  <c r="BG103" i="55"/>
  <c r="BG104" i="55"/>
  <c r="BX106" i="55"/>
  <c r="BS130" i="55"/>
  <c r="BW167" i="55"/>
  <c r="BF227" i="55"/>
  <c r="BG256" i="55"/>
  <c r="AU139" i="53"/>
  <c r="V139" i="53" s="1"/>
  <c r="BE165" i="52"/>
  <c r="V165" i="52"/>
  <c r="BE162" i="55"/>
  <c r="V162" i="55"/>
  <c r="BX7" i="57"/>
  <c r="BE132" i="57"/>
  <c r="V132" i="57"/>
  <c r="BE9" i="59"/>
  <c r="V9" i="59"/>
  <c r="BX8" i="52"/>
  <c r="BF13" i="52"/>
  <c r="BF15" i="52"/>
  <c r="BS17" i="52"/>
  <c r="BS103" i="52"/>
  <c r="BG132" i="52"/>
  <c r="BS158" i="52"/>
  <c r="BW224" i="52"/>
  <c r="BS258" i="52"/>
  <c r="BW11" i="53"/>
  <c r="BS37" i="53"/>
  <c r="BW40" i="53"/>
  <c r="BW45" i="53"/>
  <c r="BF48" i="53"/>
  <c r="BG71" i="53"/>
  <c r="BW97" i="53"/>
  <c r="BW103" i="53"/>
  <c r="M3" i="79" s="1"/>
  <c r="BS105" i="53"/>
  <c r="BF106" i="53"/>
  <c r="BS108" i="53"/>
  <c r="BG134" i="53"/>
  <c r="BX168" i="53"/>
  <c r="BW190" i="53"/>
  <c r="BX194" i="53"/>
  <c r="BX221" i="53"/>
  <c r="BS278" i="53"/>
  <c r="BF39" i="55"/>
  <c r="BF43" i="55"/>
  <c r="BG70" i="55"/>
  <c r="BG77" i="55"/>
  <c r="BS100" i="55"/>
  <c r="BS164" i="55"/>
  <c r="BX188" i="55"/>
  <c r="BF193" i="55"/>
  <c r="BW222" i="55"/>
  <c r="BG227" i="55"/>
  <c r="BF248" i="55"/>
  <c r="BG250" i="55"/>
  <c r="BX277" i="55"/>
  <c r="BX285" i="55"/>
  <c r="BG7" i="57"/>
  <c r="BF9" i="57"/>
  <c r="BX11" i="57"/>
  <c r="BG14" i="57"/>
  <c r="BG17" i="57"/>
  <c r="BF38" i="57"/>
  <c r="BX40" i="57"/>
  <c r="BF74" i="57"/>
  <c r="BX103" i="57"/>
  <c r="BG106" i="57"/>
  <c r="BG132" i="57"/>
  <c r="BS192" i="57"/>
  <c r="BW255" i="57"/>
  <c r="BF258" i="57"/>
  <c r="BX13" i="58"/>
  <c r="BS68" i="58"/>
  <c r="BW102" i="58"/>
  <c r="BG128" i="58"/>
  <c r="BG165" i="58"/>
  <c r="BS228" i="58"/>
  <c r="BS249" i="58"/>
  <c r="BX254" i="58"/>
  <c r="BS257" i="58"/>
  <c r="BW7" i="59"/>
  <c r="BW9" i="59"/>
  <c r="BX72" i="59"/>
  <c r="BX99" i="59"/>
  <c r="BS135" i="59"/>
  <c r="BX193" i="59"/>
  <c r="BS198" i="59"/>
  <c r="BS219" i="59"/>
  <c r="BF248" i="59"/>
  <c r="BX253" i="59"/>
  <c r="BX256" i="59"/>
  <c r="BX282" i="59"/>
  <c r="BG72" i="57"/>
  <c r="Q33" i="49"/>
  <c r="BG255" i="57"/>
  <c r="BE189" i="55"/>
  <c r="V189" i="55"/>
  <c r="BE8" i="57"/>
  <c r="V8" i="57"/>
  <c r="BE279" i="57"/>
  <c r="V279" i="57"/>
  <c r="BG159" i="57"/>
  <c r="BW160" i="57"/>
  <c r="BS162" i="57"/>
  <c r="BF167" i="57"/>
  <c r="BG168" i="57"/>
  <c r="BS225" i="57"/>
  <c r="BF228" i="57"/>
  <c r="BW248" i="57"/>
  <c r="BS254" i="57"/>
  <c r="BX283" i="57"/>
  <c r="BF288" i="57"/>
  <c r="BS17" i="58"/>
  <c r="BX38" i="58"/>
  <c r="BS72" i="58"/>
  <c r="BX74" i="58"/>
  <c r="BW75" i="58"/>
  <c r="BW98" i="58"/>
  <c r="BG130" i="58"/>
  <c r="BG135" i="58"/>
  <c r="BW137" i="58"/>
  <c r="M92" i="82" s="1"/>
  <c r="BF159" i="58"/>
  <c r="BX217" i="58"/>
  <c r="BW219" i="58"/>
  <c r="BW224" i="58"/>
  <c r="BS251" i="58"/>
  <c r="BW255" i="58"/>
  <c r="BF258" i="58"/>
  <c r="BS279" i="58"/>
  <c r="BX287" i="58"/>
  <c r="BF10" i="59"/>
  <c r="BF20" i="59" s="1"/>
  <c r="BS11" i="59"/>
  <c r="BW16" i="59"/>
  <c r="BW42" i="59"/>
  <c r="BS47" i="59"/>
  <c r="BS68" i="59"/>
  <c r="BX74" i="59"/>
  <c r="BS108" i="59"/>
  <c r="BW128" i="59"/>
  <c r="BF129" i="59"/>
  <c r="BS131" i="59"/>
  <c r="BG136" i="59"/>
  <c r="BF158" i="59"/>
  <c r="BX194" i="59"/>
  <c r="BX221" i="59"/>
  <c r="BF226" i="59"/>
  <c r="BW250" i="59"/>
  <c r="U33" i="49"/>
  <c r="BW254" i="58"/>
  <c r="N142" i="58"/>
  <c r="AM143" i="58"/>
  <c r="N143" i="58" s="1"/>
  <c r="AA279" i="55"/>
  <c r="B279" i="55" s="1"/>
  <c r="BE221" i="57"/>
  <c r="V221" i="57"/>
  <c r="BE74" i="58"/>
  <c r="V74" i="58"/>
  <c r="BE279" i="58"/>
  <c r="V279" i="58"/>
  <c r="BG158" i="53"/>
  <c r="BF103" i="53"/>
  <c r="BF187" i="53"/>
  <c r="BF200" i="53" s="1"/>
  <c r="BG220" i="53"/>
  <c r="BX166" i="57"/>
  <c r="BX226" i="57"/>
  <c r="BG250" i="57"/>
  <c r="BS277" i="57"/>
  <c r="BG37" i="58"/>
  <c r="BS166" i="58"/>
  <c r="BF71" i="58"/>
  <c r="BW71" i="58"/>
  <c r="BS71" i="58"/>
  <c r="BG71" i="58"/>
  <c r="BE286" i="58"/>
  <c r="BX286" i="58" s="1"/>
  <c r="BS284" i="58"/>
  <c r="BG283" i="58"/>
  <c r="BE280" i="58"/>
  <c r="BX280" i="58" s="1"/>
  <c r="AU289" i="58"/>
  <c r="BB290" i="58" s="1"/>
  <c r="BS277" i="58"/>
  <c r="BX277" i="58"/>
  <c r="BF277" i="58"/>
  <c r="V253" i="58"/>
  <c r="BB260" i="58"/>
  <c r="BS221" i="58"/>
  <c r="BS220" i="58"/>
  <c r="AU229" i="58"/>
  <c r="BE187" i="58"/>
  <c r="BX187" i="58" s="1"/>
  <c r="BF166" i="58"/>
  <c r="BW166" i="58"/>
  <c r="BG166" i="58"/>
  <c r="BX166" i="58"/>
  <c r="AU169" i="58"/>
  <c r="BX157" i="58"/>
  <c r="BG131" i="58"/>
  <c r="BF140" i="58"/>
  <c r="V109" i="58"/>
  <c r="BF73" i="58"/>
  <c r="BX73" i="58"/>
  <c r="BF43" i="58"/>
  <c r="AU49" i="58"/>
  <c r="BB50" i="58" s="1"/>
  <c r="F49" i="58"/>
  <c r="BS37" i="58"/>
  <c r="BF37" i="58"/>
  <c r="BW37" i="58"/>
  <c r="BG15" i="58"/>
  <c r="AU19" i="58"/>
  <c r="V19" i="58" s="1"/>
  <c r="N38" i="82"/>
  <c r="AU289" i="57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N10" i="81" s="1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F110" i="55" s="1"/>
  <c r="BG97" i="55"/>
  <c r="BE97" i="55"/>
  <c r="BX97" i="55" s="1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N24" i="79" s="1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M43" i="79" s="1"/>
  <c r="V130" i="53"/>
  <c r="BG130" i="53"/>
  <c r="BF130" i="53"/>
  <c r="BS130" i="53"/>
  <c r="N42" i="79"/>
  <c r="BW106" i="53"/>
  <c r="BS106" i="53"/>
  <c r="BG106" i="53"/>
  <c r="N5" i="79" s="1"/>
  <c r="BS103" i="53"/>
  <c r="BS100" i="53"/>
  <c r="V109" i="53"/>
  <c r="AU79" i="53"/>
  <c r="BX43" i="53"/>
  <c r="V43" i="53"/>
  <c r="BG37" i="53"/>
  <c r="BW37" i="53"/>
  <c r="M18" i="79" s="1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N23" i="78" s="1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N92" i="82" s="1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W163" i="59"/>
  <c r="BF189" i="59"/>
  <c r="BW189" i="59"/>
  <c r="BW195" i="59"/>
  <c r="BF195" i="59"/>
  <c r="BX195" i="59"/>
  <c r="BF197" i="59"/>
  <c r="BX197" i="59"/>
  <c r="BG197" i="59"/>
  <c r="BW221" i="59"/>
  <c r="BF221" i="59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" i="82"/>
  <c r="M20" i="82"/>
  <c r="B147" i="45"/>
  <c r="BB140" i="53"/>
  <c r="CD7" i="16"/>
  <c r="E64" i="59"/>
  <c r="U34" i="52"/>
  <c r="BG16" i="57"/>
  <c r="N28" i="81" s="1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M33" i="79" s="1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BF170" i="58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N54" i="82" s="1"/>
  <c r="BX247" i="58"/>
  <c r="BX250" i="58"/>
  <c r="BX278" i="58"/>
  <c r="BW278" i="58"/>
  <c r="BS278" i="58"/>
  <c r="BW286" i="58"/>
  <c r="M24" i="82" s="1"/>
  <c r="BF286" i="58"/>
  <c r="BX7" i="59"/>
  <c r="BS15" i="59"/>
  <c r="BF78" i="59"/>
  <c r="BF80" i="59" s="1"/>
  <c r="BS99" i="59"/>
  <c r="BS104" i="59"/>
  <c r="BF104" i="59"/>
  <c r="BF110" i="59" s="1"/>
  <c r="BX133" i="59"/>
  <c r="BS133" i="59"/>
  <c r="BF133" i="59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N14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N14" i="82" s="1"/>
  <c r="BW73" i="58"/>
  <c r="M14" i="82" s="1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N31" i="79"/>
  <c r="N33" i="81"/>
  <c r="N26" i="82"/>
  <c r="M42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BF132" i="57"/>
  <c r="BW129" i="57"/>
  <c r="BF14" i="57"/>
  <c r="BW165" i="58"/>
  <c r="BS131" i="58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N31" i="81"/>
  <c r="O31" i="81" s="1"/>
  <c r="AN12" i="16"/>
  <c r="AP12" i="16" s="1"/>
  <c r="AK6" i="16"/>
  <c r="CW7" i="16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11" i="82"/>
  <c r="N43" i="82"/>
  <c r="V157" i="53"/>
  <c r="V222" i="53"/>
  <c r="AN11" i="16"/>
  <c r="CS7" i="16"/>
  <c r="CQ12" i="16"/>
  <c r="AH214" i="58" s="1"/>
  <c r="CU10" i="16"/>
  <c r="AP154" i="58" s="1"/>
  <c r="CO9" i="16"/>
  <c r="BX37" i="52"/>
  <c r="BW226" i="52"/>
  <c r="M36" i="78" s="1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N30" i="82"/>
  <c r="BW10" i="52"/>
  <c r="M29" i="78" s="1"/>
  <c r="BW97" i="52"/>
  <c r="BW284" i="52"/>
  <c r="BG286" i="52"/>
  <c r="M4" i="79"/>
  <c r="N20" i="79"/>
  <c r="M36" i="79"/>
  <c r="M52" i="79"/>
  <c r="N6" i="81"/>
  <c r="N38" i="81"/>
  <c r="N15" i="82"/>
  <c r="N31" i="82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M53" i="79"/>
  <c r="N23" i="81"/>
  <c r="O23" i="81" s="1"/>
  <c r="N39" i="81"/>
  <c r="N16" i="82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N33" i="82"/>
  <c r="N10" i="83"/>
  <c r="AG10" i="16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26" i="81"/>
  <c r="O26" i="81" s="1"/>
  <c r="N42" i="81"/>
  <c r="N3" i="82"/>
  <c r="M19" i="82"/>
  <c r="AL5" i="16"/>
  <c r="AI8" i="16"/>
  <c r="I91" i="45" s="1"/>
  <c r="BW67" i="57"/>
  <c r="M42" i="79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M38" i="78" s="1"/>
  <c r="V257" i="52"/>
  <c r="BW256" i="52"/>
  <c r="BG256" i="52"/>
  <c r="V256" i="52"/>
  <c r="V255" i="52"/>
  <c r="BS253" i="52"/>
  <c r="BF253" i="52"/>
  <c r="BX253" i="52"/>
  <c r="BW253" i="52"/>
  <c r="BW250" i="52"/>
  <c r="M40" i="78" s="1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M9" i="78" s="1"/>
  <c r="BS193" i="52"/>
  <c r="BE193" i="52"/>
  <c r="BX193" i="52" s="1"/>
  <c r="BF193" i="52"/>
  <c r="BG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M10" i="78" s="1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N26" i="78"/>
  <c r="N11" i="78"/>
  <c r="O11" i="78" s="1"/>
  <c r="N27" i="78"/>
  <c r="N12" i="78"/>
  <c r="N28" i="78"/>
  <c r="O28" i="78" s="1"/>
  <c r="M33" i="78"/>
  <c r="M25" i="78"/>
  <c r="N43" i="78"/>
  <c r="N44" i="78"/>
  <c r="L177" i="55"/>
  <c r="H117" i="53"/>
  <c r="M25" i="79"/>
  <c r="M27" i="79"/>
  <c r="M13" i="79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D298" i="57"/>
  <c r="M37" i="79"/>
  <c r="M40" i="79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AC267" i="55"/>
  <c r="D267" i="55" s="1"/>
  <c r="N59" i="79"/>
  <c r="N57" i="79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BX10" i="58"/>
  <c r="BX69" i="59"/>
  <c r="BG77" i="59"/>
  <c r="BW167" i="59"/>
  <c r="N24" i="78"/>
  <c r="M17" i="79"/>
  <c r="N33" i="79"/>
  <c r="M49" i="79"/>
  <c r="N3" i="81"/>
  <c r="N19" i="81"/>
  <c r="N51" i="81"/>
  <c r="O51" i="81" s="1"/>
  <c r="M28" i="82"/>
  <c r="N21" i="83"/>
  <c r="BW288" i="52"/>
  <c r="BX190" i="52"/>
  <c r="BX256" i="52"/>
  <c r="BX13" i="53"/>
  <c r="BX37" i="53"/>
  <c r="BG103" i="59"/>
  <c r="AM207" i="58"/>
  <c r="N207" i="58" s="1"/>
  <c r="BW166" i="55"/>
  <c r="BG44" i="58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56" i="58"/>
  <c r="BF260" i="58" s="1"/>
  <c r="BF188" i="52"/>
  <c r="BW226" i="55"/>
  <c r="BF40" i="58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BS217" i="59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N9" i="83"/>
  <c r="N4" i="83"/>
  <c r="N26" i="83"/>
  <c r="N31" i="83"/>
  <c r="N20" i="83"/>
  <c r="N14" i="83"/>
  <c r="N32" i="83"/>
  <c r="O32" i="83" s="1"/>
  <c r="N55" i="83"/>
  <c r="N68" i="83"/>
  <c r="O68" i="83" s="1"/>
  <c r="N52" i="83"/>
  <c r="O52" i="83" s="1"/>
  <c r="N46" i="83"/>
  <c r="N65" i="83"/>
  <c r="N60" i="83"/>
  <c r="N42" i="83"/>
  <c r="N45" i="83"/>
  <c r="N33" i="83"/>
  <c r="N2" i="83"/>
  <c r="N70" i="83"/>
  <c r="O70" i="83" s="1"/>
  <c r="N51" i="83"/>
  <c r="O51" i="83" s="1"/>
  <c r="N54" i="83"/>
  <c r="N41" i="83"/>
  <c r="N30" i="83"/>
  <c r="N22" i="83"/>
  <c r="O22" i="83" s="1"/>
  <c r="N16" i="83"/>
  <c r="N73" i="83"/>
  <c r="N35" i="83"/>
  <c r="O35" i="83" s="1"/>
  <c r="N18" i="83"/>
  <c r="N3" i="83"/>
  <c r="N50" i="83"/>
  <c r="N5" i="83"/>
  <c r="N8" i="83"/>
  <c r="N36" i="83"/>
  <c r="N12" i="83"/>
  <c r="N53" i="83"/>
  <c r="O53" i="83" s="1"/>
  <c r="N59" i="83"/>
  <c r="N61" i="83"/>
  <c r="O61" i="83" s="1"/>
  <c r="N64" i="83"/>
  <c r="O64" i="83" s="1"/>
  <c r="N66" i="83"/>
  <c r="N15" i="83"/>
  <c r="N71" i="83"/>
  <c r="O71" i="83" s="1"/>
  <c r="N58" i="83"/>
  <c r="N56" i="83"/>
  <c r="O56" i="83" s="1"/>
  <c r="N38" i="83"/>
  <c r="O38" i="83" s="1"/>
  <c r="N24" i="83"/>
  <c r="N72" i="83"/>
  <c r="O72" i="83" s="1"/>
  <c r="N17" i="83"/>
  <c r="O17" i="83" s="1"/>
  <c r="N23" i="83"/>
  <c r="N39" i="83"/>
  <c r="N47" i="83"/>
  <c r="O47" i="83" s="1"/>
  <c r="N44" i="83"/>
  <c r="O44" i="83" s="1"/>
  <c r="N7" i="83"/>
  <c r="N69" i="83"/>
  <c r="O69" i="83" s="1"/>
  <c r="N43" i="83"/>
  <c r="N40" i="83"/>
  <c r="N62" i="83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2" i="82"/>
  <c r="M5" i="82"/>
  <c r="M33" i="82"/>
  <c r="M44" i="82"/>
  <c r="M6" i="82"/>
  <c r="N25" i="82"/>
  <c r="N10" i="82"/>
  <c r="N42" i="82"/>
  <c r="N9" i="82"/>
  <c r="N7" i="82"/>
  <c r="N11" i="82"/>
  <c r="N61" i="82"/>
  <c r="O61" i="82" s="1"/>
  <c r="N28" i="82"/>
  <c r="N57" i="82"/>
  <c r="N45" i="82"/>
  <c r="N46" i="82"/>
  <c r="O46" i="82" s="1"/>
  <c r="N66" i="82"/>
  <c r="N58" i="82"/>
  <c r="N13" i="82"/>
  <c r="N36" i="82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N23" i="82"/>
  <c r="O23" i="82" s="1"/>
  <c r="N2" i="82"/>
  <c r="N20" i="82"/>
  <c r="N21" i="82"/>
  <c r="N51" i="82"/>
  <c r="O51" i="82" s="1"/>
  <c r="N27" i="82"/>
  <c r="N41" i="82"/>
  <c r="N73" i="82"/>
  <c r="N59" i="82"/>
  <c r="N5" i="82"/>
  <c r="N22" i="82"/>
  <c r="O22" i="82" s="1"/>
  <c r="N39" i="82"/>
  <c r="N8" i="82"/>
  <c r="N34" i="82"/>
  <c r="O34" i="82" s="1"/>
  <c r="N65" i="82"/>
  <c r="N24" i="82"/>
  <c r="N44" i="82"/>
  <c r="O44" i="82" s="1"/>
  <c r="N63" i="82"/>
  <c r="O63" i="82" s="1"/>
  <c r="N69" i="82"/>
  <c r="O69" i="82" s="1"/>
  <c r="N48" i="82"/>
  <c r="N18" i="82"/>
  <c r="N70" i="82"/>
  <c r="O70" i="82" s="1"/>
  <c r="N71" i="82"/>
  <c r="O71" i="82" s="1"/>
  <c r="N56" i="82"/>
  <c r="O56" i="82" s="1"/>
  <c r="N60" i="82"/>
  <c r="N53" i="82"/>
  <c r="O53" i="82" s="1"/>
  <c r="N40" i="82"/>
  <c r="O40" i="82" s="1"/>
  <c r="N55" i="82"/>
  <c r="N12" i="82"/>
  <c r="N6" i="82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N25" i="83"/>
  <c r="N19" i="83"/>
  <c r="AQ238" i="53"/>
  <c r="AS206" i="53"/>
  <c r="B76" i="53"/>
  <c r="AP124" i="53"/>
  <c r="S15" i="16"/>
  <c r="AP124" i="52"/>
  <c r="V9" i="16"/>
  <c r="N29" i="83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AO88" i="55"/>
  <c r="AK205" i="57"/>
  <c r="AS235" i="57"/>
  <c r="B13" i="57"/>
  <c r="AO58" i="57"/>
  <c r="AE86" i="57"/>
  <c r="N28" i="83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N46" i="79"/>
  <c r="N49" i="79"/>
  <c r="O49" i="79" s="1"/>
  <c r="N14" i="79"/>
  <c r="O14" i="79" s="1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AT274" i="57"/>
  <c r="CD14" i="16"/>
  <c r="K91" i="46"/>
  <c r="N45" i="78"/>
  <c r="N30" i="78"/>
  <c r="L196" i="45"/>
  <c r="L197" i="45" s="1"/>
  <c r="N9" i="81"/>
  <c r="N7" i="81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I163" i="52"/>
  <c r="N7" i="80"/>
  <c r="N23" i="80"/>
  <c r="N8" i="80"/>
  <c r="N40" i="80"/>
  <c r="BB230" i="59" l="1"/>
  <c r="BF170" i="59"/>
  <c r="BF140" i="59"/>
  <c r="AT46" i="59"/>
  <c r="U46" i="59" s="1"/>
  <c r="BF290" i="59"/>
  <c r="V289" i="59"/>
  <c r="V139" i="59"/>
  <c r="BB50" i="59"/>
  <c r="V169" i="59"/>
  <c r="BF230" i="59"/>
  <c r="V199" i="59"/>
  <c r="O50" i="83"/>
  <c r="AH133" i="59"/>
  <c r="I133" i="59" s="1"/>
  <c r="BB110" i="59"/>
  <c r="BB20" i="59"/>
  <c r="V19" i="59"/>
  <c r="T57" i="59"/>
  <c r="AG149" i="59"/>
  <c r="AH139" i="59" s="1"/>
  <c r="O2" i="83"/>
  <c r="O18" i="83"/>
  <c r="N81" i="82"/>
  <c r="N102" i="81"/>
  <c r="O102" i="81" s="1"/>
  <c r="BF110" i="52"/>
  <c r="BF290" i="55"/>
  <c r="AP154" i="59"/>
  <c r="DR10" i="16"/>
  <c r="BT46" i="59"/>
  <c r="BF290" i="52"/>
  <c r="AI209" i="53"/>
  <c r="J209" i="53" s="1"/>
  <c r="CW15" i="16"/>
  <c r="M74" i="79"/>
  <c r="N30" i="81"/>
  <c r="M93" i="79"/>
  <c r="BF200" i="59"/>
  <c r="BF290" i="57"/>
  <c r="AN94" i="59"/>
  <c r="O91" i="51"/>
  <c r="M97" i="79"/>
  <c r="N85" i="83"/>
  <c r="O85" i="83" s="1"/>
  <c r="AS59" i="59"/>
  <c r="AT49" i="59" s="1"/>
  <c r="U49" i="59" s="1"/>
  <c r="BF230" i="53"/>
  <c r="U4" i="51"/>
  <c r="AT4" i="59"/>
  <c r="H109" i="46"/>
  <c r="H110" i="46" s="1"/>
  <c r="O91" i="46"/>
  <c r="B118" i="46"/>
  <c r="I91" i="46"/>
  <c r="B90" i="46"/>
  <c r="U91" i="46"/>
  <c r="T109" i="46"/>
  <c r="T110" i="46" s="1"/>
  <c r="N109" i="46"/>
  <c r="N110" i="46" s="1"/>
  <c r="S91" i="46"/>
  <c r="M91" i="46"/>
  <c r="R109" i="46"/>
  <c r="R110" i="46" s="1"/>
  <c r="F109" i="46"/>
  <c r="F110" i="46" s="1"/>
  <c r="L109" i="46"/>
  <c r="L110" i="46" s="1"/>
  <c r="P109" i="46"/>
  <c r="P110" i="46" s="1"/>
  <c r="D109" i="46"/>
  <c r="D110" i="46" s="1"/>
  <c r="J109" i="46"/>
  <c r="J110" i="46" s="1"/>
  <c r="AJ196" i="53"/>
  <c r="K196" i="53" s="1"/>
  <c r="AP10" i="16"/>
  <c r="BF170" i="55"/>
  <c r="M92" i="79"/>
  <c r="M76" i="82"/>
  <c r="DR9" i="16"/>
  <c r="M80" i="79"/>
  <c r="M79" i="79"/>
  <c r="AL64" i="59"/>
  <c r="M62" i="51"/>
  <c r="BY160" i="59"/>
  <c r="AK15" i="16"/>
  <c r="CS15" i="16"/>
  <c r="AG15" i="16"/>
  <c r="M75" i="79"/>
  <c r="AN244" i="59"/>
  <c r="DR13" i="16"/>
  <c r="BF140" i="52"/>
  <c r="AP11" i="16"/>
  <c r="BF110" i="53"/>
  <c r="G91" i="46"/>
  <c r="O24" i="82"/>
  <c r="O60" i="82"/>
  <c r="V289" i="58"/>
  <c r="O25" i="82"/>
  <c r="BF290" i="58"/>
  <c r="O57" i="82"/>
  <c r="O58" i="82"/>
  <c r="O39" i="82"/>
  <c r="O38" i="82"/>
  <c r="O36" i="82"/>
  <c r="O54" i="82"/>
  <c r="O55" i="82"/>
  <c r="O9" i="82"/>
  <c r="V229" i="58"/>
  <c r="BB230" i="58"/>
  <c r="O33" i="82"/>
  <c r="O6" i="82"/>
  <c r="O8" i="82"/>
  <c r="O7" i="82"/>
  <c r="O13" i="82"/>
  <c r="O11" i="82"/>
  <c r="O12" i="82"/>
  <c r="O10" i="82"/>
  <c r="V169" i="58"/>
  <c r="BB170" i="58"/>
  <c r="O42" i="82"/>
  <c r="O41" i="82"/>
  <c r="O73" i="82"/>
  <c r="O43" i="82"/>
  <c r="O23" i="79"/>
  <c r="O59" i="79"/>
  <c r="O92" i="82"/>
  <c r="O5" i="82"/>
  <c r="O3" i="82"/>
  <c r="O21" i="82"/>
  <c r="O4" i="82"/>
  <c r="O2" i="82"/>
  <c r="O17" i="82"/>
  <c r="BF80" i="58"/>
  <c r="O14" i="82"/>
  <c r="O15" i="82"/>
  <c r="BT47" i="58"/>
  <c r="O16" i="82"/>
  <c r="O20" i="82"/>
  <c r="BY280" i="58"/>
  <c r="O27" i="82"/>
  <c r="V49" i="58"/>
  <c r="BF50" i="58"/>
  <c r="O18" i="82"/>
  <c r="O26" i="82"/>
  <c r="O30" i="82"/>
  <c r="O29" i="82"/>
  <c r="O31" i="82"/>
  <c r="O28" i="82"/>
  <c r="BB20" i="58"/>
  <c r="BT280" i="58"/>
  <c r="BT41" i="58"/>
  <c r="BT69" i="58"/>
  <c r="BT138" i="58"/>
  <c r="BT197" i="58"/>
  <c r="BT187" i="58"/>
  <c r="BT40" i="58"/>
  <c r="BT157" i="58"/>
  <c r="BT43" i="58"/>
  <c r="BT258" i="58"/>
  <c r="BT135" i="58"/>
  <c r="BT163" i="58"/>
  <c r="BT8" i="58"/>
  <c r="BT7" i="58"/>
  <c r="BT130" i="58"/>
  <c r="BT219" i="58"/>
  <c r="BT159" i="58"/>
  <c r="BT75" i="58"/>
  <c r="BT104" i="58"/>
  <c r="BT253" i="58"/>
  <c r="BT127" i="58"/>
  <c r="BT257" i="58"/>
  <c r="BT98" i="58"/>
  <c r="BT192" i="58"/>
  <c r="BT68" i="58"/>
  <c r="BT223" i="58"/>
  <c r="BT188" i="58"/>
  <c r="BT128" i="58"/>
  <c r="BT254" i="58"/>
  <c r="BT38" i="58"/>
  <c r="BT190" i="58"/>
  <c r="BT97" i="58"/>
  <c r="BT168" i="58"/>
  <c r="BT160" i="58"/>
  <c r="BT250" i="58"/>
  <c r="BF20" i="58"/>
  <c r="BB290" i="57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O66" i="78" s="1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O66" i="83" s="1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O45" i="83" s="1"/>
  <c r="F265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O48" i="82" s="1"/>
  <c r="M59" i="82"/>
  <c r="O59" i="82" s="1"/>
  <c r="M63" i="82"/>
  <c r="M46" i="82"/>
  <c r="M90" i="82"/>
  <c r="M102" i="82"/>
  <c r="M65" i="82"/>
  <c r="O65" i="82" s="1"/>
  <c r="M66" i="82"/>
  <c r="O66" i="82" s="1"/>
  <c r="M79" i="82"/>
  <c r="M80" i="82"/>
  <c r="M91" i="82"/>
  <c r="M45" i="82"/>
  <c r="O45" i="82" s="1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O81" i="82" s="1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N98" i="82"/>
  <c r="N83" i="82"/>
  <c r="N89" i="82"/>
  <c r="N78" i="82"/>
  <c r="N94" i="82"/>
  <c r="N82" i="82"/>
  <c r="N103" i="82"/>
  <c r="N90" i="82"/>
  <c r="N93" i="82"/>
  <c r="N75" i="82"/>
  <c r="N77" i="82"/>
  <c r="N99" i="82"/>
  <c r="N85" i="82"/>
  <c r="N97" i="82"/>
  <c r="N100" i="82"/>
  <c r="N95" i="82"/>
  <c r="N104" i="82"/>
  <c r="N80" i="82"/>
  <c r="N87" i="82"/>
  <c r="N101" i="82"/>
  <c r="N84" i="82"/>
  <c r="N74" i="82"/>
  <c r="N96" i="82"/>
  <c r="N88" i="82"/>
  <c r="N102" i="82"/>
  <c r="N79" i="82"/>
  <c r="N86" i="82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N102" i="83"/>
  <c r="O102" i="83" s="1"/>
  <c r="N77" i="83"/>
  <c r="O77" i="83" s="1"/>
  <c r="N91" i="83"/>
  <c r="O91" i="83" s="1"/>
  <c r="N67" i="83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O16" i="83" s="1"/>
  <c r="M26" i="83"/>
  <c r="O26" i="83" s="1"/>
  <c r="M17" i="83"/>
  <c r="M65" i="83"/>
  <c r="O65" i="83" s="1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O5" i="83" s="1"/>
  <c r="M62" i="83"/>
  <c r="O62" i="83" s="1"/>
  <c r="M71" i="83"/>
  <c r="M99" i="83"/>
  <c r="AD250" i="55"/>
  <c r="D266" i="55"/>
  <c r="N43" i="80"/>
  <c r="D177" i="55"/>
  <c r="AD163" i="55"/>
  <c r="AC179" i="55"/>
  <c r="M15" i="83"/>
  <c r="O15" i="83" s="1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O21" i="83" s="1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O20" i="83" s="1"/>
  <c r="M55" i="83"/>
  <c r="O55" i="83" s="1"/>
  <c r="M53" i="83"/>
  <c r="M92" i="83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O58" i="83" s="1"/>
  <c r="N71" i="80"/>
  <c r="O71" i="80" s="1"/>
  <c r="R56" i="55"/>
  <c r="AR40" i="55"/>
  <c r="AQ59" i="55"/>
  <c r="M98" i="83"/>
  <c r="M32" i="83"/>
  <c r="M47" i="83"/>
  <c r="M30" i="83"/>
  <c r="O30" i="83" s="1"/>
  <c r="M37" i="83"/>
  <c r="O37" i="83" s="1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9" i="83" s="1"/>
  <c r="O10" i="55"/>
  <c r="M77" i="83"/>
  <c r="M11" i="83"/>
  <c r="O11" i="83" s="1"/>
  <c r="M42" i="83"/>
  <c r="O42" i="83" s="1"/>
  <c r="M3" i="83"/>
  <c r="O3" i="83" s="1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O36" i="83" s="1"/>
  <c r="M7" i="83"/>
  <c r="O7" i="83" s="1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O73" i="83" s="1"/>
  <c r="M70" i="83"/>
  <c r="M8" i="83"/>
  <c r="O8" i="83" s="1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O13" i="83" s="1"/>
  <c r="M100" i="83"/>
  <c r="M64" i="83"/>
  <c r="M33" i="83"/>
  <c r="O33" i="83" s="1"/>
  <c r="M46" i="83"/>
  <c r="O46" i="83" s="1"/>
  <c r="M4" i="83"/>
  <c r="O4" i="83" s="1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O24" i="83" s="1"/>
  <c r="M25" i="83"/>
  <c r="O25" i="83" s="1"/>
  <c r="M12" i="83"/>
  <c r="O12" i="83" s="1"/>
  <c r="M19" i="83"/>
  <c r="O19" i="83" s="1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O10" i="83" s="1"/>
  <c r="M82" i="83"/>
  <c r="M59" i="83"/>
  <c r="O59" i="83" s="1"/>
  <c r="M40" i="83"/>
  <c r="O40" i="83" s="1"/>
  <c r="M39" i="83"/>
  <c r="O39" i="83" s="1"/>
  <c r="M23" i="83"/>
  <c r="O23" i="83" s="1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O28" i="83" s="1"/>
  <c r="M87" i="83"/>
  <c r="M29" i="83"/>
  <c r="O29" i="83" s="1"/>
  <c r="M38" i="83"/>
  <c r="M60" i="83"/>
  <c r="O60" i="83" s="1"/>
  <c r="M14" i="83"/>
  <c r="O14" i="83" s="1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O54" i="83" s="1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O6" i="83" s="1"/>
  <c r="M31" i="83"/>
  <c r="O31" i="83" s="1"/>
  <c r="M27" i="83"/>
  <c r="O27" i="83" s="1"/>
  <c r="AJ286" i="55"/>
  <c r="J298" i="55"/>
  <c r="AI299" i="55"/>
  <c r="N49" i="80"/>
  <c r="O49" i="80" s="1"/>
  <c r="T206" i="53"/>
  <c r="AT190" i="53"/>
  <c r="AS209" i="53"/>
  <c r="M103" i="83"/>
  <c r="M83" i="83"/>
  <c r="M43" i="83"/>
  <c r="O43" i="83" s="1"/>
  <c r="M49" i="83"/>
  <c r="M41" i="83"/>
  <c r="O41" i="83" s="1"/>
  <c r="M35" i="83"/>
  <c r="H179" i="52"/>
  <c r="AH169" i="52"/>
  <c r="I37" i="52"/>
  <c r="O75" i="83" l="1"/>
  <c r="O74" i="83"/>
  <c r="O57" i="83"/>
  <c r="O67" i="83"/>
  <c r="T59" i="59"/>
  <c r="H149" i="59"/>
  <c r="L138" i="46"/>
  <c r="L139" i="46" s="1"/>
  <c r="I120" i="46"/>
  <c r="P138" i="46"/>
  <c r="P139" i="46" s="1"/>
  <c r="D138" i="46"/>
  <c r="D139" i="46" s="1"/>
  <c r="Q120" i="46"/>
  <c r="M120" i="46"/>
  <c r="F138" i="46"/>
  <c r="F139" i="46" s="1"/>
  <c r="O120" i="46"/>
  <c r="J138" i="46"/>
  <c r="J139" i="46" s="1"/>
  <c r="G120" i="46"/>
  <c r="E120" i="46"/>
  <c r="N138" i="46"/>
  <c r="N139" i="46" s="1"/>
  <c r="B147" i="46"/>
  <c r="R138" i="46"/>
  <c r="R139" i="46" s="1"/>
  <c r="B119" i="46"/>
  <c r="T138" i="46"/>
  <c r="T139" i="46" s="1"/>
  <c r="U120" i="46"/>
  <c r="K120" i="46"/>
  <c r="H138" i="46"/>
  <c r="H139" i="46" s="1"/>
  <c r="S120" i="46"/>
  <c r="O80" i="82"/>
  <c r="O87" i="82"/>
  <c r="O84" i="82"/>
  <c r="O94" i="82"/>
  <c r="O79" i="82"/>
  <c r="O96" i="82"/>
  <c r="O100" i="82"/>
  <c r="O102" i="82"/>
  <c r="O89" i="82"/>
  <c r="O83" i="82"/>
  <c r="O98" i="82"/>
  <c r="O95" i="82"/>
  <c r="O75" i="82"/>
  <c r="O103" i="82"/>
  <c r="O101" i="82"/>
  <c r="O78" i="82"/>
  <c r="O104" i="82"/>
  <c r="O91" i="82"/>
  <c r="O97" i="82"/>
  <c r="O85" i="82"/>
  <c r="O99" i="82"/>
  <c r="O86" i="82"/>
  <c r="O77" i="82"/>
  <c r="O93" i="82"/>
  <c r="O88" i="82"/>
  <c r="O90" i="82"/>
  <c r="O74" i="82"/>
  <c r="O82" i="82"/>
  <c r="BV196" i="58"/>
  <c r="BV285" i="58"/>
  <c r="BV18" i="58"/>
  <c r="BV279" i="58"/>
  <c r="BV164" i="58"/>
  <c r="BV44" i="58"/>
  <c r="BV221" i="58"/>
  <c r="BV39" i="58"/>
  <c r="BV190" i="58"/>
  <c r="BV130" i="58"/>
  <c r="BV256" i="58"/>
  <c r="BV224" i="58"/>
  <c r="BV7" i="58"/>
  <c r="BV227" i="58"/>
  <c r="BV103" i="58"/>
  <c r="BV70" i="58"/>
  <c r="BV74" i="58"/>
  <c r="BV38" i="58"/>
  <c r="BV47" i="58"/>
  <c r="BV131" i="58"/>
  <c r="BV69" i="58"/>
  <c r="BV281" i="58"/>
  <c r="BV288" i="58"/>
  <c r="BV222" i="58"/>
  <c r="BV78" i="58"/>
  <c r="BV167" i="58"/>
  <c r="BV277" i="58"/>
  <c r="BV252" i="58"/>
  <c r="BV99" i="58"/>
  <c r="BV48" i="58"/>
  <c r="BV280" i="58"/>
  <c r="BV68" i="58"/>
  <c r="BV45" i="58"/>
  <c r="BV158" i="58"/>
  <c r="BV283" i="58"/>
  <c r="BV166" i="58"/>
  <c r="BV217" i="58"/>
  <c r="BV286" i="58"/>
  <c r="BV195" i="58"/>
  <c r="BV225" i="58"/>
  <c r="BV220" i="58"/>
  <c r="BV187" i="58"/>
  <c r="BV257" i="58"/>
  <c r="BV101" i="58"/>
  <c r="BV226" i="58"/>
  <c r="BV73" i="58"/>
  <c r="BV76" i="58"/>
  <c r="BV102" i="58"/>
  <c r="BV160" i="58"/>
  <c r="BV287" i="58"/>
  <c r="BV11" i="58"/>
  <c r="BV193" i="58"/>
  <c r="BV75" i="58"/>
  <c r="BV218" i="58"/>
  <c r="BV16" i="58"/>
  <c r="BV165" i="58"/>
  <c r="BV135" i="58"/>
  <c r="BV13" i="58"/>
  <c r="BV15" i="58"/>
  <c r="BV192" i="58"/>
  <c r="BV97" i="58"/>
  <c r="BV157" i="58"/>
  <c r="BV9" i="58"/>
  <c r="BV77" i="58"/>
  <c r="BV133" i="58"/>
  <c r="BV189" i="58"/>
  <c r="BV100" i="58"/>
  <c r="BV249" i="58"/>
  <c r="BV105" i="58"/>
  <c r="BV43" i="58"/>
  <c r="BV106" i="58"/>
  <c r="BV17" i="58"/>
  <c r="BV191" i="58"/>
  <c r="BV46" i="58"/>
  <c r="BV138" i="58"/>
  <c r="BV137" i="58"/>
  <c r="BV255" i="58"/>
  <c r="BV282" i="58"/>
  <c r="BV188" i="58"/>
  <c r="BV197" i="58"/>
  <c r="BV42" i="58"/>
  <c r="BV71" i="58"/>
  <c r="BV278" i="58"/>
  <c r="BV253" i="58"/>
  <c r="BV107" i="58"/>
  <c r="BV254" i="58"/>
  <c r="BV250" i="58"/>
  <c r="BV128" i="58"/>
  <c r="BV168" i="58"/>
  <c r="BV194" i="58"/>
  <c r="BV108" i="58"/>
  <c r="BV14" i="58"/>
  <c r="BV136" i="58"/>
  <c r="BV37" i="58"/>
  <c r="BV132" i="58"/>
  <c r="BV161" i="58"/>
  <c r="BV248" i="58"/>
  <c r="BV134" i="58"/>
  <c r="BV98" i="58"/>
  <c r="BV72" i="58"/>
  <c r="BV258" i="58"/>
  <c r="BV104" i="58"/>
  <c r="BV40" i="58"/>
  <c r="BV67" i="58"/>
  <c r="BV228" i="58"/>
  <c r="BV129" i="58"/>
  <c r="BV198" i="58"/>
  <c r="BV162" i="58"/>
  <c r="BV8" i="58"/>
  <c r="N22" i="68" s="1"/>
  <c r="C22" i="68" s="1"/>
  <c r="H22" i="68" s="1"/>
  <c r="BV219" i="58"/>
  <c r="BV12" i="58"/>
  <c r="BV247" i="58"/>
  <c r="BV223" i="58"/>
  <c r="BV284" i="58"/>
  <c r="BV159" i="58"/>
  <c r="BV127" i="58"/>
  <c r="BV163" i="58"/>
  <c r="BV251" i="58"/>
  <c r="BV10" i="58"/>
  <c r="BV41" i="58"/>
  <c r="O69" i="8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AN19" i="57"/>
  <c r="O19" i="57" s="1"/>
  <c r="F149" i="59"/>
  <c r="AL79" i="53"/>
  <c r="M79" i="53" s="1"/>
  <c r="H59" i="52"/>
  <c r="N29" i="52"/>
  <c r="N119" i="59"/>
  <c r="AJ229" i="52"/>
  <c r="K229" i="52" s="1"/>
  <c r="AL19" i="59"/>
  <c r="M19" i="59" s="1"/>
  <c r="AD259" i="53"/>
  <c r="E259" i="53" s="1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AH19" i="58"/>
  <c r="I19" i="58" s="1"/>
  <c r="AF169" i="52"/>
  <c r="G169" i="52" s="1"/>
  <c r="L239" i="53"/>
  <c r="AH199" i="57"/>
  <c r="AH200" i="57" s="1"/>
  <c r="I200" i="57" s="1"/>
  <c r="AH289" i="57"/>
  <c r="I289" i="57" s="1"/>
  <c r="AR289" i="57"/>
  <c r="S289" i="57" s="1"/>
  <c r="T59" i="53"/>
  <c r="R89" i="59"/>
  <c r="F179" i="53"/>
  <c r="H149" i="55"/>
  <c r="AT169" i="53"/>
  <c r="U169" i="53" s="1"/>
  <c r="D299" i="53"/>
  <c r="AD79" i="59"/>
  <c r="E79" i="59" s="1"/>
  <c r="AF49" i="59"/>
  <c r="AF50" i="59" s="1"/>
  <c r="G50" i="59" s="1"/>
  <c r="J59" i="53"/>
  <c r="AR139" i="57"/>
  <c r="AR140" i="57" s="1"/>
  <c r="S140" i="57" s="1"/>
  <c r="AF109" i="57"/>
  <c r="G109" i="57" s="1"/>
  <c r="F299" i="58"/>
  <c r="F179" i="57"/>
  <c r="T179" i="52"/>
  <c r="L239" i="58"/>
  <c r="AT169" i="57"/>
  <c r="U169" i="57" s="1"/>
  <c r="AL79" i="57"/>
  <c r="M79" i="57" s="1"/>
  <c r="F149" i="57"/>
  <c r="AN199" i="53"/>
  <c r="O199" i="53" s="1"/>
  <c r="AL170" i="57"/>
  <c r="M170" i="57" s="1"/>
  <c r="L59" i="59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AN139" i="59"/>
  <c r="O139" i="59" s="1"/>
  <c r="AR170" i="59"/>
  <c r="S170" i="59" s="1"/>
  <c r="AD49" i="57"/>
  <c r="E49" i="57" s="1"/>
  <c r="R179" i="53"/>
  <c r="J179" i="55"/>
  <c r="AR199" i="59"/>
  <c r="S199" i="59" s="1"/>
  <c r="AV283" i="59"/>
  <c r="W283" i="59" s="1"/>
  <c r="J149" i="58"/>
  <c r="F149" i="53"/>
  <c r="AH109" i="58"/>
  <c r="I109" i="58" s="1"/>
  <c r="D119" i="57"/>
  <c r="H89" i="58"/>
  <c r="AH289" i="53"/>
  <c r="AV76" i="59"/>
  <c r="W76" i="59" s="1"/>
  <c r="AR289" i="58"/>
  <c r="S289" i="58" s="1"/>
  <c r="K229" i="59"/>
  <c r="AJ230" i="59"/>
  <c r="K230" i="59" s="1"/>
  <c r="F29" i="58"/>
  <c r="AJ80" i="58"/>
  <c r="K80" i="58" s="1"/>
  <c r="P119" i="58"/>
  <c r="N239" i="52"/>
  <c r="AH20" i="52"/>
  <c r="I20" i="52" s="1"/>
  <c r="P29" i="53"/>
  <c r="F239" i="55"/>
  <c r="AN169" i="59"/>
  <c r="O169" i="59" s="1"/>
  <c r="AN229" i="58"/>
  <c r="O229" i="58" s="1"/>
  <c r="J239" i="59"/>
  <c r="F239" i="57"/>
  <c r="AN79" i="53"/>
  <c r="O79" i="53" s="1"/>
  <c r="AH49" i="53"/>
  <c r="I49" i="53" s="1"/>
  <c r="J299" i="58"/>
  <c r="L239" i="59"/>
  <c r="R149" i="55"/>
  <c r="AF20" i="53"/>
  <c r="G20" i="53" s="1"/>
  <c r="AF79" i="52"/>
  <c r="G79" i="52" s="1"/>
  <c r="AD110" i="57"/>
  <c r="E110" i="57" s="1"/>
  <c r="R209" i="58"/>
  <c r="AF199" i="52"/>
  <c r="AF200" i="52" s="1"/>
  <c r="G200" i="52" s="1"/>
  <c r="AF170" i="55"/>
  <c r="G170" i="55" s="1"/>
  <c r="L59" i="55"/>
  <c r="F119" i="53"/>
  <c r="AF139" i="52"/>
  <c r="G139" i="52" s="1"/>
  <c r="L89" i="58"/>
  <c r="AV133" i="59"/>
  <c r="W133" i="59" s="1"/>
  <c r="R59" i="53"/>
  <c r="AF139" i="58"/>
  <c r="G139" i="58" s="1"/>
  <c r="S79" i="59"/>
  <c r="AR80" i="59"/>
  <c r="S80" i="59" s="1"/>
  <c r="AH80" i="58"/>
  <c r="I80" i="58" s="1"/>
  <c r="AH139" i="52"/>
  <c r="I139" i="52" s="1"/>
  <c r="AF289" i="57"/>
  <c r="AF290" i="57" s="1"/>
  <c r="G290" i="57" s="1"/>
  <c r="AP79" i="53"/>
  <c r="Q79" i="53" s="1"/>
  <c r="AV163" i="59"/>
  <c r="W163" i="59" s="1"/>
  <c r="AF49" i="53"/>
  <c r="G49" i="53" s="1"/>
  <c r="AJ170" i="53"/>
  <c r="K170" i="53" s="1"/>
  <c r="AD289" i="59"/>
  <c r="D299" i="59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AF229" i="53"/>
  <c r="AF230" i="53" s="1"/>
  <c r="G230" i="53" s="1"/>
  <c r="AP109" i="59"/>
  <c r="Q109" i="59" s="1"/>
  <c r="P119" i="59"/>
  <c r="AV163" i="58"/>
  <c r="W163" i="58" s="1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AV97" i="59"/>
  <c r="W97" i="59" s="1"/>
  <c r="AN289" i="57"/>
  <c r="O289" i="57" s="1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48" i="83" l="1"/>
  <c r="P55" i="83"/>
  <c r="P3" i="83"/>
  <c r="P59" i="83"/>
  <c r="P27" i="83"/>
  <c r="P66" i="83"/>
  <c r="P10" i="83"/>
  <c r="P37" i="83"/>
  <c r="P53" i="83"/>
  <c r="P31" i="83"/>
  <c r="P44" i="83"/>
  <c r="P16" i="83"/>
  <c r="P24" i="83"/>
  <c r="P83" i="83"/>
  <c r="P28" i="83"/>
  <c r="P5" i="83"/>
  <c r="P42" i="83"/>
  <c r="P50" i="83"/>
  <c r="P81" i="83"/>
  <c r="P56" i="83"/>
  <c r="P60" i="83"/>
  <c r="P34" i="83"/>
  <c r="P103" i="83"/>
  <c r="P30" i="83"/>
  <c r="P102" i="83"/>
  <c r="P74" i="83"/>
  <c r="P69" i="83"/>
  <c r="P86" i="83"/>
  <c r="P7" i="83"/>
  <c r="P12" i="83"/>
  <c r="P85" i="83"/>
  <c r="P89" i="83"/>
  <c r="P75" i="83"/>
  <c r="P17" i="83"/>
  <c r="P64" i="83"/>
  <c r="P73" i="83"/>
  <c r="P98" i="83"/>
  <c r="P91" i="83"/>
  <c r="P61" i="83"/>
  <c r="P88" i="83"/>
  <c r="P20" i="83"/>
  <c r="P84" i="83"/>
  <c r="P14" i="83"/>
  <c r="P57" i="83"/>
  <c r="P68" i="83"/>
  <c r="P41" i="83"/>
  <c r="P58" i="83"/>
  <c r="P76" i="83"/>
  <c r="P25" i="83"/>
  <c r="P82" i="83"/>
  <c r="P95" i="83"/>
  <c r="P29" i="83"/>
  <c r="P19" i="83"/>
  <c r="P100" i="83"/>
  <c r="P26" i="83"/>
  <c r="P72" i="83"/>
  <c r="P52" i="83"/>
  <c r="P93" i="83"/>
  <c r="P71" i="83"/>
  <c r="P9" i="83"/>
  <c r="P11" i="83"/>
  <c r="P87" i="83"/>
  <c r="P2" i="83"/>
  <c r="P49" i="83"/>
  <c r="P4" i="83"/>
  <c r="P51" i="83"/>
  <c r="P36" i="83"/>
  <c r="P99" i="83"/>
  <c r="P32" i="83"/>
  <c r="P70" i="83"/>
  <c r="P78" i="83"/>
  <c r="P104" i="83"/>
  <c r="P23" i="83"/>
  <c r="P45" i="83"/>
  <c r="P15" i="83"/>
  <c r="P67" i="83"/>
  <c r="P22" i="83"/>
  <c r="P47" i="83"/>
  <c r="P54" i="83"/>
  <c r="P94" i="83"/>
  <c r="P77" i="83"/>
  <c r="P62" i="83"/>
  <c r="P96" i="83"/>
  <c r="P33" i="83"/>
  <c r="P80" i="83"/>
  <c r="P97" i="83"/>
  <c r="P63" i="83"/>
  <c r="P8" i="83"/>
  <c r="P90" i="83"/>
  <c r="P38" i="83"/>
  <c r="P39" i="83"/>
  <c r="P101" i="83"/>
  <c r="P65" i="83"/>
  <c r="P92" i="83"/>
  <c r="P43" i="83"/>
  <c r="P79" i="83"/>
  <c r="P40" i="83"/>
  <c r="P46" i="83"/>
  <c r="P21" i="83"/>
  <c r="P6" i="83"/>
  <c r="P13" i="83"/>
  <c r="P35" i="83"/>
  <c r="P18" i="83"/>
  <c r="B148" i="46"/>
  <c r="K149" i="46"/>
  <c r="U149" i="46"/>
  <c r="P167" i="46"/>
  <c r="P168" i="46" s="1"/>
  <c r="I149" i="46"/>
  <c r="H167" i="46"/>
  <c r="H168" i="46" s="1"/>
  <c r="M149" i="46"/>
  <c r="T167" i="46"/>
  <c r="T168" i="46" s="1"/>
  <c r="F167" i="46"/>
  <c r="F168" i="46" s="1"/>
  <c r="E149" i="46"/>
  <c r="O149" i="46"/>
  <c r="S149" i="46"/>
  <c r="G149" i="46"/>
  <c r="R167" i="46"/>
  <c r="R168" i="46" s="1"/>
  <c r="L167" i="46"/>
  <c r="L168" i="46" s="1"/>
  <c r="Q149" i="46"/>
  <c r="D167" i="46"/>
  <c r="D168" i="46" s="1"/>
  <c r="J167" i="46"/>
  <c r="J168" i="46" s="1"/>
  <c r="N167" i="46"/>
  <c r="N168" i="46" s="1"/>
  <c r="B176" i="46"/>
  <c r="P63" i="82"/>
  <c r="P29" i="82"/>
  <c r="P102" i="82"/>
  <c r="P100" i="82"/>
  <c r="P86" i="82"/>
  <c r="P77" i="82"/>
  <c r="P59" i="82"/>
  <c r="P88" i="82"/>
  <c r="P3" i="82"/>
  <c r="P83" i="82"/>
  <c r="P75" i="82"/>
  <c r="P4" i="82"/>
  <c r="P16" i="82"/>
  <c r="P33" i="82"/>
  <c r="P101" i="82"/>
  <c r="P2" i="82"/>
  <c r="P31" i="82"/>
  <c r="P49" i="82"/>
  <c r="P56" i="82"/>
  <c r="P98" i="82"/>
  <c r="P10" i="82"/>
  <c r="P81" i="82"/>
  <c r="P24" i="82"/>
  <c r="P41" i="82"/>
  <c r="P71" i="82"/>
  <c r="P72" i="82"/>
  <c r="P12" i="82"/>
  <c r="P90" i="82"/>
  <c r="P7" i="82"/>
  <c r="P44" i="82"/>
  <c r="P80" i="82"/>
  <c r="P25" i="82"/>
  <c r="P96" i="82"/>
  <c r="P30" i="82"/>
  <c r="P95" i="82"/>
  <c r="P70" i="82"/>
  <c r="P87" i="82"/>
  <c r="P57" i="82"/>
  <c r="P91" i="82"/>
  <c r="P8" i="82"/>
  <c r="P23" i="82"/>
  <c r="P48" i="82"/>
  <c r="P104" i="82"/>
  <c r="P97" i="82"/>
  <c r="P45" i="82"/>
  <c r="P18" i="82"/>
  <c r="P43" i="82"/>
  <c r="P36" i="82"/>
  <c r="P51" i="82"/>
  <c r="P42" i="82"/>
  <c r="P85" i="82"/>
  <c r="P67" i="82"/>
  <c r="P11" i="82"/>
  <c r="P22" i="82"/>
  <c r="P55" i="82"/>
  <c r="P21" i="82"/>
  <c r="P37" i="82"/>
  <c r="P94" i="82"/>
  <c r="P61" i="82"/>
  <c r="P17" i="82"/>
  <c r="P35" i="82"/>
  <c r="P28" i="82"/>
  <c r="P66" i="82"/>
  <c r="P38" i="82"/>
  <c r="P99" i="82"/>
  <c r="P54" i="82"/>
  <c r="P65" i="82"/>
  <c r="P19" i="82"/>
  <c r="P84" i="82"/>
  <c r="P15" i="82"/>
  <c r="P53" i="82"/>
  <c r="P92" i="82"/>
  <c r="P6" i="82"/>
  <c r="P9" i="82"/>
  <c r="P14" i="82"/>
  <c r="P103" i="82"/>
  <c r="P13" i="82"/>
  <c r="P27" i="82"/>
  <c r="P68" i="82"/>
  <c r="P39" i="82"/>
  <c r="P5" i="82"/>
  <c r="P58" i="82"/>
  <c r="P89" i="82"/>
  <c r="P50" i="82"/>
  <c r="P64" i="82"/>
  <c r="P74" i="82"/>
  <c r="P52" i="82"/>
  <c r="P40" i="82"/>
  <c r="P46" i="82"/>
  <c r="P79" i="82"/>
  <c r="P76" i="82"/>
  <c r="P60" i="82"/>
  <c r="P69" i="82"/>
  <c r="P26" i="82"/>
  <c r="P20" i="82"/>
  <c r="P47" i="82"/>
  <c r="P62" i="82"/>
  <c r="P73" i="82"/>
  <c r="P32" i="82"/>
  <c r="P93" i="82"/>
  <c r="P82" i="82"/>
  <c r="P78" i="82"/>
  <c r="P34" i="82"/>
  <c r="C21" i="68"/>
  <c r="H21" i="68" s="1"/>
  <c r="N21" i="68"/>
  <c r="N23" i="68"/>
  <c r="C23" i="68" s="1"/>
  <c r="H23" i="68" s="1"/>
  <c r="P30" i="8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AT140" i="55"/>
  <c r="U140" i="55" s="1"/>
  <c r="AN230" i="58"/>
  <c r="O230" i="58" s="1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3" l="1"/>
  <c r="D5" i="83" s="1"/>
  <c r="F5" i="83"/>
  <c r="G5" i="83"/>
  <c r="E5" i="83"/>
  <c r="A6" i="83"/>
  <c r="A7" i="83" s="1"/>
  <c r="B7" i="83" s="1"/>
  <c r="D7" i="83" s="1"/>
  <c r="S178" i="46"/>
  <c r="F196" i="46"/>
  <c r="F197" i="46" s="1"/>
  <c r="I178" i="46"/>
  <c r="U178" i="46"/>
  <c r="P196" i="46"/>
  <c r="P197" i="46" s="1"/>
  <c r="R196" i="46"/>
  <c r="R197" i="46" s="1"/>
  <c r="Q178" i="46"/>
  <c r="O178" i="46"/>
  <c r="T196" i="46"/>
  <c r="T197" i="46" s="1"/>
  <c r="E178" i="46"/>
  <c r="L196" i="46"/>
  <c r="L197" i="46" s="1"/>
  <c r="K178" i="46"/>
  <c r="J196" i="46"/>
  <c r="J197" i="46" s="1"/>
  <c r="N196" i="46"/>
  <c r="N197" i="46" s="1"/>
  <c r="D196" i="46"/>
  <c r="D197" i="46" s="1"/>
  <c r="M178" i="46"/>
  <c r="H196" i="46"/>
  <c r="H197" i="46" s="1"/>
  <c r="G178" i="46"/>
  <c r="B205" i="46"/>
  <c r="B177" i="46"/>
  <c r="G5" i="82"/>
  <c r="B5" i="82"/>
  <c r="C5" i="82" s="1"/>
  <c r="F5" i="82"/>
  <c r="E5" i="82"/>
  <c r="A6" i="82"/>
  <c r="E6" i="82" s="1"/>
  <c r="G5" i="8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AV230" i="52"/>
  <c r="BA230" i="52" s="1"/>
  <c r="BQ230" i="52" s="1"/>
  <c r="W79" i="52"/>
  <c r="AV110" i="52"/>
  <c r="BA110" i="52" s="1"/>
  <c r="BQ110" i="52" s="1"/>
  <c r="AV20" i="59"/>
  <c r="BA20" i="59" s="1"/>
  <c r="BQ20" i="59" s="1"/>
  <c r="AV140" i="59"/>
  <c r="W140" i="59" s="1"/>
  <c r="AV140" i="55"/>
  <c r="W140" i="55" s="1"/>
  <c r="AV290" i="59"/>
  <c r="W290" i="59" s="1"/>
  <c r="AV80" i="58"/>
  <c r="BA80" i="58" s="1"/>
  <c r="BQ80" i="58" s="1"/>
  <c r="AV260" i="52"/>
  <c r="W260" i="52" s="1"/>
  <c r="AV20" i="52"/>
  <c r="BA20" i="52" s="1"/>
  <c r="BQ20" i="52" s="1"/>
  <c r="W79" i="59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W80" i="52"/>
  <c r="BA80" i="52"/>
  <c r="BQ80" i="52" s="1"/>
  <c r="C5" i="83" l="1"/>
  <c r="B6" i="83"/>
  <c r="D6" i="83" s="1"/>
  <c r="A8" i="83"/>
  <c r="A9" i="83" s="1"/>
  <c r="B9" i="83" s="1"/>
  <c r="G6" i="83"/>
  <c r="E7" i="83"/>
  <c r="E6" i="83"/>
  <c r="F7" i="83"/>
  <c r="C7" i="83"/>
  <c r="F6" i="83"/>
  <c r="G7" i="83"/>
  <c r="F225" i="46"/>
  <c r="F226" i="46" s="1"/>
  <c r="B234" i="46"/>
  <c r="T225" i="46"/>
  <c r="T226" i="46" s="1"/>
  <c r="N225" i="46"/>
  <c r="N226" i="46" s="1"/>
  <c r="K207" i="46"/>
  <c r="I207" i="46"/>
  <c r="S207" i="46"/>
  <c r="L225" i="46"/>
  <c r="L226" i="46" s="1"/>
  <c r="U207" i="46"/>
  <c r="R225" i="46"/>
  <c r="R226" i="46" s="1"/>
  <c r="J225" i="46"/>
  <c r="J226" i="46" s="1"/>
  <c r="Q207" i="46"/>
  <c r="P225" i="46"/>
  <c r="P226" i="46" s="1"/>
  <c r="O207" i="46"/>
  <c r="D225" i="46"/>
  <c r="D226" i="46" s="1"/>
  <c r="E207" i="46"/>
  <c r="G207" i="46"/>
  <c r="H225" i="46"/>
  <c r="H226" i="46" s="1"/>
  <c r="B206" i="46"/>
  <c r="M207" i="46"/>
  <c r="D5" i="82"/>
  <c r="F6" i="82"/>
  <c r="B6" i="82"/>
  <c r="C6" i="82" s="1"/>
  <c r="A7" i="82"/>
  <c r="E7" i="82" s="1"/>
  <c r="G6" i="82"/>
  <c r="D5" i="8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W230" i="52"/>
  <c r="W20" i="52"/>
  <c r="W110" i="52"/>
  <c r="W20" i="59"/>
  <c r="W170" i="52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W50" i="52"/>
  <c r="W200" i="59"/>
  <c r="BA260" i="53"/>
  <c r="BQ260" i="53" s="1"/>
  <c r="BA290" i="58"/>
  <c r="BQ290" i="58" s="1"/>
  <c r="W50" i="59"/>
  <c r="BA20" i="53"/>
  <c r="BQ20" i="53" s="1"/>
  <c r="W50" i="55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8" i="83" l="1"/>
  <c r="C8" i="83" s="1"/>
  <c r="E9" i="83"/>
  <c r="G9" i="83"/>
  <c r="F9" i="83"/>
  <c r="A10" i="83"/>
  <c r="B10" i="83" s="1"/>
  <c r="C6" i="83"/>
  <c r="G8" i="83"/>
  <c r="E8" i="83"/>
  <c r="F8" i="83"/>
  <c r="B263" i="46"/>
  <c r="H254" i="46"/>
  <c r="H255" i="46" s="1"/>
  <c r="T254" i="46"/>
  <c r="T255" i="46" s="1"/>
  <c r="R254" i="46"/>
  <c r="R255" i="46" s="1"/>
  <c r="M236" i="46"/>
  <c r="N254" i="46"/>
  <c r="N255" i="46" s="1"/>
  <c r="J254" i="46"/>
  <c r="J255" i="46" s="1"/>
  <c r="L254" i="46"/>
  <c r="L255" i="46" s="1"/>
  <c r="O236" i="46"/>
  <c r="F254" i="46"/>
  <c r="F255" i="46" s="1"/>
  <c r="P254" i="46"/>
  <c r="P255" i="46" s="1"/>
  <c r="B235" i="46"/>
  <c r="U236" i="46"/>
  <c r="S236" i="46"/>
  <c r="E236" i="46"/>
  <c r="Q236" i="46"/>
  <c r="G236" i="46"/>
  <c r="K236" i="46"/>
  <c r="I236" i="46"/>
  <c r="D254" i="46"/>
  <c r="D255" i="46" s="1"/>
  <c r="F7" i="82"/>
  <c r="A8" i="82"/>
  <c r="G8" i="82" s="1"/>
  <c r="B7" i="82"/>
  <c r="D7" i="82" s="1"/>
  <c r="G7" i="82"/>
  <c r="D6" i="82"/>
  <c r="B8" i="79"/>
  <c r="C8" i="79" s="1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A10" i="79" s="1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E9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D8" i="83" l="1"/>
  <c r="A11" i="83"/>
  <c r="A12" i="83" s="1"/>
  <c r="E10" i="83"/>
  <c r="F10" i="83"/>
  <c r="G10" i="83"/>
  <c r="I7" i="69"/>
  <c r="B264" i="46"/>
  <c r="E265" i="46"/>
  <c r="K265" i="46"/>
  <c r="L283" i="46"/>
  <c r="L284" i="46" s="1"/>
  <c r="O265" i="46"/>
  <c r="S265" i="46"/>
  <c r="U265" i="46"/>
  <c r="I265" i="46"/>
  <c r="R283" i="46"/>
  <c r="R284" i="46" s="1"/>
  <c r="J283" i="46"/>
  <c r="J284" i="46" s="1"/>
  <c r="H283" i="46"/>
  <c r="H284" i="46" s="1"/>
  <c r="Q265" i="46"/>
  <c r="P283" i="46"/>
  <c r="P284" i="46" s="1"/>
  <c r="F283" i="46"/>
  <c r="F284" i="46" s="1"/>
  <c r="D283" i="46"/>
  <c r="D284" i="46" s="1"/>
  <c r="M265" i="46"/>
  <c r="N283" i="46"/>
  <c r="N284" i="46" s="1"/>
  <c r="T283" i="46"/>
  <c r="T284" i="46" s="1"/>
  <c r="G265" i="46"/>
  <c r="P7" i="68"/>
  <c r="C7" i="82"/>
  <c r="A9" i="82"/>
  <c r="B9" i="82" s="1"/>
  <c r="D9" i="82" s="1"/>
  <c r="E8" i="82"/>
  <c r="D8" i="79"/>
  <c r="F8" i="82"/>
  <c r="B8" i="82"/>
  <c r="C8" i="82" s="1"/>
  <c r="O79" i="88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Q7" i="60"/>
  <c r="C7" i="60"/>
  <c r="N10" i="69"/>
  <c r="N7" i="60"/>
  <c r="Q7" i="68"/>
  <c r="B14" i="69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K12" i="68"/>
  <c r="E9" i="69"/>
  <c r="S8" i="69"/>
  <c r="R14" i="68"/>
  <c r="J15" i="68"/>
  <c r="B11" i="68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P15" i="69"/>
  <c r="E14" i="68"/>
  <c r="T8" i="68"/>
  <c r="H11" i="68"/>
  <c r="S15" i="68"/>
  <c r="K7" i="69"/>
  <c r="I8" i="69"/>
  <c r="Q16" i="69"/>
  <c r="Q15" i="68"/>
  <c r="B16" i="68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E14" i="69"/>
  <c r="P8" i="69"/>
  <c r="B10" i="69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R7" i="69"/>
  <c r="K15" i="68"/>
  <c r="O8" i="69"/>
  <c r="R16" i="69"/>
  <c r="S11" i="69"/>
  <c r="E8" i="68"/>
  <c r="J12" i="69"/>
  <c r="N11" i="68"/>
  <c r="B10" i="68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R9" i="69"/>
  <c r="T12" i="68"/>
  <c r="P8" i="68"/>
  <c r="J14" i="69"/>
  <c r="C15" i="68"/>
  <c r="T9" i="68"/>
  <c r="R15" i="69"/>
  <c r="J13" i="69"/>
  <c r="B15" i="68"/>
  <c r="I15" i="68"/>
  <c r="M13" i="68"/>
  <c r="B13" i="68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C10" i="83"/>
  <c r="D10" i="83"/>
  <c r="D9" i="80"/>
  <c r="C9" i="80"/>
  <c r="B11" i="83" l="1"/>
  <c r="C11" i="83" s="1"/>
  <c r="G11" i="83"/>
  <c r="E11" i="83"/>
  <c r="F11" i="83"/>
  <c r="C9" i="82"/>
  <c r="F9" i="82"/>
  <c r="G9" i="82"/>
  <c r="A10" i="82"/>
  <c r="G10" i="82" s="1"/>
  <c r="E9" i="82"/>
  <c r="D8" i="82"/>
  <c r="B10" i="8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G6" i="86"/>
  <c r="F6" i="86"/>
  <c r="D5" i="86"/>
  <c r="E6" i="86"/>
  <c r="A7" i="86"/>
  <c r="B7" i="86" s="1"/>
  <c r="D7" i="86" s="1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U10" i="68"/>
  <c r="W10" i="68" s="1"/>
  <c r="V9" i="69"/>
  <c r="V16" i="69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V10" i="69"/>
  <c r="V12" i="68"/>
  <c r="U9" i="68"/>
  <c r="W9" i="68" s="1"/>
  <c r="U12" i="69"/>
  <c r="W12" i="69" s="1"/>
  <c r="U11" i="69"/>
  <c r="U7" i="69"/>
  <c r="W7" i="69" s="1"/>
  <c r="V15" i="69"/>
  <c r="V16" i="68"/>
  <c r="U13" i="69"/>
  <c r="W13" i="69" s="1"/>
  <c r="V14" i="68"/>
  <c r="U16" i="68"/>
  <c r="W16" i="68" s="1"/>
  <c r="V10" i="68"/>
  <c r="U13" i="68"/>
  <c r="W13" i="68" s="1"/>
  <c r="V11" i="69"/>
  <c r="V14" i="69"/>
  <c r="U8" i="69"/>
  <c r="W8" i="69" s="1"/>
  <c r="V13" i="69"/>
  <c r="U10" i="69"/>
  <c r="W10" i="69" s="1"/>
  <c r="U14" i="68"/>
  <c r="V8" i="69"/>
  <c r="V15" i="68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AE13" i="63" s="1"/>
  <c r="AE15" i="70" s="1"/>
  <c r="AE16" i="68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B12" i="83"/>
  <c r="F12" i="83"/>
  <c r="A13" i="83"/>
  <c r="E12" i="83"/>
  <c r="G12" i="83"/>
  <c r="D11" i="83" l="1"/>
  <c r="A11" i="82"/>
  <c r="G11" i="82" s="1"/>
  <c r="E10" i="82"/>
  <c r="F10" i="82"/>
  <c r="B10" i="82"/>
  <c r="D10" i="82" s="1"/>
  <c r="AE15" i="63"/>
  <c r="C10" i="81"/>
  <c r="AB12" i="66"/>
  <c r="AE14" i="63"/>
  <c r="AE14" i="70" s="1"/>
  <c r="AE14" i="68" s="1"/>
  <c r="AE16" i="63"/>
  <c r="AB16" i="66"/>
  <c r="E11" i="81"/>
  <c r="F11" i="81"/>
  <c r="G11" i="81"/>
  <c r="A12" i="81"/>
  <c r="A13" i="81" s="1"/>
  <c r="AE9" i="63"/>
  <c r="AE8" i="63"/>
  <c r="AE16" i="70" s="1"/>
  <c r="AE15" i="68" s="1"/>
  <c r="AE8" i="69" s="1"/>
  <c r="AE11" i="63"/>
  <c r="AB13" i="66"/>
  <c r="AE10" i="63"/>
  <c r="AE12" i="70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W14" i="68"/>
  <c r="W11" i="69"/>
  <c r="AA12" i="66"/>
  <c r="AA16" i="66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D11" i="81"/>
  <c r="C11" i="81"/>
  <c r="C12" i="83"/>
  <c r="D12" i="83"/>
  <c r="G13" i="83"/>
  <c r="A14" i="83"/>
  <c r="E13" i="83"/>
  <c r="F13" i="83"/>
  <c r="B13" i="83"/>
  <c r="AE12" i="68" l="1"/>
  <c r="AE15" i="69" s="1"/>
  <c r="A12" i="82"/>
  <c r="G12" i="82" s="1"/>
  <c r="E11" i="82"/>
  <c r="F11" i="82"/>
  <c r="B11" i="82"/>
  <c r="D11" i="82" s="1"/>
  <c r="C10" i="82"/>
  <c r="AC12" i="66"/>
  <c r="AE11" i="70"/>
  <c r="AE13" i="70"/>
  <c r="AE7" i="70"/>
  <c r="AC16" i="66"/>
  <c r="AE8" i="70"/>
  <c r="AE10" i="70"/>
  <c r="AE13" i="68" s="1"/>
  <c r="AE9" i="70"/>
  <c r="AE9" i="68" s="1"/>
  <c r="AE11" i="69" s="1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11" i="68" l="1"/>
  <c r="AE14" i="69" s="1"/>
  <c r="AE8" i="68"/>
  <c r="AE10" i="69" s="1"/>
  <c r="AE10" i="68"/>
  <c r="C11" i="82"/>
  <c r="A13" i="82"/>
  <c r="A14" i="82" s="1"/>
  <c r="B14" i="82" s="1"/>
  <c r="F12" i="82"/>
  <c r="E12" i="82"/>
  <c r="B12" i="82"/>
  <c r="D12" i="82" s="1"/>
  <c r="AE7" i="68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AE9" i="69" l="1"/>
  <c r="AE13" i="69"/>
  <c r="AE12" i="69"/>
  <c r="AE7" i="69"/>
  <c r="AE16" i="69"/>
  <c r="C12" i="82"/>
  <c r="A15" i="82"/>
  <c r="F15" i="82" s="1"/>
  <c r="G14" i="82"/>
  <c r="F13" i="82"/>
  <c r="E14" i="82"/>
  <c r="B13" i="82"/>
  <c r="C13" i="82" s="1"/>
  <c r="F14" i="82"/>
  <c r="E13" i="82"/>
  <c r="G13" i="82"/>
  <c r="B7" i="72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13" i="82" l="1"/>
  <c r="B15" i="82"/>
  <c r="C15" i="82" s="1"/>
  <c r="G15" i="82"/>
  <c r="A16" i="82"/>
  <c r="A17" i="82" s="1"/>
  <c r="E15" i="82"/>
  <c r="D7" i="72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G16" i="81"/>
  <c r="A17" i="81"/>
  <c r="F16" i="81"/>
  <c r="E16" i="81"/>
  <c r="B16" i="81"/>
  <c r="G16" i="79"/>
  <c r="E16" i="79"/>
  <c r="F16" i="79"/>
  <c r="A17" i="79"/>
  <c r="B16" i="79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B16" i="82" l="1"/>
  <c r="C16" i="82" s="1"/>
  <c r="E16" i="82"/>
  <c r="F16" i="82"/>
  <c r="G16" i="82"/>
  <c r="D15" i="82"/>
  <c r="AB15" i="63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D16" i="82" l="1"/>
  <c r="AA11" i="63"/>
  <c r="AC11" i="63" s="1"/>
  <c r="AB14" i="63"/>
  <c r="AC13" i="63"/>
  <c r="AC8" i="63"/>
  <c r="I12" i="72"/>
  <c r="AA14" i="63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4" i="63" l="1"/>
  <c r="AC10" i="63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AA13" i="70" s="1"/>
  <c r="J11" i="73"/>
  <c r="AB15" i="70" s="1"/>
  <c r="J14" i="73"/>
  <c r="AB16" i="70" s="1"/>
  <c r="I12" i="73"/>
  <c r="K12" i="73" s="1"/>
  <c r="I14" i="73"/>
  <c r="J15" i="73"/>
  <c r="AB14" i="70" s="1"/>
  <c r="I15" i="73"/>
  <c r="I10" i="73"/>
  <c r="AA7" i="70" s="1"/>
  <c r="J10" i="73"/>
  <c r="J9" i="73"/>
  <c r="AB12" i="70" s="1"/>
  <c r="J13" i="73"/>
  <c r="I9" i="73"/>
  <c r="I11" i="73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9" i="70" l="1"/>
  <c r="AA10" i="70"/>
  <c r="AA12" i="70"/>
  <c r="AC12" i="70" s="1"/>
  <c r="AB11" i="70"/>
  <c r="AB13" i="70"/>
  <c r="AC13" i="70" s="1"/>
  <c r="K15" i="73"/>
  <c r="AA14" i="70"/>
  <c r="AC14" i="70" s="1"/>
  <c r="K14" i="73"/>
  <c r="AA16" i="70"/>
  <c r="AC16" i="70" s="1"/>
  <c r="K11" i="73"/>
  <c r="AA15" i="70"/>
  <c r="AC15" i="70" s="1"/>
  <c r="AB7" i="70"/>
  <c r="AC7" i="70" s="1"/>
  <c r="AB8" i="70"/>
  <c r="AB10" i="70"/>
  <c r="K16" i="73"/>
  <c r="AA11" i="70"/>
  <c r="K9" i="73"/>
  <c r="AA8" i="70"/>
  <c r="K10" i="73"/>
  <c r="AA9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9" i="70" l="1"/>
  <c r="AC11" i="70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C7" i="74" l="1"/>
  <c r="E9" i="74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L16" i="74"/>
  <c r="K7" i="74"/>
  <c r="K16" i="74"/>
  <c r="L9" i="74"/>
  <c r="L7" i="74"/>
  <c r="L10" i="74"/>
  <c r="K14" i="74"/>
  <c r="L15" i="74"/>
  <c r="AB15" i="68" s="1"/>
  <c r="L14" i="74"/>
  <c r="AB14" i="68" s="1"/>
  <c r="L11" i="74"/>
  <c r="AB13" i="68" s="1"/>
  <c r="K13" i="74"/>
  <c r="K10" i="74"/>
  <c r="AA12" i="68" s="1"/>
  <c r="K11" i="74"/>
  <c r="K15" i="74"/>
  <c r="L12" i="74"/>
  <c r="K8" i="74"/>
  <c r="L13" i="74"/>
  <c r="AB16" i="68" s="1"/>
  <c r="K12" i="74"/>
  <c r="M12" i="74" s="1"/>
  <c r="L8" i="74"/>
  <c r="AB9" i="68" s="1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AB8" i="68" l="1"/>
  <c r="M14" i="74"/>
  <c r="AA14" i="68"/>
  <c r="AC14" i="68" s="1"/>
  <c r="M15" i="74"/>
  <c r="AA15" i="68"/>
  <c r="AC15" i="68" s="1"/>
  <c r="AB10" i="68"/>
  <c r="AB12" i="68"/>
  <c r="AC12" i="68" s="1"/>
  <c r="M11" i="74"/>
  <c r="AA13" i="68"/>
  <c r="AC13" i="68" s="1"/>
  <c r="AB7" i="68"/>
  <c r="M13" i="74"/>
  <c r="AA16" i="68"/>
  <c r="AC16" i="68" s="1"/>
  <c r="AB11" i="68"/>
  <c r="M10" i="74"/>
  <c r="AA10" i="68"/>
  <c r="AC10" i="68" s="1"/>
  <c r="M16" i="74"/>
  <c r="AA11" i="68"/>
  <c r="M8" i="74"/>
  <c r="AA9" i="68"/>
  <c r="AC9" i="68" s="1"/>
  <c r="M9" i="74"/>
  <c r="AA8" i="68"/>
  <c r="AC8" i="68" s="1"/>
  <c r="M7" i="74"/>
  <c r="AA7" i="68"/>
  <c r="AC7" i="68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AC11" i="68" l="1"/>
  <c r="AD16" i="68" s="1"/>
  <c r="AD15" i="68"/>
  <c r="AD14" i="68"/>
  <c r="AD13" i="68"/>
  <c r="AD12" i="68"/>
  <c r="AD11" i="68"/>
  <c r="AD7" i="68"/>
  <c r="AD8" i="68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AD10" i="68" l="1"/>
  <c r="AD9" i="68"/>
  <c r="B14" i="75" s="1"/>
  <c r="G14" i="75" s="1"/>
  <c r="B10" i="75"/>
  <c r="F10" i="75" s="1"/>
  <c r="B15" i="75"/>
  <c r="I15" i="75" s="1"/>
  <c r="B7" i="75"/>
  <c r="B16" i="75"/>
  <c r="E16" i="75" s="1"/>
  <c r="B8" i="75"/>
  <c r="H8" i="75" s="1"/>
  <c r="B12" i="75"/>
  <c r="C12" i="75" s="1"/>
  <c r="B9" i="75"/>
  <c r="C9" i="75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B11" i="75" l="1"/>
  <c r="C11" i="75" s="1"/>
  <c r="B13" i="75"/>
  <c r="J13" i="75" s="1"/>
  <c r="E7" i="75"/>
  <c r="L13" i="75"/>
  <c r="K13" i="75"/>
  <c r="E13" i="75"/>
  <c r="H13" i="75"/>
  <c r="F13" i="75"/>
  <c r="D13" i="75"/>
  <c r="G13" i="75"/>
  <c r="K7" i="75"/>
  <c r="C13" i="75"/>
  <c r="G10" i="75"/>
  <c r="J11" i="75"/>
  <c r="J7" i="75"/>
  <c r="D10" i="75"/>
  <c r="C15" i="75"/>
  <c r="L15" i="75"/>
  <c r="C10" i="75"/>
  <c r="L11" i="75"/>
  <c r="E15" i="75"/>
  <c r="D11" i="75"/>
  <c r="G15" i="75"/>
  <c r="L10" i="75"/>
  <c r="F15" i="75"/>
  <c r="H11" i="75"/>
  <c r="H10" i="75"/>
  <c r="K11" i="75"/>
  <c r="G11" i="75"/>
  <c r="J15" i="75"/>
  <c r="F11" i="75"/>
  <c r="I7" i="75"/>
  <c r="K10" i="75"/>
  <c r="L7" i="75"/>
  <c r="G9" i="75"/>
  <c r="J10" i="75"/>
  <c r="C7" i="75"/>
  <c r="E10" i="75"/>
  <c r="D7" i="75"/>
  <c r="G7" i="75"/>
  <c r="D15" i="75"/>
  <c r="L14" i="75"/>
  <c r="L12" i="75"/>
  <c r="C14" i="75"/>
  <c r="H7" i="75"/>
  <c r="I12" i="75"/>
  <c r="L9" i="75"/>
  <c r="J12" i="75"/>
  <c r="J9" i="75"/>
  <c r="G12" i="75"/>
  <c r="K9" i="75"/>
  <c r="F7" i="75"/>
  <c r="I10" i="75"/>
  <c r="K15" i="75"/>
  <c r="C16" i="75"/>
  <c r="J16" i="75"/>
  <c r="K14" i="75"/>
  <c r="F14" i="75"/>
  <c r="E9" i="75"/>
  <c r="I8" i="75"/>
  <c r="J8" i="75"/>
  <c r="D8" i="75"/>
  <c r="G8" i="75"/>
  <c r="E8" i="75"/>
  <c r="L8" i="75"/>
  <c r="I14" i="75"/>
  <c r="C8" i="75"/>
  <c r="F9" i="75"/>
  <c r="I16" i="75"/>
  <c r="G16" i="75"/>
  <c r="D9" i="75"/>
  <c r="H12" i="75"/>
  <c r="L16" i="75"/>
  <c r="E14" i="75"/>
  <c r="I9" i="75"/>
  <c r="F16" i="75"/>
  <c r="J14" i="75"/>
  <c r="D14" i="75"/>
  <c r="H9" i="75"/>
  <c r="D12" i="75"/>
  <c r="E12" i="75"/>
  <c r="E11" i="75"/>
  <c r="K12" i="75"/>
  <c r="H15" i="75"/>
  <c r="K16" i="75"/>
  <c r="K8" i="75"/>
  <c r="F12" i="75"/>
  <c r="F8" i="75"/>
  <c r="I11" i="75"/>
  <c r="H14" i="75"/>
  <c r="H16" i="75"/>
  <c r="D16" i="75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I13" i="75" l="1"/>
  <c r="N13" i="75"/>
  <c r="AB13" i="69" s="1"/>
  <c r="M13" i="75"/>
  <c r="N7" i="75"/>
  <c r="N11" i="75"/>
  <c r="N10" i="75"/>
  <c r="AB15" i="69" s="1"/>
  <c r="M7" i="75"/>
  <c r="AA10" i="69" s="1"/>
  <c r="M15" i="75"/>
  <c r="M10" i="75"/>
  <c r="N14" i="75"/>
  <c r="N15" i="75"/>
  <c r="AB8" i="69" s="1"/>
  <c r="M11" i="75"/>
  <c r="M9" i="75"/>
  <c r="N9" i="75"/>
  <c r="AB11" i="69" s="1"/>
  <c r="M14" i="75"/>
  <c r="O14" i="75" s="1"/>
  <c r="N12" i="75"/>
  <c r="AB14" i="69" s="1"/>
  <c r="M8" i="75"/>
  <c r="M12" i="75"/>
  <c r="M16" i="75"/>
  <c r="N16" i="75"/>
  <c r="N8" i="75"/>
  <c r="AB16" i="69" s="1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AB9" i="69" l="1"/>
  <c r="AB12" i="69"/>
  <c r="O16" i="75"/>
  <c r="AA9" i="69"/>
  <c r="O13" i="75"/>
  <c r="AA13" i="69"/>
  <c r="AC13" i="69" s="1"/>
  <c r="O8" i="75"/>
  <c r="AA16" i="69"/>
  <c r="AC16" i="69" s="1"/>
  <c r="O10" i="75"/>
  <c r="AA15" i="69"/>
  <c r="AC15" i="69" s="1"/>
  <c r="O12" i="75"/>
  <c r="AA14" i="69"/>
  <c r="AC14" i="69" s="1"/>
  <c r="O15" i="75"/>
  <c r="AA8" i="69"/>
  <c r="AC8" i="69" s="1"/>
  <c r="O9" i="75"/>
  <c r="AA11" i="69"/>
  <c r="AC11" i="69" s="1"/>
  <c r="O11" i="75"/>
  <c r="AA12" i="69"/>
  <c r="AB7" i="69"/>
  <c r="AB10" i="69"/>
  <c r="AC10" i="69" s="1"/>
  <c r="O7" i="75"/>
  <c r="AA7" i="69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AC12" i="69" l="1"/>
  <c r="AC9" i="69"/>
  <c r="AC7" i="69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AD15" i="69" l="1"/>
  <c r="AD9" i="69"/>
  <c r="AD10" i="69"/>
  <c r="AD12" i="69"/>
  <c r="AD11" i="69"/>
  <c r="AD14" i="69"/>
  <c r="AD13" i="69"/>
  <c r="AD8" i="69"/>
  <c r="AD16" i="69"/>
  <c r="AD7" i="69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B7" i="77" l="1"/>
  <c r="N7" i="77" s="1"/>
  <c r="B16" i="77"/>
  <c r="N16" i="77" s="1"/>
  <c r="B9" i="77"/>
  <c r="E9" i="77" s="1"/>
  <c r="B14" i="77"/>
  <c r="G14" i="77" s="1"/>
  <c r="B13" i="77"/>
  <c r="N13" i="77" s="1"/>
  <c r="B8" i="77"/>
  <c r="J8" i="77" s="1"/>
  <c r="B12" i="77"/>
  <c r="I12" i="77" s="1"/>
  <c r="B10" i="77"/>
  <c r="N10" i="77" s="1"/>
  <c r="B11" i="77"/>
  <c r="L11" i="77" s="1"/>
  <c r="B15" i="77"/>
  <c r="E15" i="77" s="1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K16" i="77" l="1"/>
  <c r="G16" i="77"/>
  <c r="L16" i="77"/>
  <c r="I15" i="77"/>
  <c r="J16" i="77"/>
  <c r="M15" i="77"/>
  <c r="D16" i="77"/>
  <c r="F16" i="77"/>
  <c r="M16" i="77"/>
  <c r="I7" i="77"/>
  <c r="C11" i="77"/>
  <c r="F7" i="77"/>
  <c r="M7" i="77"/>
  <c r="E7" i="77"/>
  <c r="H7" i="77"/>
  <c r="D11" i="77"/>
  <c r="C7" i="77"/>
  <c r="C12" i="77"/>
  <c r="D7" i="77"/>
  <c r="J7" i="77"/>
  <c r="E12" i="77"/>
  <c r="N12" i="77"/>
  <c r="J15" i="77"/>
  <c r="H16" i="77"/>
  <c r="D13" i="77"/>
  <c r="E16" i="77"/>
  <c r="L7" i="77"/>
  <c r="L8" i="77"/>
  <c r="I9" i="77"/>
  <c r="C16" i="77"/>
  <c r="K7" i="77"/>
  <c r="G7" i="77"/>
  <c r="L13" i="77"/>
  <c r="I16" i="77"/>
  <c r="K10" i="77"/>
  <c r="G10" i="77"/>
  <c r="F10" i="77"/>
  <c r="C10" i="77"/>
  <c r="H10" i="77"/>
  <c r="K12" i="77"/>
  <c r="G9" i="77"/>
  <c r="C9" i="77"/>
  <c r="J12" i="77"/>
  <c r="D12" i="77"/>
  <c r="H12" i="77"/>
  <c r="F12" i="77"/>
  <c r="G12" i="77"/>
  <c r="M12" i="77"/>
  <c r="L12" i="77"/>
  <c r="D14" i="77"/>
  <c r="H15" i="77"/>
  <c r="H9" i="77"/>
  <c r="J9" i="77"/>
  <c r="M14" i="77"/>
  <c r="D15" i="77"/>
  <c r="L9" i="77"/>
  <c r="C14" i="77"/>
  <c r="L14" i="77"/>
  <c r="K15" i="77"/>
  <c r="F9" i="77"/>
  <c r="N14" i="77"/>
  <c r="M9" i="77"/>
  <c r="G15" i="77"/>
  <c r="H14" i="77"/>
  <c r="N15" i="77"/>
  <c r="K9" i="77"/>
  <c r="J14" i="77"/>
  <c r="I11" i="77"/>
  <c r="N9" i="77"/>
  <c r="K14" i="77"/>
  <c r="F15" i="77"/>
  <c r="D9" i="77"/>
  <c r="F8" i="77"/>
  <c r="J13" i="77"/>
  <c r="M8" i="77"/>
  <c r="E13" i="77"/>
  <c r="D8" i="77"/>
  <c r="M13" i="77"/>
  <c r="C13" i="77"/>
  <c r="F13" i="77"/>
  <c r="K8" i="77"/>
  <c r="I8" i="77"/>
  <c r="G8" i="77"/>
  <c r="K13" i="77"/>
  <c r="G13" i="77"/>
  <c r="I14" i="77"/>
  <c r="H8" i="77"/>
  <c r="M10" i="77"/>
  <c r="C8" i="77"/>
  <c r="E8" i="77"/>
  <c r="F14" i="77"/>
  <c r="N8" i="77"/>
  <c r="E10" i="77"/>
  <c r="H13" i="77"/>
  <c r="E14" i="77"/>
  <c r="L15" i="77"/>
  <c r="C15" i="77"/>
  <c r="I13" i="77"/>
  <c r="D10" i="77"/>
  <c r="J10" i="77"/>
  <c r="I10" i="77"/>
  <c r="E11" i="77"/>
  <c r="L10" i="77"/>
  <c r="K11" i="77"/>
  <c r="J11" i="77"/>
  <c r="M11" i="77"/>
  <c r="N11" i="77"/>
  <c r="H11" i="77"/>
  <c r="F11" i="77"/>
  <c r="G11" i="77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P16" i="77" l="1"/>
  <c r="P7" i="77"/>
  <c r="O16" i="77"/>
  <c r="Q16" i="77" s="1"/>
  <c r="O7" i="77"/>
  <c r="Q7" i="77" s="1"/>
  <c r="O12" i="77"/>
  <c r="Q12" i="77" s="1"/>
  <c r="O15" i="77"/>
  <c r="Q15" i="77" s="1"/>
  <c r="P12" i="77"/>
  <c r="P9" i="77"/>
  <c r="O9" i="77"/>
  <c r="Q9" i="77" s="1"/>
  <c r="O14" i="77"/>
  <c r="Q14" i="77" s="1"/>
  <c r="O10" i="77"/>
  <c r="Q10" i="77" s="1"/>
  <c r="P15" i="77"/>
  <c r="P13" i="77"/>
  <c r="P11" i="77"/>
  <c r="P14" i="77"/>
  <c r="O13" i="77"/>
  <c r="Q13" i="77" s="1"/>
  <c r="O8" i="77"/>
  <c r="Q8" i="77" s="1"/>
  <c r="O11" i="77"/>
  <c r="Q11" i="77" s="1"/>
  <c r="P10" i="77"/>
  <c r="P8" i="77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<sst xmlns="http://schemas.openxmlformats.org/spreadsheetml/2006/main" count="22134" uniqueCount="2577">
  <si>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</si>
  <si>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</si>
  <si>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</si>
  <si>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</si>
  <si>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</si>
  <si>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</si>
  <si>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</si>
  <si>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</si>
  <si>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</si>
  <si>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</si>
  <si>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</si>
  <si>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</si>
  <si>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</si>
  <si>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</si>
  <si>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</si>
  <si>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</si>
  <si>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</si>
  <si>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</si>
  <si>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</si>
  <si>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</si>
  <si>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</si>
  <si>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</si>
  <si>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</si>
  <si>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</si>
  <si>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</si>
  <si>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</si>
  <si>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</si>
  <si>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</si>
  <si>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</si>
  <si>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</si>
  <si>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</si>
  <si>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</si>
  <si>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</si>
  <si>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</si>
  <si>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</si>
  <si>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</si>
  <si>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</si>
  <si>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</si>
  <si>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</si>
  <si>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</si>
  <si>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</si>
  <si>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</si>
  <si>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</si>
  <si>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</si>
  <si>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</si>
  <si>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</si>
  <si>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</si>
  <si>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</si>
  <si>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</si>
  <si>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</si>
  <si>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</si>
  <si>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</si>
  <si>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</si>
  <si>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</si>
  <si>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</si>
  <si>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</si>
  <si>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</si>
  <si>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</si>
  <si>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</si>
  <si>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</si>
  <si>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</si>
  <si>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</si>
  <si>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</si>
  <si>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</si>
  <si>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</si>
  <si>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</si>
  <si>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</si>
  <si>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</si>
  <si>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</si>
  <si>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</si>
  <si>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</si>
  <si>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</si>
  <si>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</si>
  <si>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</si>
  <si>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</si>
  <si>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</si>
  <si>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</si>
  <si>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</si>
  <si>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</si>
  <si>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</si>
  <si>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</si>
  <si>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</si>
  <si>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</si>
  <si>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</si>
  <si>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</si>
  <si>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</si>
  <si>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</si>
  <si>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</si>
  <si>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</si>
  <si>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</si>
  <si>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</si>
  <si>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</si>
  <si>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</si>
  <si>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</si>
  <si>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</si>
  <si>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</si>
  <si>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</si>
  <si>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</si>
  <si>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</si>
  <si>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</si>
  <si>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</si>
  <si>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</si>
  <si>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</si>
  <si>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</si>
  <si>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</si>
  <si>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</si>
  <si>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</si>
  <si>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</si>
  <si>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</si>
  <si>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</si>
  <si>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</si>
  <si>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</si>
  <si>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</si>
  <si>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</si>
  <si>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</si>
  <si>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</si>
  <si>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</si>
  <si>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</si>
  <si>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</si>
  <si>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</si>
  <si>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</si>
  <si>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</si>
  <si>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</si>
  <si>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</si>
  <si>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</si>
  <si>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</si>
  <si>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</si>
  <si>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</si>
  <si>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</si>
  <si>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</si>
  <si>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</si>
  <si>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</si>
  <si>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</si>
  <si>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</si>
  <si>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</si>
  <si>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</si>
  <si>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</si>
  <si>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</si>
  <si>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</si>
  <si>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</si>
  <si>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</si>
  <si>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</si>
  <si>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</si>
  <si>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</si>
  <si>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</si>
  <si>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</si>
  <si>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</si>
  <si>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</si>
  <si>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</si>
  <si>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</si>
  <si>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</si>
  <si>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</si>
  <si>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</si>
  <si>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</si>
  <si>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</si>
  <si>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</si>
  <si>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</si>
  <si>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</si>
  <si>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</si>
  <si>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</si>
  <si>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</si>
  <si>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</si>
  <si>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</si>
  <si>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</si>
  <si>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</si>
  <si>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</si>
  <si>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</si>
  <si>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</si>
  <si>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</si>
  <si>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</si>
  <si>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</si>
  <si>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</si>
  <si>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</si>
  <si>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</si>
  <si>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</si>
  <si>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</si>
  <si>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</si>
  <si>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</si>
  <si>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</si>
  <si>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</si>
  <si>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</si>
  <si>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</si>
  <si>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</si>
  <si>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</si>
  <si>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</si>
  <si>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</si>
  <si>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</si>
  <si>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</si>
  <si>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</si>
  <si>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</si>
  <si>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</si>
  <si>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</si>
  <si>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</si>
  <si>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</si>
  <si>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</si>
  <si>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</si>
  <si>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</si>
  <si>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</si>
  <si>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</si>
  <si>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</si>
  <si>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</si>
  <si>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</si>
  <si>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</si>
  <si>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</si>
  <si>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</si>
  <si>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</si>
  <si>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</si>
  <si>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</si>
  <si>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</si>
  <si>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</si>
  <si>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</si>
  <si>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</si>
  <si>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</si>
  <si>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</si>
  <si>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</si>
  <si>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</si>
  <si>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</si>
  <si>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</si>
  <si>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</si>
  <si>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</si>
  <si>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</si>
  <si>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</si>
  <si>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</si>
  <si>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</si>
  <si>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</si>
  <si>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</si>
  <si>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</si>
  <si>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</si>
  <si>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</si>
  <si>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</si>
  <si>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</si>
  <si>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</si>
  <si>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</si>
  <si>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</si>
  <si>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</si>
  <si>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</si>
  <si>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</si>
  <si>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</si>
  <si>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</si>
  <si>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</si>
  <si>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</si>
  <si>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</si>
  <si>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</si>
  <si>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</si>
  <si>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</si>
  <si>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</si>
  <si>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</si>
  <si>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</si>
  <si>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</si>
  <si>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</si>
  <si>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</si>
  <si>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</si>
  <si>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</si>
  <si>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</si>
  <si>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</si>
  <si>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</si>
  <si>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</si>
  <si>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</si>
  <si>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</si>
  <si>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</si>
  <si>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</si>
  <si>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</si>
  <si>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</si>
  <si>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</si>
  <si>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</si>
  <si>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</si>
  <si>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</si>
  <si>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</si>
  <si>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</si>
  <si>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</si>
  <si>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</si>
  <si>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</si>
  <si>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</si>
  <si>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</si>
  <si>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</si>
  <si>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</si>
  <si>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</si>
  <si>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</si>
  <si>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</si>
  <si>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</si>
  <si>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</si>
  <si>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</si>
  <si>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</si>
  <si>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</si>
  <si>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</si>
  <si>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</si>
  <si>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</si>
  <si>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</si>
  <si>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</si>
  <si>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</si>
  <si>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</si>
  <si>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</si>
  <si>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</si>
  <si>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</si>
  <si>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</si>
  <si>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</si>
  <si>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</si>
  <si>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</si>
  <si>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</si>
  <si>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</si>
  <si>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</si>
  <si>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</si>
  <si>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</si>
  <si>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</si>
  <si>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</si>
  <si>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</si>
  <si>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</si>
  <si>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</si>
  <si>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</si>
  <si>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</si>
  <si>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</si>
  <si>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</si>
  <si>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</si>
  <si>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</si>
  <si>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</si>
  <si>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</si>
  <si>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</si>
  <si>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</si>
  <si>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</si>
  <si>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</si>
  <si>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</si>
  <si>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</si>
  <si>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</si>
  <si>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</si>
  <si>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</si>
  <si>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</si>
  <si>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</si>
  <si>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</si>
  <si>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</si>
  <si>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</si>
  <si>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</si>
  <si>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</si>
  <si>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</si>
  <si>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</si>
  <si>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</si>
  <si>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</si>
  <si>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</si>
  <si>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</si>
  <si>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</si>
  <si>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</si>
  <si>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</si>
  <si>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</si>
  <si>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</si>
  <si>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</si>
  <si>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</si>
  <si>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</si>
  <si>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</si>
  <si>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</si>
  <si>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</si>
  <si>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</si>
  <si>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</si>
  <si>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</si>
  <si>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</si>
  <si>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</si>
  <si>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</si>
  <si>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</si>
  <si>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</si>
  <si>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</si>
  <si>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</si>
  <si>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</si>
  <si>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</si>
  <si>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</si>
  <si>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</si>
  <si>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</si>
  <si>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</si>
  <si>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</si>
  <si>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</si>
  <si>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</si>
  <si>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</si>
  <si>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</si>
  <si>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</si>
  <si>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</si>
  <si>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</si>
  <si>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</si>
  <si>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</si>
  <si>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</si>
  <si>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</si>
  <si>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</si>
  <si>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</si>
  <si>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</si>
  <si>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</si>
  <si>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</si>
  <si>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</si>
  <si>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</si>
  <si>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</si>
  <si>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</si>
  <si>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</si>
  <si>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</si>
  <si>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</si>
  <si>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</si>
  <si>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</si>
  <si>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</si>
  <si>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</si>
  <si>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</si>
  <si>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</si>
  <si>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</si>
  <si>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</si>
  <si>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</si>
  <si>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</si>
  <si>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</si>
  <si>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</si>
  <si>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</si>
  <si>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</si>
  <si>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</si>
  <si>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</si>
  <si>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</si>
  <si>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</si>
  <si>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</si>
  <si>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</si>
  <si>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</si>
  <si>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</si>
  <si>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</si>
  <si>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</si>
  <si>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</si>
  <si>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</si>
  <si>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</si>
  <si>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</si>
  <si>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</si>
  <si>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</si>
  <si>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</si>
  <si>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</si>
  <si>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</si>
  <si>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</si>
  <si>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</si>
  <si>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</si>
  <si>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</si>
  <si>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</si>
  <si>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</si>
  <si>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</si>
  <si>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</si>
  <si>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</si>
  <si>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</si>
  <si>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</si>
  <si>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</si>
  <si>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</si>
  <si>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</si>
  <si>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</si>
  <si>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</si>
  <si>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</si>
  <si>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</si>
  <si>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</si>
  <si>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</si>
  <si>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</si>
  <si>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</si>
  <si>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</si>
  <si>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</si>
  <si>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</si>
  <si>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</si>
  <si>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</si>
  <si>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</si>
  <si>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</si>
  <si>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</si>
  <si>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</si>
  <si>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</si>
  <si>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</si>
  <si>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</si>
  <si>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</si>
  <si>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</si>
  <si>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</si>
  <si>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</si>
  <si>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</si>
  <si>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</si>
  <si>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</si>
  <si>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</si>
  <si>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</si>
  <si>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</si>
  <si>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</si>
  <si>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</si>
  <si>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</si>
  <si>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</si>
  <si>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</si>
  <si>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</si>
  <si>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</si>
  <si>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</si>
  <si>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</si>
  <si>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</si>
  <si>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</si>
  <si>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</si>
  <si>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</si>
  <si>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</si>
  <si>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</si>
  <si>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</si>
  <si>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</si>
  <si>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</si>
  <si>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</si>
  <si>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</si>
  <si>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</si>
  <si>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</si>
  <si>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</si>
  <si>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</si>
  <si>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</si>
  <si>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</si>
  <si>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</si>
  <si>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</si>
  <si>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</si>
  <si>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</si>
  <si>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</si>
  <si>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</si>
  <si>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</si>
  <si>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</si>
  <si>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</si>
  <si>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</si>
  <si>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</si>
  <si>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</si>
  <si>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</si>
  <si>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</si>
  <si>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</si>
  <si>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</si>
  <si>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</si>
  <si>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</si>
  <si>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</si>
  <si>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</si>
  <si>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</si>
  <si>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</si>
  <si>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</si>
  <si>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</si>
  <si>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</si>
  <si>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</si>
  <si>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</si>
  <si>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</si>
  <si>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</si>
  <si>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</si>
  <si>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</si>
  <si>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</si>
  <si>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</si>
  <si>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</si>
  <si>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</si>
  <si>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</si>
  <si>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</si>
  <si>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</si>
  <si>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</si>
  <si>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</si>
  <si>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</si>
  <si>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</si>
  <si>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</si>
  <si>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</si>
  <si>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</si>
  <si>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</si>
  <si>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</si>
  <si>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</si>
  <si>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</si>
  <si>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</si>
  <si>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</si>
  <si>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</si>
  <si>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</si>
  <si>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</si>
  <si>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</si>
  <si>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</si>
  <si>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</si>
  <si>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</si>
  <si>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</si>
  <si>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</si>
  <si>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</si>
  <si>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</si>
  <si>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</si>
  <si>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</si>
  <si>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</si>
  <si>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</si>
  <si>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</si>
  <si>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</si>
  <si>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</si>
  <si>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</si>
  <si>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</si>
  <si>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</si>
  <si>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</si>
  <si>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</si>
  <si>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</si>
  <si>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</si>
  <si>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</si>
  <si>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</si>
  <si>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</si>
  <si>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</si>
  <si>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</si>
  <si>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</si>
  <si>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</si>
  <si>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</si>
  <si>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</si>
  <si>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</si>
  <si>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</si>
  <si>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</si>
  <si>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</si>
  <si>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</si>
  <si>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</si>
  <si>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</si>
  <si>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</si>
  <si>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</si>
  <si>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</si>
  <si>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</si>
  <si>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</si>
  <si>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</si>
  <si>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</si>
  <si>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</si>
  <si>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</si>
  <si>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</si>
  <si>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</si>
  <si>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</si>
  <si>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</si>
  <si>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</si>
  <si>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</si>
  <si>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</si>
  <si>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</si>
  <si>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</si>
  <si>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</si>
  <si>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</si>
  <si>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</si>
  <si>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</si>
  <si>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</si>
  <si>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</si>
  <si>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</si>
  <si>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</si>
  <si>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</si>
  <si>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</si>
  <si>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</si>
  <si>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</si>
  <si>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</si>
  <si>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</si>
  <si>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</si>
  <si>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</si>
  <si>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</si>
  <si>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</si>
  <si>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</si>
  <si>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</si>
  <si>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</si>
  <si>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</si>
  <si>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</si>
  <si>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</si>
  <si>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</si>
  <si>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</si>
  <si>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</si>
  <si>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</si>
  <si>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</si>
  <si>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</si>
  <si>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</si>
  <si>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</si>
  <si>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</si>
  <si>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</si>
  <si>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</si>
  <si>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</si>
  <si>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</si>
  <si>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</si>
  <si>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</si>
  <si>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</si>
  <si>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</si>
  <si>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</si>
  <si>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</si>
  <si>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</si>
  <si>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</si>
  <si>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</si>
  <si>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</si>
  <si>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</si>
  <si>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</si>
  <si>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</si>
  <si>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</si>
  <si>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</si>
  <si>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</si>
  <si>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</si>
  <si>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</si>
  <si>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</si>
  <si>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</si>
  <si>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</si>
  <si>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</si>
  <si>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</si>
  <si>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</si>
  <si>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</si>
  <si>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</si>
  <si>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</si>
  <si>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</si>
  <si>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</si>
  <si>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</si>
  <si>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</si>
  <si>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</si>
  <si>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</si>
  <si>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</si>
  <si>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</si>
  <si>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</si>
  <si>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</si>
  <si>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</si>
  <si>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</si>
  <si>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</si>
  <si>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</si>
  <si>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</si>
  <si>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</si>
  <si>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</si>
  <si>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</si>
  <si>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</si>
  <si>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</si>
  <si>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</si>
  <si>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</si>
  <si>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</si>
  <si>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</si>
  <si>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</si>
  <si>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</si>
  <si>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</si>
  <si>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</si>
  <si>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</si>
  <si>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</si>
  <si>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</si>
  <si>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</si>
  <si>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</si>
  <si>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</si>
  <si>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</si>
  <si>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</si>
  <si>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</si>
  <si>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</si>
  <si>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</si>
  <si>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</si>
  <si>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</si>
  <si>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</si>
  <si>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</si>
  <si>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</si>
  <si>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</si>
  <si>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</si>
  <si>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</si>
  <si>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</si>
  <si>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</si>
  <si>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</si>
  <si>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</si>
  <si>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</si>
  <si>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</si>
  <si>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</si>
  <si>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</si>
  <si>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</si>
  <si>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</si>
  <si>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</si>
  <si>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</si>
  <si>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</si>
  <si>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</si>
  <si>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</si>
  <si>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</si>
  <si>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</si>
  <si>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</si>
  <si>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</si>
  <si>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</si>
  <si>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</si>
  <si>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</si>
  <si>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</si>
  <si>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</si>
  <si>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</si>
  <si>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</si>
  <si>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</si>
  <si>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</si>
  <si>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</si>
  <si>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</si>
  <si>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</si>
  <si>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</si>
  <si>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</si>
  <si>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</si>
  <si>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</si>
  <si>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</si>
  <si>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</si>
  <si>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</si>
  <si>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</si>
  <si>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</si>
  <si>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</si>
  <si>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</si>
  <si>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</si>
  <si>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</si>
  <si>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</si>
  <si>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</si>
  <si>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</si>
  <si>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</si>
  <si>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</si>
  <si>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</si>
  <si>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</si>
  <si>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</si>
  <si>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</si>
  <si>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</si>
  <si>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</si>
  <si>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</si>
  <si>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</si>
  <si>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</si>
  <si>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</si>
  <si>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</si>
  <si>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</si>
  <si>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</si>
  <si>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</si>
  <si>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</si>
  <si>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</si>
  <si>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</si>
  <si>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</si>
  <si>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</si>
  <si>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</si>
  <si>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</si>
  <si>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</si>
  <si>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</si>
  <si>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</si>
  <si>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</si>
  <si>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</si>
  <si>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</si>
  <si>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</si>
  <si>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</si>
  <si>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</si>
  <si>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</si>
  <si>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</si>
  <si>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</si>
  <si>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</si>
  <si>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</si>
  <si>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</si>
  <si>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</si>
  <si>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</si>
  <si>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</si>
  <si>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</si>
  <si>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</si>
  <si>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</si>
  <si>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</si>
  <si>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</si>
  <si>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</si>
  <si>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</si>
  <si>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</si>
  <si>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</si>
  <si>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</si>
  <si>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</si>
  <si>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</si>
  <si>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</si>
  <si>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</si>
  <si>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</si>
  <si>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</si>
  <si>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</si>
  <si>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</si>
  <si>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</si>
  <si>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</si>
  <si>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</si>
  <si>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</si>
  <si>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</si>
  <si>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</si>
  <si>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</si>
  <si>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</si>
  <si>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</si>
  <si>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</si>
  <si>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</si>
  <si>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</si>
  <si>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</si>
  <si>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</si>
  <si>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</si>
  <si>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</si>
  <si>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</si>
  <si>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</si>
  <si>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</si>
  <si>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</si>
  <si>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</si>
  <si>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</si>
  <si>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</si>
  <si>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</si>
  <si>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</si>
  <si>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</si>
  <si>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</si>
  <si>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</si>
  <si>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</si>
  <si>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</si>
  <si>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</si>
  <si>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</si>
  <si>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</si>
  <si>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</si>
  <si>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</si>
  <si>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</si>
  <si>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</si>
  <si>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</si>
  <si>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</si>
  <si>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</si>
  <si>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</si>
  <si>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</si>
  <si>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</si>
  <si>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</si>
  <si>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</si>
  <si>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</si>
  <si>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</si>
  <si>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</si>
  <si>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</si>
  <si>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</si>
  <si>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</si>
  <si>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</si>
  <si>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</si>
  <si>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</si>
  <si>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</si>
  <si>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</si>
  <si>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</si>
  <si>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</si>
  <si>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</si>
  <si>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</si>
  <si>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</si>
  <si>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</si>
  <si>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</si>
  <si>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</si>
  <si>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</si>
  <si>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</si>
  <si>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</si>
  <si>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</si>
  <si>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</si>
  <si>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</si>
  <si>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</si>
  <si>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</si>
  <si>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</si>
  <si>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</si>
  <si>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</si>
  <si>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</si>
  <si>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</si>
  <si>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</si>
  <si>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</si>
  <si>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</si>
  <si>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</si>
  <si>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</si>
  <si>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</si>
  <si>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</si>
  <si>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</si>
  <si>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</si>
  <si>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</si>
  <si>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</si>
  <si>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</si>
  <si>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</si>
  <si>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</si>
  <si>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</si>
  <si>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</si>
  <si>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</si>
  <si>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</si>
  <si>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</si>
  <si>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</si>
  <si>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</si>
  <si>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</si>
  <si>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</si>
  <si>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</si>
  <si>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</si>
  <si>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</si>
  <si>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</si>
  <si>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</si>
  <si>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</si>
  <si>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</si>
  <si>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</si>
  <si>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</si>
  <si>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</si>
  <si>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</si>
  <si>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</si>
  <si>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</si>
  <si>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</si>
  <si>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</si>
  <si>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</si>
  <si>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</si>
  <si>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</si>
  <si>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</si>
  <si>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</si>
  <si>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</si>
  <si>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</si>
  <si>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</si>
  <si>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</si>
  <si>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</si>
  <si>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</si>
  <si>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</si>
  <si>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</si>
  <si>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</si>
  <si>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</si>
  <si>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</si>
  <si>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</si>
  <si>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</si>
  <si>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</si>
  <si>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</si>
  <si>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</si>
  <si>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</si>
  <si>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</si>
  <si>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</si>
  <si>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</si>
  <si>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</si>
  <si>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</si>
  <si>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</si>
  <si>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</si>
  <si>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</si>
  <si>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</si>
  <si>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</si>
  <si>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</si>
  <si>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</si>
  <si>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</si>
  <si>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</si>
  <si>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</si>
  <si>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</si>
  <si>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</si>
  <si>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</si>
  <si>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</si>
  <si>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</si>
  <si>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</si>
  <si>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</si>
  <si>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</si>
  <si>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</si>
  <si>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</si>
  <si>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</si>
  <si>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</si>
  <si>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</si>
  <si>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</si>
  <si>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</si>
  <si>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</si>
  <si>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</si>
  <si>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</si>
  <si>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</si>
  <si>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</si>
  <si>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</si>
  <si>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</si>
  <si>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</si>
  <si>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</si>
  <si>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</si>
  <si>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</si>
  <si>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</si>
  <si>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</si>
  <si>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</si>
  <si>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</si>
  <si>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</si>
  <si>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</si>
  <si>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</si>
  <si>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</si>
  <si>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</si>
  <si>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</si>
  <si>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</si>
  <si>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</si>
  <si>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</si>
  <si>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</si>
  <si>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</si>
  <si>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</si>
  <si>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</si>
  <si>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</si>
  <si>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</si>
  <si>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</si>
  <si>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</si>
  <si>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</si>
  <si>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</si>
  <si>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</si>
  <si>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</si>
  <si>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</si>
  <si>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</si>
  <si>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</si>
  <si>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</si>
  <si>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</si>
  <si>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</si>
  <si>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</si>
  <si>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</si>
  <si>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</si>
  <si>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</si>
  <si>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</si>
  <si>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</si>
  <si>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</si>
  <si>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</si>
  <si>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</si>
  <si>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</si>
  <si>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</si>
  <si>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</si>
  <si>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</si>
  <si>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</si>
  <si>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</si>
  <si>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</si>
  <si>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</si>
  <si>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</si>
  <si>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</si>
  <si>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</si>
  <si>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</si>
  <si>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</si>
  <si>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</si>
  <si>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</si>
  <si>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</si>
  <si>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</si>
  <si>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</si>
  <si>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</si>
  <si>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</si>
  <si>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</si>
  <si>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</si>
  <si>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</si>
  <si>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</si>
  <si>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</si>
  <si>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</si>
  <si>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</si>
  <si>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</si>
  <si>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</si>
  <si>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</si>
  <si>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</si>
  <si>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</si>
  <si>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</si>
  <si>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</si>
  <si>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</si>
  <si>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</si>
  <si>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</si>
  <si>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</si>
  <si>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</si>
  <si>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</si>
  <si>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</si>
  <si>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</si>
  <si>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</si>
  <si>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</si>
  <si>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</si>
  <si>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</si>
  <si>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</si>
  <si>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</si>
  <si>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</si>
  <si>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</si>
  <si>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</si>
  <si>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</si>
  <si>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</si>
  <si>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</si>
  <si>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</si>
  <si>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</si>
  <si>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</si>
  <si>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</si>
  <si>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</si>
  <si>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</si>
  <si>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</si>
  <si>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</si>
  <si>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</si>
  <si>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</si>
  <si>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</si>
  <si>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</si>
  <si>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</si>
  <si>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</si>
  <si>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</si>
  <si>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</si>
  <si>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</si>
  <si>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</si>
  <si>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</si>
  <si>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</si>
  <si>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</si>
  <si>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</si>
  <si>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</si>
  <si>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</si>
  <si>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</si>
  <si>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</si>
  <si>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</si>
  <si>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</si>
  <si>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</si>
  <si>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</si>
  <si>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</si>
  <si>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</si>
  <si>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</si>
  <si>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</si>
  <si>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</si>
  <si>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</si>
  <si>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</si>
  <si>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</si>
  <si>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</si>
  <si>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</si>
  <si>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</si>
  <si>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</si>
  <si>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</si>
  <si>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</si>
  <si>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</si>
  <si>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</si>
  <si>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</si>
  <si>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</si>
  <si>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</si>
  <si>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</si>
  <si>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</si>
  <si>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</si>
  <si>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</si>
  <si>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</si>
  <si>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</si>
  <si>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</si>
  <si>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</si>
  <si>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</si>
  <si>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</si>
  <si>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</si>
  <si>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</si>
  <si>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</si>
  <si>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</si>
  <si>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</si>
  <si>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</si>
  <si>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</si>
  <si>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</si>
  <si>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</si>
  <si>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</si>
  <si>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</si>
  <si>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</si>
  <si>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</si>
  <si>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</si>
  <si>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</si>
  <si>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</si>
  <si>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</si>
  <si>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</si>
  <si>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</si>
  <si>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</si>
  <si>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</si>
  <si>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</si>
  <si>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</si>
  <si>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</si>
  <si>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</si>
  <si>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</si>
  <si>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</si>
  <si>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</si>
  <si>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</si>
  <si>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</si>
  <si>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</si>
  <si>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</si>
  <si>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</si>
  <si>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</si>
  <si>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</si>
  <si>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</si>
  <si>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</si>
  <si>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</si>
  <si>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</si>
  <si>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</si>
  <si>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</si>
  <si>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</si>
  <si>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</si>
  <si>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</si>
  <si>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</si>
  <si>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</si>
  <si>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</si>
  <si>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</si>
  <si>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</si>
  <si>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</si>
  <si>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</si>
  <si>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</si>
  <si>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</si>
  <si>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</si>
  <si>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</si>
  <si>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</si>
  <si>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</si>
  <si>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</si>
  <si>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</si>
  <si>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</si>
  <si>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</si>
  <si>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</si>
  <si>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</si>
  <si>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</si>
  <si>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</si>
  <si>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</si>
  <si>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</si>
  <si>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</si>
  <si>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</si>
  <si>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</si>
  <si>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</si>
  <si>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</si>
  <si>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</si>
  <si>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</si>
  <si>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</si>
  <si>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</si>
  <si>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</si>
  <si>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</si>
  <si>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</si>
  <si>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</si>
  <si>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</si>
  <si>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</si>
  <si>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</si>
  <si>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</si>
  <si>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</si>
  <si>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</si>
  <si>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</si>
  <si>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</si>
  <si>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</si>
  <si>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</si>
  <si>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</si>
  <si>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</si>
  <si>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</si>
  <si>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</si>
  <si>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</si>
  <si>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</si>
  <si>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</si>
  <si>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</si>
  <si>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</si>
  <si>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</si>
  <si>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</si>
  <si>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</si>
  <si>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</si>
  <si>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</si>
  <si>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</si>
  <si>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</si>
  <si>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</si>
  <si>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</si>
  <si>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</si>
  <si>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</si>
  <si>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</si>
  <si>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</si>
  <si>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</si>
  <si>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</si>
  <si>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</si>
  <si>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</si>
  <si>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</si>
  <si>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</si>
  <si>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</si>
  <si>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</si>
  <si>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</si>
  <si>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</si>
  <si>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</si>
  <si>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</si>
  <si>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</si>
  <si>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</si>
  <si>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</si>
  <si>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</si>
  <si>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</si>
  <si>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</si>
  <si>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</si>
  <si>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</si>
  <si>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</si>
  <si>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</si>
  <si>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</si>
  <si>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</si>
  <si>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</si>
  <si>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</si>
  <si>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</si>
  <si>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</si>
  <si>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</si>
  <si>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</si>
  <si>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</si>
  <si>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</si>
  <si>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</si>
  <si>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</si>
  <si>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</si>
  <si>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</si>
  <si>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</si>
  <si>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</si>
  <si>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</si>
  <si>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</si>
  <si>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</si>
  <si>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</si>
  <si>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</si>
  <si>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</si>
  <si>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</si>
  <si>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</si>
  <si>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</si>
  <si>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</si>
  <si>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</si>
  <si>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</si>
  <si>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</si>
  <si>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</si>
  <si>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</si>
  <si>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</si>
  <si>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</si>
  <si>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</si>
  <si>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</si>
  <si>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</si>
  <si>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</si>
  <si>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</si>
  <si>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</si>
  <si>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</si>
  <si>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</si>
  <si>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</si>
  <si>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</si>
  <si>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</si>
  <si>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</si>
  <si>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</si>
  <si>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</si>
  <si>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</si>
  <si>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</si>
  <si>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</si>
  <si>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</si>
  <si>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</si>
  <si>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</si>
  <si>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</si>
  <si>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</si>
  <si>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</si>
  <si>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</si>
  <si>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</si>
  <si>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</si>
  <si>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</si>
  <si>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</si>
  <si>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</si>
  <si>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</si>
  <si>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</si>
  <si>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</si>
  <si>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</si>
  <si>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</si>
  <si>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</si>
  <si>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</si>
  <si>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</si>
  <si>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</si>
  <si>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</si>
  <si>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</si>
  <si>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</si>
  <si>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</si>
  <si>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</si>
  <si>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</si>
  <si>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</si>
  <si>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</si>
  <si>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</si>
  <si>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</si>
  <si>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</si>
  <si>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</si>
  <si>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</si>
  <si>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</si>
  <si>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</si>
  <si>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</si>
  <si>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</si>
  <si>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</si>
  <si>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</si>
  <si>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</si>
  <si>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</si>
  <si>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</si>
  <si>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</si>
  <si>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</si>
  <si>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</si>
  <si>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</si>
  <si>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</si>
  <si>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</si>
  <si>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</si>
  <si>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</si>
  <si>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</si>
  <si>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</si>
  <si>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</si>
  <si>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</si>
  <si>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</si>
  <si>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</si>
  <si>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</si>
  <si>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</si>
  <si>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</si>
  <si>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</si>
  <si>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</si>
  <si>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</si>
  <si>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</si>
  <si>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</si>
  <si>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</si>
  <si>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</si>
  <si>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</si>
  <si>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</si>
  <si>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</si>
  <si>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</si>
  <si>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</si>
  <si>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</si>
  <si>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</si>
  <si>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</si>
  <si>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</si>
  <si>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</si>
  <si>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</si>
  <si>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</si>
  <si>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</si>
  <si>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</si>
  <si>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</si>
  <si>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</si>
  <si>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</si>
  <si>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</si>
  <si>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</si>
  <si>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</si>
  <si>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</si>
  <si>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</si>
  <si>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</si>
  <si>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</si>
  <si>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</si>
  <si>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</si>
  <si>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</si>
  <si>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</si>
  <si>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</si>
  <si>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</si>
  <si>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</si>
  <si>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</si>
  <si>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</si>
  <si>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</si>
  <si>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</si>
  <si>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</si>
  <si>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</si>
  <si>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</si>
  <si>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</si>
  <si>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</si>
  <si>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</si>
  <si>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</si>
  <si>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</si>
  <si>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</si>
  <si>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</si>
  <si>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</si>
  <si>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</si>
  <si>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</si>
  <si>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</si>
  <si>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</si>
  <si>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</si>
  <si>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</si>
  <si>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</si>
  <si>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</si>
  <si>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</si>
  <si>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</si>
  <si>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</si>
  <si>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</si>
  <si>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</si>
  <si>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</si>
  <si>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</si>
  <si>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</si>
  <si>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</si>
  <si>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</si>
  <si>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</si>
  <si>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</si>
  <si>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</si>
  <si>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</si>
  <si>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</si>
  <si>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</si>
  <si>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</si>
  <si>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</si>
  <si>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</si>
  <si>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</si>
  <si>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</si>
  <si>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</si>
  <si>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</si>
  <si>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</si>
  <si>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</si>
  <si>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</si>
  <si>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</si>
  <si>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</si>
  <si>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</si>
  <si>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</si>
  <si>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</si>
  <si>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</si>
  <si>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</si>
  <si>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</si>
  <si>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</si>
  <si>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</si>
  <si>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</si>
  <si>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</si>
  <si>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</si>
  <si>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</si>
  <si>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</si>
  <si>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</si>
  <si>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</si>
  <si>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</si>
  <si>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</si>
  <si>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</si>
  <si>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</si>
  <si>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</si>
  <si>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</si>
  <si>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</si>
  <si>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</si>
  <si>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</si>
  <si>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</si>
  <si>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</si>
  <si>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</si>
  <si>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</si>
  <si>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</si>
  <si>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</si>
  <si>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</si>
  <si>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</si>
  <si>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</si>
  <si>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</si>
  <si>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</si>
  <si>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</si>
  <si>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</si>
  <si>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</si>
  <si>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</si>
  <si>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</si>
  <si>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</si>
  <si>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</si>
  <si>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</si>
  <si>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</si>
  <si>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</si>
  <si>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</si>
  <si>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</si>
  <si>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</si>
  <si>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</si>
  <si>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</si>
  <si>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</si>
  <si>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</si>
  <si>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</si>
  <si>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</si>
  <si>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</si>
  <si>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</si>
  <si>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</si>
  <si>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</si>
  <si>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</si>
  <si>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</si>
  <si>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</si>
  <si>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</si>
  <si>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</si>
  <si>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</si>
  <si>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</si>
  <si>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</si>
  <si>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</si>
  <si>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</si>
  <si>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</si>
  <si>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</si>
  <si>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</si>
  <si>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</si>
  <si>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</si>
  <si>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</si>
  <si>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</si>
  <si>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</si>
  <si>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</si>
  <si>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</si>
  <si>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</si>
  <si>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</si>
  <si>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</si>
  <si>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</si>
  <si>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</si>
  <si>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</si>
  <si>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</si>
  <si>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</si>
  <si>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</si>
  <si>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</si>
  <si>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</si>
  <si>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</si>
  <si>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</si>
  <si>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</si>
  <si>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</si>
  <si>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</si>
  <si>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</si>
  <si>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</si>
  <si>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</si>
  <si>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</si>
  <si>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</si>
  <si>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</si>
  <si>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</si>
  <si>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</si>
  <si>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</si>
  <si>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</si>
  <si>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</si>
  <si>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</si>
  <si>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</si>
  <si>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</si>
  <si>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</si>
  <si>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</si>
  <si>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</si>
  <si>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</si>
  <si>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</si>
  <si>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</si>
  <si>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</si>
  <si>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</si>
  <si>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</si>
  <si>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</si>
  <si>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</si>
  <si>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</si>
  <si>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</si>
  <si>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</si>
  <si>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</si>
  <si>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</si>
  <si>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</si>
  <si>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</si>
  <si>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</si>
  <si>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</si>
  <si>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</si>
  <si>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</si>
  <si>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</si>
  <si>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</si>
  <si>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</si>
  <si>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</si>
  <si>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</si>
  <si>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</si>
  <si>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</si>
  <si>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</si>
  <si>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</si>
  <si>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</si>
  <si>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</si>
  <si>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</si>
  <si>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</si>
  <si>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</si>
  <si>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</si>
  <si>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</si>
  <si>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</si>
  <si>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</si>
  <si>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</si>
  <si>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</si>
  <si>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</si>
  <si>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</si>
  <si>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</si>
  <si>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</si>
  <si>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</si>
  <si>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</si>
  <si>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</si>
  <si>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</si>
  <si>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</si>
  <si>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</si>
  <si>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</si>
  <si>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</si>
  <si>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</si>
  <si>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</si>
  <si>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</si>
  <si>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</si>
  <si>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</si>
  <si>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</si>
  <si>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</si>
  <si>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</si>
  <si>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</si>
  <si>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</si>
  <si>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</si>
  <si>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</si>
  <si>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</si>
  <si>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</si>
  <si>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</si>
  <si>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</si>
  <si>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</si>
  <si>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</si>
  <si>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</si>
  <si>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</si>
  <si>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</si>
  <si>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</si>
  <si>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</si>
  <si>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</si>
  <si>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</si>
  <si>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</si>
  <si>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</si>
  <si>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</si>
  <si>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</si>
  <si>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</si>
  <si>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</si>
  <si>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</si>
  <si>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</si>
  <si>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</si>
  <si>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</si>
  <si>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</si>
  <si>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</si>
  <si>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</si>
  <si>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</si>
  <si>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</si>
  <si>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</si>
  <si>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</si>
  <si>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</si>
  <si>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</si>
  <si>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</si>
  <si>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</si>
  <si>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</si>
  <si>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</si>
  <si>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</si>
  <si>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</si>
  <si>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</si>
  <si>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</si>
  <si>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</si>
  <si>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</si>
  <si>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</si>
  <si>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</si>
  <si>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</si>
  <si>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</si>
  <si>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</si>
  <si>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</si>
  <si>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</si>
  <si>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</si>
  <si>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</si>
  <si>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</si>
  <si>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</si>
  <si>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</si>
  <si>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</si>
  <si>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</si>
  <si>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</si>
  <si>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</si>
  <si>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</si>
  <si>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</si>
  <si>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</si>
  <si>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</si>
  <si>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</si>
  <si>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</si>
  <si>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</si>
  <si>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</si>
  <si>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</si>
  <si>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</si>
  <si>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</si>
  <si>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</si>
  <si>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</si>
  <si>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</si>
  <si>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</si>
  <si>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</si>
  <si>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</si>
  <si>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</si>
  <si>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</si>
  <si>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</si>
  <si>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</si>
  <si>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</si>
  <si>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</si>
  <si>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</si>
  <si>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</si>
  <si>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</si>
  <si>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</si>
  <si>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</si>
  <si>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</si>
  <si>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</si>
  <si>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</si>
  <si>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</si>
  <si>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</si>
  <si>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</si>
  <si>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</si>
  <si>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</si>
  <si>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</si>
  <si>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</si>
  <si>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</si>
  <si>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</si>
  <si>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</si>
  <si>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</si>
  <si>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</si>
  <si>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</si>
  <si>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</si>
  <si>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</si>
  <si>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</si>
  <si>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</si>
  <si>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</si>
  <si>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</si>
  <si>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</si>
  <si>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</si>
  <si>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</si>
  <si>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</si>
  <si>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</si>
  <si>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</si>
  <si>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</si>
  <si>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</si>
  <si>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</si>
  <si>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</si>
  <si>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</si>
  <si>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</si>
  <si>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</si>
  <si>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</si>
  <si>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</si>
  <si>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</si>
  <si>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</si>
  <si>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</si>
  <si>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</si>
  <si>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</si>
  <si>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</si>
  <si>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</si>
  <si>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</si>
  <si>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</si>
  <si>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</si>
  <si>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</si>
  <si>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</si>
  <si>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</si>
  <si>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</si>
  <si>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</si>
  <si>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</si>
  <si>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</si>
  <si>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</si>
  <si>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</si>
  <si>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</si>
  <si>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</si>
  <si>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</si>
  <si>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</si>
  <si>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</si>
  <si>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</si>
  <si>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</si>
  <si>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</si>
  <si>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</si>
  <si>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</si>
  <si>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</si>
  <si>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</si>
  <si>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</si>
  <si>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</si>
  <si>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</si>
  <si>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</si>
  <si>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</si>
  <si>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</si>
  <si>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</si>
  <si>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</si>
  <si>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</si>
  <si>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</si>
  <si>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</si>
  <si>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</si>
  <si>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</si>
  <si>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</si>
  <si>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</si>
  <si>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</si>
  <si>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</si>
  <si>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</si>
  <si>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</si>
  <si>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</si>
  <si>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</si>
  <si>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</si>
  <si>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</si>
  <si>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</si>
  <si>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</si>
  <si>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</si>
  <si>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</si>
  <si>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</si>
  <si>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</si>
  <si>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</si>
  <si>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</si>
  <si>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</si>
  <si>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</si>
  <si>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</si>
  <si>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</si>
  <si>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</si>
  <si>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</si>
  <si>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</si>
  <si>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</si>
  <si>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</si>
  <si>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</si>
  <si>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</si>
  <si>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</si>
  <si>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</si>
  <si>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</si>
  <si>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</si>
  <si>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</si>
  <si>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</si>
  <si>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</si>
  <si>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</si>
  <si>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</si>
  <si>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</si>
  <si>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</si>
  <si>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</si>
  <si>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</si>
  <si>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</si>
  <si>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</si>
  <si>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</si>
  <si>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</si>
  <si>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</si>
  <si>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</si>
  <si>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</si>
  <si>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</si>
  <si>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</si>
  <si>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</si>
  <si>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</si>
  <si>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</si>
  <si>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</si>
  <si>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</si>
  <si>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</si>
  <si>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</si>
  <si>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</si>
  <si>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</si>
  <si>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</si>
  <si>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</si>
  <si>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</si>
  <si>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</si>
  <si>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</si>
  <si>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</si>
  <si>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</si>
  <si>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</si>
  <si>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</si>
  <si>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</si>
  <si>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</si>
  <si>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</si>
  <si>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</si>
  <si>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</si>
  <si>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</si>
  <si>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</si>
  <si>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</si>
  <si>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</si>
  <si>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</si>
  <si>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</si>
  <si>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</si>
  <si>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</si>
  <si>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</si>
  <si>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</si>
  <si>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</si>
  <si>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</si>
  <si>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</si>
  <si>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</si>
  <si>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</si>
  <si>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</si>
  <si>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</si>
  <si>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</si>
  <si>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</si>
  <si>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</si>
  <si>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</si>
  <si>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</si>
  <si>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</si>
  <si>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</si>
  <si>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</si>
  <si>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</si>
  <si>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</si>
  <si>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</si>
  <si>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</si>
  <si>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</si>
  <si>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</si>
  <si>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</si>
  <si>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</si>
  <si>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</si>
  <si>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</si>
  <si>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</si>
  <si>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</si>
  <si>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</si>
  <si>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</si>
  <si>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</si>
  <si>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</si>
  <si>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</si>
  <si>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</si>
  <si>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</si>
  <si>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</si>
  <si>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</si>
  <si>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</si>
  <si>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</si>
  <si>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</si>
  <si>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</si>
  <si>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</si>
  <si>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</si>
  <si>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</si>
  <si>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</si>
  <si>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</si>
  <si>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</si>
  <si>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</si>
  <si>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</si>
  <si>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</si>
  <si>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</si>
  <si>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</si>
  <si>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</si>
  <si>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</si>
  <si>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</si>
  <si>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</si>
  <si>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</si>
  <si>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</si>
  <si>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</si>
  <si>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</si>
  <si>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</si>
  <si>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</si>
  <si>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</si>
  <si>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</si>
  <si>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</si>
  <si>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</si>
  <si>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</si>
  <si>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</si>
  <si>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</si>
  <si>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</si>
  <si>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</si>
  <si>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</si>
  <si>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</si>
  <si>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</si>
  <si>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</si>
  <si>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</si>
  <si>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</si>
  <si>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</si>
  <si>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</si>
  <si>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</si>
  <si>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</si>
  <si>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</si>
  <si>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</si>
  <si>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</si>
  <si>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</si>
  <si>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</si>
  <si>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</si>
  <si>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</si>
  <si>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</si>
  <si>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</si>
  <si>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</si>
  <si>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</si>
  <si>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</si>
  <si>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</si>
  <si>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</si>
  <si>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</si>
  <si>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</si>
  <si>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</si>
  <si>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</si>
  <si>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</si>
  <si>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</si>
  <si>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</si>
  <si>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</si>
  <si>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</si>
  <si>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</si>
  <si>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</si>
  <si>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</si>
  <si>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</si>
  <si>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</si>
  <si>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</si>
  <si>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</si>
  <si>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</si>
  <si>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</si>
  <si>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</si>
  <si>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</si>
  <si>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</si>
  <si>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</si>
  <si>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</si>
  <si>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</si>
  <si>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</si>
  <si>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</si>
  <si>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</si>
  <si>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</si>
  <si>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</si>
  <si>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</si>
  <si>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</si>
  <si>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</si>
  <si>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</si>
  <si>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</si>
  <si>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</si>
  <si>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</si>
  <si>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</si>
  <si>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</si>
  <si>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</si>
  <si>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</si>
  <si>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</si>
  <si>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</si>
  <si>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</si>
  <si>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</si>
  <si>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</si>
  <si>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</si>
  <si>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</si>
  <si>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</si>
  <si>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</si>
  <si>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</si>
  <si>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</si>
  <si>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</si>
  <si>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</si>
  <si>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</si>
  <si>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</si>
  <si>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</si>
  <si>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</si>
  <si>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</si>
  <si>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</si>
  <si>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</si>
  <si>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</si>
  <si>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</si>
  <si>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</si>
  <si>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</si>
  <si>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</si>
  <si>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</si>
  <si>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</si>
  <si>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</si>
  <si>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</si>
  <si>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</si>
  <si>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</si>
  <si>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</si>
  <si>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</si>
  <si>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</si>
  <si>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</si>
  <si>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</si>
  <si>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</si>
  <si>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</si>
  <si>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</si>
  <si>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</si>
  <si>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</si>
  <si>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</si>
  <si>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</si>
  <si>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</si>
  <si>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</si>
  <si>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</si>
  <si>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</si>
  <si>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</si>
  <si>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</si>
  <si>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</si>
  <si>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</si>
  <si>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</si>
  <si>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</si>
  <si>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</si>
  <si>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</si>
  <si>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</si>
  <si>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</si>
  <si>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</si>
  <si>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</si>
  <si>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</si>
  <si>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</si>
  <si>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</si>
  <si>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</si>
  <si>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</si>
  <si>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</si>
  <si>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</si>
  <si>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</si>
  <si>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</si>
  <si>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</si>
  <si>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</si>
  <si>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</si>
  <si>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</si>
  <si>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</si>
  <si>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</si>
  <si>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</si>
  <si>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</si>
  <si>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</si>
  <si>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</si>
  <si>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</si>
  <si>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</si>
  <si>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</si>
  <si>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</si>
  <si>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</si>
  <si>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</si>
  <si>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</si>
  <si>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</si>
  <si>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</si>
  <si>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</si>
  <si>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</si>
  <si>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</si>
  <si>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</si>
  <si>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</si>
  <si>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</si>
  <si>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</si>
  <si>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</si>
  <si>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</si>
  <si>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</si>
  <si>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</si>
  <si>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</si>
  <si>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</si>
  <si>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</si>
  <si>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</si>
  <si>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</si>
  <si>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</si>
  <si>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</si>
  <si>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</si>
  <si>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</si>
  <si>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</si>
  <si>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</si>
  <si>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</si>
  <si>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</si>
  <si>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</si>
  <si>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</si>
  <si>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</si>
  <si>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</si>
  <si>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</si>
  <si>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</si>
  <si>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</si>
  <si>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</si>
  <si>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</si>
  <si>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</si>
  <si>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</si>
  <si>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</si>
  <si>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</si>
  <si>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</si>
  <si>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</si>
  <si>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</si>
  <si>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</si>
  <si>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</si>
  <si>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</si>
  <si>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</si>
  <si>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</si>
  <si>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</si>
  <si>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</si>
  <si>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</si>
  <si>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</si>
  <si>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</si>
  <si>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</si>
  <si>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</si>
  <si>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</si>
  <si>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</si>
  <si>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</si>
  <si>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</si>
  <si>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</si>
  <si>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</si>
  <si>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</si>
  <si>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</si>
  <si>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</si>
  <si>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</si>
  <si>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</si>
  <si>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</si>
  <si>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</si>
  <si>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</si>
  <si>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</si>
  <si>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</si>
  <si>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</si>
  <si>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</si>
  <si>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</si>
  <si>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</si>
  <si>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</si>
  <si>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</si>
  <si>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</si>
  <si>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</si>
  <si>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</si>
  <si>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</si>
  <si>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</si>
  <si>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</si>
  <si>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</si>
  <si>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</si>
  <si>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</si>
  <si>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</si>
  <si>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</si>
  <si>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</si>
  <si>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</si>
  <si>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</si>
  <si>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</si>
  <si>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</si>
  <si>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</si>
  <si>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</si>
  <si>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</si>
  <si>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</si>
  <si>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</si>
  <si>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</si>
  <si>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</si>
  <si>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</si>
  <si>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</si>
  <si>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</si>
  <si>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</si>
  <si>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</si>
  <si>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</si>
  <si>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</si>
  <si>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</si>
  <si>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</si>
  <si>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</si>
  <si>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</si>
  <si>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</si>
  <si>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</si>
  <si>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</si>
  <si>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</si>
  <si>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</si>
  <si>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</si>
  <si>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</si>
  <si>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</si>
  <si>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</si>
  <si>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</si>
  <si>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</si>
  <si>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</si>
  <si>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</si>
  <si>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</si>
  <si>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</si>
  <si>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</si>
  <si>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</si>
  <si>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</si>
  <si>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</si>
  <si>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</si>
  <si>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</si>
  <si>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</si>
  <si>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</si>
  <si>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</si>
  <si>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</si>
  <si>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</si>
  <si>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</si>
  <si>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</si>
  <si>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</si>
  <si>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</si>
  <si>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</si>
  <si>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</si>
  <si>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</si>
  <si>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</si>
  <si>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</si>
  <si>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</si>
  <si>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</si>
  <si>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</si>
  <si>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</si>
  <si>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</si>
  <si>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</si>
  <si>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</si>
  <si>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</si>
  <si>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</si>
  <si>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</si>
  <si>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</si>
  <si>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</si>
  <si>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</si>
  <si>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</si>
  <si>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</si>
  <si>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</si>
  <si>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</si>
  <si>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</si>
  <si>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</si>
  <si>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</si>
  <si>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</si>
  <si>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</si>
  <si>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</si>
  <si>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</si>
  <si>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</si>
  <si>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</si>
  <si>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</si>
  <si>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</si>
  <si>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</si>
  <si>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</si>
  <si>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</si>
  <si>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</si>
  <si>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</si>
  <si>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</si>
  <si>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</si>
  <si>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</si>
  <si>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</si>
  <si>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</si>
  <si>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</si>
  <si>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</si>
  <si>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</si>
  <si>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</si>
  <si>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</si>
  <si>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</si>
  <si>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</si>
  <si>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</si>
  <si>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</si>
  <si>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</si>
  <si>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</si>
  <si>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</si>
  <si>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</si>
  <si>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</si>
  <si>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</si>
  <si>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</si>
  <si>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</si>
  <si>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</si>
  <si>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</si>
  <si>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</si>
  <si>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</si>
  <si>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</si>
  <si>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</si>
  <si>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</si>
  <si>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</si>
  <si>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</si>
  <si>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</si>
  <si>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</si>
  <si>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</si>
  <si>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</si>
  <si>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</si>
  <si>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</si>
  <si>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</si>
  <si>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</si>
  <si>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</si>
  <si>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</si>
  <si>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</si>
  <si>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</si>
  <si>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</si>
  <si>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</si>
  <si>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</si>
  <si>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</si>
  <si>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</si>
  <si>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</si>
  <si>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</si>
  <si>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</si>
  <si>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</si>
  <si>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</si>
  <si>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</si>
  <si>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</si>
  <si>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</si>
  <si>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</si>
  <si>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</si>
  <si>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</si>
  <si>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</si>
  <si>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</si>
  <si>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</si>
  <si>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</si>
  <si>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</si>
  <si>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</si>
  <si>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</si>
  <si>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</si>
  <si>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</si>
  <si>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</si>
  <si>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</si>
  <si>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</si>
  <si>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</si>
  <si>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</si>
  <si>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</si>
  <si>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</si>
  <si>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</si>
  <si>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</si>
  <si>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</si>
  <si>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</si>
  <si>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</si>
  <si>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</si>
  <si>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</si>
  <si>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</si>
  <si>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</si>
  <si>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</si>
  <si>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</si>
  <si>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</si>
  <si>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</si>
  <si>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</si>
  <si>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</si>
  <si>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</si>
  <si>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</si>
  <si>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</si>
  <si>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</si>
  <si>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</si>
  <si>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</si>
  <si>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</si>
  <si>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</si>
  <si>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</si>
  <si>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</si>
  <si>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</si>
  <si>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</si>
  <si>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</si>
  <si>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</si>
  <si>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</si>
  <si>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</si>
  <si>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</si>
  <si>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</si>
  <si>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</si>
  <si>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</si>
  <si>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</si>
  <si>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</si>
  <si>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</si>
  <si>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</si>
  <si>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</si>
  <si>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</si>
  <si>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</si>
  <si>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</si>
  <si>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</si>
  <si>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</si>
  <si>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</si>
  <si>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</si>
  <si>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</si>
  <si>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</si>
  <si>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</si>
  <si>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</si>
  <si>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</si>
  <si>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</si>
  <si>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</si>
  <si>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</si>
  <si>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</si>
  <si>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</si>
  <si>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</si>
  <si>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</si>
  <si>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</si>
  <si>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</si>
  <si>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</si>
  <si>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</si>
  <si>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</si>
  <si>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</si>
  <si>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</si>
  <si>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</si>
  <si>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</si>
  <si>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</si>
  <si>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</si>
  <si>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</si>
  <si>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</si>
  <si>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</si>
  <si>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</si>
  <si>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</si>
  <si>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</si>
  <si>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</si>
  <si>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</si>
  <si>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</si>
  <si>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</si>
  <si>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</si>
  <si>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</si>
  <si>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</si>
  <si>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</si>
  <si>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</si>
  <si>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</si>
  <si>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</si>
  <si>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</si>
  <si>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</si>
  <si>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</si>
  <si>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</si>
  <si>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</si>
  <si>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</si>
  <si>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</si>
  <si>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</si>
  <si>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</si>
  <si>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</si>
  <si>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</si>
  <si>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</si>
  <si>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</si>
  <si>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</si>
  <si>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</si>
  <si>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</si>
  <si>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</si>
  <si>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</si>
  <si>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</si>
  <si>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</si>
  <si>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</si>
  <si>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</si>
  <si>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</si>
  <si>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</si>
  <si>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</si>
  <si>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</si>
  <si>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</si>
  <si>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</si>
  <si>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</si>
  <si>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</si>
  <si>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</si>
  <si>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</si>
  <si>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</si>
  <si>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</si>
  <si>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</si>
  <si>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</si>
  <si>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</si>
  <si>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</si>
  <si>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</si>
  <si>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</si>
  <si>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</si>
  <si>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</si>
  <si>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</si>
  <si>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</si>
  <si>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</si>
  <si>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</si>
  <si>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</si>
  <si>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</si>
  <si>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</si>
  <si>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</si>
  <si>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</si>
  <si>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</si>
  <si>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</si>
  <si>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</si>
  <si>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</si>
  <si>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</si>
  <si>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</si>
  <si>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</si>
  <si>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</si>
  <si>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</si>
  <si>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</si>
  <si>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</si>
  <si>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</si>
  <si>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</si>
  <si>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</si>
  <si>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</si>
  <si>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</si>
  <si>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</si>
  <si>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</si>
  <si>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</si>
  <si>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</si>
  <si>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</si>
  <si>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</si>
  <si>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</si>
  <si>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</si>
  <si>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</si>
  <si>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</si>
  <si>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</si>
  <si>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</si>
  <si>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</si>
  <si>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</si>
  <si>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</si>
  <si>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</si>
  <si>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</si>
  <si>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</si>
  <si>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</si>
  <si>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</si>
  <si>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</si>
  <si>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</si>
  <si>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</si>
  <si>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</si>
  <si>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</si>
  <si>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</si>
  <si>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</si>
  <si>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</si>
  <si>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</si>
  <si>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</si>
  <si>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</si>
  <si>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</si>
  <si>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</si>
  <si>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</si>
  <si>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</si>
  <si>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</si>
  <si>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</si>
  <si>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</si>
  <si>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</si>
  <si>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</si>
  <si>
    <t>Spieler Hinterwimmer Georg EDV 07867 BK München 3 hat RL-Karte verloren, neu beantragt!</t>
  </si>
  <si>
    <t>Rainer Mundhenk, BC Bajuwaren München</t>
  </si>
  <si>
    <t>Gerhard Glaser, DJK Rimpar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</si>
</sst>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2" t="s">
        <v>2020</v>
      </c>
      <c r="B18" s="292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3" t="s">
        <v>2021</v>
      </c>
      <c r="B20" s="293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91" t="s">
        <v>2018</v>
      </c>
      <c r="B622" s="291"/>
      <c r="C622" s="291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9" t="s">
        <v>2319</v>
      </c>
      <c r="D1" s="300"/>
      <c r="E1" s="300"/>
      <c r="F1" s="300"/>
      <c r="G1" s="300"/>
      <c r="H1" s="300"/>
      <c r="I1" s="300"/>
      <c r="J1" s="300"/>
      <c r="K1" s="300"/>
      <c r="L1" s="301"/>
      <c r="M1" s="307" t="str">
        <f>VLOOKUP($S$2,Spielorte!$A$1:$C$6,2)</f>
        <v>12.10./13.10.</v>
      </c>
      <c r="N1" s="308"/>
      <c r="O1" s="308"/>
      <c r="P1" s="308"/>
      <c r="Q1" s="308"/>
      <c r="R1" s="308"/>
      <c r="S1" s="308"/>
      <c r="T1" s="308"/>
      <c r="U1" s="308"/>
      <c r="V1" s="309"/>
      <c r="W1" s="299" t="str">
        <f>+C1</f>
        <v>Bayernliga Herren</v>
      </c>
      <c r="X1" s="300"/>
      <c r="Y1" s="300"/>
      <c r="Z1" s="300"/>
      <c r="AA1" s="300"/>
      <c r="AB1" s="300"/>
      <c r="AC1" s="300"/>
      <c r="AD1" s="300"/>
      <c r="AE1" s="300"/>
      <c r="AF1" s="301"/>
      <c r="AG1" s="307" t="str">
        <f>VLOOKUP($AM$2,Spielorte!$A$1:$C$6,2)</f>
        <v>02.11./03.11.</v>
      </c>
      <c r="AH1" s="308"/>
      <c r="AI1" s="308"/>
      <c r="AJ1" s="308"/>
      <c r="AK1" s="308"/>
      <c r="AL1" s="308"/>
      <c r="AM1" s="308"/>
      <c r="AN1" s="308"/>
      <c r="AO1" s="308"/>
      <c r="AP1" s="309"/>
      <c r="AQ1" s="299" t="str">
        <f>+W1</f>
        <v>Bayernliga Herren</v>
      </c>
      <c r="AR1" s="300"/>
      <c r="AS1" s="300"/>
      <c r="AT1" s="300"/>
      <c r="AU1" s="300"/>
      <c r="AV1" s="300"/>
      <c r="AW1" s="300"/>
      <c r="AX1" s="300"/>
      <c r="AY1" s="300"/>
      <c r="AZ1" s="301"/>
      <c r="BA1" s="302" t="str">
        <f>VLOOKUP($BG$2,Spielorte!$A$1:$C$6,2)</f>
        <v>01.02./02.02.</v>
      </c>
      <c r="BB1" s="303"/>
      <c r="BC1" s="303"/>
      <c r="BD1" s="303"/>
      <c r="BE1" s="303"/>
      <c r="BF1" s="303"/>
      <c r="BG1" s="303"/>
      <c r="BH1" s="303"/>
      <c r="BI1" s="303"/>
      <c r="BJ1" s="304"/>
      <c r="BK1" s="299" t="str">
        <f>+AQ1</f>
        <v>Bayernliga Herren</v>
      </c>
      <c r="BL1" s="300"/>
      <c r="BM1" s="300"/>
      <c r="BN1" s="300"/>
      <c r="BO1" s="300"/>
      <c r="BP1" s="300"/>
      <c r="BQ1" s="300"/>
      <c r="BR1" s="300"/>
      <c r="BS1" s="300"/>
      <c r="BT1" s="301"/>
      <c r="BU1" s="302" t="str">
        <f>VLOOKUP($CA$2,Spielorte!$A$1:$C$6,2)</f>
        <v>15.02./16.02.</v>
      </c>
      <c r="BV1" s="303"/>
      <c r="BW1" s="303"/>
      <c r="BX1" s="303"/>
      <c r="BY1" s="303"/>
      <c r="BZ1" s="303"/>
      <c r="CA1" s="303"/>
      <c r="CB1" s="303"/>
      <c r="CC1" s="303"/>
      <c r="CD1" s="304"/>
      <c r="CE1" s="299" t="str">
        <f>+BK1</f>
        <v>Bayernliga Herren</v>
      </c>
      <c r="CF1" s="300"/>
      <c r="CG1" s="300"/>
      <c r="CH1" s="300"/>
      <c r="CI1" s="300"/>
      <c r="CJ1" s="300"/>
      <c r="CK1" s="300"/>
      <c r="CL1" s="300"/>
      <c r="CM1" s="300"/>
      <c r="CN1" s="301"/>
      <c r="CO1" s="302" t="str">
        <f>VLOOKUP($CU$2,Spielorte!$A$1:$C$6,2)</f>
        <v>15.03./16.03.</v>
      </c>
      <c r="CP1" s="303"/>
      <c r="CQ1" s="303"/>
      <c r="CR1" s="303"/>
      <c r="CS1" s="303"/>
      <c r="CT1" s="303"/>
      <c r="CU1" s="303"/>
      <c r="CV1" s="303"/>
      <c r="CW1" s="303"/>
      <c r="CX1" s="304"/>
      <c r="CY1" s="299" t="str">
        <f>+CE1</f>
        <v>Bayernliga Herren</v>
      </c>
      <c r="CZ1" s="300"/>
      <c r="DA1" s="300"/>
      <c r="DB1" s="300"/>
      <c r="DC1" s="300"/>
      <c r="DD1" s="300"/>
      <c r="DE1" s="300"/>
      <c r="DF1" s="300"/>
      <c r="DG1" s="300"/>
      <c r="DH1" s="301"/>
      <c r="DI1" s="302" t="str">
        <f>VLOOKUP($DO$2,Spielorte!$A$1:$C$6,2)</f>
        <v>05.04./06.04.</v>
      </c>
      <c r="DJ1" s="303"/>
      <c r="DK1" s="303"/>
      <c r="DL1" s="303"/>
      <c r="DM1" s="303"/>
      <c r="DN1" s="303"/>
      <c r="DO1" s="303"/>
      <c r="DP1" s="303"/>
      <c r="DQ1" s="303"/>
      <c r="DR1" s="304"/>
    </row>
    <row r="2" spans="1:122" ht="24" customHeight="1" x14ac:dyDescent="0.25">
      <c r="C2" s="310" t="str">
        <f>VLOOKUP($S$2,Spielorte!$A$1:$C$6,3)</f>
        <v>Unterföhring Dreambowl Palace</v>
      </c>
      <c r="D2" s="305"/>
      <c r="E2" s="305"/>
      <c r="F2" s="305"/>
      <c r="G2" s="305"/>
      <c r="H2" s="305"/>
      <c r="I2" s="305"/>
      <c r="J2" s="305"/>
      <c r="K2" s="305"/>
      <c r="L2" s="306"/>
      <c r="M2" s="297" t="s">
        <v>1795</v>
      </c>
      <c r="N2" s="298"/>
      <c r="O2" s="298"/>
      <c r="P2" s="298"/>
      <c r="Q2" s="298"/>
      <c r="R2" s="298"/>
      <c r="S2" s="11">
        <v>1</v>
      </c>
      <c r="T2" s="1"/>
      <c r="U2" s="1"/>
      <c r="V2" s="12"/>
      <c r="W2" s="310" t="str">
        <f>VLOOKUP($AM$2,Spielorte!$A$1:$C$6,3)</f>
        <v>Nürnberg West Bowling</v>
      </c>
      <c r="X2" s="305"/>
      <c r="Y2" s="305"/>
      <c r="Z2" s="305"/>
      <c r="AA2" s="305"/>
      <c r="AB2" s="305"/>
      <c r="AC2" s="305"/>
      <c r="AD2" s="305"/>
      <c r="AE2" s="305"/>
      <c r="AF2" s="306"/>
      <c r="AG2" s="297" t="s">
        <v>1795</v>
      </c>
      <c r="AH2" s="298"/>
      <c r="AI2" s="298"/>
      <c r="AJ2" s="298"/>
      <c r="AK2" s="298"/>
      <c r="AL2" s="298"/>
      <c r="AM2" s="11">
        <v>2</v>
      </c>
      <c r="AN2" s="1"/>
      <c r="AO2" s="1"/>
      <c r="AP2" s="12"/>
      <c r="AQ2" s="305" t="str">
        <f>VLOOKUP($BG$2,Spielorte!$A$1:$C$6,3)</f>
        <v>Unterföhring Dreambowl Palace</v>
      </c>
      <c r="AR2" s="305"/>
      <c r="AS2" s="305"/>
      <c r="AT2" s="305"/>
      <c r="AU2" s="305"/>
      <c r="AV2" s="305"/>
      <c r="AW2" s="305"/>
      <c r="AX2" s="305"/>
      <c r="AY2" s="305"/>
      <c r="AZ2" s="306"/>
      <c r="BA2" s="297" t="s">
        <v>1795</v>
      </c>
      <c r="BB2" s="298"/>
      <c r="BC2" s="298"/>
      <c r="BD2" s="298"/>
      <c r="BE2" s="298"/>
      <c r="BF2" s="298"/>
      <c r="BG2" s="11">
        <v>3</v>
      </c>
      <c r="BH2" s="1"/>
      <c r="BI2" s="1"/>
      <c r="BJ2" s="9"/>
      <c r="BK2" s="305" t="str">
        <f>VLOOKUP($CA$2,Spielorte!$A$1:$C$6,3)</f>
        <v>Regensburg Super Bowl</v>
      </c>
      <c r="BL2" s="305"/>
      <c r="BM2" s="305"/>
      <c r="BN2" s="305"/>
      <c r="BO2" s="305"/>
      <c r="BP2" s="305"/>
      <c r="BQ2" s="305"/>
      <c r="BR2" s="305"/>
      <c r="BS2" s="305"/>
      <c r="BT2" s="306"/>
      <c r="BU2" s="297" t="s">
        <v>1795</v>
      </c>
      <c r="BV2" s="298"/>
      <c r="BW2" s="298"/>
      <c r="BX2" s="298"/>
      <c r="BY2" s="298"/>
      <c r="BZ2" s="298"/>
      <c r="CA2" s="11">
        <v>4</v>
      </c>
      <c r="CB2" s="1"/>
      <c r="CC2" s="1"/>
      <c r="CD2" s="9"/>
      <c r="CE2" s="305" t="str">
        <f>VLOOKUP($CU$2,Spielorte!$A$1:$C$6,3)</f>
        <v>Brunnthal Max Munich</v>
      </c>
      <c r="CF2" s="305"/>
      <c r="CG2" s="305"/>
      <c r="CH2" s="305"/>
      <c r="CI2" s="305"/>
      <c r="CJ2" s="305"/>
      <c r="CK2" s="305"/>
      <c r="CL2" s="305"/>
      <c r="CM2" s="305"/>
      <c r="CN2" s="306"/>
      <c r="CO2" s="297" t="s">
        <v>1795</v>
      </c>
      <c r="CP2" s="298"/>
      <c r="CQ2" s="298"/>
      <c r="CR2" s="298"/>
      <c r="CS2" s="298"/>
      <c r="CT2" s="298"/>
      <c r="CU2" s="11">
        <v>5</v>
      </c>
      <c r="CV2" s="1"/>
      <c r="CW2" s="1"/>
      <c r="CX2" s="9"/>
      <c r="CY2" s="305" t="str">
        <f>VLOOKUP($DO$2,Spielorte!$A$1:$C$6,3)</f>
        <v>Dettelbach Extreme Bowlingarena</v>
      </c>
      <c r="CZ2" s="305"/>
      <c r="DA2" s="305"/>
      <c r="DB2" s="305"/>
      <c r="DC2" s="305"/>
      <c r="DD2" s="305"/>
      <c r="DE2" s="305"/>
      <c r="DF2" s="305"/>
      <c r="DG2" s="305"/>
      <c r="DH2" s="306"/>
      <c r="DI2" s="297" t="s">
        <v>1795</v>
      </c>
      <c r="DJ2" s="298"/>
      <c r="DK2" s="298"/>
      <c r="DL2" s="298"/>
      <c r="DM2" s="298"/>
      <c r="DN2" s="298"/>
      <c r="DO2" s="11">
        <v>6</v>
      </c>
      <c r="DP2" s="1"/>
      <c r="DQ2" s="1"/>
      <c r="DR2" s="9"/>
    </row>
    <row r="3" spans="1:122" ht="12.75" customHeight="1" x14ac:dyDescent="0.25">
      <c r="C3" s="311" t="s">
        <v>9</v>
      </c>
      <c r="D3" s="294"/>
      <c r="E3" s="294"/>
      <c r="F3" s="294"/>
      <c r="G3" s="294"/>
      <c r="H3" s="294"/>
      <c r="I3" s="294"/>
      <c r="J3" s="294"/>
      <c r="K3" s="294"/>
      <c r="L3" s="295"/>
      <c r="M3" s="296" t="s">
        <v>10</v>
      </c>
      <c r="N3" s="294"/>
      <c r="O3" s="294"/>
      <c r="P3" s="294"/>
      <c r="Q3" s="294"/>
      <c r="R3" s="294"/>
      <c r="S3" s="294"/>
      <c r="T3" s="294"/>
      <c r="V3" s="13" t="s">
        <v>1796</v>
      </c>
      <c r="W3" s="311" t="s">
        <v>9</v>
      </c>
      <c r="X3" s="294"/>
      <c r="Y3" s="294"/>
      <c r="Z3" s="294"/>
      <c r="AA3" s="294"/>
      <c r="AB3" s="294"/>
      <c r="AC3" s="294"/>
      <c r="AD3" s="294"/>
      <c r="AE3" s="294"/>
      <c r="AF3" s="295"/>
      <c r="AG3" s="296" t="s">
        <v>10</v>
      </c>
      <c r="AH3" s="294"/>
      <c r="AI3" s="294"/>
      <c r="AJ3" s="294"/>
      <c r="AK3" s="294"/>
      <c r="AL3" s="294"/>
      <c r="AM3" s="294"/>
      <c r="AN3" s="294"/>
      <c r="AP3" s="13" t="s">
        <v>1796</v>
      </c>
      <c r="AQ3" s="294" t="s">
        <v>9</v>
      </c>
      <c r="AR3" s="294"/>
      <c r="AS3" s="294"/>
      <c r="AT3" s="294"/>
      <c r="AU3" s="294"/>
      <c r="AV3" s="294"/>
      <c r="AW3" s="294"/>
      <c r="AX3" s="294"/>
      <c r="AY3" s="294"/>
      <c r="AZ3" s="295"/>
      <c r="BA3" s="296" t="s">
        <v>10</v>
      </c>
      <c r="BB3" s="294"/>
      <c r="BC3" s="294"/>
      <c r="BD3" s="294"/>
      <c r="BE3" s="294"/>
      <c r="BF3" s="294"/>
      <c r="BG3" s="294"/>
      <c r="BH3" s="294"/>
      <c r="BJ3" s="10" t="s">
        <v>1796</v>
      </c>
      <c r="BK3" s="294" t="s">
        <v>9</v>
      </c>
      <c r="BL3" s="294"/>
      <c r="BM3" s="294"/>
      <c r="BN3" s="294"/>
      <c r="BO3" s="294"/>
      <c r="BP3" s="294"/>
      <c r="BQ3" s="294"/>
      <c r="BR3" s="294"/>
      <c r="BS3" s="294"/>
      <c r="BT3" s="295"/>
      <c r="BU3" s="296" t="s">
        <v>10</v>
      </c>
      <c r="BV3" s="294"/>
      <c r="BW3" s="294"/>
      <c r="BX3" s="294"/>
      <c r="BY3" s="294"/>
      <c r="BZ3" s="294"/>
      <c r="CA3" s="294"/>
      <c r="CB3" s="294"/>
      <c r="CD3" s="10" t="s">
        <v>1796</v>
      </c>
      <c r="CE3" s="294" t="s">
        <v>9</v>
      </c>
      <c r="CF3" s="294"/>
      <c r="CG3" s="294"/>
      <c r="CH3" s="294"/>
      <c r="CI3" s="294"/>
      <c r="CJ3" s="294"/>
      <c r="CK3" s="294"/>
      <c r="CL3" s="294"/>
      <c r="CM3" s="294"/>
      <c r="CN3" s="295"/>
      <c r="CO3" s="296" t="s">
        <v>10</v>
      </c>
      <c r="CP3" s="294"/>
      <c r="CQ3" s="294"/>
      <c r="CR3" s="294"/>
      <c r="CS3" s="294"/>
      <c r="CT3" s="294"/>
      <c r="CU3" s="294"/>
      <c r="CV3" s="294"/>
      <c r="CX3" s="10" t="s">
        <v>1796</v>
      </c>
      <c r="CY3" s="294" t="s">
        <v>9</v>
      </c>
      <c r="CZ3" s="294"/>
      <c r="DA3" s="294"/>
      <c r="DB3" s="294"/>
      <c r="DC3" s="294"/>
      <c r="DD3" s="294"/>
      <c r="DE3" s="294"/>
      <c r="DF3" s="294"/>
      <c r="DG3" s="294"/>
      <c r="DH3" s="295"/>
      <c r="DI3" s="296" t="s">
        <v>10</v>
      </c>
      <c r="DJ3" s="294"/>
      <c r="DK3" s="294"/>
      <c r="DL3" s="294"/>
      <c r="DM3" s="294"/>
      <c r="DN3" s="294"/>
      <c r="DO3" s="294"/>
      <c r="DP3" s="294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3" t="str">
        <f>Schlüssel!C1&amp;"     -     Saison "&amp;Spielorte!C18</f>
        <v>Bayernliga Herren     -     Saison 2024/2025</v>
      </c>
      <c r="B1" s="313"/>
      <c r="C1" s="313"/>
      <c r="D1" s="313"/>
      <c r="E1" s="313"/>
      <c r="F1" s="313"/>
      <c r="G1" s="313"/>
      <c r="H1" s="313"/>
      <c r="I1" s="313"/>
      <c r="J1" s="313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4" t="s">
        <v>1871</v>
      </c>
      <c r="B3" s="314"/>
      <c r="C3" s="315" t="s">
        <v>2553</v>
      </c>
      <c r="D3" s="315"/>
      <c r="E3" s="315"/>
      <c r="F3" s="315"/>
      <c r="G3" s="315"/>
      <c r="H3" s="315"/>
      <c r="I3" s="315"/>
      <c r="J3" s="315"/>
      <c r="L3" s="204"/>
    </row>
    <row r="4" spans="1:12" s="175" customFormat="1" ht="13.8" x14ac:dyDescent="0.25">
      <c r="A4" s="314" t="s">
        <v>2024</v>
      </c>
      <c r="B4" s="314"/>
      <c r="C4" s="315" t="s">
        <v>2554</v>
      </c>
      <c r="D4" s="315"/>
      <c r="E4" s="315"/>
      <c r="F4" s="315"/>
      <c r="G4" s="315"/>
      <c r="H4" s="315"/>
      <c r="I4" s="315"/>
      <c r="J4" s="315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6" t="s">
        <v>2025</v>
      </c>
      <c r="B6" s="316"/>
      <c r="C6" s="205">
        <v>1</v>
      </c>
      <c r="D6" s="206"/>
      <c r="E6" s="206"/>
      <c r="F6" s="206"/>
      <c r="G6" s="206"/>
      <c r="H6" s="206"/>
      <c r="I6" s="206"/>
      <c r="K6" s="312" t="s">
        <v>2026</v>
      </c>
      <c r="L6" s="312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2" t="s">
        <v>2555</v>
      </c>
      <c r="C20" s="292"/>
      <c r="D20" s="292"/>
      <c r="E20" s="292"/>
      <c r="F20" s="292"/>
      <c r="G20" s="292"/>
      <c r="H20" s="292"/>
      <c r="I20" s="292"/>
      <c r="J20" s="292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+Spielzettel1!T2</f>
        <v>1</v>
      </c>
      <c r="F6" s="320"/>
      <c r="P6" s="140" t="s">
        <v>1838</v>
      </c>
      <c r="Q6" s="321" t="str">
        <f>+Spielzettel1!U1</f>
        <v>12.10./13.10.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+Spielzettel1!F2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+Spielzettel1!F1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2548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4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2549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2550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2552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Schlüssel!$M$1</f>
        <v>12.10./13.10.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VLOOKUP(B2,Schlüssel!$A$5:$K$14,3)</f>
        <v>3</v>
      </c>
      <c r="E22" s="349"/>
      <c r="F22" s="349">
        <f>VLOOKUP(B2,Schlüssel!$A$5:$K$14,4)</f>
        <v>9</v>
      </c>
      <c r="G22" s="349"/>
      <c r="H22" s="349">
        <f>VLOOKUP(B2,Schlüssel!$A$5:$K$14,5)</f>
        <v>6</v>
      </c>
      <c r="I22" s="349"/>
      <c r="J22" s="349">
        <f>VLOOKUP(B2,Schlüssel!$A$5:$K$14,6)</f>
        <v>5</v>
      </c>
      <c r="K22" s="349"/>
      <c r="L22" s="349">
        <f>VLOOKUP(B2,Schlüssel!$A$5:$K$14,7)</f>
        <v>10</v>
      </c>
      <c r="M22" s="349"/>
      <c r="N22" s="349">
        <f>VLOOKUP(B2,Schlüssel!$A$5:$K$14,8)</f>
        <v>7</v>
      </c>
      <c r="O22" s="349"/>
      <c r="P22" s="349">
        <f>VLOOKUP(B2,Schlüssel!$A$5:$K$14,9)</f>
        <v>4</v>
      </c>
      <c r="Q22" s="349"/>
      <c r="R22" s="349">
        <f>VLOOKUP(B2,Schlüssel!$A$5:$K$14,10)</f>
        <v>2</v>
      </c>
      <c r="S22" s="349"/>
      <c r="T22" s="349">
        <f>VLOOKUP(B2,Schlüssel!$A$5:$K$14,11)</f>
        <v>8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BK München 3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SG Rottendorf 1</v>
      </c>
      <c r="I23" s="347"/>
      <c r="J23" s="346" t="str">
        <f>VLOOKUP(J22,Schlüssel!$A$5:$K$14,2)</f>
        <v>RW Lichtenhof Stein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Schanzer Ingolstadt 1</v>
      </c>
      <c r="O23" s="347"/>
      <c r="P23" s="346" t="str">
        <f>VLOOKUP(P22,Schlüssel!$A$5:$K$14,2)</f>
        <v>SG DJK Rimpar</v>
      </c>
      <c r="Q23" s="347"/>
      <c r="R23" s="346" t="str">
        <f>VLOOKUP(R22,Schlüssel!$A$5:$K$14,2)</f>
        <v>Bajuwaren München 1</v>
      </c>
      <c r="S23" s="347"/>
      <c r="T23" s="346" t="str">
        <f>VLOOKUP(T22,Schlüssel!$A$5:$K$14,2)</f>
        <v>BC EMAX Unterföhring 2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Schlüssel!$M$1</f>
        <v>12.10./13.10.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VLOOKUP(B31,Schlüssel!$A$5:$K$14,3)</f>
        <v>6</v>
      </c>
      <c r="E51" s="349"/>
      <c r="F51" s="349">
        <f>VLOOKUP(B31,Schlüssel!$A$5:$K$14,4)</f>
        <v>4</v>
      </c>
      <c r="G51" s="349"/>
      <c r="H51" s="349">
        <f>VLOOKUP(B31,Schlüssel!$A$5:$K$14,5)</f>
        <v>8</v>
      </c>
      <c r="I51" s="349"/>
      <c r="J51" s="349">
        <f>VLOOKUP(B31,Schlüssel!$A$5:$K$14,6)</f>
        <v>7</v>
      </c>
      <c r="K51" s="349"/>
      <c r="L51" s="349">
        <f>VLOOKUP(B31,Schlüssel!$A$5:$K$14,7)</f>
        <v>3</v>
      </c>
      <c r="M51" s="349"/>
      <c r="N51" s="349">
        <f>VLOOKUP(B31,Schlüssel!$A$5:$K$14,8)</f>
        <v>5</v>
      </c>
      <c r="O51" s="349"/>
      <c r="P51" s="349">
        <f>VLOOKUP(B31,Schlüssel!$A$5:$K$14,9)</f>
        <v>10</v>
      </c>
      <c r="Q51" s="349"/>
      <c r="R51" s="349">
        <f>VLOOKUP(B31,Schlüssel!$A$5:$K$14,10)</f>
        <v>1</v>
      </c>
      <c r="S51" s="349"/>
      <c r="T51" s="349">
        <f>VLOOKUP(B31,Schlüssel!$A$5:$K$14,11)</f>
        <v>9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Rottendorf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RW Lichtenhof Stein 1</v>
      </c>
      <c r="O52" s="347"/>
      <c r="P52" s="346" t="str">
        <f>VLOOKUP(P51,Schlüssel!$A$5:$K$14,2)</f>
        <v>High Roller Rosenheim 1</v>
      </c>
      <c r="Q52" s="347"/>
      <c r="R52" s="346" t="str">
        <f>VLOOKUP(R51,Schlüssel!$A$5:$K$14,2)</f>
        <v>BC Comet Nürnberg</v>
      </c>
      <c r="S52" s="347"/>
      <c r="T52" s="346" t="str">
        <f>VLOOKUP(T51,Schlüssel!$A$5:$K$14,2)</f>
        <v>Bowlinghaus Bamberg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Schlüssel!$M$1</f>
        <v>12.10./13.10.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VLOOKUP(B60,Schlüssel!$A$5:$K$14,3)</f>
        <v>1</v>
      </c>
      <c r="E80" s="349"/>
      <c r="F80" s="349">
        <f>VLOOKUP(B60,Schlüssel!$A$5:$K$14,4)</f>
        <v>10</v>
      </c>
      <c r="G80" s="349"/>
      <c r="H80" s="349">
        <f>VLOOKUP(B60,Schlüssel!$A$5:$K$14,5)</f>
        <v>5</v>
      </c>
      <c r="I80" s="349"/>
      <c r="J80" s="349">
        <f>VLOOKUP(B60,Schlüssel!$A$5:$K$14,6)</f>
        <v>9</v>
      </c>
      <c r="K80" s="349"/>
      <c r="L80" s="349">
        <f>VLOOKUP(B60,Schlüssel!$A$5:$K$14,7)</f>
        <v>2</v>
      </c>
      <c r="M80" s="349"/>
      <c r="N80" s="349">
        <f>VLOOKUP(B60,Schlüssel!$A$5:$K$14,8)</f>
        <v>6</v>
      </c>
      <c r="O80" s="349"/>
      <c r="P80" s="349">
        <f>VLOOKUP(B60,Schlüssel!$A$5:$K$14,9)</f>
        <v>8</v>
      </c>
      <c r="Q80" s="349"/>
      <c r="R80" s="349">
        <f>VLOOKUP(B60,Schlüssel!$A$5:$K$14,10)</f>
        <v>4</v>
      </c>
      <c r="S80" s="349"/>
      <c r="T80" s="349">
        <f>VLOOKUP(B60,Schlüssel!$A$5:$K$14,11)</f>
        <v>7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Comet Nürnberg</v>
      </c>
      <c r="E81" s="347"/>
      <c r="F81" s="346" t="str">
        <f>VLOOKUP(F80,Schlüssel!$A$5:$K$14,2)</f>
        <v>High Roller Rosenheim 1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Bowlinghaus Bamberg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BC EMAX Unterföhring 2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Schanzer Ingolstadt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Schlüssel!$M$1</f>
        <v>12.10./13.10.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VLOOKUP(B89,Schlüssel!$A$5:$K$14,3)</f>
        <v>7</v>
      </c>
      <c r="E109" s="349"/>
      <c r="F109" s="349">
        <f>VLOOKUP(B89,Schlüssel!$A$5:$K$14,4)</f>
        <v>2</v>
      </c>
      <c r="G109" s="349"/>
      <c r="H109" s="349">
        <f>VLOOKUP(B89,Schlüssel!$A$5:$K$14,5)</f>
        <v>9</v>
      </c>
      <c r="I109" s="349"/>
      <c r="J109" s="349">
        <f>VLOOKUP(B89,Schlüssel!$A$5:$K$14,6)</f>
        <v>10</v>
      </c>
      <c r="K109" s="349"/>
      <c r="L109" s="349">
        <f>VLOOKUP(B89,Schlüssel!$A$5:$K$14,7)</f>
        <v>6</v>
      </c>
      <c r="M109" s="349"/>
      <c r="N109" s="349">
        <f>VLOOKUP(B89,Schlüssel!$A$5:$K$14,8)</f>
        <v>8</v>
      </c>
      <c r="O109" s="349"/>
      <c r="P109" s="349">
        <f>VLOOKUP(B89,Schlüssel!$A$5:$K$14,9)</f>
        <v>1</v>
      </c>
      <c r="Q109" s="349"/>
      <c r="R109" s="349">
        <f>VLOOKUP(B89,Schlüssel!$A$5:$K$14,10)</f>
        <v>3</v>
      </c>
      <c r="S109" s="349"/>
      <c r="T109" s="349">
        <f>VLOOKUP(B89,Schlüssel!$A$5:$K$14,11)</f>
        <v>5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Schanzer Ingolstadt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BC EMAX Unterföhring 2</v>
      </c>
      <c r="O110" s="347"/>
      <c r="P110" s="346" t="str">
        <f>VLOOKUP(P109,Schlüssel!$A$5:$K$14,2)</f>
        <v>BC Comet Nürnberg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RW Lichtenhof Stein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Schlüssel!$M$1</f>
        <v>12.10./13.10.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VLOOKUP(B118,Schlüssel!$A$5:$K$14,3)</f>
        <v>9</v>
      </c>
      <c r="E138" s="349"/>
      <c r="F138" s="349">
        <f>VLOOKUP(B118,Schlüssel!$A$5:$K$14,4)</f>
        <v>8</v>
      </c>
      <c r="G138" s="349"/>
      <c r="H138" s="349">
        <f>VLOOKUP(B118,Schlüssel!$A$5:$K$14,5)</f>
        <v>3</v>
      </c>
      <c r="I138" s="349"/>
      <c r="J138" s="349">
        <f>VLOOKUP(B118,Schlüssel!$A$5:$K$14,6)</f>
        <v>1</v>
      </c>
      <c r="K138" s="349"/>
      <c r="L138" s="349">
        <f>VLOOKUP(B118,Schlüssel!$A$5:$K$14,7)</f>
        <v>7</v>
      </c>
      <c r="M138" s="349"/>
      <c r="N138" s="349">
        <f>VLOOKUP(B118,Schlüssel!$A$5:$K$14,8)</f>
        <v>2</v>
      </c>
      <c r="O138" s="349"/>
      <c r="P138" s="349">
        <f>VLOOKUP(B118,Schlüssel!$A$5:$K$14,9)</f>
        <v>6</v>
      </c>
      <c r="Q138" s="349"/>
      <c r="R138" s="349">
        <f>VLOOKUP(B118,Schlüssel!$A$5:$K$14,10)</f>
        <v>10</v>
      </c>
      <c r="S138" s="349"/>
      <c r="T138" s="349">
        <f>VLOOKUP(B118,Schlüssel!$A$5:$K$14,11)</f>
        <v>4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Bowlinghaus Bamberg 1</v>
      </c>
      <c r="E139" s="347"/>
      <c r="F139" s="346" t="str">
        <f>VLOOKUP(F138,Schlüssel!$A$5:$K$14,2)</f>
        <v>BC EMAX Unterföhring 2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Comet Nürnberg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Bajuwaren München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DJK Rimpar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Schlüssel!$M$1</f>
        <v>12.10./13.10.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VLOOKUP(B147,Schlüssel!$A$5:$K$14,3)</f>
        <v>2</v>
      </c>
      <c r="E167" s="349"/>
      <c r="F167" s="349">
        <f>VLOOKUP(B147,Schlüssel!$A$5:$K$14,4)</f>
        <v>7</v>
      </c>
      <c r="G167" s="349"/>
      <c r="H167" s="349">
        <f>VLOOKUP(B147,Schlüssel!$A$5:$K$14,5)</f>
        <v>1</v>
      </c>
      <c r="I167" s="349"/>
      <c r="J167" s="349">
        <f>VLOOKUP(B147,Schlüssel!$A$5:$K$14,6)</f>
        <v>8</v>
      </c>
      <c r="K167" s="349"/>
      <c r="L167" s="349">
        <f>VLOOKUP(B147,Schlüssel!$A$5:$K$14,7)</f>
        <v>4</v>
      </c>
      <c r="M167" s="349"/>
      <c r="N167" s="349">
        <f>VLOOKUP(B147,Schlüssel!$A$5:$K$14,8)</f>
        <v>3</v>
      </c>
      <c r="O167" s="349"/>
      <c r="P167" s="349">
        <f>VLOOKUP(B147,Schlüssel!$A$5:$K$14,9)</f>
        <v>5</v>
      </c>
      <c r="Q167" s="349"/>
      <c r="R167" s="349">
        <f>VLOOKUP(B147,Schlüssel!$A$5:$K$14,10)</f>
        <v>9</v>
      </c>
      <c r="S167" s="349"/>
      <c r="T167" s="349">
        <f>VLOOKUP(B147,Schlüssel!$A$5:$K$14,11)</f>
        <v>10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Bajuwaren München 1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BC Comet Nürnberg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Bowlinghaus Bamberg 1</v>
      </c>
      <c r="S168" s="347"/>
      <c r="T168" s="346" t="str">
        <f>VLOOKUP(T167,Schlüssel!$A$5:$K$14,2)</f>
        <v>High Roller Rosenheim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Schlüssel!$M$1</f>
        <v>12.10./13.10.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VLOOKUP(B176,Schlüssel!$A$5:$K$14,3)</f>
        <v>4</v>
      </c>
      <c r="E196" s="349"/>
      <c r="F196" s="349">
        <f>VLOOKUP(B176,Schlüssel!$A$5:$K$14,4)</f>
        <v>6</v>
      </c>
      <c r="G196" s="349"/>
      <c r="H196" s="349">
        <f>VLOOKUP(B176,Schlüssel!$A$5:$K$14,5)</f>
        <v>10</v>
      </c>
      <c r="I196" s="349"/>
      <c r="J196" s="349">
        <f>VLOOKUP(B176,Schlüssel!$A$5:$K$14,6)</f>
        <v>2</v>
      </c>
      <c r="K196" s="349"/>
      <c r="L196" s="349">
        <f>VLOOKUP(B176,Schlüssel!$A$5:$K$14,7)</f>
        <v>5</v>
      </c>
      <c r="M196" s="349"/>
      <c r="N196" s="349">
        <f>VLOOKUP(B176,Schlüssel!$A$5:$K$14,8)</f>
        <v>1</v>
      </c>
      <c r="O196" s="349"/>
      <c r="P196" s="349">
        <f>VLOOKUP(B176,Schlüssel!$A$5:$K$14,9)</f>
        <v>9</v>
      </c>
      <c r="Q196" s="349"/>
      <c r="R196" s="349">
        <f>VLOOKUP(B176,Schlüssel!$A$5:$K$14,10)</f>
        <v>8</v>
      </c>
      <c r="S196" s="349"/>
      <c r="T196" s="349">
        <f>VLOOKUP(B176,Schlüssel!$A$5:$K$14,11)</f>
        <v>3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SG DJK Rimpar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BC Comet Nürnberg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BK München 3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Schlüssel!$M$1</f>
        <v>12.10./13.10.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VLOOKUP(B205,Schlüssel!$A$5:$K$14,3)</f>
        <v>10</v>
      </c>
      <c r="E225" s="349"/>
      <c r="F225" s="349">
        <f>VLOOKUP(B205,Schlüssel!$A$5:$K$14,4)</f>
        <v>5</v>
      </c>
      <c r="G225" s="349"/>
      <c r="H225" s="349">
        <f>VLOOKUP(B205,Schlüssel!$A$5:$K$14,5)</f>
        <v>2</v>
      </c>
      <c r="I225" s="349"/>
      <c r="J225" s="349">
        <f>VLOOKUP(B205,Schlüssel!$A$5:$K$14,6)</f>
        <v>6</v>
      </c>
      <c r="K225" s="349"/>
      <c r="L225" s="349">
        <f>VLOOKUP(B205,Schlüssel!$A$5:$K$14,7)</f>
        <v>9</v>
      </c>
      <c r="M225" s="349"/>
      <c r="N225" s="349">
        <f>VLOOKUP(B205,Schlüssel!$A$5:$K$14,8)</f>
        <v>4</v>
      </c>
      <c r="O225" s="349"/>
      <c r="P225" s="349">
        <f>VLOOKUP(B205,Schlüssel!$A$5:$K$14,9)</f>
        <v>3</v>
      </c>
      <c r="Q225" s="349"/>
      <c r="R225" s="349">
        <f>VLOOKUP(B205,Schlüssel!$A$5:$K$14,10)</f>
        <v>7</v>
      </c>
      <c r="S225" s="349"/>
      <c r="T225" s="349">
        <f>VLOOKUP(B205,Schlüssel!$A$5:$K$14,11)</f>
        <v>1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RW Lichtenhof Stein 1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DJK Rimpar</v>
      </c>
      <c r="O226" s="347"/>
      <c r="P226" s="346" t="str">
        <f>VLOOKUP(P225,Schlüssel!$A$5:$K$14,2)</f>
        <v>BK München 3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BC Comet Nürnberg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Schlüssel!$M$1</f>
        <v>12.10./13.10.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VLOOKUP(B234,Schlüssel!$A$5:$K$14,3)</f>
        <v>5</v>
      </c>
      <c r="E254" s="349"/>
      <c r="F254" s="349">
        <f>VLOOKUP(B234,Schlüssel!$A$5:$K$14,4)</f>
        <v>1</v>
      </c>
      <c r="G254" s="349"/>
      <c r="H254" s="349">
        <f>VLOOKUP(B234,Schlüssel!$A$5:$K$14,5)</f>
        <v>4</v>
      </c>
      <c r="I254" s="349"/>
      <c r="J254" s="349">
        <f>VLOOKUP(B234,Schlüssel!$A$5:$K$14,6)</f>
        <v>3</v>
      </c>
      <c r="K254" s="349"/>
      <c r="L254" s="349">
        <f>VLOOKUP(B234,Schlüssel!$A$5:$K$14,7)</f>
        <v>8</v>
      </c>
      <c r="M254" s="349"/>
      <c r="N254" s="349">
        <f>VLOOKUP(B234,Schlüssel!$A$5:$K$14,8)</f>
        <v>10</v>
      </c>
      <c r="O254" s="349"/>
      <c r="P254" s="349">
        <f>VLOOKUP(B234,Schlüssel!$A$5:$K$14,9)</f>
        <v>7</v>
      </c>
      <c r="Q254" s="349"/>
      <c r="R254" s="349">
        <f>VLOOKUP(B234,Schlüssel!$A$5:$K$14,10)</f>
        <v>6</v>
      </c>
      <c r="S254" s="349"/>
      <c r="T254" s="349">
        <f>VLOOKUP(B234,Schlüssel!$A$5:$K$14,11)</f>
        <v>2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RW Lichtenhof Stein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BK München 3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SG Rottendorf 1</v>
      </c>
      <c r="S255" s="347"/>
      <c r="T255" s="346" t="str">
        <f>VLOOKUP(T254,Schlüssel!$A$5:$K$14,2)</f>
        <v>Bajuwaren München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Schlüssel!$M$1</f>
        <v>12.10./13.10.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VLOOKUP(B263,Schlüssel!$A$5:$K$14,3)</f>
        <v>8</v>
      </c>
      <c r="E283" s="349"/>
      <c r="F283" s="349">
        <f>VLOOKUP(B263,Schlüssel!$A$5:$K$14,4)</f>
        <v>3</v>
      </c>
      <c r="G283" s="349"/>
      <c r="H283" s="349">
        <f>VLOOKUP(B263,Schlüssel!$A$5:$K$14,5)</f>
        <v>7</v>
      </c>
      <c r="I283" s="349"/>
      <c r="J283" s="349">
        <f>VLOOKUP(B263,Schlüssel!$A$5:$K$14,6)</f>
        <v>4</v>
      </c>
      <c r="K283" s="349"/>
      <c r="L283" s="349">
        <f>VLOOKUP(B263,Schlüssel!$A$5:$K$14,7)</f>
        <v>1</v>
      </c>
      <c r="M283" s="349"/>
      <c r="N283" s="349">
        <f>VLOOKUP(B263,Schlüssel!$A$5:$K$14,8)</f>
        <v>9</v>
      </c>
      <c r="O283" s="349"/>
      <c r="P283" s="349">
        <f>VLOOKUP(B263,Schlüssel!$A$5:$K$14,9)</f>
        <v>2</v>
      </c>
      <c r="Q283" s="349"/>
      <c r="R283" s="349">
        <f>VLOOKUP(B263,Schlüssel!$A$5:$K$14,10)</f>
        <v>5</v>
      </c>
      <c r="S283" s="349"/>
      <c r="T283" s="349">
        <f>VLOOKUP(B263,Schlüssel!$A$5:$K$14,11)</f>
        <v>6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BK München 3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Bajuwaren München 1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SG Rottendorf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12.10./13.10.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12.10./13.10.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51">
        <f>IF(AD7="","",AD7)</f>
        <v>0</v>
      </c>
      <c r="F7" s="75">
        <f t="shared" ref="F7:F20" si="0">IF(AE7=0,"",AE7)</f>
        <v>185</v>
      </c>
      <c r="G7" s="351">
        <f>IF(AF7="","",AF7)</f>
        <v>0</v>
      </c>
      <c r="H7" s="75">
        <f t="shared" ref="H7:H20" si="1">IF(AG7=0,"",AG7)</f>
        <v>214</v>
      </c>
      <c r="I7" s="351">
        <f>IF(AH7="","",AH7)</f>
        <v>1</v>
      </c>
      <c r="J7" s="75">
        <f t="shared" ref="J7:J20" si="2">IF(AI7=0,"",AI7)</f>
        <v>232</v>
      </c>
      <c r="K7" s="351">
        <f>IF(AJ7="","",AJ7)</f>
        <v>1</v>
      </c>
      <c r="L7" s="75">
        <f t="shared" ref="L7:L20" si="3">IF(AK7=0,"",AK7)</f>
        <v>169</v>
      </c>
      <c r="M7" s="351">
        <f>IF(AL7="","",AL7)</f>
        <v>0</v>
      </c>
      <c r="N7" s="75">
        <f>IF(AM7=0,"",AM7)</f>
        <v>277</v>
      </c>
      <c r="O7" s="351">
        <f>IF(AN7="","",AN7)</f>
        <v>1</v>
      </c>
      <c r="P7" s="75">
        <f t="shared" ref="P7:P20" si="4">IF(AO7=0,"",AO7)</f>
        <v>226</v>
      </c>
      <c r="Q7" s="351">
        <f>IF(AP7="","",AP7)</f>
        <v>1</v>
      </c>
      <c r="R7" s="75">
        <f t="shared" ref="R7:R20" si="5">IF(AQ7=0,"",AQ7)</f>
        <v>216</v>
      </c>
      <c r="S7" s="351">
        <f>IF(AR7="","",AR7)</f>
        <v>1</v>
      </c>
      <c r="T7" s="75">
        <f t="shared" ref="T7:T20" si="6">IF(AS7=0,"",AS7)</f>
        <v>192</v>
      </c>
      <c r="U7" s="351">
        <f>IF(AT7="","",AT7)</f>
        <v>1</v>
      </c>
      <c r="V7" s="75">
        <f t="shared" ref="V7:V20" si="7">IF(AU7=0,"",AU7)</f>
        <v>1877</v>
      </c>
      <c r="W7" s="351">
        <f>IF(AV7="","",AV7)</f>
        <v>6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51">
        <f>IF(AD10="","",AD10)</f>
        <v>0</v>
      </c>
      <c r="F10" s="75">
        <f t="shared" si="0"/>
        <v>185</v>
      </c>
      <c r="G10" s="351">
        <f>IF(AF10="","",AF10)</f>
        <v>0</v>
      </c>
      <c r="H10" s="75">
        <f t="shared" si="1"/>
        <v>258</v>
      </c>
      <c r="I10" s="351">
        <f>IF(AH10="","",AH10)</f>
        <v>1</v>
      </c>
      <c r="J10" s="75">
        <f t="shared" si="2"/>
        <v>225</v>
      </c>
      <c r="K10" s="351">
        <f>IF(AJ10="","",AJ10)</f>
        <v>1</v>
      </c>
      <c r="L10" s="75">
        <f t="shared" si="3"/>
        <v>238</v>
      </c>
      <c r="M10" s="351">
        <f>IF(AL10="","",AL10)</f>
        <v>1</v>
      </c>
      <c r="N10" s="75">
        <f t="shared" si="20"/>
        <v>207</v>
      </c>
      <c r="O10" s="351">
        <f>IF(AN10="","",AN10)</f>
        <v>1</v>
      </c>
      <c r="P10" s="75">
        <f t="shared" si="4"/>
        <v>228</v>
      </c>
      <c r="Q10" s="351">
        <f>IF(AP10="","",AP10)</f>
        <v>1</v>
      </c>
      <c r="R10" s="75">
        <f t="shared" si="5"/>
        <v>181</v>
      </c>
      <c r="S10" s="351">
        <f>IF(AR10="","",AR10)</f>
        <v>1</v>
      </c>
      <c r="T10" s="75">
        <f t="shared" si="6"/>
        <v>186</v>
      </c>
      <c r="U10" s="351">
        <f>IF(AT10="","",AT10)</f>
        <v>1</v>
      </c>
      <c r="V10" s="75">
        <f t="shared" si="7"/>
        <v>1891</v>
      </c>
      <c r="W10" s="351">
        <f>IF(AV10="","",AV10)</f>
        <v>7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51">
        <f>IF(AD13="","",AD13)</f>
        <v>0</v>
      </c>
      <c r="F13" s="75">
        <f t="shared" si="0"/>
        <v>183</v>
      </c>
      <c r="G13" s="351">
        <f>IF(AF13="","",AF13)</f>
        <v>0</v>
      </c>
      <c r="H13" s="75">
        <f t="shared" si="1"/>
        <v>225</v>
      </c>
      <c r="I13" s="351">
        <f>IF(AH13="","",AH13)</f>
        <v>1</v>
      </c>
      <c r="J13" s="75">
        <f t="shared" si="2"/>
        <v>198</v>
      </c>
      <c r="K13" s="351">
        <f>IF(AJ13="","",AJ13)</f>
        <v>1</v>
      </c>
      <c r="L13" s="75">
        <f t="shared" si="3"/>
        <v>246</v>
      </c>
      <c r="M13" s="351">
        <f>IF(AL13="","",AL13)</f>
        <v>1</v>
      </c>
      <c r="N13" s="75">
        <f t="shared" si="20"/>
        <v>157</v>
      </c>
      <c r="O13" s="351">
        <f>IF(AN13="","",AN13)</f>
        <v>0</v>
      </c>
      <c r="P13" s="75">
        <f t="shared" si="4"/>
        <v>180</v>
      </c>
      <c r="Q13" s="351">
        <f>IF(AP13="","",AP13)</f>
        <v>0</v>
      </c>
      <c r="R13" s="75">
        <f t="shared" si="5"/>
        <v>199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1783</v>
      </c>
      <c r="W13" s="351">
        <f>IF(AV13="","",AV13)</f>
        <v>4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51">
        <f>IF(AD16="","",AD16)</f>
        <v>0</v>
      </c>
      <c r="F16" s="75">
        <f t="shared" si="0"/>
        <v>212</v>
      </c>
      <c r="G16" s="351">
        <f>IF(AF16="","",AF16)</f>
        <v>0</v>
      </c>
      <c r="H16" s="75">
        <f t="shared" si="1"/>
        <v>182</v>
      </c>
      <c r="I16" s="351">
        <f>IF(AH16="","",AH16)</f>
        <v>0</v>
      </c>
      <c r="J16" s="75">
        <f t="shared" si="2"/>
        <v>194</v>
      </c>
      <c r="K16" s="351">
        <f>IF(AJ16="","",AJ16)</f>
        <v>0</v>
      </c>
      <c r="L16" s="75">
        <f t="shared" si="3"/>
        <v>176</v>
      </c>
      <c r="M16" s="351">
        <f>IF(AL16="","",AL16)</f>
        <v>0</v>
      </c>
      <c r="N16" s="75">
        <f t="shared" si="20"/>
        <v>204</v>
      </c>
      <c r="O16" s="351">
        <f>IF(AN16="","",AN16)</f>
        <v>1</v>
      </c>
      <c r="P16" s="75">
        <f t="shared" si="4"/>
        <v>194</v>
      </c>
      <c r="Q16" s="351">
        <f>IF(AP16="","",AP16)</f>
        <v>0</v>
      </c>
      <c r="R16" s="75">
        <f t="shared" si="5"/>
        <v>236</v>
      </c>
      <c r="S16" s="351">
        <f>IF(AR16="","",AR16)</f>
        <v>1</v>
      </c>
      <c r="T16" s="75">
        <f t="shared" si="6"/>
        <v>181</v>
      </c>
      <c r="U16" s="351">
        <f>IF(AT16="","",AT16)</f>
        <v>0.5</v>
      </c>
      <c r="V16" s="75">
        <f t="shared" si="7"/>
        <v>1805</v>
      </c>
      <c r="W16" s="351">
        <f>IF(AV16="","",AV16)</f>
        <v>2.5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3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6</v>
      </c>
      <c r="I22" s="349" t="str">
        <f t="shared" si="31"/>
        <v/>
      </c>
      <c r="J22" s="349">
        <f t="shared" si="31"/>
        <v>5</v>
      </c>
      <c r="K22" s="349" t="str">
        <f t="shared" si="31"/>
        <v/>
      </c>
      <c r="L22" s="349">
        <f t="shared" si="31"/>
        <v>10</v>
      </c>
      <c r="M22" s="349" t="str">
        <f t="shared" si="31"/>
        <v/>
      </c>
      <c r="N22" s="349">
        <f t="shared" si="31"/>
        <v>7</v>
      </c>
      <c r="O22" s="349" t="str">
        <f t="shared" si="31"/>
        <v/>
      </c>
      <c r="P22" s="349">
        <f t="shared" si="31"/>
        <v>4</v>
      </c>
      <c r="Q22" s="349" t="str">
        <f t="shared" si="31"/>
        <v/>
      </c>
      <c r="R22" s="349">
        <f t="shared" ref="L22:U24" si="32">IF(AQ22=0,"",AQ22)</f>
        <v>2</v>
      </c>
      <c r="S22" s="349" t="str">
        <f t="shared" si="32"/>
        <v/>
      </c>
      <c r="T22" s="349">
        <f t="shared" si="32"/>
        <v>8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VLOOKUP($AA2,Schlüssel!$A$5:$K$14,3)</f>
        <v>3</v>
      </c>
      <c r="AD22" s="374"/>
      <c r="AE22" s="373">
        <f>VLOOKUP($AA2,Schlüssel!$A$5:$K$14,4)</f>
        <v>9</v>
      </c>
      <c r="AF22" s="374"/>
      <c r="AG22" s="373">
        <f>VLOOKUP($AA2,Schlüssel!$A$5:$K$14,5)</f>
        <v>6</v>
      </c>
      <c r="AH22" s="374"/>
      <c r="AI22" s="373">
        <f>VLOOKUP($AA2,Schlüssel!$A$5:$K$14,6)</f>
        <v>5</v>
      </c>
      <c r="AJ22" s="374"/>
      <c r="AK22" s="373">
        <f>VLOOKUP($AA2,Schlüssel!$A$5:$K$14,7)</f>
        <v>10</v>
      </c>
      <c r="AL22" s="374"/>
      <c r="AM22" s="373">
        <f>VLOOKUP($AA2,Schlüssel!$A$5:$K$14,8)</f>
        <v>7</v>
      </c>
      <c r="AN22" s="374"/>
      <c r="AO22" s="373">
        <f>VLOOKUP($AA2,Schlüssel!$A$5:$K$14,9)</f>
        <v>4</v>
      </c>
      <c r="AP22" s="374"/>
      <c r="AQ22" s="373">
        <f>VLOOKUP($AA2,Schlüssel!$A$5:$K$14,10)</f>
        <v>2</v>
      </c>
      <c r="AR22" s="374"/>
      <c r="AS22" s="373">
        <f>VLOOKUP($AA2,Schlüssel!$A$5:$K$14,11)</f>
        <v>8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BK München 3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SG Rottendorf 1</v>
      </c>
      <c r="I23" s="347" t="str">
        <f t="shared" si="33"/>
        <v/>
      </c>
      <c r="J23" s="346" t="str">
        <f t="shared" si="33"/>
        <v>RW Lichtenhof Stein 1</v>
      </c>
      <c r="K23" s="347" t="str">
        <f t="shared" si="33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Schanzer Ingolstadt 1</v>
      </c>
      <c r="O23" s="347" t="str">
        <f t="shared" si="32"/>
        <v/>
      </c>
      <c r="P23" s="346" t="str">
        <f t="shared" si="32"/>
        <v>SG DJK Rimpar</v>
      </c>
      <c r="Q23" s="347" t="str">
        <f t="shared" si="32"/>
        <v/>
      </c>
      <c r="R23" s="346" t="str">
        <f t="shared" si="32"/>
        <v>Bajuwaren München 1</v>
      </c>
      <c r="S23" s="347" t="str">
        <f t="shared" si="32"/>
        <v/>
      </c>
      <c r="T23" s="346" t="str">
        <f t="shared" si="32"/>
        <v>BC EMAX Unterföhring 2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BK München 3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SG Rottendorf 1</v>
      </c>
      <c r="AH23" s="347"/>
      <c r="AI23" s="346" t="str">
        <f>VLOOKUP(AI22,Schlüssel!$A$5:$K$14,2)</f>
        <v>RW Lichtenhof Stein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Schanzer Ingolstadt 1</v>
      </c>
      <c r="AN23" s="347"/>
      <c r="AO23" s="346" t="str">
        <f>VLOOKUP(AO22,Schlüssel!$A$5:$K$14,2)</f>
        <v>SG DJK Rimpar</v>
      </c>
      <c r="AP23" s="347"/>
      <c r="AQ23" s="346" t="str">
        <f>VLOOKUP(AQ22,Schlüssel!$A$5:$K$14,2)</f>
        <v>Bajuwaren München 1</v>
      </c>
      <c r="AR23" s="347"/>
      <c r="AS23" s="346" t="str">
        <f>VLOOKUP(AS22,Schlüssel!$A$5:$K$14,2)</f>
        <v>BC EMAX Unterföhring 2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191</v>
      </c>
      <c r="E25" s="342" t="str">
        <f>IF(AD25=0,"",AD25)</f>
        <v/>
      </c>
      <c r="F25" s="342">
        <f>IF(AE25=301,"",AE25)</f>
        <v>190</v>
      </c>
      <c r="G25" s="342" t="str">
        <f>IF(AF25=0,"",AF25)</f>
        <v/>
      </c>
      <c r="H25" s="342">
        <f>IF(AG25=301,"",AG25)</f>
        <v>158</v>
      </c>
      <c r="I25" s="342" t="str">
        <f>IF(AH25=0,"",AH25)</f>
        <v/>
      </c>
      <c r="J25" s="342">
        <f>IF(AI25=301,"",AI25)</f>
        <v>170</v>
      </c>
      <c r="K25" s="342" t="str">
        <f>IF(AJ25=0,"",AJ25)</f>
        <v/>
      </c>
      <c r="L25" s="342">
        <f>IF(AK25=301,"",AK25)</f>
        <v>212</v>
      </c>
      <c r="M25" s="342" t="str">
        <f>IF(AL25=0,"",AL25)</f>
        <v/>
      </c>
      <c r="N25" s="342">
        <f>IF(AM25=301,"",AM25)</f>
        <v>191</v>
      </c>
      <c r="O25" s="342" t="str">
        <f>IF(AN25=0,"",AN25)</f>
        <v/>
      </c>
      <c r="P25" s="342">
        <f>IF(AO25=301,"",AO25)</f>
        <v>223</v>
      </c>
      <c r="Q25" s="342" t="str">
        <f>IF(AP25=0,"",AP25)</f>
        <v/>
      </c>
      <c r="R25" s="342">
        <f>IF(AQ25=301,"",AQ25)</f>
        <v>194</v>
      </c>
      <c r="S25" s="342" t="str">
        <f>IF(AR25=0,"",AR25)</f>
        <v/>
      </c>
      <c r="T25" s="342">
        <f>IF(AS25=301,"",AS25)</f>
        <v>167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191</v>
      </c>
      <c r="AD25" s="376"/>
      <c r="AE25" s="375">
        <f>ABS(INDEX(AE:AE,MATCH(AE22,$AA:$AA,0)+5)+INDEX(AE:AE,MATCH(AE22,$AA:$AA,0)+6)+INDEX(AE:AE,MATCH(AE22,$AA:$AA,0)+7))</f>
        <v>190</v>
      </c>
      <c r="AF25" s="376"/>
      <c r="AG25" s="375">
        <f>ABS(INDEX(AG:AG,MATCH(AG22,$AA:$AA,0)+5)+INDEX(AG:AG,MATCH(AG22,$AA:$AA,0)+6)+INDEX(AG:AG,MATCH(AG22,$AA:$AA,0)+7))</f>
        <v>158</v>
      </c>
      <c r="AH25" s="376"/>
      <c r="AI25" s="375">
        <f>ABS(INDEX(AI:AI,MATCH(AI22,$AA:$AA,0)+5)+INDEX(AI:AI,MATCH(AI22,$AA:$AA,0)+6)+INDEX(AI:AI,MATCH(AI22,$AA:$AA,0)+7))</f>
        <v>170</v>
      </c>
      <c r="AJ25" s="376"/>
      <c r="AK25" s="375">
        <f>ABS(INDEX(AK:AK,MATCH(AK22,$AA:$AA,0)+5)+INDEX(AK:AK,MATCH(AK22,$AA:$AA,0)+6)+INDEX(AK:AK,MATCH(AK22,$AA:$AA,0)+7))</f>
        <v>212</v>
      </c>
      <c r="AL25" s="376"/>
      <c r="AM25" s="375">
        <f>ABS(INDEX(AM:AM,MATCH(AM22,$AA:$AA,0)+5)+INDEX(AM:AM,MATCH(AM22,$AA:$AA,0)+6)+INDEX(AM:AM,MATCH(AM22,$AA:$AA,0)+7))</f>
        <v>191</v>
      </c>
      <c r="AN25" s="376"/>
      <c r="AO25" s="375">
        <f>ABS(INDEX(AO:AO,MATCH(AO22,$AA:$AA,0)+5)+INDEX(AO:AO,MATCH(AO22,$AA:$AA,0)+6)+INDEX(AO:AO,MATCH(AO22,$AA:$AA,0)+7))</f>
        <v>223</v>
      </c>
      <c r="AP25" s="376"/>
      <c r="AQ25" s="375">
        <f>ABS(INDEX(AQ:AQ,MATCH(AQ22,$AA:$AA,0)+5)+INDEX(AQ:AQ,MATCH(AQ22,$AA:$AA,0)+6)+INDEX(AQ:AQ,MATCH(AQ22,$AA:$AA,0)+7))</f>
        <v>194</v>
      </c>
      <c r="AR25" s="376"/>
      <c r="AS25" s="375">
        <f>ABS(INDEX(AS:AS,MATCH(AS22,$AA:$AA,0)+5)+INDEX(AS:AS,MATCH(AS22,$AA:$AA,0)+6)+INDEX(AS:AS,MATCH(AS22,$AA:$AA,0)+7))</f>
        <v>167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212</v>
      </c>
      <c r="E26" s="342" t="str">
        <f>IF(AD26=0,"",AD26)</f>
        <v/>
      </c>
      <c r="F26" s="342">
        <f>IF(AE26=301,"",AE26)</f>
        <v>201</v>
      </c>
      <c r="G26" s="342" t="str">
        <f>IF(AF26=0,"",AF26)</f>
        <v/>
      </c>
      <c r="H26" s="342">
        <f>IF(AG26=301,"",AG26)</f>
        <v>170</v>
      </c>
      <c r="I26" s="342" t="str">
        <f>IF(AH26=0,"",AH26)</f>
        <v/>
      </c>
      <c r="J26" s="342">
        <f>IF(AI26=301,"",AI26)</f>
        <v>152</v>
      </c>
      <c r="K26" s="342" t="str">
        <f>IF(AJ26=0,"",AJ26)</f>
        <v/>
      </c>
      <c r="L26" s="342">
        <f>IF(AK26=301,"",AK26)</f>
        <v>166</v>
      </c>
      <c r="M26" s="342" t="str">
        <f>IF(AL26=0,"",AL26)</f>
        <v/>
      </c>
      <c r="N26" s="342">
        <f>IF(AM26=301,"",AM26)</f>
        <v>193</v>
      </c>
      <c r="O26" s="342" t="str">
        <f>IF(AN26=0,"",AN26)</f>
        <v/>
      </c>
      <c r="P26" s="342">
        <f>IF(AO26=301,"",AO26)</f>
        <v>193</v>
      </c>
      <c r="Q26" s="342" t="str">
        <f>IF(AP26=0,"",AP26)</f>
        <v/>
      </c>
      <c r="R26" s="342">
        <f>IF(AQ26=301,"",AQ26)</f>
        <v>158</v>
      </c>
      <c r="S26" s="342" t="str">
        <f>IF(AR26=0,"",AR26)</f>
        <v/>
      </c>
      <c r="T26" s="342">
        <f>IF(AS26=301,"",AS26)</f>
        <v>184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212</v>
      </c>
      <c r="AD26" s="378"/>
      <c r="AE26" s="377">
        <f>ABS(INDEX(AE:AE,MATCH(AE22,$AA:$AA,0)+8)+INDEX(AE:AE,MATCH(AE22,$AA:$AA,0)+9)+INDEX(AE:AE,MATCH(AE22,$AA:$AA,0)+10))</f>
        <v>201</v>
      </c>
      <c r="AF26" s="378"/>
      <c r="AG26" s="377">
        <f>ABS(INDEX(AG:AG,MATCH(AG22,$AA:$AA,0)+8)+INDEX(AG:AG,MATCH(AG22,$AA:$AA,0)+9)+INDEX(AG:AG,MATCH(AG22,$AA:$AA,0)+10))</f>
        <v>170</v>
      </c>
      <c r="AH26" s="378"/>
      <c r="AI26" s="377">
        <f>ABS(INDEX(AI:AI,MATCH(AI22,$AA:$AA,0)+8)+INDEX(AI:AI,MATCH(AI22,$AA:$AA,0)+9)+INDEX(AI:AI,MATCH(AI22,$AA:$AA,0)+10))</f>
        <v>152</v>
      </c>
      <c r="AJ26" s="378"/>
      <c r="AK26" s="377">
        <f>ABS(INDEX(AK:AK,MATCH(AK22,$AA:$AA,0)+8)+INDEX(AK:AK,MATCH(AK22,$AA:$AA,0)+9)+INDEX(AK:AK,MATCH(AK22,$AA:$AA,0)+10))</f>
        <v>166</v>
      </c>
      <c r="AL26" s="378"/>
      <c r="AM26" s="377">
        <f>ABS(INDEX(AM:AM,MATCH(AM22,$AA:$AA,0)+8)+INDEX(AM:AM,MATCH(AM22,$AA:$AA,0)+9)+INDEX(AM:AM,MATCH(AM22,$AA:$AA,0)+10))</f>
        <v>193</v>
      </c>
      <c r="AN26" s="378"/>
      <c r="AO26" s="377">
        <f>ABS(INDEX(AO:AO,MATCH(AO22,$AA:$AA,0)+8)+INDEX(AO:AO,MATCH(AO22,$AA:$AA,0)+9)+INDEX(AO:AO,MATCH(AO22,$AA:$AA,0)+10))</f>
        <v>193</v>
      </c>
      <c r="AP26" s="378"/>
      <c r="AQ26" s="377">
        <f>ABS(INDEX(AQ:AQ,MATCH(AQ22,$AA:$AA,0)+8)+INDEX(AQ:AQ,MATCH(AQ22,$AA:$AA,0)+9)+INDEX(AQ:AQ,MATCH(AQ22,$AA:$AA,0)+10))</f>
        <v>158</v>
      </c>
      <c r="AR26" s="378"/>
      <c r="AS26" s="377">
        <f>ABS(INDEX(AS:AS,MATCH(AS22,$AA:$AA,0)+8)+INDEX(AS:AS,MATCH(AS22,$AA:$AA,0)+9)+INDEX(AS:AS,MATCH(AS22,$AA:$AA,0)+10))</f>
        <v>184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214</v>
      </c>
      <c r="E27" s="342" t="str">
        <f>IF(AD27=0,"",AD27)</f>
        <v/>
      </c>
      <c r="F27" s="342">
        <f>IF(AE27=301,"",AE27)</f>
        <v>210</v>
      </c>
      <c r="G27" s="342" t="str">
        <f>IF(AF27=0,"",AF27)</f>
        <v/>
      </c>
      <c r="H27" s="342">
        <f>IF(AG27=301,"",AG27)</f>
        <v>174</v>
      </c>
      <c r="I27" s="342" t="str">
        <f>IF(AH27=0,"",AH27)</f>
        <v/>
      </c>
      <c r="J27" s="342">
        <f>IF(AI27=301,"",AI27)</f>
        <v>190</v>
      </c>
      <c r="K27" s="342" t="str">
        <f>IF(AJ27=0,"",AJ27)</f>
        <v/>
      </c>
      <c r="L27" s="342">
        <f>IF(AK27=301,"",AK27)</f>
        <v>170</v>
      </c>
      <c r="M27" s="342" t="str">
        <f>IF(AL27=0,"",AL27)</f>
        <v/>
      </c>
      <c r="N27" s="342">
        <f>IF(AM27=301,"",AM27)</f>
        <v>214</v>
      </c>
      <c r="O27" s="342" t="str">
        <f>IF(AN27=0,"",AN27)</f>
        <v/>
      </c>
      <c r="P27" s="342">
        <f>IF(AO27=301,"",AO27)</f>
        <v>182</v>
      </c>
      <c r="Q27" s="342" t="str">
        <f>IF(AP27=0,"",AP27)</f>
        <v/>
      </c>
      <c r="R27" s="342">
        <f>IF(AQ27=301,"",AQ27)</f>
        <v>200</v>
      </c>
      <c r="S27" s="342" t="str">
        <f>IF(AR27=0,"",AR27)</f>
        <v/>
      </c>
      <c r="T27" s="342">
        <f>IF(AS27=301,"",AS27)</f>
        <v>170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214</v>
      </c>
      <c r="AD27" s="378"/>
      <c r="AE27" s="377">
        <f>ABS(INDEX(AE:AE,MATCH(AE22,$AA:$AA,0)+11)+INDEX(AE:AE,MATCH(AE22,$AA:$AA,0)+12)+INDEX(AE:AE,MATCH(AE22,$AA:$AA,0)+13))</f>
        <v>210</v>
      </c>
      <c r="AF27" s="378"/>
      <c r="AG27" s="377">
        <f>ABS(INDEX(AG:AG,MATCH(AG22,$AA:$AA,0)+11)+INDEX(AG:AG,MATCH(AG22,$AA:$AA,0)+12)+INDEX(AG:AG,MATCH(AG22,$AA:$AA,0)+13))</f>
        <v>174</v>
      </c>
      <c r="AH27" s="378"/>
      <c r="AI27" s="377">
        <f>ABS(INDEX(AI:AI,MATCH(AI22,$AA:$AA,0)+11)+INDEX(AI:AI,MATCH(AI22,$AA:$AA,0)+12)+INDEX(AI:AI,MATCH(AI22,$AA:$AA,0)+13))</f>
        <v>190</v>
      </c>
      <c r="AJ27" s="378"/>
      <c r="AK27" s="377">
        <f>ABS(INDEX(AK:AK,MATCH(AK22,$AA:$AA,0)+11)+INDEX(AK:AK,MATCH(AK22,$AA:$AA,0)+12)+INDEX(AK:AK,MATCH(AK22,$AA:$AA,0)+13))</f>
        <v>170</v>
      </c>
      <c r="AL27" s="378"/>
      <c r="AM27" s="377">
        <f>ABS(INDEX(AM:AM,MATCH(AM22,$AA:$AA,0)+11)+INDEX(AM:AM,MATCH(AM22,$AA:$AA,0)+12)+INDEX(AM:AM,MATCH(AM22,$AA:$AA,0)+13))</f>
        <v>214</v>
      </c>
      <c r="AN27" s="378"/>
      <c r="AO27" s="377">
        <f>ABS(INDEX(AO:AO,MATCH(AO22,$AA:$AA,0)+11)+INDEX(AO:AO,MATCH(AO22,$AA:$AA,0)+12)+INDEX(AO:AO,MATCH(AO22,$AA:$AA,0)+13))</f>
        <v>182</v>
      </c>
      <c r="AP27" s="378"/>
      <c r="AQ27" s="377">
        <f>ABS(INDEX(AQ:AQ,MATCH(AQ22,$AA:$AA,0)+11)+INDEX(AQ:AQ,MATCH(AQ22,$AA:$AA,0)+12)+INDEX(AQ:AQ,MATCH(AQ22,$AA:$AA,0)+13))</f>
        <v>200</v>
      </c>
      <c r="AR27" s="378"/>
      <c r="AS27" s="377">
        <f>ABS(INDEX(AS:AS,MATCH(AS22,$AA:$AA,0)+11)+INDEX(AS:AS,MATCH(AS22,$AA:$AA,0)+12)+INDEX(AS:AS,MATCH(AS22,$AA:$AA,0)+13))</f>
        <v>170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237</v>
      </c>
      <c r="E28" s="342" t="str">
        <f>IF(AD28=0,"",AD28)</f>
        <v/>
      </c>
      <c r="F28" s="342">
        <f>IF(AE28=301,"",AE28)</f>
        <v>245</v>
      </c>
      <c r="G28" s="342" t="str">
        <f>IF(AF28=0,"",AF28)</f>
        <v/>
      </c>
      <c r="H28" s="342">
        <f>IF(AG28=301,"",AG28)</f>
        <v>255</v>
      </c>
      <c r="I28" s="342" t="str">
        <f>IF(AH28=0,"",AH28)</f>
        <v/>
      </c>
      <c r="J28" s="342">
        <f>IF(AI28=301,"",AI28)</f>
        <v>227</v>
      </c>
      <c r="K28" s="342" t="str">
        <f>IF(AJ28=0,"",AJ28)</f>
        <v/>
      </c>
      <c r="L28" s="342">
        <f>IF(AK28=301,"",AK28)</f>
        <v>199</v>
      </c>
      <c r="M28" s="342" t="str">
        <f>IF(AL28=0,"",AL28)</f>
        <v/>
      </c>
      <c r="N28" s="342">
        <f>IF(AM28=301,"",AM28)</f>
        <v>182</v>
      </c>
      <c r="O28" s="342" t="str">
        <f>IF(AN28=0,"",AN28)</f>
        <v/>
      </c>
      <c r="P28" s="342">
        <f>IF(AO28=301,"",AO28)</f>
        <v>242</v>
      </c>
      <c r="Q28" s="342" t="str">
        <f>IF(AP28=0,"",AP28)</f>
        <v/>
      </c>
      <c r="R28" s="342">
        <f>IF(AQ28=301,"",AQ28)</f>
        <v>135</v>
      </c>
      <c r="S28" s="342" t="str">
        <f>IF(AR28=0,"",AR28)</f>
        <v/>
      </c>
      <c r="T28" s="342">
        <f>IF(AS28=301,"",AS28)</f>
        <v>181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237</v>
      </c>
      <c r="AD28" s="378"/>
      <c r="AE28" s="377">
        <f>ABS(INDEX(AE:AE,MATCH(AE22,$AA:$AA,0)+14)+INDEX(AE:AE,MATCH(AE22,$AA:$AA,0)+15)+INDEX(AE:AE,MATCH(AE22,$AA:$AA,0)+16))</f>
        <v>245</v>
      </c>
      <c r="AF28" s="378"/>
      <c r="AG28" s="377">
        <f>ABS(INDEX(AG:AG,MATCH(AG22,$AA:$AA,0)+14)+INDEX(AG:AG,MATCH(AG22,$AA:$AA,0)+15)+INDEX(AG:AG,MATCH(AG22,$AA:$AA,0)+16))</f>
        <v>255</v>
      </c>
      <c r="AH28" s="378"/>
      <c r="AI28" s="377">
        <f>ABS(INDEX(AI:AI,MATCH(AI22,$AA:$AA,0)+14)+INDEX(AI:AI,MATCH(AI22,$AA:$AA,0)+15)+INDEX(AI:AI,MATCH(AI22,$AA:$AA,0)+16))</f>
        <v>227</v>
      </c>
      <c r="AJ28" s="378"/>
      <c r="AK28" s="377">
        <f>ABS(INDEX(AK:AK,MATCH(AK22,$AA:$AA,0)+14)+INDEX(AK:AK,MATCH(AK22,$AA:$AA,0)+15)+INDEX(AK:AK,MATCH(AK22,$AA:$AA,0)+16))</f>
        <v>199</v>
      </c>
      <c r="AL28" s="378"/>
      <c r="AM28" s="377">
        <f>ABS(INDEX(AM:AM,MATCH(AM22,$AA:$AA,0)+14)+INDEX(AM:AM,MATCH(AM22,$AA:$AA,0)+15)+INDEX(AM:AM,MATCH(AM22,$AA:$AA,0)+16))</f>
        <v>182</v>
      </c>
      <c r="AN28" s="378"/>
      <c r="AO28" s="377">
        <f>ABS(INDEX(AO:AO,MATCH(AO22,$AA:$AA,0)+14)+INDEX(AO:AO,MATCH(AO22,$AA:$AA,0)+15)+INDEX(AO:AO,MATCH(AO22,$AA:$AA,0)+16))</f>
        <v>242</v>
      </c>
      <c r="AP28" s="378"/>
      <c r="AQ28" s="377">
        <f>ABS(INDEX(AQ:AQ,MATCH(AQ22,$AA:$AA,0)+14)+INDEX(AQ:AQ,MATCH(AQ22,$AA:$AA,0)+15)+INDEX(AQ:AQ,MATCH(AQ22,$AA:$AA,0)+16))</f>
        <v>135</v>
      </c>
      <c r="AR28" s="378"/>
      <c r="AS28" s="377">
        <f>ABS(INDEX(AS:AS,MATCH(AS22,$AA:$AA,0)+14)+INDEX(AS:AS,MATCH(AS22,$AA:$AA,0)+15)+INDEX(AS:AS,MATCH(AS22,$AA:$AA,0)+16))</f>
        <v>181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854</v>
      </c>
      <c r="E29" s="341" t="str">
        <f>IF(AD29=0,"",AD29)</f>
        <v/>
      </c>
      <c r="F29" s="341">
        <f>IF(AE29=1505,"",AE29)</f>
        <v>846</v>
      </c>
      <c r="G29" s="341" t="str">
        <f>IF(AF29=0,"",AF29)</f>
        <v/>
      </c>
      <c r="H29" s="341">
        <f>IF(AG29=1505,"",AG29)</f>
        <v>757</v>
      </c>
      <c r="I29" s="341" t="str">
        <f>IF(AH29=0,"",AH29)</f>
        <v/>
      </c>
      <c r="J29" s="341">
        <f>IF(AI29=1505,"",AI29)</f>
        <v>739</v>
      </c>
      <c r="K29" s="341" t="str">
        <f>IF(AJ29=0,"",AJ29)</f>
        <v/>
      </c>
      <c r="L29" s="341">
        <f>IF(AK29=1505,"",AK29)</f>
        <v>747</v>
      </c>
      <c r="M29" s="341" t="str">
        <f>IF(AL29=0,"",AL29)</f>
        <v/>
      </c>
      <c r="N29" s="341">
        <f>IF(AM29=1505,"",AM29)</f>
        <v>780</v>
      </c>
      <c r="O29" s="341" t="str">
        <f>IF(AN29=0,"",AN29)</f>
        <v/>
      </c>
      <c r="P29" s="341">
        <f>IF(AO29=1505,"",AO29)</f>
        <v>840</v>
      </c>
      <c r="Q29" s="341" t="str">
        <f>IF(AP29=0,"",AP29)</f>
        <v/>
      </c>
      <c r="R29" s="341">
        <f>IF(AQ29=1505,"",AQ29)</f>
        <v>687</v>
      </c>
      <c r="S29" s="341" t="str">
        <f>IF(AR29=0,"",AR29)</f>
        <v/>
      </c>
      <c r="T29" s="341">
        <f>IF(AS29=1505,"",AS29)</f>
        <v>702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854</v>
      </c>
      <c r="AD29" s="358"/>
      <c r="AE29" s="357">
        <f>SUM(AE25:AE28)</f>
        <v>846</v>
      </c>
      <c r="AF29" s="358"/>
      <c r="AG29" s="357">
        <f>SUM(AG25:AG28)</f>
        <v>757</v>
      </c>
      <c r="AH29" s="358"/>
      <c r="AI29" s="357">
        <f>SUM(AI25:AI28)</f>
        <v>739</v>
      </c>
      <c r="AJ29" s="358"/>
      <c r="AK29" s="357">
        <f>SUM(AK25:AK28)</f>
        <v>747</v>
      </c>
      <c r="AL29" s="358"/>
      <c r="AM29" s="357">
        <f>SUM(AM25:AM28)</f>
        <v>780</v>
      </c>
      <c r="AN29" s="358"/>
      <c r="AO29" s="357">
        <f>SUM(AO25:AO28)</f>
        <v>840</v>
      </c>
      <c r="AP29" s="358"/>
      <c r="AQ29" s="357">
        <f>SUM(AQ25:AQ28)</f>
        <v>687</v>
      </c>
      <c r="AR29" s="358"/>
      <c r="AS29" s="357">
        <f>SUM(AS25:AS28)</f>
        <v>702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12.10./13.10.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12.10./13.10.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51">
        <f>IF(AD37="","",AD37)</f>
        <v>1</v>
      </c>
      <c r="F37" s="75">
        <f t="shared" ref="F37:F50" si="35">IF(AE37=0,"",AE37)</f>
        <v>216</v>
      </c>
      <c r="G37" s="351">
        <f>IF(AF37="","",AF37)</f>
        <v>1</v>
      </c>
      <c r="H37" s="75">
        <f t="shared" ref="H37:H50" si="36">IF(AG37=0,"",AG37)</f>
        <v>233</v>
      </c>
      <c r="I37" s="351">
        <f>IF(AH37="","",AH37)</f>
        <v>1</v>
      </c>
      <c r="J37" s="75">
        <f t="shared" ref="J37:J50" si="37">IF(AI37=0,"",AI37)</f>
        <v>244</v>
      </c>
      <c r="K37" s="351">
        <f>IF(AJ37="","",AJ37)</f>
        <v>1</v>
      </c>
      <c r="L37" s="75">
        <f t="shared" ref="L37:L50" si="38">IF(AK37=0,"",AK37)</f>
        <v>258</v>
      </c>
      <c r="M37" s="351">
        <f>IF(AL37="","",AL37)</f>
        <v>1</v>
      </c>
      <c r="N37" s="75">
        <f>IF(AM37=0,"",AM37)</f>
        <v>216</v>
      </c>
      <c r="O37" s="351">
        <f>IF(AN37="","",AN37)</f>
        <v>1</v>
      </c>
      <c r="P37" s="75">
        <f t="shared" ref="P37:P50" si="39">IF(AO37=0,"",AO37)</f>
        <v>236</v>
      </c>
      <c r="Q37" s="351">
        <f>IF(AP37="","",AP37)</f>
        <v>1</v>
      </c>
      <c r="R37" s="75">
        <f t="shared" ref="R37:R50" si="40">IF(AQ37=0,"",AQ37)</f>
        <v>194</v>
      </c>
      <c r="S37" s="351">
        <f>IF(AR37="","",AR37)</f>
        <v>0</v>
      </c>
      <c r="T37" s="75">
        <f t="shared" ref="T37:T50" si="41">IF(AS37=0,"",AS37)</f>
        <v>207</v>
      </c>
      <c r="U37" s="351">
        <f>IF(AT37="","",AT37)</f>
        <v>1</v>
      </c>
      <c r="V37" s="75">
        <f t="shared" ref="V37:V50" si="42">IF(AU37=0,"",AU37)</f>
        <v>2081</v>
      </c>
      <c r="W37" s="351">
        <f>IF(AV37="","",AV37)</f>
        <v>8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71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7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7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51">
        <f>IF(AD40="","",AD40)</f>
        <v>1</v>
      </c>
      <c r="F40" s="75">
        <f t="shared" si="35"/>
        <v>174</v>
      </c>
      <c r="G40" s="351">
        <f>IF(AF40="","",AF40)</f>
        <v>0</v>
      </c>
      <c r="H40" s="75">
        <f t="shared" si="36"/>
        <v>222</v>
      </c>
      <c r="I40" s="351">
        <f>IF(AH40="","",AH40)</f>
        <v>1</v>
      </c>
      <c r="J40" s="75">
        <f t="shared" si="37"/>
        <v>230</v>
      </c>
      <c r="K40" s="351">
        <f>IF(AJ40="","",AJ40)</f>
        <v>1</v>
      </c>
      <c r="L40" s="75">
        <f t="shared" si="38"/>
        <v>175</v>
      </c>
      <c r="M40" s="351">
        <f>IF(AL40="","",AL40)</f>
        <v>0</v>
      </c>
      <c r="N40" s="75">
        <f t="shared" si="57"/>
        <v>202</v>
      </c>
      <c r="O40" s="351">
        <f>IF(AN40="","",AN40)</f>
        <v>1</v>
      </c>
      <c r="P40" s="75">
        <f t="shared" si="39"/>
        <v>219</v>
      </c>
      <c r="Q40" s="351">
        <f>IF(AP40="","",AP40)</f>
        <v>1</v>
      </c>
      <c r="R40" s="75">
        <f t="shared" si="40"/>
        <v>158</v>
      </c>
      <c r="S40" s="351">
        <f>IF(AR40="","",AR40)</f>
        <v>0</v>
      </c>
      <c r="T40" s="75">
        <f t="shared" si="41"/>
        <v>195</v>
      </c>
      <c r="U40" s="351">
        <f>IF(AT40="","",AT40)</f>
        <v>1</v>
      </c>
      <c r="V40" s="75">
        <f t="shared" si="42"/>
        <v>1760</v>
      </c>
      <c r="W40" s="351">
        <f>IF(AV40="","",AV40)</f>
        <v>6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7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7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51">
        <f>IF(AD43="","",AD43)</f>
        <v>1</v>
      </c>
      <c r="F43" s="75">
        <f t="shared" si="35"/>
        <v>233</v>
      </c>
      <c r="G43" s="351">
        <f>IF(AF43="","",AF43)</f>
        <v>1</v>
      </c>
      <c r="H43" s="75">
        <f t="shared" si="36"/>
        <v>235</v>
      </c>
      <c r="I43" s="351">
        <f>IF(AH43="","",AH43)</f>
        <v>1</v>
      </c>
      <c r="J43" s="75">
        <f t="shared" si="37"/>
        <v>216</v>
      </c>
      <c r="K43" s="351">
        <f>IF(AJ43="","",AJ43)</f>
        <v>1</v>
      </c>
      <c r="L43" s="75">
        <f t="shared" si="38"/>
        <v>212</v>
      </c>
      <c r="M43" s="351">
        <f>IF(AL43="","",AL43)</f>
        <v>0</v>
      </c>
      <c r="N43" s="75">
        <f t="shared" si="57"/>
        <v>192</v>
      </c>
      <c r="O43" s="351">
        <f>IF(AN43="","",AN43)</f>
        <v>1</v>
      </c>
      <c r="P43" s="75">
        <f t="shared" si="39"/>
        <v>200</v>
      </c>
      <c r="Q43" s="351">
        <f>IF(AP43="","",AP43)</f>
        <v>1</v>
      </c>
      <c r="R43" s="75">
        <f t="shared" si="40"/>
        <v>200</v>
      </c>
      <c r="S43" s="351">
        <f>IF(AR43="","",AR43)</f>
        <v>1</v>
      </c>
      <c r="T43" s="75">
        <f t="shared" si="41"/>
        <v>213</v>
      </c>
      <c r="U43" s="351">
        <f>IF(AT43="","",AT43)</f>
        <v>0</v>
      </c>
      <c r="V43" s="75">
        <f t="shared" si="42"/>
        <v>1947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7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7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51">
        <f>IF(AD46="","",AD46)</f>
        <v>1</v>
      </c>
      <c r="F46" s="75">
        <f t="shared" si="35"/>
        <v>158</v>
      </c>
      <c r="G46" s="351">
        <f>IF(AF46="","",AF46)</f>
        <v>0</v>
      </c>
      <c r="H46" s="75">
        <f t="shared" si="36"/>
        <v>182</v>
      </c>
      <c r="I46" s="351">
        <f>IF(AH46="","",AH46)</f>
        <v>1</v>
      </c>
      <c r="J46" s="75">
        <f t="shared" si="37"/>
        <v>176</v>
      </c>
      <c r="K46" s="351">
        <f>IF(AJ46="","",AJ46)</f>
        <v>1</v>
      </c>
      <c r="L46" s="75">
        <f t="shared" si="38"/>
        <v>164</v>
      </c>
      <c r="M46" s="351">
        <f>IF(AL46="","",AL46)</f>
        <v>0</v>
      </c>
      <c r="N46" s="75" t="str">
        <f t="shared" si="57"/>
        <v/>
      </c>
      <c r="O46" s="351">
        <f>IF(AN46="","",AN46)</f>
        <v>0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884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>
        <f t="shared" si="57"/>
        <v>225</v>
      </c>
      <c r="O47" s="352"/>
      <c r="P47" s="78">
        <f t="shared" si="39"/>
        <v>160</v>
      </c>
      <c r="Q47" s="352"/>
      <c r="R47" s="78">
        <f t="shared" si="40"/>
        <v>135</v>
      </c>
      <c r="S47" s="352"/>
      <c r="T47" s="78">
        <f t="shared" si="41"/>
        <v>212</v>
      </c>
      <c r="U47" s="352"/>
      <c r="V47" s="78">
        <f t="shared" si="42"/>
        <v>732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7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9">
        <f t="shared" ref="D52:M54" si="70">IF(AC52=0,"",AC52)</f>
        <v>6</v>
      </c>
      <c r="E52" s="349" t="str">
        <f t="shared" si="70"/>
        <v/>
      </c>
      <c r="F52" s="349">
        <f t="shared" si="70"/>
        <v>4</v>
      </c>
      <c r="G52" s="349" t="str">
        <f t="shared" si="70"/>
        <v/>
      </c>
      <c r="H52" s="349">
        <f t="shared" si="70"/>
        <v>8</v>
      </c>
      <c r="I52" s="349" t="str">
        <f t="shared" si="70"/>
        <v/>
      </c>
      <c r="J52" s="349">
        <f t="shared" si="70"/>
        <v>7</v>
      </c>
      <c r="K52" s="349" t="str">
        <f t="shared" si="70"/>
        <v/>
      </c>
      <c r="L52" s="349">
        <f t="shared" si="70"/>
        <v>3</v>
      </c>
      <c r="M52" s="349" t="str">
        <f t="shared" si="70"/>
        <v/>
      </c>
      <c r="N52" s="349">
        <f t="shared" ref="N52:U54" si="71">IF(AM52=0,"",AM52)</f>
        <v>5</v>
      </c>
      <c r="O52" s="349" t="str">
        <f t="shared" si="71"/>
        <v/>
      </c>
      <c r="P52" s="349">
        <f t="shared" si="71"/>
        <v>10</v>
      </c>
      <c r="Q52" s="349" t="str">
        <f t="shared" si="71"/>
        <v/>
      </c>
      <c r="R52" s="349">
        <f t="shared" si="71"/>
        <v>1</v>
      </c>
      <c r="S52" s="349" t="str">
        <f t="shared" si="71"/>
        <v/>
      </c>
      <c r="T52" s="349">
        <f t="shared" si="71"/>
        <v>9</v>
      </c>
      <c r="U52" s="349" t="str">
        <f t="shared" si="71"/>
        <v/>
      </c>
      <c r="V52" s="350"/>
      <c r="W52" s="350"/>
      <c r="AA52" s="88" t="s">
        <v>1797</v>
      </c>
      <c r="AB52" s="89" t="s">
        <v>1798</v>
      </c>
      <c r="AC52" s="373">
        <f>VLOOKUP($AA32,Schlüssel!$A$5:$K$14,3)</f>
        <v>6</v>
      </c>
      <c r="AD52" s="374"/>
      <c r="AE52" s="373">
        <f>VLOOKUP($AA32,Schlüssel!$A$5:$K$14,4)</f>
        <v>4</v>
      </c>
      <c r="AF52" s="374"/>
      <c r="AG52" s="373">
        <f>VLOOKUP($AA32,Schlüssel!$A$5:$K$14,5)</f>
        <v>8</v>
      </c>
      <c r="AH52" s="374"/>
      <c r="AI52" s="373">
        <f>VLOOKUP($AA32,Schlüssel!$A$5:$K$14,6)</f>
        <v>7</v>
      </c>
      <c r="AJ52" s="374"/>
      <c r="AK52" s="373">
        <f>VLOOKUP($AA32,Schlüssel!$A$5:$K$14,7)</f>
        <v>3</v>
      </c>
      <c r="AL52" s="374"/>
      <c r="AM52" s="373">
        <f>VLOOKUP($AA32,Schlüssel!$A$5:$K$14,8)</f>
        <v>5</v>
      </c>
      <c r="AN52" s="374"/>
      <c r="AO52" s="373">
        <f>VLOOKUP($AA32,Schlüssel!$A$5:$K$14,9)</f>
        <v>10</v>
      </c>
      <c r="AP52" s="374"/>
      <c r="AQ52" s="373">
        <f>VLOOKUP($AA32,Schlüssel!$A$5:$K$14,10)</f>
        <v>1</v>
      </c>
      <c r="AR52" s="374"/>
      <c r="AS52" s="373">
        <f>VLOOKUP($AA32,Schlüssel!$A$5:$K$14,11)</f>
        <v>9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6" t="str">
        <f t="shared" si="70"/>
        <v>SG Rottendorf 1</v>
      </c>
      <c r="E53" s="347" t="str">
        <f t="shared" si="70"/>
        <v/>
      </c>
      <c r="F53" s="346" t="str">
        <f t="shared" si="70"/>
        <v>SG DJK Rimpar</v>
      </c>
      <c r="G53" s="347" t="str">
        <f t="shared" si="70"/>
        <v/>
      </c>
      <c r="H53" s="346" t="str">
        <f t="shared" si="70"/>
        <v>BC EMAX Unterföhring 2</v>
      </c>
      <c r="I53" s="347" t="str">
        <f t="shared" si="70"/>
        <v/>
      </c>
      <c r="J53" s="346" t="str">
        <f t="shared" si="70"/>
        <v>Schanzer Ingolstadt 1</v>
      </c>
      <c r="K53" s="347" t="str">
        <f t="shared" si="70"/>
        <v/>
      </c>
      <c r="L53" s="346" t="str">
        <f t="shared" si="70"/>
        <v>BK München 3</v>
      </c>
      <c r="M53" s="347" t="str">
        <f t="shared" si="70"/>
        <v/>
      </c>
      <c r="N53" s="346" t="str">
        <f t="shared" si="71"/>
        <v>RW Lichtenhof Stein 1</v>
      </c>
      <c r="O53" s="347" t="str">
        <f t="shared" si="71"/>
        <v/>
      </c>
      <c r="P53" s="346" t="str">
        <f t="shared" si="71"/>
        <v>High Roller Rosenheim 1</v>
      </c>
      <c r="Q53" s="347" t="str">
        <f t="shared" si="71"/>
        <v/>
      </c>
      <c r="R53" s="346" t="str">
        <f t="shared" si="71"/>
        <v>BC Comet Nürnberg</v>
      </c>
      <c r="S53" s="347" t="str">
        <f t="shared" si="71"/>
        <v/>
      </c>
      <c r="T53" s="346" t="str">
        <f t="shared" si="71"/>
        <v>Bowlinghaus Bamberg 1</v>
      </c>
      <c r="U53" s="347" t="str">
        <f t="shared" si="71"/>
        <v/>
      </c>
      <c r="V53" s="348"/>
      <c r="W53" s="348"/>
      <c r="AA53" s="90"/>
      <c r="AB53" s="86"/>
      <c r="AC53" s="346" t="str">
        <f>VLOOKUP(AC52,Schlüssel!$A$5:$K$14,2)</f>
        <v>SG Rottendorf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RW Lichtenhof Stein 1</v>
      </c>
      <c r="AN53" s="347"/>
      <c r="AO53" s="346" t="str">
        <f>VLOOKUP(AO52,Schlüssel!$A$5:$K$14,2)</f>
        <v>High Roller Rosenheim 1</v>
      </c>
      <c r="AP53" s="347"/>
      <c r="AQ53" s="346" t="str">
        <f>VLOOKUP(AQ52,Schlüssel!$A$5:$K$14,2)</f>
        <v>BC Comet Nürnberg</v>
      </c>
      <c r="AR53" s="347"/>
      <c r="AS53" s="346" t="str">
        <f>VLOOKUP(AS52,Schlüssel!$A$5:$K$14,2)</f>
        <v>Bowlinghaus Bamberg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4" t="str">
        <f t="shared" si="70"/>
        <v/>
      </c>
      <c r="E54" s="344" t="str">
        <f t="shared" si="70"/>
        <v/>
      </c>
      <c r="F54" s="344" t="str">
        <f t="shared" si="70"/>
        <v/>
      </c>
      <c r="G54" s="344" t="str">
        <f t="shared" si="70"/>
        <v/>
      </c>
      <c r="H54" s="344" t="str">
        <f t="shared" si="70"/>
        <v/>
      </c>
      <c r="I54" s="344" t="str">
        <f t="shared" si="70"/>
        <v/>
      </c>
      <c r="J54" s="344" t="str">
        <f t="shared" si="70"/>
        <v/>
      </c>
      <c r="K54" s="344" t="str">
        <f t="shared" si="70"/>
        <v/>
      </c>
      <c r="L54" s="344" t="str">
        <f t="shared" si="70"/>
        <v/>
      </c>
      <c r="M54" s="344" t="str">
        <f t="shared" si="70"/>
        <v/>
      </c>
      <c r="N54" s="344" t="str">
        <f t="shared" si="71"/>
        <v/>
      </c>
      <c r="O54" s="344" t="str">
        <f t="shared" si="71"/>
        <v/>
      </c>
      <c r="P54" s="344" t="str">
        <f t="shared" si="71"/>
        <v/>
      </c>
      <c r="Q54" s="344" t="str">
        <f t="shared" si="71"/>
        <v/>
      </c>
      <c r="R54" s="344" t="str">
        <f t="shared" si="71"/>
        <v/>
      </c>
      <c r="S54" s="344" t="str">
        <f t="shared" si="71"/>
        <v/>
      </c>
      <c r="T54" s="344" t="str">
        <f t="shared" si="71"/>
        <v/>
      </c>
      <c r="U54" s="345" t="str">
        <f t="shared" si="71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si="68"/>
        <v>Spieler 1</v>
      </c>
      <c r="C55" s="369" t="str">
        <f t="shared" si="69"/>
        <v/>
      </c>
      <c r="D55" s="342">
        <f>IF(AC55=301,"",AC55)</f>
        <v>211</v>
      </c>
      <c r="E55" s="342" t="str">
        <f>IF(AD55=0,"",AD55)</f>
        <v/>
      </c>
      <c r="F55" s="342">
        <f>IF(AE55=301,"",AE55)</f>
        <v>212</v>
      </c>
      <c r="G55" s="342" t="str">
        <f>IF(AF55=0,"",AF55)</f>
        <v/>
      </c>
      <c r="H55" s="342">
        <f>IF(AG55=301,"",AG55)</f>
        <v>178</v>
      </c>
      <c r="I55" s="342" t="str">
        <f>IF(AH55=0,"",AH55)</f>
        <v/>
      </c>
      <c r="J55" s="342">
        <f>IF(AI55=301,"",AI55)</f>
        <v>163</v>
      </c>
      <c r="K55" s="342" t="str">
        <f>IF(AJ55=0,"",AJ55)</f>
        <v/>
      </c>
      <c r="L55" s="342">
        <f>IF(AK55=301,"",AK55)</f>
        <v>215</v>
      </c>
      <c r="M55" s="342" t="str">
        <f>IF(AL55=0,"",AL55)</f>
        <v/>
      </c>
      <c r="N55" s="342">
        <f>IF(AM55=301,"",AM55)</f>
        <v>127</v>
      </c>
      <c r="O55" s="342" t="str">
        <f>IF(AN55=0,"",AN55)</f>
        <v/>
      </c>
      <c r="P55" s="342">
        <f>IF(AO55=301,"",AO55)</f>
        <v>156</v>
      </c>
      <c r="Q55" s="342" t="str">
        <f>IF(AP55=0,"",AP55)</f>
        <v/>
      </c>
      <c r="R55" s="342">
        <f>IF(AQ55=301,"",AQ55)</f>
        <v>216</v>
      </c>
      <c r="S55" s="342" t="str">
        <f>IF(AR55=0,"",AR55)</f>
        <v/>
      </c>
      <c r="T55" s="342">
        <f>IF(AS55=301,"",AS55)</f>
        <v>164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211</v>
      </c>
      <c r="AD55" s="376"/>
      <c r="AE55" s="375">
        <f>ABS(INDEX(AE:AE,MATCH(AE52,$AA:$AA,0)+5)+INDEX(AE:AE,MATCH(AE52,$AA:$AA,0)+6)+INDEX(AE:AE,MATCH(AE52,$AA:$AA,0)+7))</f>
        <v>212</v>
      </c>
      <c r="AF55" s="376"/>
      <c r="AG55" s="375">
        <f>ABS(INDEX(AG:AG,MATCH(AG52,$AA:$AA,0)+5)+INDEX(AG:AG,MATCH(AG52,$AA:$AA,0)+6)+INDEX(AG:AG,MATCH(AG52,$AA:$AA,0)+7))</f>
        <v>178</v>
      </c>
      <c r="AH55" s="376"/>
      <c r="AI55" s="375">
        <f>ABS(INDEX(AI:AI,MATCH(AI52,$AA:$AA,0)+5)+INDEX(AI:AI,MATCH(AI52,$AA:$AA,0)+6)+INDEX(AI:AI,MATCH(AI52,$AA:$AA,0)+7))</f>
        <v>163</v>
      </c>
      <c r="AJ55" s="376"/>
      <c r="AK55" s="375">
        <f>ABS(INDEX(AK:AK,MATCH(AK52,$AA:$AA,0)+5)+INDEX(AK:AK,MATCH(AK52,$AA:$AA,0)+6)+INDEX(AK:AK,MATCH(AK52,$AA:$AA,0)+7))</f>
        <v>215</v>
      </c>
      <c r="AL55" s="376"/>
      <c r="AM55" s="375">
        <f>ABS(INDEX(AM:AM,MATCH(AM52,$AA:$AA,0)+5)+INDEX(AM:AM,MATCH(AM52,$AA:$AA,0)+6)+INDEX(AM:AM,MATCH(AM52,$AA:$AA,0)+7))</f>
        <v>127</v>
      </c>
      <c r="AN55" s="376"/>
      <c r="AO55" s="375">
        <f>ABS(INDEX(AO:AO,MATCH(AO52,$AA:$AA,0)+5)+INDEX(AO:AO,MATCH(AO52,$AA:$AA,0)+6)+INDEX(AO:AO,MATCH(AO52,$AA:$AA,0)+7))</f>
        <v>156</v>
      </c>
      <c r="AP55" s="376"/>
      <c r="AQ55" s="375">
        <f>ABS(INDEX(AQ:AQ,MATCH(AQ52,$AA:$AA,0)+5)+INDEX(AQ:AQ,MATCH(AQ52,$AA:$AA,0)+6)+INDEX(AQ:AQ,MATCH(AQ52,$AA:$AA,0)+7))</f>
        <v>216</v>
      </c>
      <c r="AR55" s="376"/>
      <c r="AS55" s="375">
        <f>ABS(INDEX(AS:AS,MATCH(AS52,$AA:$AA,0)+5)+INDEX(AS:AS,MATCH(AS52,$AA:$AA,0)+6)+INDEX(AS:AS,MATCH(AS52,$AA:$AA,0)+7))</f>
        <v>164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9"/>
        <v/>
      </c>
      <c r="D56" s="342">
        <f>IF(AC56=301,"",AC56)</f>
        <v>174</v>
      </c>
      <c r="E56" s="342" t="str">
        <f>IF(AD56=0,"",AD56)</f>
        <v/>
      </c>
      <c r="F56" s="342">
        <f>IF(AE56=301,"",AE56)</f>
        <v>194</v>
      </c>
      <c r="G56" s="342" t="str">
        <f>IF(AF56=0,"",AF56)</f>
        <v/>
      </c>
      <c r="H56" s="342">
        <f>IF(AG56=301,"",AG56)</f>
        <v>214</v>
      </c>
      <c r="I56" s="342" t="str">
        <f>IF(AH56=0,"",AH56)</f>
        <v/>
      </c>
      <c r="J56" s="342">
        <f>IF(AI56=301,"",AI56)</f>
        <v>156</v>
      </c>
      <c r="K56" s="342" t="str">
        <f>IF(AJ56=0,"",AJ56)</f>
        <v/>
      </c>
      <c r="L56" s="342">
        <f>IF(AK56=301,"",AK56)</f>
        <v>186</v>
      </c>
      <c r="M56" s="342" t="str">
        <f>IF(AL56=0,"",AL56)</f>
        <v/>
      </c>
      <c r="N56" s="342">
        <f>IF(AM56=301,"",AM56)</f>
        <v>195</v>
      </c>
      <c r="O56" s="342" t="str">
        <f>IF(AN56=0,"",AN56)</f>
        <v/>
      </c>
      <c r="P56" s="342">
        <f>IF(AO56=301,"",AO56)</f>
        <v>199</v>
      </c>
      <c r="Q56" s="342" t="str">
        <f>IF(AP56=0,"",AP56)</f>
        <v/>
      </c>
      <c r="R56" s="342">
        <f>IF(AQ56=301,"",AQ56)</f>
        <v>181</v>
      </c>
      <c r="S56" s="342" t="str">
        <f>IF(AR56=0,"",AR56)</f>
        <v/>
      </c>
      <c r="T56" s="342">
        <f>IF(AS56=301,"",AS56)</f>
        <v>171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174</v>
      </c>
      <c r="AD56" s="378"/>
      <c r="AE56" s="377">
        <f>ABS(INDEX(AE:AE,MATCH(AE52,$AA:$AA,0)+8)+INDEX(AE:AE,MATCH(AE52,$AA:$AA,0)+9)+INDEX(AE:AE,MATCH(AE52,$AA:$AA,0)+10))</f>
        <v>194</v>
      </c>
      <c r="AF56" s="378"/>
      <c r="AG56" s="377">
        <f>ABS(INDEX(AG:AG,MATCH(AG52,$AA:$AA,0)+8)+INDEX(AG:AG,MATCH(AG52,$AA:$AA,0)+9)+INDEX(AG:AG,MATCH(AG52,$AA:$AA,0)+10))</f>
        <v>214</v>
      </c>
      <c r="AH56" s="378"/>
      <c r="AI56" s="377">
        <f>ABS(INDEX(AI:AI,MATCH(AI52,$AA:$AA,0)+8)+INDEX(AI:AI,MATCH(AI52,$AA:$AA,0)+9)+INDEX(AI:AI,MATCH(AI52,$AA:$AA,0)+10))</f>
        <v>156</v>
      </c>
      <c r="AJ56" s="378"/>
      <c r="AK56" s="377">
        <f>ABS(INDEX(AK:AK,MATCH(AK52,$AA:$AA,0)+8)+INDEX(AK:AK,MATCH(AK52,$AA:$AA,0)+9)+INDEX(AK:AK,MATCH(AK52,$AA:$AA,0)+10))</f>
        <v>186</v>
      </c>
      <c r="AL56" s="378"/>
      <c r="AM56" s="377">
        <f>ABS(INDEX(AM:AM,MATCH(AM52,$AA:$AA,0)+8)+INDEX(AM:AM,MATCH(AM52,$AA:$AA,0)+9)+INDEX(AM:AM,MATCH(AM52,$AA:$AA,0)+10))</f>
        <v>195</v>
      </c>
      <c r="AN56" s="378"/>
      <c r="AO56" s="377">
        <f>ABS(INDEX(AO:AO,MATCH(AO52,$AA:$AA,0)+8)+INDEX(AO:AO,MATCH(AO52,$AA:$AA,0)+9)+INDEX(AO:AO,MATCH(AO52,$AA:$AA,0)+10))</f>
        <v>199</v>
      </c>
      <c r="AP56" s="378"/>
      <c r="AQ56" s="377">
        <f>ABS(INDEX(AQ:AQ,MATCH(AQ52,$AA:$AA,0)+8)+INDEX(AQ:AQ,MATCH(AQ52,$AA:$AA,0)+9)+INDEX(AQ:AQ,MATCH(AQ52,$AA:$AA,0)+10))</f>
        <v>181</v>
      </c>
      <c r="AR56" s="378"/>
      <c r="AS56" s="377">
        <f>ABS(INDEX(AS:AS,MATCH(AS52,$AA:$AA,0)+8)+INDEX(AS:AS,MATCH(AS52,$AA:$AA,0)+9)+INDEX(AS:AS,MATCH(AS52,$AA:$AA,0)+10))</f>
        <v>171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9"/>
        <v/>
      </c>
      <c r="D57" s="342">
        <f>IF(AC57=301,"",AC57)</f>
        <v>184</v>
      </c>
      <c r="E57" s="342" t="str">
        <f>IF(AD57=0,"",AD57)</f>
        <v/>
      </c>
      <c r="F57" s="342">
        <f>IF(AE57=301,"",AE57)</f>
        <v>157</v>
      </c>
      <c r="G57" s="342" t="str">
        <f>IF(AF57=0,"",AF57)</f>
        <v/>
      </c>
      <c r="H57" s="342">
        <f>IF(AG57=301,"",AG57)</f>
        <v>172</v>
      </c>
      <c r="I57" s="342" t="str">
        <f>IF(AH57=0,"",AH57)</f>
        <v/>
      </c>
      <c r="J57" s="342">
        <f>IF(AI57=301,"",AI57)</f>
        <v>177</v>
      </c>
      <c r="K57" s="342" t="str">
        <f>IF(AJ57=0,"",AJ57)</f>
        <v/>
      </c>
      <c r="L57" s="342">
        <f>IF(AK57=301,"",AK57)</f>
        <v>237</v>
      </c>
      <c r="M57" s="342" t="str">
        <f>IF(AL57=0,"",AL57)</f>
        <v/>
      </c>
      <c r="N57" s="342">
        <f>IF(AM57=301,"",AM57)</f>
        <v>184</v>
      </c>
      <c r="O57" s="342" t="str">
        <f>IF(AN57=0,"",AN57)</f>
        <v/>
      </c>
      <c r="P57" s="342">
        <f>IF(AO57=301,"",AO57)</f>
        <v>167</v>
      </c>
      <c r="Q57" s="342" t="str">
        <f>IF(AP57=0,"",AP57)</f>
        <v/>
      </c>
      <c r="R57" s="342">
        <f>IF(AQ57=301,"",AQ57)</f>
        <v>199</v>
      </c>
      <c r="S57" s="342" t="str">
        <f>IF(AR57=0,"",AR57)</f>
        <v/>
      </c>
      <c r="T57" s="342">
        <f>IF(AS57=301,"",AS57)</f>
        <v>244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184</v>
      </c>
      <c r="AD57" s="378"/>
      <c r="AE57" s="377">
        <f>ABS(INDEX(AE:AE,MATCH(AE52,$AA:$AA,0)+11)+INDEX(AE:AE,MATCH(AE52,$AA:$AA,0)+12)+INDEX(AE:AE,MATCH(AE52,$AA:$AA,0)+13))</f>
        <v>157</v>
      </c>
      <c r="AF57" s="378"/>
      <c r="AG57" s="377">
        <f>ABS(INDEX(AG:AG,MATCH(AG52,$AA:$AA,0)+11)+INDEX(AG:AG,MATCH(AG52,$AA:$AA,0)+12)+INDEX(AG:AG,MATCH(AG52,$AA:$AA,0)+13))</f>
        <v>172</v>
      </c>
      <c r="AH57" s="378"/>
      <c r="AI57" s="377">
        <f>ABS(INDEX(AI:AI,MATCH(AI52,$AA:$AA,0)+11)+INDEX(AI:AI,MATCH(AI52,$AA:$AA,0)+12)+INDEX(AI:AI,MATCH(AI52,$AA:$AA,0)+13))</f>
        <v>177</v>
      </c>
      <c r="AJ57" s="378"/>
      <c r="AK57" s="377">
        <f>ABS(INDEX(AK:AK,MATCH(AK52,$AA:$AA,0)+11)+INDEX(AK:AK,MATCH(AK52,$AA:$AA,0)+12)+INDEX(AK:AK,MATCH(AK52,$AA:$AA,0)+13))</f>
        <v>237</v>
      </c>
      <c r="AL57" s="378"/>
      <c r="AM57" s="377">
        <f>ABS(INDEX(AM:AM,MATCH(AM52,$AA:$AA,0)+11)+INDEX(AM:AM,MATCH(AM52,$AA:$AA,0)+12)+INDEX(AM:AM,MATCH(AM52,$AA:$AA,0)+13))</f>
        <v>184</v>
      </c>
      <c r="AN57" s="378"/>
      <c r="AO57" s="377">
        <f>ABS(INDEX(AO:AO,MATCH(AO52,$AA:$AA,0)+11)+INDEX(AO:AO,MATCH(AO52,$AA:$AA,0)+12)+INDEX(AO:AO,MATCH(AO52,$AA:$AA,0)+13))</f>
        <v>167</v>
      </c>
      <c r="AP57" s="378"/>
      <c r="AQ57" s="377">
        <f>ABS(INDEX(AQ:AQ,MATCH(AQ52,$AA:$AA,0)+11)+INDEX(AQ:AQ,MATCH(AQ52,$AA:$AA,0)+12)+INDEX(AQ:AQ,MATCH(AQ52,$AA:$AA,0)+13))</f>
        <v>199</v>
      </c>
      <c r="AR57" s="378"/>
      <c r="AS57" s="377">
        <f>ABS(INDEX(AS:AS,MATCH(AS52,$AA:$AA,0)+11)+INDEX(AS:AS,MATCH(AS52,$AA:$AA,0)+12)+INDEX(AS:AS,MATCH(AS52,$AA:$AA,0)+13))</f>
        <v>244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9"/>
        <v/>
      </c>
      <c r="D58" s="342">
        <f>IF(AC58=301,"",AC58)</f>
        <v>177</v>
      </c>
      <c r="E58" s="342" t="str">
        <f>IF(AD58=0,"",AD58)</f>
        <v/>
      </c>
      <c r="F58" s="342">
        <f>IF(AE58=301,"",AE58)</f>
        <v>204</v>
      </c>
      <c r="G58" s="342" t="str">
        <f>IF(AF58=0,"",AF58)</f>
        <v/>
      </c>
      <c r="H58" s="342">
        <f>IF(AG58=301,"",AG58)</f>
        <v>143</v>
      </c>
      <c r="I58" s="342" t="str">
        <f>IF(AH58=0,"",AH58)</f>
        <v/>
      </c>
      <c r="J58" s="342">
        <f>IF(AI58=301,"",AI58)</f>
        <v>157</v>
      </c>
      <c r="K58" s="342" t="str">
        <f>IF(AJ58=0,"",AJ58)</f>
        <v/>
      </c>
      <c r="L58" s="342">
        <f>IF(AK58=301,"",AK58)</f>
        <v>238</v>
      </c>
      <c r="M58" s="342" t="str">
        <f>IF(AL58=0,"",AL58)</f>
        <v/>
      </c>
      <c r="N58" s="342">
        <f>IF(AM58=301,"",AM58)</f>
        <v>242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236</v>
      </c>
      <c r="S58" s="342" t="str">
        <f>IF(AR58=0,"",AR58)</f>
        <v/>
      </c>
      <c r="T58" s="342">
        <f>IF(AS58=301,"",AS58)</f>
        <v>151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177</v>
      </c>
      <c r="AD58" s="378"/>
      <c r="AE58" s="377">
        <f>ABS(INDEX(AE:AE,MATCH(AE52,$AA:$AA,0)+14)+INDEX(AE:AE,MATCH(AE52,$AA:$AA,0)+15)+INDEX(AE:AE,MATCH(AE52,$AA:$AA,0)+16))</f>
        <v>204</v>
      </c>
      <c r="AF58" s="378"/>
      <c r="AG58" s="377">
        <f>ABS(INDEX(AG:AG,MATCH(AG52,$AA:$AA,0)+14)+INDEX(AG:AG,MATCH(AG52,$AA:$AA,0)+15)+INDEX(AG:AG,MATCH(AG52,$AA:$AA,0)+16))</f>
        <v>143</v>
      </c>
      <c r="AH58" s="378"/>
      <c r="AI58" s="377">
        <f>ABS(INDEX(AI:AI,MATCH(AI52,$AA:$AA,0)+14)+INDEX(AI:AI,MATCH(AI52,$AA:$AA,0)+15)+INDEX(AI:AI,MATCH(AI52,$AA:$AA,0)+16))</f>
        <v>157</v>
      </c>
      <c r="AJ58" s="378"/>
      <c r="AK58" s="377">
        <f>ABS(INDEX(AK:AK,MATCH(AK52,$AA:$AA,0)+14)+INDEX(AK:AK,MATCH(AK52,$AA:$AA,0)+15)+INDEX(AK:AK,MATCH(AK52,$AA:$AA,0)+16))</f>
        <v>238</v>
      </c>
      <c r="AL58" s="378"/>
      <c r="AM58" s="377">
        <f>ABS(INDEX(AM:AM,MATCH(AM52,$AA:$AA,0)+14)+INDEX(AM:AM,MATCH(AM52,$AA:$AA,0)+15)+INDEX(AM:AM,MATCH(AM52,$AA:$AA,0)+16))</f>
        <v>242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236</v>
      </c>
      <c r="AR58" s="378"/>
      <c r="AS58" s="377">
        <f>ABS(INDEX(AS:AS,MATCH(AS52,$AA:$AA,0)+14)+INDEX(AS:AS,MATCH(AS52,$AA:$AA,0)+15)+INDEX(AS:AS,MATCH(AS52,$AA:$AA,0)+16))</f>
        <v>151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9"/>
        <v/>
      </c>
      <c r="D59" s="341">
        <f>IF(AC59=1505,"",AC59)</f>
        <v>746</v>
      </c>
      <c r="E59" s="341" t="str">
        <f>IF(AD59=0,"",AD59)</f>
        <v/>
      </c>
      <c r="F59" s="341">
        <f>IF(AE59=1505,"",AE59)</f>
        <v>767</v>
      </c>
      <c r="G59" s="341" t="str">
        <f>IF(AF59=0,"",AF59)</f>
        <v/>
      </c>
      <c r="H59" s="341">
        <f>IF(AG59=1505,"",AG59)</f>
        <v>707</v>
      </c>
      <c r="I59" s="341" t="str">
        <f>IF(AH59=0,"",AH59)</f>
        <v/>
      </c>
      <c r="J59" s="341">
        <f>IF(AI59=1505,"",AI59)</f>
        <v>653</v>
      </c>
      <c r="K59" s="341" t="str">
        <f>IF(AJ59=0,"",AJ59)</f>
        <v/>
      </c>
      <c r="L59" s="341">
        <f>IF(AK59=1505,"",AK59)</f>
        <v>876</v>
      </c>
      <c r="M59" s="341" t="str">
        <f>IF(AL59=0,"",AL59)</f>
        <v/>
      </c>
      <c r="N59" s="341">
        <f>IF(AM59=1505,"",AM59)</f>
        <v>748</v>
      </c>
      <c r="O59" s="341" t="str">
        <f>IF(AN59=0,"",AN59)</f>
        <v/>
      </c>
      <c r="P59" s="341">
        <f>IF(AO59=1505,"",AO59)</f>
        <v>715</v>
      </c>
      <c r="Q59" s="341" t="str">
        <f>IF(AP59=0,"",AP59)</f>
        <v/>
      </c>
      <c r="R59" s="341">
        <f>IF(AQ59=1505,"",AQ59)</f>
        <v>832</v>
      </c>
      <c r="S59" s="341" t="str">
        <f>IF(AR59=0,"",AR59)</f>
        <v/>
      </c>
      <c r="T59" s="341">
        <f>IF(AS59=1505,"",AS59)</f>
        <v>730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746</v>
      </c>
      <c r="AD59" s="358"/>
      <c r="AE59" s="357">
        <f>SUM(AE55:AE58)</f>
        <v>767</v>
      </c>
      <c r="AF59" s="358"/>
      <c r="AG59" s="357">
        <f>SUM(AG55:AG58)</f>
        <v>707</v>
      </c>
      <c r="AH59" s="358"/>
      <c r="AI59" s="357">
        <f>SUM(AI55:AI58)</f>
        <v>653</v>
      </c>
      <c r="AJ59" s="358"/>
      <c r="AK59" s="357">
        <f>SUM(AK55:AK58)</f>
        <v>876</v>
      </c>
      <c r="AL59" s="358"/>
      <c r="AM59" s="357">
        <f>SUM(AM55:AM58)</f>
        <v>748</v>
      </c>
      <c r="AN59" s="358"/>
      <c r="AO59" s="357">
        <f>SUM(AO55:AO58)</f>
        <v>715</v>
      </c>
      <c r="AP59" s="358"/>
      <c r="AQ59" s="357">
        <f>SUM(AQ55:AQ58)</f>
        <v>832</v>
      </c>
      <c r="AR59" s="358"/>
      <c r="AS59" s="357">
        <f>SUM(AS55:AS58)</f>
        <v>730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12.10./13.10.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12.10./13.10.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51">
        <f>IF(AD67="","",AD67)</f>
        <v>1</v>
      </c>
      <c r="F67" s="75">
        <f t="shared" ref="F67:F80" si="72">IF(AE67=0,"",AE67)</f>
        <v>269</v>
      </c>
      <c r="G67" s="351">
        <f>IF(AF67="","",AF67)</f>
        <v>1</v>
      </c>
      <c r="H67" s="75">
        <f t="shared" ref="H67:H80" si="73">IF(AG67=0,"",AG67)</f>
        <v>206</v>
      </c>
      <c r="I67" s="351">
        <f>IF(AH67="","",AH67)</f>
        <v>1</v>
      </c>
      <c r="J67" s="75">
        <f t="shared" ref="J67:J80" si="74">IF(AI67=0,"",AI67)</f>
        <v>179</v>
      </c>
      <c r="K67" s="351">
        <f>IF(AJ67="","",AJ67)</f>
        <v>0</v>
      </c>
      <c r="L67" s="75">
        <f t="shared" ref="L67:L80" si="75">IF(AK67=0,"",AK67)</f>
        <v>215</v>
      </c>
      <c r="M67" s="351">
        <f>IF(AL67="","",AL67)</f>
        <v>0</v>
      </c>
      <c r="N67" s="75">
        <f>IF(AM67=0,"",AM67)</f>
        <v>224</v>
      </c>
      <c r="O67" s="351">
        <f>IF(AN67="","",AN67)</f>
        <v>0</v>
      </c>
      <c r="P67" s="75">
        <f t="shared" ref="P67:P80" si="76">IF(AO67=0,"",AO67)</f>
        <v>209</v>
      </c>
      <c r="Q67" s="351">
        <f>IF(AP67="","",AP67)</f>
        <v>0.5</v>
      </c>
      <c r="R67" s="75">
        <f t="shared" ref="R67:R80" si="77">IF(AQ67=0,"",AQ67)</f>
        <v>225</v>
      </c>
      <c r="S67" s="351">
        <f>IF(AR67="","",AR67)</f>
        <v>1</v>
      </c>
      <c r="T67" s="75">
        <f t="shared" ref="T67:T80" si="78">IF(AS67=0,"",AS67)</f>
        <v>211</v>
      </c>
      <c r="U67" s="351">
        <f>IF(AT67="","",AT67)</f>
        <v>1</v>
      </c>
      <c r="V67" s="75">
        <f t="shared" ref="V67:V80" si="79">IF(AU67=0,"",AU67)</f>
        <v>1929</v>
      </c>
      <c r="W67" s="351">
        <f>IF(AV67="","",AV67)</f>
        <v>5.5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1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52"/>
      <c r="F68" s="78" t="str">
        <f t="shared" si="72"/>
        <v/>
      </c>
      <c r="G68" s="352"/>
      <c r="H68" s="78" t="str">
        <f t="shared" si="73"/>
        <v/>
      </c>
      <c r="I68" s="352"/>
      <c r="J68" s="78" t="str">
        <f t="shared" si="74"/>
        <v/>
      </c>
      <c r="K68" s="352"/>
      <c r="L68" s="78" t="str">
        <f t="shared" si="75"/>
        <v/>
      </c>
      <c r="M68" s="352"/>
      <c r="N68" s="78" t="str">
        <f t="shared" ref="N68:N80" si="94">IF(AM68=0,"",AM68)</f>
        <v/>
      </c>
      <c r="O68" s="352"/>
      <c r="P68" s="78" t="str">
        <f t="shared" si="76"/>
        <v/>
      </c>
      <c r="Q68" s="352"/>
      <c r="R68" s="78" t="str">
        <f t="shared" si="77"/>
        <v/>
      </c>
      <c r="S68" s="352"/>
      <c r="T68" s="78" t="str">
        <f t="shared" si="78"/>
        <v/>
      </c>
      <c r="U68" s="352"/>
      <c r="V68" s="78" t="str">
        <f t="shared" si="79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2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3"/>
      <c r="F69" s="69" t="str">
        <f t="shared" si="72"/>
        <v/>
      </c>
      <c r="G69" s="353"/>
      <c r="H69" s="69" t="str">
        <f t="shared" si="73"/>
        <v/>
      </c>
      <c r="I69" s="353"/>
      <c r="J69" s="69" t="str">
        <f t="shared" si="74"/>
        <v/>
      </c>
      <c r="K69" s="353"/>
      <c r="L69" s="69" t="str">
        <f t="shared" si="75"/>
        <v/>
      </c>
      <c r="M69" s="353"/>
      <c r="N69" s="69" t="str">
        <f t="shared" si="94"/>
        <v/>
      </c>
      <c r="O69" s="353"/>
      <c r="P69" s="69" t="str">
        <f t="shared" si="76"/>
        <v/>
      </c>
      <c r="Q69" s="353"/>
      <c r="R69" s="69" t="str">
        <f t="shared" si="77"/>
        <v/>
      </c>
      <c r="S69" s="353"/>
      <c r="T69" s="69" t="str">
        <f t="shared" si="78"/>
        <v/>
      </c>
      <c r="U69" s="353"/>
      <c r="V69" s="69" t="str">
        <f t="shared" si="79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0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51">
        <f>IF(AD70="","",AD70)</f>
        <v>1</v>
      </c>
      <c r="F70" s="75">
        <f t="shared" si="72"/>
        <v>235</v>
      </c>
      <c r="G70" s="351">
        <f>IF(AF70="","",AF70)</f>
        <v>1</v>
      </c>
      <c r="H70" s="75">
        <f t="shared" si="73"/>
        <v>233</v>
      </c>
      <c r="I70" s="351">
        <f>IF(AH70="","",AH70)</f>
        <v>1</v>
      </c>
      <c r="J70" s="75">
        <f t="shared" si="74"/>
        <v>208</v>
      </c>
      <c r="K70" s="351">
        <f>IF(AJ70="","",AJ70)</f>
        <v>1</v>
      </c>
      <c r="L70" s="75">
        <f t="shared" si="75"/>
        <v>186</v>
      </c>
      <c r="M70" s="351">
        <f>IF(AL70="","",AL70)</f>
        <v>1</v>
      </c>
      <c r="N70" s="75">
        <f t="shared" si="94"/>
        <v>211</v>
      </c>
      <c r="O70" s="351">
        <f>IF(AN70="","",AN70)</f>
        <v>0</v>
      </c>
      <c r="P70" s="75">
        <f t="shared" si="76"/>
        <v>182</v>
      </c>
      <c r="Q70" s="351">
        <f>IF(AP70="","",AP70)</f>
        <v>0</v>
      </c>
      <c r="R70" s="75">
        <f t="shared" si="77"/>
        <v>177</v>
      </c>
      <c r="S70" s="351">
        <f>IF(AR70="","",AR70)</f>
        <v>0</v>
      </c>
      <c r="T70" s="75">
        <f t="shared" si="78"/>
        <v>183</v>
      </c>
      <c r="U70" s="351">
        <f>IF(AT70="","",AT70)</f>
        <v>0</v>
      </c>
      <c r="V70" s="75">
        <f t="shared" si="79"/>
        <v>1827</v>
      </c>
      <c r="W70" s="351">
        <f>IF(AV70="","",AV70)</f>
        <v>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1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52"/>
      <c r="F71" s="78" t="str">
        <f t="shared" si="72"/>
        <v/>
      </c>
      <c r="G71" s="352"/>
      <c r="H71" s="78" t="str">
        <f t="shared" si="73"/>
        <v/>
      </c>
      <c r="I71" s="352"/>
      <c r="J71" s="78" t="str">
        <f t="shared" si="74"/>
        <v/>
      </c>
      <c r="K71" s="352"/>
      <c r="L71" s="78" t="str">
        <f t="shared" si="75"/>
        <v/>
      </c>
      <c r="M71" s="352"/>
      <c r="N71" s="78" t="str">
        <f t="shared" si="94"/>
        <v/>
      </c>
      <c r="O71" s="352"/>
      <c r="P71" s="78" t="str">
        <f t="shared" si="76"/>
        <v/>
      </c>
      <c r="Q71" s="352"/>
      <c r="R71" s="78" t="str">
        <f t="shared" si="77"/>
        <v/>
      </c>
      <c r="S71" s="352"/>
      <c r="T71" s="78" t="str">
        <f t="shared" si="78"/>
        <v/>
      </c>
      <c r="U71" s="352"/>
      <c r="V71" s="78" t="str">
        <f t="shared" si="79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2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3"/>
      <c r="F72" s="69" t="str">
        <f t="shared" si="72"/>
        <v/>
      </c>
      <c r="G72" s="353"/>
      <c r="H72" s="69" t="str">
        <f t="shared" si="73"/>
        <v/>
      </c>
      <c r="I72" s="353"/>
      <c r="J72" s="69" t="str">
        <f t="shared" si="74"/>
        <v/>
      </c>
      <c r="K72" s="353"/>
      <c r="L72" s="69" t="str">
        <f t="shared" si="75"/>
        <v/>
      </c>
      <c r="M72" s="353"/>
      <c r="N72" s="69" t="str">
        <f t="shared" si="94"/>
        <v/>
      </c>
      <c r="O72" s="353"/>
      <c r="P72" s="69" t="str">
        <f t="shared" si="76"/>
        <v/>
      </c>
      <c r="Q72" s="353"/>
      <c r="R72" s="69" t="str">
        <f t="shared" si="77"/>
        <v/>
      </c>
      <c r="S72" s="353"/>
      <c r="T72" s="69" t="str">
        <f t="shared" si="78"/>
        <v/>
      </c>
      <c r="U72" s="353"/>
      <c r="V72" s="69" t="str">
        <f t="shared" si="79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0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51">
        <f>IF(AD73="","",AD73)</f>
        <v>1</v>
      </c>
      <c r="F73" s="75">
        <f t="shared" si="72"/>
        <v>147</v>
      </c>
      <c r="G73" s="351">
        <f>IF(AF73="","",AF73)</f>
        <v>0</v>
      </c>
      <c r="H73" s="75">
        <f t="shared" si="73"/>
        <v>183</v>
      </c>
      <c r="I73" s="351">
        <f>IF(AH73="","",AH73)</f>
        <v>0</v>
      </c>
      <c r="J73" s="75">
        <f t="shared" si="74"/>
        <v>167</v>
      </c>
      <c r="K73" s="351">
        <f>IF(AJ73="","",AJ73)</f>
        <v>0</v>
      </c>
      <c r="L73" s="75" t="str">
        <f t="shared" si="75"/>
        <v/>
      </c>
      <c r="M73" s="351">
        <f>IF(AL73="","",AL73)</f>
        <v>1</v>
      </c>
      <c r="N73" s="75" t="str">
        <f t="shared" si="94"/>
        <v/>
      </c>
      <c r="O73" s="351">
        <f>IF(AN73="","",AN73)</f>
        <v>0</v>
      </c>
      <c r="P73" s="75" t="str">
        <f t="shared" si="76"/>
        <v/>
      </c>
      <c r="Q73" s="351">
        <f>IF(AP73="","",AP73)</f>
        <v>0.5</v>
      </c>
      <c r="R73" s="75" t="str">
        <f t="shared" si="77"/>
        <v/>
      </c>
      <c r="S73" s="351">
        <f>IF(AR73="","",AR73)</f>
        <v>1</v>
      </c>
      <c r="T73" s="75" t="str">
        <f t="shared" si="78"/>
        <v/>
      </c>
      <c r="U73" s="351">
        <f>IF(AT73="","",AT73)</f>
        <v>0</v>
      </c>
      <c r="V73" s="75">
        <f t="shared" si="79"/>
        <v>711</v>
      </c>
      <c r="W73" s="351">
        <f>IF(AV73="","",AV73)</f>
        <v>3.5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1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52"/>
      <c r="F74" s="78" t="str">
        <f t="shared" si="72"/>
        <v/>
      </c>
      <c r="G74" s="352"/>
      <c r="H74" s="78" t="str">
        <f t="shared" si="73"/>
        <v/>
      </c>
      <c r="I74" s="352"/>
      <c r="J74" s="78" t="str">
        <f t="shared" si="74"/>
        <v/>
      </c>
      <c r="K74" s="352"/>
      <c r="L74" s="78">
        <f t="shared" si="75"/>
        <v>237</v>
      </c>
      <c r="M74" s="352"/>
      <c r="N74" s="78">
        <f t="shared" si="94"/>
        <v>196</v>
      </c>
      <c r="O74" s="352"/>
      <c r="P74" s="78">
        <f t="shared" si="76"/>
        <v>255</v>
      </c>
      <c r="Q74" s="352"/>
      <c r="R74" s="78">
        <f t="shared" si="77"/>
        <v>200</v>
      </c>
      <c r="S74" s="352"/>
      <c r="T74" s="78">
        <f t="shared" si="78"/>
        <v>258</v>
      </c>
      <c r="U74" s="352"/>
      <c r="V74" s="78">
        <f t="shared" si="79"/>
        <v>1146</v>
      </c>
      <c r="W74" s="352"/>
      <c r="Z74" s="355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2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3"/>
      <c r="F75" s="69" t="str">
        <f t="shared" si="72"/>
        <v/>
      </c>
      <c r="G75" s="353"/>
      <c r="H75" s="69" t="str">
        <f t="shared" si="73"/>
        <v/>
      </c>
      <c r="I75" s="353"/>
      <c r="J75" s="69" t="str">
        <f t="shared" si="74"/>
        <v/>
      </c>
      <c r="K75" s="353"/>
      <c r="L75" s="69" t="str">
        <f t="shared" si="75"/>
        <v/>
      </c>
      <c r="M75" s="353"/>
      <c r="N75" s="69" t="str">
        <f t="shared" si="94"/>
        <v/>
      </c>
      <c r="O75" s="353"/>
      <c r="P75" s="69" t="str">
        <f t="shared" si="76"/>
        <v/>
      </c>
      <c r="Q75" s="353"/>
      <c r="R75" s="69" t="str">
        <f t="shared" si="77"/>
        <v/>
      </c>
      <c r="S75" s="353"/>
      <c r="T75" s="69" t="str">
        <f t="shared" si="78"/>
        <v/>
      </c>
      <c r="U75" s="353"/>
      <c r="V75" s="69" t="str">
        <f t="shared" si="79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51">
        <f>IF(AD76="","",AD76)</f>
        <v>1</v>
      </c>
      <c r="F76" s="75">
        <f t="shared" si="72"/>
        <v>193</v>
      </c>
      <c r="G76" s="351">
        <f>IF(AF76="","",AF76)</f>
        <v>1</v>
      </c>
      <c r="H76" s="75">
        <f t="shared" si="73"/>
        <v>236</v>
      </c>
      <c r="I76" s="351">
        <f>IF(AH76="","",AH76)</f>
        <v>1</v>
      </c>
      <c r="J76" s="75">
        <f t="shared" si="74"/>
        <v>233</v>
      </c>
      <c r="K76" s="351">
        <f>IF(AJ76="","",AJ76)</f>
        <v>0</v>
      </c>
      <c r="L76" s="75">
        <f t="shared" si="75"/>
        <v>238</v>
      </c>
      <c r="M76" s="351">
        <f>IF(AL76="","",AL76)</f>
        <v>1</v>
      </c>
      <c r="N76" s="75">
        <f t="shared" si="94"/>
        <v>230</v>
      </c>
      <c r="O76" s="351">
        <f>IF(AN76="","",AN76)</f>
        <v>1</v>
      </c>
      <c r="P76" s="75">
        <f t="shared" si="76"/>
        <v>246</v>
      </c>
      <c r="Q76" s="351">
        <f>IF(AP76="","",AP76)</f>
        <v>1</v>
      </c>
      <c r="R76" s="75">
        <f t="shared" si="77"/>
        <v>202</v>
      </c>
      <c r="S76" s="351">
        <f>IF(AR76="","",AR76)</f>
        <v>0</v>
      </c>
      <c r="T76" s="75">
        <f t="shared" si="78"/>
        <v>242</v>
      </c>
      <c r="U76" s="351">
        <f>IF(AT76="","",AT76)</f>
        <v>1</v>
      </c>
      <c r="V76" s="75">
        <f t="shared" si="79"/>
        <v>2057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52"/>
      <c r="F77" s="78" t="str">
        <f t="shared" si="72"/>
        <v/>
      </c>
      <c r="G77" s="352"/>
      <c r="H77" s="78" t="str">
        <f t="shared" si="73"/>
        <v/>
      </c>
      <c r="I77" s="352"/>
      <c r="J77" s="78" t="str">
        <f t="shared" si="74"/>
        <v/>
      </c>
      <c r="K77" s="352"/>
      <c r="L77" s="78" t="str">
        <f t="shared" si="75"/>
        <v/>
      </c>
      <c r="M77" s="352"/>
      <c r="N77" s="78" t="str">
        <f t="shared" si="94"/>
        <v/>
      </c>
      <c r="O77" s="352"/>
      <c r="P77" s="78" t="str">
        <f t="shared" si="76"/>
        <v/>
      </c>
      <c r="Q77" s="352"/>
      <c r="R77" s="78" t="str">
        <f t="shared" si="77"/>
        <v/>
      </c>
      <c r="S77" s="352"/>
      <c r="T77" s="78" t="str">
        <f t="shared" si="78"/>
        <v/>
      </c>
      <c r="U77" s="352"/>
      <c r="V77" s="78" t="str">
        <f t="shared" si="79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3"/>
      <c r="F78" s="69" t="str">
        <f t="shared" si="72"/>
        <v/>
      </c>
      <c r="G78" s="353"/>
      <c r="H78" s="69" t="str">
        <f t="shared" si="73"/>
        <v/>
      </c>
      <c r="I78" s="353"/>
      <c r="J78" s="69" t="str">
        <f t="shared" si="74"/>
        <v/>
      </c>
      <c r="K78" s="353"/>
      <c r="L78" s="69" t="str">
        <f t="shared" si="75"/>
        <v/>
      </c>
      <c r="M78" s="353"/>
      <c r="N78" s="69" t="str">
        <f t="shared" si="94"/>
        <v/>
      </c>
      <c r="O78" s="353"/>
      <c r="P78" s="69" t="str">
        <f t="shared" si="76"/>
        <v/>
      </c>
      <c r="Q78" s="353"/>
      <c r="R78" s="69" t="str">
        <f t="shared" si="77"/>
        <v/>
      </c>
      <c r="S78" s="353"/>
      <c r="T78" s="69" t="str">
        <f t="shared" si="78"/>
        <v/>
      </c>
      <c r="U78" s="353"/>
      <c r="V78" s="69" t="str">
        <f t="shared" si="79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9">
        <f t="shared" ref="D82:M84" si="107">IF(AC82=0,"",AC82)</f>
        <v>1</v>
      </c>
      <c r="E82" s="349" t="str">
        <f t="shared" si="107"/>
        <v/>
      </c>
      <c r="F82" s="349">
        <f t="shared" si="107"/>
        <v>10</v>
      </c>
      <c r="G82" s="349" t="str">
        <f t="shared" si="107"/>
        <v/>
      </c>
      <c r="H82" s="349">
        <f t="shared" si="107"/>
        <v>5</v>
      </c>
      <c r="I82" s="349" t="str">
        <f t="shared" si="107"/>
        <v/>
      </c>
      <c r="J82" s="349">
        <f t="shared" si="107"/>
        <v>9</v>
      </c>
      <c r="K82" s="349" t="str">
        <f t="shared" si="107"/>
        <v/>
      </c>
      <c r="L82" s="349">
        <f t="shared" si="107"/>
        <v>2</v>
      </c>
      <c r="M82" s="349" t="str">
        <f t="shared" si="107"/>
        <v/>
      </c>
      <c r="N82" s="349">
        <f t="shared" ref="N82:U84" si="108">IF(AM82=0,"",AM82)</f>
        <v>6</v>
      </c>
      <c r="O82" s="349" t="str">
        <f t="shared" si="108"/>
        <v/>
      </c>
      <c r="P82" s="349">
        <f t="shared" si="108"/>
        <v>8</v>
      </c>
      <c r="Q82" s="349" t="str">
        <f t="shared" si="108"/>
        <v/>
      </c>
      <c r="R82" s="349">
        <f t="shared" si="108"/>
        <v>4</v>
      </c>
      <c r="S82" s="349" t="str">
        <f t="shared" si="108"/>
        <v/>
      </c>
      <c r="T82" s="349">
        <f t="shared" si="108"/>
        <v>7</v>
      </c>
      <c r="U82" s="349" t="str">
        <f t="shared" si="108"/>
        <v/>
      </c>
      <c r="V82" s="350"/>
      <c r="W82" s="350"/>
      <c r="AA82" s="88" t="s">
        <v>1797</v>
      </c>
      <c r="AB82" s="89" t="s">
        <v>1798</v>
      </c>
      <c r="AC82" s="373">
        <f>VLOOKUP($AA62,Schlüssel!$A$5:$K$14,3)</f>
        <v>1</v>
      </c>
      <c r="AD82" s="374"/>
      <c r="AE82" s="373">
        <f>VLOOKUP($AA62,Schlüssel!$A$5:$K$14,4)</f>
        <v>10</v>
      </c>
      <c r="AF82" s="374"/>
      <c r="AG82" s="373">
        <f>VLOOKUP($AA62,Schlüssel!$A$5:$K$14,5)</f>
        <v>5</v>
      </c>
      <c r="AH82" s="374"/>
      <c r="AI82" s="373">
        <f>VLOOKUP($AA62,Schlüssel!$A$5:$K$14,6)</f>
        <v>9</v>
      </c>
      <c r="AJ82" s="374"/>
      <c r="AK82" s="373">
        <f>VLOOKUP($AA62,Schlüssel!$A$5:$K$14,7)</f>
        <v>2</v>
      </c>
      <c r="AL82" s="374"/>
      <c r="AM82" s="373">
        <f>VLOOKUP($AA62,Schlüssel!$A$5:$K$14,8)</f>
        <v>6</v>
      </c>
      <c r="AN82" s="374"/>
      <c r="AO82" s="373">
        <f>VLOOKUP($AA62,Schlüssel!$A$5:$K$14,9)</f>
        <v>8</v>
      </c>
      <c r="AP82" s="374"/>
      <c r="AQ82" s="373">
        <f>VLOOKUP($AA62,Schlüssel!$A$5:$K$14,10)</f>
        <v>4</v>
      </c>
      <c r="AR82" s="374"/>
      <c r="AS82" s="373">
        <f>VLOOKUP($AA62,Schlüssel!$A$5:$K$14,11)</f>
        <v>7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6" t="str">
        <f t="shared" si="107"/>
        <v>BC Comet Nürnberg</v>
      </c>
      <c r="E83" s="347" t="str">
        <f t="shared" si="107"/>
        <v/>
      </c>
      <c r="F83" s="346" t="str">
        <f t="shared" si="107"/>
        <v>High Roller Rosenheim 1</v>
      </c>
      <c r="G83" s="347" t="str">
        <f t="shared" si="107"/>
        <v/>
      </c>
      <c r="H83" s="346" t="str">
        <f t="shared" si="107"/>
        <v>RW Lichtenhof Stein 1</v>
      </c>
      <c r="I83" s="347" t="str">
        <f t="shared" si="107"/>
        <v/>
      </c>
      <c r="J83" s="346" t="str">
        <f t="shared" si="107"/>
        <v>Bowlinghaus Bamberg 1</v>
      </c>
      <c r="K83" s="347" t="str">
        <f t="shared" si="107"/>
        <v/>
      </c>
      <c r="L83" s="346" t="str">
        <f t="shared" si="107"/>
        <v>Bajuwaren München 1</v>
      </c>
      <c r="M83" s="347" t="str">
        <f t="shared" si="107"/>
        <v/>
      </c>
      <c r="N83" s="346" t="str">
        <f t="shared" si="108"/>
        <v>SG Rottendorf 1</v>
      </c>
      <c r="O83" s="347" t="str">
        <f t="shared" si="108"/>
        <v/>
      </c>
      <c r="P83" s="346" t="str">
        <f t="shared" si="108"/>
        <v>BC EMAX Unterföhring 2</v>
      </c>
      <c r="Q83" s="347" t="str">
        <f t="shared" si="108"/>
        <v/>
      </c>
      <c r="R83" s="346" t="str">
        <f t="shared" si="108"/>
        <v>SG DJK Rimpar</v>
      </c>
      <c r="S83" s="347" t="str">
        <f t="shared" si="108"/>
        <v/>
      </c>
      <c r="T83" s="346" t="str">
        <f t="shared" si="108"/>
        <v>Schanzer Ingolstadt 1</v>
      </c>
      <c r="U83" s="347" t="str">
        <f t="shared" si="108"/>
        <v/>
      </c>
      <c r="V83" s="348"/>
      <c r="W83" s="348"/>
      <c r="AA83" s="90"/>
      <c r="AB83" s="86"/>
      <c r="AC83" s="346" t="str">
        <f>VLOOKUP(AC82,Schlüssel!$A$5:$K$14,2)</f>
        <v>BC Comet Nürnberg</v>
      </c>
      <c r="AD83" s="347"/>
      <c r="AE83" s="346" t="str">
        <f>VLOOKUP(AE82,Schlüssel!$A$5:$K$14,2)</f>
        <v>High Roller Rosenheim 1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Bowlinghaus Bamberg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BC EMAX Unterföhring 2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Schanzer Ingolstadt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4" t="str">
        <f t="shared" si="107"/>
        <v/>
      </c>
      <c r="E84" s="344" t="str">
        <f t="shared" si="107"/>
        <v/>
      </c>
      <c r="F84" s="344" t="str">
        <f t="shared" si="107"/>
        <v/>
      </c>
      <c r="G84" s="344" t="str">
        <f t="shared" si="107"/>
        <v/>
      </c>
      <c r="H84" s="344" t="str">
        <f t="shared" si="107"/>
        <v/>
      </c>
      <c r="I84" s="344" t="str">
        <f t="shared" si="107"/>
        <v/>
      </c>
      <c r="J84" s="344" t="str">
        <f t="shared" si="107"/>
        <v/>
      </c>
      <c r="K84" s="344" t="str">
        <f t="shared" si="107"/>
        <v/>
      </c>
      <c r="L84" s="344" t="str">
        <f t="shared" si="107"/>
        <v/>
      </c>
      <c r="M84" s="344" t="str">
        <f t="shared" si="107"/>
        <v/>
      </c>
      <c r="N84" s="344" t="str">
        <f t="shared" si="108"/>
        <v/>
      </c>
      <c r="O84" s="344" t="str">
        <f t="shared" si="108"/>
        <v/>
      </c>
      <c r="P84" s="344" t="str">
        <f t="shared" si="108"/>
        <v/>
      </c>
      <c r="Q84" s="344" t="str">
        <f t="shared" si="108"/>
        <v/>
      </c>
      <c r="R84" s="344" t="str">
        <f t="shared" si="108"/>
        <v/>
      </c>
      <c r="S84" s="344" t="str">
        <f t="shared" si="108"/>
        <v/>
      </c>
      <c r="T84" s="344" t="str">
        <f t="shared" si="108"/>
        <v/>
      </c>
      <c r="U84" s="345" t="str">
        <f t="shared" si="108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si="105"/>
        <v>Spieler 1</v>
      </c>
      <c r="C85" s="369" t="str">
        <f t="shared" si="106"/>
        <v/>
      </c>
      <c r="D85" s="342">
        <f>IF(AC85=301,"",AC85)</f>
        <v>166</v>
      </c>
      <c r="E85" s="342" t="str">
        <f>IF(AD85=0,"",AD85)</f>
        <v/>
      </c>
      <c r="F85" s="342">
        <f>IF(AE85=301,"",AE85)</f>
        <v>207</v>
      </c>
      <c r="G85" s="342" t="str">
        <f>IF(AF85=0,"",AF85)</f>
        <v/>
      </c>
      <c r="H85" s="342">
        <f>IF(AG85=301,"",AG85)</f>
        <v>154</v>
      </c>
      <c r="I85" s="342" t="str">
        <f>IF(AH85=0,"",AH85)</f>
        <v/>
      </c>
      <c r="J85" s="342">
        <f>IF(AI85=301,"",AI85)</f>
        <v>224</v>
      </c>
      <c r="K85" s="342" t="str">
        <f>IF(AJ85=0,"",AJ85)</f>
        <v/>
      </c>
      <c r="L85" s="342">
        <f>IF(AK85=301,"",AK85)</f>
        <v>258</v>
      </c>
      <c r="M85" s="342" t="str">
        <f>IF(AL85=0,"",AL85)</f>
        <v/>
      </c>
      <c r="N85" s="342">
        <f>IF(AM85=301,"",AM85)</f>
        <v>239</v>
      </c>
      <c r="O85" s="342" t="str">
        <f>IF(AN85=0,"",AN85)</f>
        <v/>
      </c>
      <c r="P85" s="342">
        <f>IF(AO85=301,"",AO85)</f>
        <v>209</v>
      </c>
      <c r="Q85" s="342" t="str">
        <f>IF(AP85=0,"",AP85)</f>
        <v/>
      </c>
      <c r="R85" s="342">
        <f>IF(AQ85=301,"",AQ85)</f>
        <v>159</v>
      </c>
      <c r="S85" s="342" t="str">
        <f>IF(AR85=0,"",AR85)</f>
        <v/>
      </c>
      <c r="T85" s="342">
        <f>IF(AS85=301,"",AS85)</f>
        <v>159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166</v>
      </c>
      <c r="AD85" s="376"/>
      <c r="AE85" s="375">
        <f>ABS(INDEX(AE:AE,MATCH(AE82,$AA:$AA,0)+5)+INDEX(AE:AE,MATCH(AE82,$AA:$AA,0)+6)+INDEX(AE:AE,MATCH(AE82,$AA:$AA,0)+7))</f>
        <v>207</v>
      </c>
      <c r="AF85" s="376"/>
      <c r="AG85" s="375">
        <f>ABS(INDEX(AG:AG,MATCH(AG82,$AA:$AA,0)+5)+INDEX(AG:AG,MATCH(AG82,$AA:$AA,0)+6)+INDEX(AG:AG,MATCH(AG82,$AA:$AA,0)+7))</f>
        <v>154</v>
      </c>
      <c r="AH85" s="376"/>
      <c r="AI85" s="375">
        <f>ABS(INDEX(AI:AI,MATCH(AI82,$AA:$AA,0)+5)+INDEX(AI:AI,MATCH(AI82,$AA:$AA,0)+6)+INDEX(AI:AI,MATCH(AI82,$AA:$AA,0)+7))</f>
        <v>224</v>
      </c>
      <c r="AJ85" s="376"/>
      <c r="AK85" s="375">
        <f>ABS(INDEX(AK:AK,MATCH(AK82,$AA:$AA,0)+5)+INDEX(AK:AK,MATCH(AK82,$AA:$AA,0)+6)+INDEX(AK:AK,MATCH(AK82,$AA:$AA,0)+7))</f>
        <v>258</v>
      </c>
      <c r="AL85" s="376"/>
      <c r="AM85" s="375">
        <f>ABS(INDEX(AM:AM,MATCH(AM82,$AA:$AA,0)+5)+INDEX(AM:AM,MATCH(AM82,$AA:$AA,0)+6)+INDEX(AM:AM,MATCH(AM82,$AA:$AA,0)+7))</f>
        <v>239</v>
      </c>
      <c r="AN85" s="376"/>
      <c r="AO85" s="375">
        <f>ABS(INDEX(AO:AO,MATCH(AO82,$AA:$AA,0)+5)+INDEX(AO:AO,MATCH(AO82,$AA:$AA,0)+6)+INDEX(AO:AO,MATCH(AO82,$AA:$AA,0)+7))</f>
        <v>209</v>
      </c>
      <c r="AP85" s="376"/>
      <c r="AQ85" s="375">
        <f>ABS(INDEX(AQ:AQ,MATCH(AQ82,$AA:$AA,0)+5)+INDEX(AQ:AQ,MATCH(AQ82,$AA:$AA,0)+6)+INDEX(AQ:AQ,MATCH(AQ82,$AA:$AA,0)+7))</f>
        <v>159</v>
      </c>
      <c r="AR85" s="376"/>
      <c r="AS85" s="375">
        <f>ABS(INDEX(AS:AS,MATCH(AS82,$AA:$AA,0)+5)+INDEX(AS:AS,MATCH(AS82,$AA:$AA,0)+6)+INDEX(AS:AS,MATCH(AS82,$AA:$AA,0)+7))</f>
        <v>159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5"/>
        <v>Spieler 2</v>
      </c>
      <c r="C86" s="369" t="str">
        <f t="shared" si="106"/>
        <v/>
      </c>
      <c r="D86" s="342">
        <f>IF(AC86=301,"",AC86)</f>
        <v>183</v>
      </c>
      <c r="E86" s="342" t="str">
        <f>IF(AD86=0,"",AD86)</f>
        <v/>
      </c>
      <c r="F86" s="342">
        <f>IF(AE86=301,"",AE86)</f>
        <v>200</v>
      </c>
      <c r="G86" s="342" t="str">
        <f>IF(AF86=0,"",AF86)</f>
        <v/>
      </c>
      <c r="H86" s="342">
        <f>IF(AG86=301,"",AG86)</f>
        <v>213</v>
      </c>
      <c r="I86" s="342" t="str">
        <f>IF(AH86=0,"",AH86)</f>
        <v/>
      </c>
      <c r="J86" s="342">
        <f>IF(AI86=301,"",AI86)</f>
        <v>172</v>
      </c>
      <c r="K86" s="342" t="str">
        <f>IF(AJ86=0,"",AJ86)</f>
        <v/>
      </c>
      <c r="L86" s="342">
        <f>IF(AK86=301,"",AK86)</f>
        <v>175</v>
      </c>
      <c r="M86" s="342" t="str">
        <f>IF(AL86=0,"",AL86)</f>
        <v/>
      </c>
      <c r="N86" s="342">
        <f>IF(AM86=301,"",AM86)</f>
        <v>213</v>
      </c>
      <c r="O86" s="342" t="str">
        <f>IF(AN86=0,"",AN86)</f>
        <v/>
      </c>
      <c r="P86" s="342">
        <f>IF(AO86=301,"",AO86)</f>
        <v>197</v>
      </c>
      <c r="Q86" s="342" t="str">
        <f>IF(AP86=0,"",AP86)</f>
        <v/>
      </c>
      <c r="R86" s="342">
        <f>IF(AQ86=301,"",AQ86)</f>
        <v>204</v>
      </c>
      <c r="S86" s="342" t="str">
        <f>IF(AR86=0,"",AR86)</f>
        <v/>
      </c>
      <c r="T86" s="342">
        <f>IF(AS86=301,"",AS86)</f>
        <v>201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183</v>
      </c>
      <c r="AD86" s="378"/>
      <c r="AE86" s="377">
        <f>ABS(INDEX(AE:AE,MATCH(AE82,$AA:$AA,0)+8)+INDEX(AE:AE,MATCH(AE82,$AA:$AA,0)+9)+INDEX(AE:AE,MATCH(AE82,$AA:$AA,0)+10))</f>
        <v>200</v>
      </c>
      <c r="AF86" s="378"/>
      <c r="AG86" s="377">
        <f>ABS(INDEX(AG:AG,MATCH(AG82,$AA:$AA,0)+8)+INDEX(AG:AG,MATCH(AG82,$AA:$AA,0)+9)+INDEX(AG:AG,MATCH(AG82,$AA:$AA,0)+10))</f>
        <v>213</v>
      </c>
      <c r="AH86" s="378"/>
      <c r="AI86" s="377">
        <f>ABS(INDEX(AI:AI,MATCH(AI82,$AA:$AA,0)+8)+INDEX(AI:AI,MATCH(AI82,$AA:$AA,0)+9)+INDEX(AI:AI,MATCH(AI82,$AA:$AA,0)+10))</f>
        <v>172</v>
      </c>
      <c r="AJ86" s="378"/>
      <c r="AK86" s="377">
        <f>ABS(INDEX(AK:AK,MATCH(AK82,$AA:$AA,0)+8)+INDEX(AK:AK,MATCH(AK82,$AA:$AA,0)+9)+INDEX(AK:AK,MATCH(AK82,$AA:$AA,0)+10))</f>
        <v>175</v>
      </c>
      <c r="AL86" s="378"/>
      <c r="AM86" s="377">
        <f>ABS(INDEX(AM:AM,MATCH(AM82,$AA:$AA,0)+8)+INDEX(AM:AM,MATCH(AM82,$AA:$AA,0)+9)+INDEX(AM:AM,MATCH(AM82,$AA:$AA,0)+10))</f>
        <v>213</v>
      </c>
      <c r="AN86" s="378"/>
      <c r="AO86" s="377">
        <f>ABS(INDEX(AO:AO,MATCH(AO82,$AA:$AA,0)+8)+INDEX(AO:AO,MATCH(AO82,$AA:$AA,0)+9)+INDEX(AO:AO,MATCH(AO82,$AA:$AA,0)+10))</f>
        <v>197</v>
      </c>
      <c r="AP86" s="378"/>
      <c r="AQ86" s="377">
        <f>ABS(INDEX(AQ:AQ,MATCH(AQ82,$AA:$AA,0)+8)+INDEX(AQ:AQ,MATCH(AQ82,$AA:$AA,0)+9)+INDEX(AQ:AQ,MATCH(AQ82,$AA:$AA,0)+10))</f>
        <v>204</v>
      </c>
      <c r="AR86" s="378"/>
      <c r="AS86" s="377">
        <f>ABS(INDEX(AS:AS,MATCH(AS82,$AA:$AA,0)+8)+INDEX(AS:AS,MATCH(AS82,$AA:$AA,0)+9)+INDEX(AS:AS,MATCH(AS82,$AA:$AA,0)+10))</f>
        <v>201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5"/>
        <v>Spieler 3</v>
      </c>
      <c r="C87" s="369" t="str">
        <f t="shared" si="106"/>
        <v/>
      </c>
      <c r="D87" s="342">
        <f>IF(AC87=301,"",AC87)</f>
        <v>202</v>
      </c>
      <c r="E87" s="342" t="str">
        <f>IF(AD87=0,"",AD87)</f>
        <v/>
      </c>
      <c r="F87" s="342">
        <f>IF(AE87=301,"",AE87)</f>
        <v>178</v>
      </c>
      <c r="G87" s="342" t="str">
        <f>IF(AF87=0,"",AF87)</f>
        <v/>
      </c>
      <c r="H87" s="342">
        <f>IF(AG87=301,"",AG87)</f>
        <v>206</v>
      </c>
      <c r="I87" s="342" t="str">
        <f>IF(AH87=0,"",AH87)</f>
        <v/>
      </c>
      <c r="J87" s="342">
        <f>IF(AI87=301,"",AI87)</f>
        <v>192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255</v>
      </c>
      <c r="Q87" s="342" t="str">
        <f>IF(AP87=0,"",AP87)</f>
        <v/>
      </c>
      <c r="R87" s="342">
        <f>IF(AQ87=301,"",AQ87)</f>
        <v>195</v>
      </c>
      <c r="S87" s="342" t="str">
        <f>IF(AR87=0,"",AR87)</f>
        <v/>
      </c>
      <c r="T87" s="342">
        <f>IF(AS87=301,"",AS87)</f>
        <v>273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202</v>
      </c>
      <c r="AD87" s="378"/>
      <c r="AE87" s="377">
        <f>ABS(INDEX(AE:AE,MATCH(AE82,$AA:$AA,0)+11)+INDEX(AE:AE,MATCH(AE82,$AA:$AA,0)+12)+INDEX(AE:AE,MATCH(AE82,$AA:$AA,0)+13))</f>
        <v>178</v>
      </c>
      <c r="AF87" s="378"/>
      <c r="AG87" s="377">
        <f>ABS(INDEX(AG:AG,MATCH(AG82,$AA:$AA,0)+11)+INDEX(AG:AG,MATCH(AG82,$AA:$AA,0)+12)+INDEX(AG:AG,MATCH(AG82,$AA:$AA,0)+13))</f>
        <v>206</v>
      </c>
      <c r="AH87" s="378"/>
      <c r="AI87" s="377">
        <f>ABS(INDEX(AI:AI,MATCH(AI82,$AA:$AA,0)+11)+INDEX(AI:AI,MATCH(AI82,$AA:$AA,0)+12)+INDEX(AI:AI,MATCH(AI82,$AA:$AA,0)+13))</f>
        <v>192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255</v>
      </c>
      <c r="AP87" s="378"/>
      <c r="AQ87" s="377">
        <f>ABS(INDEX(AQ:AQ,MATCH(AQ82,$AA:$AA,0)+11)+INDEX(AQ:AQ,MATCH(AQ82,$AA:$AA,0)+12)+INDEX(AQ:AQ,MATCH(AQ82,$AA:$AA,0)+13))</f>
        <v>195</v>
      </c>
      <c r="AR87" s="378"/>
      <c r="AS87" s="377">
        <f>ABS(INDEX(AS:AS,MATCH(AS82,$AA:$AA,0)+11)+INDEX(AS:AS,MATCH(AS82,$AA:$AA,0)+12)+INDEX(AS:AS,MATCH(AS82,$AA:$AA,0)+13))</f>
        <v>273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5"/>
        <v>Spieler 4</v>
      </c>
      <c r="C88" s="369" t="str">
        <f t="shared" si="106"/>
        <v/>
      </c>
      <c r="D88" s="342">
        <f>IF(AC88=301,"",AC88)</f>
        <v>226</v>
      </c>
      <c r="E88" s="342" t="str">
        <f>IF(AD88=0,"",AD88)</f>
        <v/>
      </c>
      <c r="F88" s="342">
        <f>IF(AE88=301,"",AE88)</f>
        <v>147</v>
      </c>
      <c r="G88" s="342" t="str">
        <f>IF(AF88=0,"",AF88)</f>
        <v/>
      </c>
      <c r="H88" s="342">
        <f>IF(AG88=301,"",AG88)</f>
        <v>223</v>
      </c>
      <c r="I88" s="342" t="str">
        <f>IF(AH88=0,"",AH88)</f>
        <v/>
      </c>
      <c r="J88" s="342">
        <f>IF(AI88=301,"",AI88)</f>
        <v>251</v>
      </c>
      <c r="K88" s="342" t="str">
        <f>IF(AJ88=0,"",AJ88)</f>
        <v/>
      </c>
      <c r="L88" s="342">
        <f>IF(AK88=301,"",AK88)</f>
        <v>164</v>
      </c>
      <c r="M88" s="342" t="str">
        <f>IF(AL88=0,"",AL88)</f>
        <v/>
      </c>
      <c r="N88" s="342">
        <f>IF(AM88=301,"",AM88)</f>
        <v>202</v>
      </c>
      <c r="O88" s="342" t="str">
        <f>IF(AN88=0,"",AN88)</f>
        <v/>
      </c>
      <c r="P88" s="342">
        <f>IF(AO88=301,"",AO88)</f>
        <v>202</v>
      </c>
      <c r="Q88" s="342" t="str">
        <f>IF(AP88=0,"",AP88)</f>
        <v/>
      </c>
      <c r="R88" s="342">
        <f>IF(AQ88=301,"",AQ88)</f>
        <v>222</v>
      </c>
      <c r="S88" s="342" t="str">
        <f>IF(AR88=0,"",AR88)</f>
        <v/>
      </c>
      <c r="T88" s="342">
        <f>IF(AS88=301,"",AS88)</f>
        <v>136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226</v>
      </c>
      <c r="AD88" s="378"/>
      <c r="AE88" s="377">
        <f>ABS(INDEX(AE:AE,MATCH(AE82,$AA:$AA,0)+14)+INDEX(AE:AE,MATCH(AE82,$AA:$AA,0)+15)+INDEX(AE:AE,MATCH(AE82,$AA:$AA,0)+16))</f>
        <v>147</v>
      </c>
      <c r="AF88" s="378"/>
      <c r="AG88" s="377">
        <f>ABS(INDEX(AG:AG,MATCH(AG82,$AA:$AA,0)+14)+INDEX(AG:AG,MATCH(AG82,$AA:$AA,0)+15)+INDEX(AG:AG,MATCH(AG82,$AA:$AA,0)+16))</f>
        <v>223</v>
      </c>
      <c r="AH88" s="378"/>
      <c r="AI88" s="377">
        <f>ABS(INDEX(AI:AI,MATCH(AI82,$AA:$AA,0)+14)+INDEX(AI:AI,MATCH(AI82,$AA:$AA,0)+15)+INDEX(AI:AI,MATCH(AI82,$AA:$AA,0)+16))</f>
        <v>251</v>
      </c>
      <c r="AJ88" s="378"/>
      <c r="AK88" s="377">
        <f>ABS(INDEX(AK:AK,MATCH(AK82,$AA:$AA,0)+14)+INDEX(AK:AK,MATCH(AK82,$AA:$AA,0)+15)+INDEX(AK:AK,MATCH(AK82,$AA:$AA,0)+16))</f>
        <v>164</v>
      </c>
      <c r="AL88" s="378"/>
      <c r="AM88" s="377">
        <f>ABS(INDEX(AM:AM,MATCH(AM82,$AA:$AA,0)+14)+INDEX(AM:AM,MATCH(AM82,$AA:$AA,0)+15)+INDEX(AM:AM,MATCH(AM82,$AA:$AA,0)+16))</f>
        <v>202</v>
      </c>
      <c r="AN88" s="378"/>
      <c r="AO88" s="377">
        <f>ABS(INDEX(AO:AO,MATCH(AO82,$AA:$AA,0)+14)+INDEX(AO:AO,MATCH(AO82,$AA:$AA,0)+15)+INDEX(AO:AO,MATCH(AO82,$AA:$AA,0)+16))</f>
        <v>202</v>
      </c>
      <c r="AP88" s="378"/>
      <c r="AQ88" s="377">
        <f>ABS(INDEX(AQ:AQ,MATCH(AQ82,$AA:$AA,0)+14)+INDEX(AQ:AQ,MATCH(AQ82,$AA:$AA,0)+15)+INDEX(AQ:AQ,MATCH(AQ82,$AA:$AA,0)+16))</f>
        <v>222</v>
      </c>
      <c r="AR88" s="378"/>
      <c r="AS88" s="377">
        <f>ABS(INDEX(AS:AS,MATCH(AS82,$AA:$AA,0)+14)+INDEX(AS:AS,MATCH(AS82,$AA:$AA,0)+15)+INDEX(AS:AS,MATCH(AS82,$AA:$AA,0)+16))</f>
        <v>136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5"/>
        <v>Gesamt</v>
      </c>
      <c r="C89" s="358" t="str">
        <f t="shared" si="106"/>
        <v/>
      </c>
      <c r="D89" s="341">
        <f>IF(AC89=1505,"",AC89)</f>
        <v>777</v>
      </c>
      <c r="E89" s="341" t="str">
        <f>IF(AD89=0,"",AD89)</f>
        <v/>
      </c>
      <c r="F89" s="341">
        <f>IF(AE89=1505,"",AE89)</f>
        <v>732</v>
      </c>
      <c r="G89" s="341" t="str">
        <f>IF(AF89=0,"",AF89)</f>
        <v/>
      </c>
      <c r="H89" s="341">
        <f>IF(AG89=1505,"",AG89)</f>
        <v>796</v>
      </c>
      <c r="I89" s="341" t="str">
        <f>IF(AH89=0,"",AH89)</f>
        <v/>
      </c>
      <c r="J89" s="341">
        <f>IF(AI89=1505,"",AI89)</f>
        <v>839</v>
      </c>
      <c r="K89" s="341" t="str">
        <f>IF(AJ89=0,"",AJ89)</f>
        <v/>
      </c>
      <c r="L89" s="341">
        <f>IF(AK89=1505,"",AK89)</f>
        <v>809</v>
      </c>
      <c r="M89" s="341" t="str">
        <f>IF(AL89=0,"",AL89)</f>
        <v/>
      </c>
      <c r="N89" s="341">
        <f>IF(AM89=1505,"",AM89)</f>
        <v>876</v>
      </c>
      <c r="O89" s="341" t="str">
        <f>IF(AN89=0,"",AN89)</f>
        <v/>
      </c>
      <c r="P89" s="341">
        <f>IF(AO89=1505,"",AO89)</f>
        <v>863</v>
      </c>
      <c r="Q89" s="341" t="str">
        <f>IF(AP89=0,"",AP89)</f>
        <v/>
      </c>
      <c r="R89" s="341">
        <f>IF(AQ89=1505,"",AQ89)</f>
        <v>780</v>
      </c>
      <c r="S89" s="341" t="str">
        <f>IF(AR89=0,"",AR89)</f>
        <v/>
      </c>
      <c r="T89" s="341">
        <f>IF(AS89=1505,"",AS89)</f>
        <v>769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777</v>
      </c>
      <c r="AD89" s="358"/>
      <c r="AE89" s="357">
        <f>SUM(AE85:AE88)</f>
        <v>732</v>
      </c>
      <c r="AF89" s="358"/>
      <c r="AG89" s="357">
        <f>SUM(AG85:AG88)</f>
        <v>796</v>
      </c>
      <c r="AH89" s="358"/>
      <c r="AI89" s="357">
        <f>SUM(AI85:AI88)</f>
        <v>839</v>
      </c>
      <c r="AJ89" s="358"/>
      <c r="AK89" s="357">
        <f>SUM(AK85:AK88)</f>
        <v>809</v>
      </c>
      <c r="AL89" s="358"/>
      <c r="AM89" s="357">
        <f>SUM(AM85:AM88)</f>
        <v>876</v>
      </c>
      <c r="AN89" s="358"/>
      <c r="AO89" s="357">
        <f>SUM(AO85:AO88)</f>
        <v>863</v>
      </c>
      <c r="AP89" s="358"/>
      <c r="AQ89" s="357">
        <f>SUM(AQ85:AQ88)</f>
        <v>780</v>
      </c>
      <c r="AR89" s="358"/>
      <c r="AS89" s="357">
        <f>SUM(AS85:AS88)</f>
        <v>769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12.10./13.10.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12.10./13.10.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51">
        <f>IF(AD97="","",AD97)</f>
        <v>1</v>
      </c>
      <c r="F97" s="75">
        <f t="shared" ref="F97:F110" si="109">IF(AE97=0,"",AE97)</f>
        <v>212</v>
      </c>
      <c r="G97" s="351">
        <f>IF(AF97="","",AF97)</f>
        <v>0</v>
      </c>
      <c r="H97" s="75">
        <f t="shared" ref="H97:H110" si="110">IF(AG97=0,"",AG97)</f>
        <v>180</v>
      </c>
      <c r="I97" s="351">
        <f>IF(AH97="","",AH97)</f>
        <v>0</v>
      </c>
      <c r="J97" s="75">
        <f t="shared" ref="J97:J110" si="111">IF(AI97=0,"",AI97)</f>
        <v>215</v>
      </c>
      <c r="K97" s="351">
        <f>IF(AJ97="","",AJ97)</f>
        <v>0</v>
      </c>
      <c r="L97" s="75">
        <f t="shared" ref="L97:L110" si="112">IF(AK97=0,"",AK97)</f>
        <v>234</v>
      </c>
      <c r="M97" s="351">
        <f>IF(AL97="","",AL97)</f>
        <v>1</v>
      </c>
      <c r="N97" s="75">
        <f>IF(AM97=0,"",AM97)</f>
        <v>219</v>
      </c>
      <c r="O97" s="351">
        <f>IF(AN97="","",AN97)</f>
        <v>1</v>
      </c>
      <c r="P97" s="75">
        <f t="shared" ref="P97:P110" si="113">IF(AO97=0,"",AO97)</f>
        <v>223</v>
      </c>
      <c r="Q97" s="351">
        <f>IF(AP97="","",AP97)</f>
        <v>0</v>
      </c>
      <c r="R97" s="75">
        <f t="shared" ref="R97:R110" si="114">IF(AQ97=0,"",AQ97)</f>
        <v>159</v>
      </c>
      <c r="S97" s="351">
        <f>IF(AR97="","",AR97)</f>
        <v>0</v>
      </c>
      <c r="T97" s="75">
        <f t="shared" ref="T97:T110" si="115">IF(AS97=0,"",AS97)</f>
        <v>188</v>
      </c>
      <c r="U97" s="351">
        <f>IF(AT97="","",AT97)</f>
        <v>1</v>
      </c>
      <c r="V97" s="75">
        <f t="shared" ref="V97:V110" si="116">IF(AU97=0,"",AU97)</f>
        <v>1854</v>
      </c>
      <c r="W97" s="351">
        <f>IF(AV97="","",AV97)</f>
        <v>4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1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52"/>
      <c r="F98" s="78" t="str">
        <f t="shared" si="109"/>
        <v/>
      </c>
      <c r="G98" s="352"/>
      <c r="H98" s="78" t="str">
        <f t="shared" si="110"/>
        <v/>
      </c>
      <c r="I98" s="352"/>
      <c r="J98" s="78" t="str">
        <f t="shared" si="111"/>
        <v/>
      </c>
      <c r="K98" s="352"/>
      <c r="L98" s="78" t="str">
        <f t="shared" si="112"/>
        <v/>
      </c>
      <c r="M98" s="352"/>
      <c r="N98" s="78" t="str">
        <f t="shared" ref="N98:N110" si="131">IF(AM98=0,"",AM98)</f>
        <v/>
      </c>
      <c r="O98" s="352"/>
      <c r="P98" s="78" t="str">
        <f t="shared" si="113"/>
        <v/>
      </c>
      <c r="Q98" s="352"/>
      <c r="R98" s="78" t="str">
        <f t="shared" si="114"/>
        <v/>
      </c>
      <c r="S98" s="352"/>
      <c r="T98" s="78" t="str">
        <f t="shared" si="115"/>
        <v/>
      </c>
      <c r="U98" s="352"/>
      <c r="V98" s="78" t="str">
        <f t="shared" si="116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2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3"/>
      <c r="F99" s="69" t="str">
        <f t="shared" si="109"/>
        <v/>
      </c>
      <c r="G99" s="353"/>
      <c r="H99" s="69" t="str">
        <f t="shared" si="110"/>
        <v/>
      </c>
      <c r="I99" s="353"/>
      <c r="J99" s="69" t="str">
        <f t="shared" si="111"/>
        <v/>
      </c>
      <c r="K99" s="353"/>
      <c r="L99" s="69" t="str">
        <f t="shared" si="112"/>
        <v/>
      </c>
      <c r="M99" s="353"/>
      <c r="N99" s="69" t="str">
        <f t="shared" si="131"/>
        <v/>
      </c>
      <c r="O99" s="353"/>
      <c r="P99" s="69" t="str">
        <f t="shared" si="113"/>
        <v/>
      </c>
      <c r="Q99" s="353"/>
      <c r="R99" s="69" t="str">
        <f t="shared" si="114"/>
        <v/>
      </c>
      <c r="S99" s="353"/>
      <c r="T99" s="69" t="str">
        <f t="shared" si="115"/>
        <v/>
      </c>
      <c r="U99" s="353"/>
      <c r="V99" s="69" t="str">
        <f t="shared" si="116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0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51">
        <f>IF(AD100="","",AD100)</f>
        <v>1</v>
      </c>
      <c r="F100" s="75">
        <f t="shared" si="109"/>
        <v>194</v>
      </c>
      <c r="G100" s="351">
        <f>IF(AF100="","",AF100)</f>
        <v>1</v>
      </c>
      <c r="H100" s="75">
        <f t="shared" si="110"/>
        <v>180</v>
      </c>
      <c r="I100" s="351">
        <f>IF(AH100="","",AH100)</f>
        <v>1</v>
      </c>
      <c r="J100" s="75">
        <f t="shared" si="111"/>
        <v>191</v>
      </c>
      <c r="K100" s="351">
        <f>IF(AJ100="","",AJ100)</f>
        <v>0</v>
      </c>
      <c r="L100" s="75">
        <f t="shared" si="112"/>
        <v>162</v>
      </c>
      <c r="M100" s="351">
        <f>IF(AL100="","",AL100)</f>
        <v>0</v>
      </c>
      <c r="N100" s="75">
        <f t="shared" si="131"/>
        <v>186</v>
      </c>
      <c r="O100" s="351">
        <f>IF(AN100="","",AN100)</f>
        <v>0</v>
      </c>
      <c r="P100" s="75" t="str">
        <f t="shared" si="113"/>
        <v/>
      </c>
      <c r="Q100" s="351">
        <f>IF(AP100="","",AP100)</f>
        <v>0</v>
      </c>
      <c r="R100" s="75" t="str">
        <f t="shared" si="114"/>
        <v/>
      </c>
      <c r="S100" s="351">
        <f>IF(AR100="","",AR100)</f>
        <v>1</v>
      </c>
      <c r="T100" s="75" t="str">
        <f t="shared" si="115"/>
        <v/>
      </c>
      <c r="U100" s="351">
        <f>IF(AT100="","",AT100)</f>
        <v>1</v>
      </c>
      <c r="V100" s="75">
        <f t="shared" si="116"/>
        <v>1157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1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52"/>
      <c r="F101" s="78" t="str">
        <f t="shared" si="109"/>
        <v/>
      </c>
      <c r="G101" s="352"/>
      <c r="H101" s="78" t="str">
        <f t="shared" si="110"/>
        <v/>
      </c>
      <c r="I101" s="352"/>
      <c r="J101" s="78" t="str">
        <f t="shared" si="111"/>
        <v/>
      </c>
      <c r="K101" s="352"/>
      <c r="L101" s="78" t="str">
        <f t="shared" si="112"/>
        <v/>
      </c>
      <c r="M101" s="352"/>
      <c r="N101" s="78" t="str">
        <f t="shared" si="131"/>
        <v/>
      </c>
      <c r="O101" s="352"/>
      <c r="P101" s="78">
        <f t="shared" si="113"/>
        <v>193</v>
      </c>
      <c r="Q101" s="352"/>
      <c r="R101" s="78">
        <f t="shared" si="114"/>
        <v>204</v>
      </c>
      <c r="S101" s="352"/>
      <c r="T101" s="78">
        <f t="shared" si="115"/>
        <v>225</v>
      </c>
      <c r="U101" s="352"/>
      <c r="V101" s="78">
        <f t="shared" si="116"/>
        <v>622</v>
      </c>
      <c r="W101" s="352"/>
      <c r="Z101" s="355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2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3"/>
      <c r="F102" s="69" t="str">
        <f t="shared" si="109"/>
        <v/>
      </c>
      <c r="G102" s="353"/>
      <c r="H102" s="69" t="str">
        <f t="shared" si="110"/>
        <v/>
      </c>
      <c r="I102" s="353"/>
      <c r="J102" s="69" t="str">
        <f t="shared" si="111"/>
        <v/>
      </c>
      <c r="K102" s="353"/>
      <c r="L102" s="69" t="str">
        <f t="shared" si="112"/>
        <v/>
      </c>
      <c r="M102" s="353"/>
      <c r="N102" s="69" t="str">
        <f t="shared" si="131"/>
        <v/>
      </c>
      <c r="O102" s="353"/>
      <c r="P102" s="69" t="str">
        <f t="shared" si="113"/>
        <v/>
      </c>
      <c r="Q102" s="353"/>
      <c r="R102" s="69" t="str">
        <f t="shared" si="114"/>
        <v/>
      </c>
      <c r="S102" s="353"/>
      <c r="T102" s="69" t="str">
        <f t="shared" si="115"/>
        <v/>
      </c>
      <c r="U102" s="353"/>
      <c r="V102" s="69" t="str">
        <f t="shared" si="116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0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51">
        <f>IF(AD103="","",AD103)</f>
        <v>0</v>
      </c>
      <c r="F103" s="75">
        <f t="shared" si="109"/>
        <v>157</v>
      </c>
      <c r="G103" s="351">
        <f>IF(AF103="","",AF103)</f>
        <v>0</v>
      </c>
      <c r="H103" s="75" t="str">
        <f t="shared" si="110"/>
        <v/>
      </c>
      <c r="I103" s="351">
        <f>IF(AH103="","",AH103)</f>
        <v>1</v>
      </c>
      <c r="J103" s="75" t="str">
        <f t="shared" si="111"/>
        <v/>
      </c>
      <c r="K103" s="351">
        <f>IF(AJ103="","",AJ103)</f>
        <v>1</v>
      </c>
      <c r="L103" s="75" t="str">
        <f t="shared" si="112"/>
        <v/>
      </c>
      <c r="M103" s="351">
        <f>IF(AL103="","",AL103)</f>
        <v>0</v>
      </c>
      <c r="N103" s="75" t="str">
        <f t="shared" si="131"/>
        <v/>
      </c>
      <c r="O103" s="351">
        <f>IF(AN103="","",AN103)</f>
        <v>0</v>
      </c>
      <c r="P103" s="75" t="str">
        <f t="shared" si="113"/>
        <v/>
      </c>
      <c r="Q103" s="351">
        <f>IF(AP103="","",AP103)</f>
        <v>1</v>
      </c>
      <c r="R103" s="75" t="str">
        <f t="shared" si="114"/>
        <v/>
      </c>
      <c r="S103" s="351">
        <f>IF(AR103="","",AR103)</f>
        <v>0</v>
      </c>
      <c r="T103" s="75" t="str">
        <f t="shared" si="115"/>
        <v/>
      </c>
      <c r="U103" s="351">
        <f>IF(AT103="","",AT103)</f>
        <v>1</v>
      </c>
      <c r="V103" s="75">
        <f t="shared" si="116"/>
        <v>315</v>
      </c>
      <c r="W103" s="351">
        <f>IF(AV103="","",AV103)</f>
        <v>4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1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52"/>
      <c r="F104" s="78" t="str">
        <f t="shared" si="109"/>
        <v/>
      </c>
      <c r="G104" s="352"/>
      <c r="H104" s="78">
        <f t="shared" si="110"/>
        <v>239</v>
      </c>
      <c r="I104" s="352"/>
      <c r="J104" s="78">
        <f t="shared" si="111"/>
        <v>176</v>
      </c>
      <c r="K104" s="352"/>
      <c r="L104" s="78">
        <f t="shared" si="112"/>
        <v>198</v>
      </c>
      <c r="M104" s="352"/>
      <c r="N104" s="78">
        <f t="shared" si="131"/>
        <v>245</v>
      </c>
      <c r="O104" s="352"/>
      <c r="P104" s="78">
        <f t="shared" si="113"/>
        <v>182</v>
      </c>
      <c r="Q104" s="352"/>
      <c r="R104" s="78">
        <f t="shared" si="114"/>
        <v>195</v>
      </c>
      <c r="S104" s="352"/>
      <c r="T104" s="78">
        <f t="shared" si="115"/>
        <v>191</v>
      </c>
      <c r="U104" s="352"/>
      <c r="V104" s="78">
        <f t="shared" si="116"/>
        <v>1426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2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3"/>
      <c r="F105" s="69" t="str">
        <f t="shared" si="109"/>
        <v/>
      </c>
      <c r="G105" s="353"/>
      <c r="H105" s="69" t="str">
        <f t="shared" si="110"/>
        <v/>
      </c>
      <c r="I105" s="353"/>
      <c r="J105" s="69" t="str">
        <f t="shared" si="111"/>
        <v/>
      </c>
      <c r="K105" s="353"/>
      <c r="L105" s="69" t="str">
        <f t="shared" si="112"/>
        <v/>
      </c>
      <c r="M105" s="353"/>
      <c r="N105" s="69" t="str">
        <f t="shared" si="131"/>
        <v/>
      </c>
      <c r="O105" s="353"/>
      <c r="P105" s="69" t="str">
        <f t="shared" si="113"/>
        <v/>
      </c>
      <c r="Q105" s="353"/>
      <c r="R105" s="69" t="str">
        <f t="shared" si="114"/>
        <v/>
      </c>
      <c r="S105" s="353"/>
      <c r="T105" s="69" t="str">
        <f t="shared" si="115"/>
        <v/>
      </c>
      <c r="U105" s="353"/>
      <c r="V105" s="69" t="str">
        <f t="shared" si="116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51">
        <f>IF(AD106="","",AD106)</f>
        <v>1</v>
      </c>
      <c r="F106" s="75">
        <f t="shared" si="109"/>
        <v>204</v>
      </c>
      <c r="G106" s="351">
        <f>IF(AF106="","",AF106)</f>
        <v>1</v>
      </c>
      <c r="H106" s="75">
        <f t="shared" si="110"/>
        <v>280</v>
      </c>
      <c r="I106" s="351">
        <f>IF(AH106="","",AH106)</f>
        <v>1</v>
      </c>
      <c r="J106" s="75">
        <f t="shared" si="111"/>
        <v>236</v>
      </c>
      <c r="K106" s="351">
        <f>IF(AJ106="","",AJ106)</f>
        <v>1</v>
      </c>
      <c r="L106" s="75">
        <f t="shared" si="112"/>
        <v>223</v>
      </c>
      <c r="M106" s="351">
        <f>IF(AL106="","",AL106)</f>
        <v>0</v>
      </c>
      <c r="N106" s="75">
        <f t="shared" si="131"/>
        <v>195</v>
      </c>
      <c r="O106" s="351">
        <f>IF(AN106="","",AN106)</f>
        <v>1</v>
      </c>
      <c r="P106" s="75">
        <f t="shared" si="113"/>
        <v>242</v>
      </c>
      <c r="Q106" s="351">
        <f>IF(AP106="","",AP106)</f>
        <v>1</v>
      </c>
      <c r="R106" s="75">
        <f t="shared" si="114"/>
        <v>222</v>
      </c>
      <c r="S106" s="351">
        <f>IF(AR106="","",AR106)</f>
        <v>1</v>
      </c>
      <c r="T106" s="75">
        <f t="shared" si="115"/>
        <v>201</v>
      </c>
      <c r="U106" s="351">
        <f>IF(AT106="","",AT106)</f>
        <v>1</v>
      </c>
      <c r="V106" s="75">
        <f t="shared" si="116"/>
        <v>2065</v>
      </c>
      <c r="W106" s="351">
        <f>IF(AV106="","",AV106)</f>
        <v>8</v>
      </c>
      <c r="Z106" s="354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52"/>
      <c r="F107" s="78" t="str">
        <f t="shared" si="109"/>
        <v/>
      </c>
      <c r="G107" s="352"/>
      <c r="H107" s="78" t="str">
        <f t="shared" si="110"/>
        <v/>
      </c>
      <c r="I107" s="352"/>
      <c r="J107" s="78" t="str">
        <f t="shared" si="111"/>
        <v/>
      </c>
      <c r="K107" s="352"/>
      <c r="L107" s="78" t="str">
        <f t="shared" si="112"/>
        <v/>
      </c>
      <c r="M107" s="352"/>
      <c r="N107" s="78" t="str">
        <f t="shared" si="131"/>
        <v/>
      </c>
      <c r="O107" s="352"/>
      <c r="P107" s="78" t="str">
        <f t="shared" si="113"/>
        <v/>
      </c>
      <c r="Q107" s="352"/>
      <c r="R107" s="78" t="str">
        <f t="shared" si="114"/>
        <v/>
      </c>
      <c r="S107" s="352"/>
      <c r="T107" s="78" t="str">
        <f t="shared" si="115"/>
        <v/>
      </c>
      <c r="U107" s="352"/>
      <c r="V107" s="78" t="str">
        <f t="shared" si="116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3"/>
      <c r="F108" s="69" t="str">
        <f t="shared" si="109"/>
        <v/>
      </c>
      <c r="G108" s="353"/>
      <c r="H108" s="69" t="str">
        <f t="shared" si="110"/>
        <v/>
      </c>
      <c r="I108" s="353"/>
      <c r="J108" s="69" t="str">
        <f t="shared" si="111"/>
        <v/>
      </c>
      <c r="K108" s="353"/>
      <c r="L108" s="69" t="str">
        <f t="shared" si="112"/>
        <v/>
      </c>
      <c r="M108" s="353"/>
      <c r="N108" s="69" t="str">
        <f t="shared" si="131"/>
        <v/>
      </c>
      <c r="O108" s="353"/>
      <c r="P108" s="69" t="str">
        <f t="shared" si="113"/>
        <v/>
      </c>
      <c r="Q108" s="353"/>
      <c r="R108" s="69" t="str">
        <f t="shared" si="114"/>
        <v/>
      </c>
      <c r="S108" s="353"/>
      <c r="T108" s="69" t="str">
        <f t="shared" si="115"/>
        <v/>
      </c>
      <c r="U108" s="353"/>
      <c r="V108" s="69" t="str">
        <f t="shared" si="116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9">
        <f t="shared" ref="D112:M114" si="144">IF(AC112=0,"",AC112)</f>
        <v>7</v>
      </c>
      <c r="E112" s="349" t="str">
        <f t="shared" si="144"/>
        <v/>
      </c>
      <c r="F112" s="349">
        <f t="shared" si="144"/>
        <v>2</v>
      </c>
      <c r="G112" s="349" t="str">
        <f t="shared" si="144"/>
        <v/>
      </c>
      <c r="H112" s="349">
        <f t="shared" si="144"/>
        <v>9</v>
      </c>
      <c r="I112" s="349" t="str">
        <f t="shared" si="144"/>
        <v/>
      </c>
      <c r="J112" s="349">
        <f t="shared" si="144"/>
        <v>10</v>
      </c>
      <c r="K112" s="349" t="str">
        <f t="shared" si="144"/>
        <v/>
      </c>
      <c r="L112" s="349">
        <f t="shared" si="144"/>
        <v>6</v>
      </c>
      <c r="M112" s="349" t="str">
        <f t="shared" si="144"/>
        <v/>
      </c>
      <c r="N112" s="349">
        <f t="shared" ref="N112:U114" si="145">IF(AM112=0,"",AM112)</f>
        <v>8</v>
      </c>
      <c r="O112" s="349" t="str">
        <f t="shared" si="145"/>
        <v/>
      </c>
      <c r="P112" s="349">
        <f t="shared" si="145"/>
        <v>1</v>
      </c>
      <c r="Q112" s="349" t="str">
        <f t="shared" si="145"/>
        <v/>
      </c>
      <c r="R112" s="349">
        <f t="shared" si="145"/>
        <v>3</v>
      </c>
      <c r="S112" s="349" t="str">
        <f t="shared" si="145"/>
        <v/>
      </c>
      <c r="T112" s="349">
        <f t="shared" si="145"/>
        <v>5</v>
      </c>
      <c r="U112" s="349" t="str">
        <f t="shared" si="14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VLOOKUP($AA92,Schlüssel!$A$5:$K$14,3)</f>
        <v>7</v>
      </c>
      <c r="AD112" s="374"/>
      <c r="AE112" s="373">
        <f>VLOOKUP($AA92,Schlüssel!$A$5:$K$14,4)</f>
        <v>2</v>
      </c>
      <c r="AF112" s="374"/>
      <c r="AG112" s="373">
        <f>VLOOKUP($AA92,Schlüssel!$A$5:$K$14,5)</f>
        <v>9</v>
      </c>
      <c r="AH112" s="374"/>
      <c r="AI112" s="373">
        <f>VLOOKUP($AA92,Schlüssel!$A$5:$K$14,6)</f>
        <v>10</v>
      </c>
      <c r="AJ112" s="374"/>
      <c r="AK112" s="373">
        <f>VLOOKUP($AA92,Schlüssel!$A$5:$K$14,7)</f>
        <v>6</v>
      </c>
      <c r="AL112" s="374"/>
      <c r="AM112" s="373">
        <f>VLOOKUP($AA92,Schlüssel!$A$5:$K$14,8)</f>
        <v>8</v>
      </c>
      <c r="AN112" s="374"/>
      <c r="AO112" s="373">
        <f>VLOOKUP($AA92,Schlüssel!$A$5:$K$14,9)</f>
        <v>1</v>
      </c>
      <c r="AP112" s="374"/>
      <c r="AQ112" s="373">
        <f>VLOOKUP($AA92,Schlüssel!$A$5:$K$14,10)</f>
        <v>3</v>
      </c>
      <c r="AR112" s="374"/>
      <c r="AS112" s="373">
        <f>VLOOKUP($AA92,Schlüssel!$A$5:$K$14,11)</f>
        <v>5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6" t="str">
        <f t="shared" si="144"/>
        <v>Schanzer Ingolstadt 1</v>
      </c>
      <c r="E113" s="347" t="str">
        <f t="shared" si="144"/>
        <v/>
      </c>
      <c r="F113" s="346" t="str">
        <f t="shared" si="144"/>
        <v>Bajuwaren München 1</v>
      </c>
      <c r="G113" s="347" t="str">
        <f t="shared" si="144"/>
        <v/>
      </c>
      <c r="H113" s="346" t="str">
        <f t="shared" si="144"/>
        <v>Bowlinghaus Bamberg 1</v>
      </c>
      <c r="I113" s="347" t="str">
        <f t="shared" si="144"/>
        <v/>
      </c>
      <c r="J113" s="346" t="str">
        <f t="shared" si="144"/>
        <v>High Roller Rosenheim 1</v>
      </c>
      <c r="K113" s="347" t="str">
        <f t="shared" si="144"/>
        <v/>
      </c>
      <c r="L113" s="346" t="str">
        <f t="shared" si="144"/>
        <v>SG Rottendorf 1</v>
      </c>
      <c r="M113" s="347" t="str">
        <f t="shared" si="144"/>
        <v/>
      </c>
      <c r="N113" s="346" t="str">
        <f t="shared" si="145"/>
        <v>BC EMAX Unterföhring 2</v>
      </c>
      <c r="O113" s="347" t="str">
        <f t="shared" si="145"/>
        <v/>
      </c>
      <c r="P113" s="346" t="str">
        <f t="shared" si="145"/>
        <v>BC Comet Nürnberg</v>
      </c>
      <c r="Q113" s="347" t="str">
        <f t="shared" si="145"/>
        <v/>
      </c>
      <c r="R113" s="346" t="str">
        <f t="shared" si="145"/>
        <v>BK München 3</v>
      </c>
      <c r="S113" s="347" t="str">
        <f t="shared" si="145"/>
        <v/>
      </c>
      <c r="T113" s="346" t="str">
        <f t="shared" si="145"/>
        <v>RW Lichtenhof Stein 1</v>
      </c>
      <c r="U113" s="347" t="str">
        <f t="shared" si="145"/>
        <v/>
      </c>
      <c r="V113" s="348"/>
      <c r="W113" s="348"/>
      <c r="AA113" s="90"/>
      <c r="AB113" s="86"/>
      <c r="AC113" s="346" t="str">
        <f>VLOOKUP(AC112,Schlüssel!$A$5:$K$14,2)</f>
        <v>Schanzer Ingolstadt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BC EMAX Unterföhring 2</v>
      </c>
      <c r="AN113" s="347"/>
      <c r="AO113" s="346" t="str">
        <f>VLOOKUP(AO112,Schlüssel!$A$5:$K$14,2)</f>
        <v>BC Comet Nürnberg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VLOOKUP(AS112,Schlüssel!$A$5:$EK$14,2)</f>
        <v>RW Lichtenhof Stein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4" t="str">
        <f t="shared" si="144"/>
        <v/>
      </c>
      <c r="E114" s="344" t="str">
        <f t="shared" si="144"/>
        <v/>
      </c>
      <c r="F114" s="344" t="str">
        <f t="shared" si="144"/>
        <v/>
      </c>
      <c r="G114" s="344" t="str">
        <f t="shared" si="144"/>
        <v/>
      </c>
      <c r="H114" s="344" t="str">
        <f t="shared" si="144"/>
        <v/>
      </c>
      <c r="I114" s="344" t="str">
        <f t="shared" si="144"/>
        <v/>
      </c>
      <c r="J114" s="344" t="str">
        <f t="shared" si="144"/>
        <v/>
      </c>
      <c r="K114" s="344" t="str">
        <f t="shared" si="144"/>
        <v/>
      </c>
      <c r="L114" s="344" t="str">
        <f t="shared" si="144"/>
        <v/>
      </c>
      <c r="M114" s="344" t="str">
        <f t="shared" si="144"/>
        <v/>
      </c>
      <c r="N114" s="344" t="str">
        <f t="shared" si="145"/>
        <v/>
      </c>
      <c r="O114" s="344" t="str">
        <f t="shared" si="145"/>
        <v/>
      </c>
      <c r="P114" s="344" t="str">
        <f t="shared" si="145"/>
        <v/>
      </c>
      <c r="Q114" s="344" t="str">
        <f t="shared" si="145"/>
        <v/>
      </c>
      <c r="R114" s="344" t="str">
        <f t="shared" si="145"/>
        <v/>
      </c>
      <c r="S114" s="344" t="str">
        <f t="shared" si="145"/>
        <v/>
      </c>
      <c r="T114" s="344" t="str">
        <f t="shared" si="145"/>
        <v/>
      </c>
      <c r="U114" s="345" t="str">
        <f t="shared" si="14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si="142"/>
        <v>Spieler 1</v>
      </c>
      <c r="C115" s="369" t="str">
        <f t="shared" si="143"/>
        <v/>
      </c>
      <c r="D115" s="342">
        <f>IF(AC115=301,"",AC115)</f>
        <v>169</v>
      </c>
      <c r="E115" s="342" t="str">
        <f>IF(AD115=0,"",AD115)</f>
        <v/>
      </c>
      <c r="F115" s="342">
        <f>IF(AE115=301,"",AE115)</f>
        <v>216</v>
      </c>
      <c r="G115" s="342" t="str">
        <f>IF(AF115=0,"",AF115)</f>
        <v/>
      </c>
      <c r="H115" s="342">
        <f>IF(AG115=301,"",AG115)</f>
        <v>189</v>
      </c>
      <c r="I115" s="342" t="str">
        <f>IF(AH115=0,"",AH115)</f>
        <v/>
      </c>
      <c r="J115" s="342">
        <f>IF(AI115=301,"",AI115)</f>
        <v>223</v>
      </c>
      <c r="K115" s="342" t="str">
        <f>IF(AJ115=0,"",AJ115)</f>
        <v/>
      </c>
      <c r="L115" s="342">
        <f>IF(AK115=301,"",AK115)</f>
        <v>164</v>
      </c>
      <c r="M115" s="342" t="str">
        <f>IF(AL115=0,"",AL115)</f>
        <v/>
      </c>
      <c r="N115" s="342">
        <f>IF(AM115=301,"",AM115)</f>
        <v>207</v>
      </c>
      <c r="O115" s="342" t="str">
        <f>IF(AN115=0,"",AN115)</f>
        <v/>
      </c>
      <c r="P115" s="342">
        <f>IF(AO115=301,"",AO115)</f>
        <v>226</v>
      </c>
      <c r="Q115" s="342" t="str">
        <f>IF(AP115=0,"",AP115)</f>
        <v/>
      </c>
      <c r="R115" s="342">
        <f>IF(AQ115=301,"",AQ115)</f>
        <v>225</v>
      </c>
      <c r="S115" s="342" t="str">
        <f>IF(AR115=0,"",AR115)</f>
        <v/>
      </c>
      <c r="T115" s="342">
        <f>IF(AS115=301,"",AS115)</f>
        <v>150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169</v>
      </c>
      <c r="AD115" s="376"/>
      <c r="AE115" s="375">
        <f>ABS(INDEX(AE:AE,MATCH(AE112,$AA:$AA,0)+5)+INDEX(AE:AE,MATCH(AE112,$AA:$AA,0)+6)+INDEX(AE:AE,MATCH(AE112,$AA:$AA,0)+7))</f>
        <v>216</v>
      </c>
      <c r="AF115" s="376"/>
      <c r="AG115" s="375">
        <f>ABS(INDEX(AG:AG,MATCH(AG112,$AA:$AA,0)+5)+INDEX(AG:AG,MATCH(AG112,$AA:$AA,0)+6)+INDEX(AG:AG,MATCH(AG112,$AA:$AA,0)+7))</f>
        <v>189</v>
      </c>
      <c r="AH115" s="376"/>
      <c r="AI115" s="375">
        <f>ABS(INDEX(AI:AI,MATCH(AI112,$AA:$AA,0)+5)+INDEX(AI:AI,MATCH(AI112,$AA:$AA,0)+6)+INDEX(AI:AI,MATCH(AI112,$AA:$AA,0)+7))</f>
        <v>223</v>
      </c>
      <c r="AJ115" s="376"/>
      <c r="AK115" s="375">
        <f>ABS(INDEX(AK:AK,MATCH(AK112,$AA:$AA,0)+5)+INDEX(AK:AK,MATCH(AK112,$AA:$AA,0)+6)+INDEX(AK:AK,MATCH(AK112,$AA:$AA,0)+7))</f>
        <v>164</v>
      </c>
      <c r="AL115" s="376"/>
      <c r="AM115" s="375">
        <f>ABS(INDEX(AM:AM,MATCH(AM112,$AA:$AA,0)+5)+INDEX(AM:AM,MATCH(AM112,$AA:$AA,0)+6)+INDEX(AM:AM,MATCH(AM112,$AA:$AA,0)+7))</f>
        <v>207</v>
      </c>
      <c r="AN115" s="376"/>
      <c r="AO115" s="375">
        <f>ABS(INDEX(AO:AO,MATCH(AO112,$AA:$AA,0)+5)+INDEX(AO:AO,MATCH(AO112,$AA:$AA,0)+6)+INDEX(AO:AO,MATCH(AO112,$AA:$AA,0)+7))</f>
        <v>226</v>
      </c>
      <c r="AP115" s="376"/>
      <c r="AQ115" s="375">
        <f>ABS(INDEX(AQ:AQ,MATCH(AQ112,$AA:$AA,0)+5)+INDEX(AQ:AQ,MATCH(AQ112,$AA:$AA,0)+6)+INDEX(AQ:AQ,MATCH(AQ112,$AA:$AA,0)+7))</f>
        <v>225</v>
      </c>
      <c r="AR115" s="376"/>
      <c r="AS115" s="375">
        <f>ABS(INDEX(AS:AS,MATCH(AS112,$AA:$AA,0)+5)+INDEX(AS:AS,MATCH(AS112,$AA:$AA,0)+6)+INDEX(AS:AS,MATCH(AS112,$AA:$AA,0)+7))</f>
        <v>150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42"/>
        <v>Spieler 2</v>
      </c>
      <c r="C116" s="369" t="str">
        <f t="shared" si="143"/>
        <v/>
      </c>
      <c r="D116" s="342">
        <f>IF(AC116=301,"",AC116)</f>
        <v>201</v>
      </c>
      <c r="E116" s="342" t="str">
        <f>IF(AD116=0,"",AD116)</f>
        <v/>
      </c>
      <c r="F116" s="342">
        <f>IF(AE116=301,"",AE116)</f>
        <v>174</v>
      </c>
      <c r="G116" s="342" t="str">
        <f>IF(AF116=0,"",AF116)</f>
        <v/>
      </c>
      <c r="H116" s="342">
        <f>IF(AG116=301,"",AG116)</f>
        <v>172</v>
      </c>
      <c r="I116" s="342" t="str">
        <f>IF(AH116=0,"",AH116)</f>
        <v/>
      </c>
      <c r="J116" s="342">
        <f>IF(AI116=301,"",AI116)</f>
        <v>225</v>
      </c>
      <c r="K116" s="342" t="str">
        <f>IF(AJ116=0,"",AJ116)</f>
        <v/>
      </c>
      <c r="L116" s="342">
        <f>IF(AK116=301,"",AK116)</f>
        <v>211</v>
      </c>
      <c r="M116" s="342" t="str">
        <f>IF(AL116=0,"",AL116)</f>
        <v/>
      </c>
      <c r="N116" s="342">
        <f>IF(AM116=301,"",AM116)</f>
        <v>224</v>
      </c>
      <c r="O116" s="342" t="str">
        <f>IF(AN116=0,"",AN116)</f>
        <v/>
      </c>
      <c r="P116" s="342">
        <f>IF(AO116=301,"",AO116)</f>
        <v>228</v>
      </c>
      <c r="Q116" s="342" t="str">
        <f>IF(AP116=0,"",AP116)</f>
        <v/>
      </c>
      <c r="R116" s="342">
        <f>IF(AQ116=301,"",AQ116)</f>
        <v>177</v>
      </c>
      <c r="S116" s="342" t="str">
        <f>IF(AR116=0,"",AR116)</f>
        <v/>
      </c>
      <c r="T116" s="342">
        <f>IF(AS116=301,"",AS116)</f>
        <v>190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201</v>
      </c>
      <c r="AD116" s="378"/>
      <c r="AE116" s="377">
        <f>ABS(INDEX(AE:AE,MATCH(AE112,$AA:$AA,0)+8)+INDEX(AE:AE,MATCH(AE112,$AA:$AA,0)+9)+INDEX(AE:AE,MATCH(AE112,$AA:$AA,0)+10))</f>
        <v>174</v>
      </c>
      <c r="AF116" s="378"/>
      <c r="AG116" s="377">
        <f>ABS(INDEX(AG:AG,MATCH(AG112,$AA:$AA,0)+8)+INDEX(AG:AG,MATCH(AG112,$AA:$AA,0)+9)+INDEX(AG:AG,MATCH(AG112,$AA:$AA,0)+10))</f>
        <v>172</v>
      </c>
      <c r="AH116" s="378"/>
      <c r="AI116" s="377">
        <f>ABS(INDEX(AI:AI,MATCH(AI112,$AA:$AA,0)+8)+INDEX(AI:AI,MATCH(AI112,$AA:$AA,0)+9)+INDEX(AI:AI,MATCH(AI112,$AA:$AA,0)+10))</f>
        <v>225</v>
      </c>
      <c r="AJ116" s="378"/>
      <c r="AK116" s="377">
        <f>ABS(INDEX(AK:AK,MATCH(AK112,$AA:$AA,0)+8)+INDEX(AK:AK,MATCH(AK112,$AA:$AA,0)+9)+INDEX(AK:AK,MATCH(AK112,$AA:$AA,0)+10))</f>
        <v>211</v>
      </c>
      <c r="AL116" s="378"/>
      <c r="AM116" s="377">
        <f>ABS(INDEX(AM:AM,MATCH(AM112,$AA:$AA,0)+8)+INDEX(AM:AM,MATCH(AM112,$AA:$AA,0)+9)+INDEX(AM:AM,MATCH(AM112,$AA:$AA,0)+10))</f>
        <v>224</v>
      </c>
      <c r="AN116" s="378"/>
      <c r="AO116" s="377">
        <f>ABS(INDEX(AO:AO,MATCH(AO112,$AA:$AA,0)+8)+INDEX(AO:AO,MATCH(AO112,$AA:$AA,0)+9)+INDEX(AO:AO,MATCH(AO112,$AA:$AA,0)+10))</f>
        <v>228</v>
      </c>
      <c r="AP116" s="378"/>
      <c r="AQ116" s="377">
        <f>ABS(INDEX(AQ:AQ,MATCH(AQ112,$AA:$AA,0)+8)+INDEX(AQ:AQ,MATCH(AQ112,$AA:$AA,0)+9)+INDEX(AQ:AQ,MATCH(AQ112,$AA:$AA,0)+10))</f>
        <v>177</v>
      </c>
      <c r="AR116" s="378"/>
      <c r="AS116" s="377">
        <f>ABS(INDEX(AS:AS,MATCH(AS112,$AA:$AA,0)+8)+INDEX(AS:AS,MATCH(AS112,$AA:$AA,0)+9)+INDEX(AS:AS,MATCH(AS112,$AA:$AA,0)+10))</f>
        <v>190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42"/>
        <v>Spieler 3</v>
      </c>
      <c r="C117" s="369" t="str">
        <f t="shared" si="143"/>
        <v/>
      </c>
      <c r="D117" s="342">
        <f>IF(AC117=301,"",AC117)</f>
        <v>181</v>
      </c>
      <c r="E117" s="342" t="str">
        <f>IF(AD117=0,"",AD117)</f>
        <v/>
      </c>
      <c r="F117" s="342">
        <f>IF(AE117=301,"",AE117)</f>
        <v>233</v>
      </c>
      <c r="G117" s="342" t="str">
        <f>IF(AF117=0,"",AF117)</f>
        <v/>
      </c>
      <c r="H117" s="342">
        <f>IF(AG117=301,"",AG117)</f>
        <v>168</v>
      </c>
      <c r="I117" s="342" t="str">
        <f>IF(AH117=0,"",AH117)</f>
        <v/>
      </c>
      <c r="J117" s="342">
        <f>IF(AI117=301,"",AI117)</f>
        <v>172</v>
      </c>
      <c r="K117" s="342" t="str">
        <f>IF(AJ117=0,"",AJ117)</f>
        <v/>
      </c>
      <c r="L117" s="342">
        <f>IF(AK117=301,"",AK117)</f>
        <v>243</v>
      </c>
      <c r="M117" s="342" t="str">
        <f>IF(AL117=0,"",AL117)</f>
        <v/>
      </c>
      <c r="N117" s="342">
        <f>IF(AM117=301,"",AM117)</f>
        <v>249</v>
      </c>
      <c r="O117" s="342" t="str">
        <f>IF(AN117=0,"",AN117)</f>
        <v/>
      </c>
      <c r="P117" s="342">
        <f>IF(AO117=301,"",AO117)</f>
        <v>180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165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181</v>
      </c>
      <c r="AD117" s="378"/>
      <c r="AE117" s="377">
        <f>ABS(INDEX(AE:AE,MATCH(AE112,$AA:$AA,0)+11)+INDEX(AE:AE,MATCH(AE112,$AA:$AA,0)+12)+INDEX(AE:AE,MATCH(AE112,$AA:$AA,0)+13))</f>
        <v>233</v>
      </c>
      <c r="AF117" s="378"/>
      <c r="AG117" s="377">
        <f>ABS(INDEX(AG:AG,MATCH(AG112,$AA:$AA,0)+11)+INDEX(AG:AG,MATCH(AG112,$AA:$AA,0)+12)+INDEX(AG:AG,MATCH(AG112,$AA:$AA,0)+13))</f>
        <v>168</v>
      </c>
      <c r="AH117" s="378"/>
      <c r="AI117" s="377">
        <f>ABS(INDEX(AI:AI,MATCH(AI112,$AA:$AA,0)+11)+INDEX(AI:AI,MATCH(AI112,$AA:$AA,0)+12)+INDEX(AI:AI,MATCH(AI112,$AA:$AA,0)+13))</f>
        <v>172</v>
      </c>
      <c r="AJ117" s="378"/>
      <c r="AK117" s="377">
        <f>ABS(INDEX(AK:AK,MATCH(AK112,$AA:$AA,0)+11)+INDEX(AK:AK,MATCH(AK112,$AA:$AA,0)+12)+INDEX(AK:AK,MATCH(AK112,$AA:$AA,0)+13))</f>
        <v>243</v>
      </c>
      <c r="AL117" s="378"/>
      <c r="AM117" s="377">
        <f>ABS(INDEX(AM:AM,MATCH(AM112,$AA:$AA,0)+11)+INDEX(AM:AM,MATCH(AM112,$AA:$AA,0)+12)+INDEX(AM:AM,MATCH(AM112,$AA:$AA,0)+13))</f>
        <v>249</v>
      </c>
      <c r="AN117" s="378"/>
      <c r="AO117" s="377">
        <f>ABS(INDEX(AO:AO,MATCH(AO112,$AA:$AA,0)+11)+INDEX(AO:AO,MATCH(AO112,$AA:$AA,0)+12)+INDEX(AO:AO,MATCH(AO112,$AA:$AA,0)+13))</f>
        <v>180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165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42"/>
        <v>Spieler 4</v>
      </c>
      <c r="C118" s="369" t="str">
        <f t="shared" si="143"/>
        <v/>
      </c>
      <c r="D118" s="342">
        <f>IF(AC118=301,"",AC118)</f>
        <v>170</v>
      </c>
      <c r="E118" s="342" t="str">
        <f>IF(AD118=0,"",AD118)</f>
        <v/>
      </c>
      <c r="F118" s="342">
        <f>IF(AE118=301,"",AE118)</f>
        <v>158</v>
      </c>
      <c r="G118" s="342" t="str">
        <f>IF(AF118=0,"",AF118)</f>
        <v/>
      </c>
      <c r="H118" s="342">
        <f>IF(AG118=301,"",AG118)</f>
        <v>216</v>
      </c>
      <c r="I118" s="342" t="str">
        <f>IF(AH118=0,"",AH118)</f>
        <v/>
      </c>
      <c r="J118" s="342">
        <f>IF(AI118=301,"",AI118)</f>
        <v>214</v>
      </c>
      <c r="K118" s="342" t="str">
        <f>IF(AJ118=0,"",AJ118)</f>
        <v/>
      </c>
      <c r="L118" s="342">
        <f>IF(AK118=301,"",AK118)</f>
        <v>231</v>
      </c>
      <c r="M118" s="342" t="str">
        <f>IF(AL118=0,"",AL118)</f>
        <v/>
      </c>
      <c r="N118" s="342">
        <f>IF(AM118=301,"",AM118)</f>
        <v>168</v>
      </c>
      <c r="O118" s="342" t="str">
        <f>IF(AN118=0,"",AN118)</f>
        <v/>
      </c>
      <c r="P118" s="342">
        <f>IF(AO118=301,"",AO118)</f>
        <v>194</v>
      </c>
      <c r="Q118" s="342" t="str">
        <f>IF(AP118=0,"",AP118)</f>
        <v/>
      </c>
      <c r="R118" s="342">
        <f>IF(AQ118=301,"",AQ118)</f>
        <v>202</v>
      </c>
      <c r="S118" s="342" t="str">
        <f>IF(AR118=0,"",AR118)</f>
        <v/>
      </c>
      <c r="T118" s="342">
        <f>IF(AS118=301,"",AS118)</f>
        <v>186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170</v>
      </c>
      <c r="AD118" s="378"/>
      <c r="AE118" s="377">
        <f>ABS(INDEX(AE:AE,MATCH(AE112,$AA:$AA,0)+14)+INDEX(AE:AE,MATCH(AE112,$AA:$AA,0)+15)+INDEX(AE:AE,MATCH(AE112,$AA:$AA,0)+16))</f>
        <v>158</v>
      </c>
      <c r="AF118" s="378"/>
      <c r="AG118" s="377">
        <f>ABS(INDEX(AG:AG,MATCH(AG112,$AA:$AA,0)+14)+INDEX(AG:AG,MATCH(AG112,$AA:$AA,0)+15)+INDEX(AG:AG,MATCH(AG112,$AA:$AA,0)+16))</f>
        <v>216</v>
      </c>
      <c r="AH118" s="378"/>
      <c r="AI118" s="377">
        <f>ABS(INDEX(AI:AI,MATCH(AI112,$AA:$AA,0)+14)+INDEX(AI:AI,MATCH(AI112,$AA:$AA,0)+15)+INDEX(AI:AI,MATCH(AI112,$AA:$AA,0)+16))</f>
        <v>214</v>
      </c>
      <c r="AJ118" s="378"/>
      <c r="AK118" s="377">
        <f>ABS(INDEX(AK:AK,MATCH(AK112,$AA:$AA,0)+14)+INDEX(AK:AK,MATCH(AK112,$AA:$AA,0)+15)+INDEX(AK:AK,MATCH(AK112,$AA:$AA,0)+16))</f>
        <v>231</v>
      </c>
      <c r="AL118" s="378"/>
      <c r="AM118" s="377">
        <f>ABS(INDEX(AM:AM,MATCH(AM112,$AA:$AA,0)+14)+INDEX(AM:AM,MATCH(AM112,$AA:$AA,0)+15)+INDEX(AM:AM,MATCH(AM112,$AA:$AA,0)+16))</f>
        <v>168</v>
      </c>
      <c r="AN118" s="378"/>
      <c r="AO118" s="377">
        <f>ABS(INDEX(AO:AO,MATCH(AO112,$AA:$AA,0)+14)+INDEX(AO:AO,MATCH(AO112,$AA:$AA,0)+15)+INDEX(AO:AO,MATCH(AO112,$AA:$AA,0)+16))</f>
        <v>194</v>
      </c>
      <c r="AP118" s="378"/>
      <c r="AQ118" s="377">
        <f>ABS(INDEX(AQ:AQ,MATCH(AQ112,$AA:$AA,0)+14)+INDEX(AQ:AQ,MATCH(AQ112,$AA:$AA,0)+15)+INDEX(AQ:AQ,MATCH(AQ112,$AA:$AA,0)+16))</f>
        <v>202</v>
      </c>
      <c r="AR118" s="378"/>
      <c r="AS118" s="377">
        <f>ABS(INDEX(AS:AS,MATCH(AS112,$AA:$AA,0)+14)+INDEX(AS:AS,MATCH(AS112,$AA:$AA,0)+15)+INDEX(AS:AS,MATCH(AS112,$AA:$AA,0)+16))</f>
        <v>186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42"/>
        <v>Gesamt</v>
      </c>
      <c r="C119" s="358" t="str">
        <f t="shared" si="143"/>
        <v/>
      </c>
      <c r="D119" s="341">
        <f>IF(AC119=1505,"",AC119)</f>
        <v>721</v>
      </c>
      <c r="E119" s="341" t="str">
        <f>IF(AD119=0,"",AD119)</f>
        <v/>
      </c>
      <c r="F119" s="341">
        <f>IF(AE119=1505,"",AE119)</f>
        <v>781</v>
      </c>
      <c r="G119" s="341" t="str">
        <f>IF(AF119=0,"",AF119)</f>
        <v/>
      </c>
      <c r="H119" s="341">
        <f>IF(AG119=1505,"",AG119)</f>
        <v>745</v>
      </c>
      <c r="I119" s="341" t="str">
        <f>IF(AH119=0,"",AH119)</f>
        <v/>
      </c>
      <c r="J119" s="341">
        <f>IF(AI119=1505,"",AI119)</f>
        <v>834</v>
      </c>
      <c r="K119" s="341" t="str">
        <f>IF(AJ119=0,"",AJ119)</f>
        <v/>
      </c>
      <c r="L119" s="341">
        <f>IF(AK119=1505,"",AK119)</f>
        <v>849</v>
      </c>
      <c r="M119" s="341" t="str">
        <f>IF(AL119=0,"",AL119)</f>
        <v/>
      </c>
      <c r="N119" s="341">
        <f>IF(AM119=1505,"",AM119)</f>
        <v>848</v>
      </c>
      <c r="O119" s="341" t="str">
        <f>IF(AN119=0,"",AN119)</f>
        <v/>
      </c>
      <c r="P119" s="341">
        <f>IF(AO119=1505,"",AO119)</f>
        <v>828</v>
      </c>
      <c r="Q119" s="341" t="str">
        <f>IF(AP119=0,"",AP119)</f>
        <v/>
      </c>
      <c r="R119" s="341">
        <f>IF(AQ119=1505,"",AQ119)</f>
        <v>804</v>
      </c>
      <c r="S119" s="341" t="str">
        <f>IF(AR119=0,"",AR119)</f>
        <v/>
      </c>
      <c r="T119" s="341">
        <f>IF(AS119=1505,"",AS119)</f>
        <v>691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721</v>
      </c>
      <c r="AD119" s="358"/>
      <c r="AE119" s="357">
        <f>SUM(AE115:AE118)</f>
        <v>781</v>
      </c>
      <c r="AF119" s="358"/>
      <c r="AG119" s="357">
        <f>SUM(AG115:AG118)</f>
        <v>745</v>
      </c>
      <c r="AH119" s="358"/>
      <c r="AI119" s="357">
        <f>SUM(AI115:AI118)</f>
        <v>834</v>
      </c>
      <c r="AJ119" s="358"/>
      <c r="AK119" s="357">
        <f>SUM(AK115:AK118)</f>
        <v>849</v>
      </c>
      <c r="AL119" s="358"/>
      <c r="AM119" s="357">
        <f>SUM(AM115:AM118)</f>
        <v>848</v>
      </c>
      <c r="AN119" s="358"/>
      <c r="AO119" s="357">
        <f>SUM(AO115:AO118)</f>
        <v>828</v>
      </c>
      <c r="AP119" s="358"/>
      <c r="AQ119" s="357">
        <f>SUM(AQ115:AQ118)</f>
        <v>804</v>
      </c>
      <c r="AR119" s="358"/>
      <c r="AS119" s="357">
        <f>SUM(AS115:AS118)</f>
        <v>691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12.10./13.10.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12.10./13.10.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51">
        <f>IF(AD127="","",AD127)</f>
        <v>0</v>
      </c>
      <c r="F127" s="75">
        <f t="shared" ref="F127:F140" si="146">IF(AE127=0,"",AE127)</f>
        <v>168</v>
      </c>
      <c r="G127" s="351">
        <f>IF(AF127="","",AF127)</f>
        <v>0</v>
      </c>
      <c r="H127" s="75">
        <f t="shared" ref="H127:H140" si="147">IF(AG127=0,"",AG127)</f>
        <v>154</v>
      </c>
      <c r="I127" s="351">
        <f>IF(AH127="","",AH127)</f>
        <v>0</v>
      </c>
      <c r="J127" s="75">
        <f t="shared" ref="J127:J140" si="148">IF(AI127=0,"",AI127)</f>
        <v>170</v>
      </c>
      <c r="K127" s="351">
        <f>IF(AJ127="","",AJ127)</f>
        <v>0</v>
      </c>
      <c r="L127" s="75">
        <f t="shared" ref="L127:L140" si="149">IF(AK127=0,"",AK127)</f>
        <v>210</v>
      </c>
      <c r="M127" s="351">
        <f>IF(AL127="","",AL127)</f>
        <v>1</v>
      </c>
      <c r="N127" s="75">
        <f>IF(AM127=0,"",AM127)</f>
        <v>127</v>
      </c>
      <c r="O127" s="351">
        <f>IF(AN127="","",AN127)</f>
        <v>0</v>
      </c>
      <c r="P127" s="75">
        <f t="shared" ref="P127:P140" si="150">IF(AO127=0,"",AO127)</f>
        <v>174</v>
      </c>
      <c r="Q127" s="351">
        <f>IF(AP127="","",AP127)</f>
        <v>1</v>
      </c>
      <c r="R127" s="75">
        <f t="shared" ref="R127:R140" si="151">IF(AQ127=0,"",AQ127)</f>
        <v>201</v>
      </c>
      <c r="S127" s="351">
        <f>IF(AR127="","",AR127)</f>
        <v>0</v>
      </c>
      <c r="T127" s="75">
        <f t="shared" ref="T127:T140" si="152">IF(AS127=0,"",AS127)</f>
        <v>150</v>
      </c>
      <c r="U127" s="351">
        <f>IF(AT127="","",AT127)</f>
        <v>0</v>
      </c>
      <c r="V127" s="75">
        <f t="shared" ref="V127:V140" si="153">IF(AU127=0,"",AU127)</f>
        <v>1543</v>
      </c>
      <c r="W127" s="351">
        <f>IF(AV127="","",AV127)</f>
        <v>2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1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52"/>
      <c r="F128" s="78" t="str">
        <f t="shared" si="146"/>
        <v/>
      </c>
      <c r="G128" s="352"/>
      <c r="H128" s="78" t="str">
        <f t="shared" si="147"/>
        <v/>
      </c>
      <c r="I128" s="352"/>
      <c r="J128" s="78" t="str">
        <f t="shared" si="148"/>
        <v/>
      </c>
      <c r="K128" s="352"/>
      <c r="L128" s="78" t="str">
        <f t="shared" si="149"/>
        <v/>
      </c>
      <c r="M128" s="352"/>
      <c r="N128" s="78" t="str">
        <f t="shared" ref="N128:N140" si="168">IF(AM128=0,"",AM128)</f>
        <v/>
      </c>
      <c r="O128" s="352"/>
      <c r="P128" s="78" t="str">
        <f t="shared" si="150"/>
        <v/>
      </c>
      <c r="Q128" s="352"/>
      <c r="R128" s="78" t="str">
        <f t="shared" si="151"/>
        <v/>
      </c>
      <c r="S128" s="352"/>
      <c r="T128" s="78" t="str">
        <f t="shared" si="152"/>
        <v/>
      </c>
      <c r="U128" s="352"/>
      <c r="V128" s="78" t="str">
        <f t="shared" si="153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2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3"/>
      <c r="F129" s="69" t="str">
        <f t="shared" si="146"/>
        <v/>
      </c>
      <c r="G129" s="353"/>
      <c r="H129" s="69" t="str">
        <f t="shared" si="147"/>
        <v/>
      </c>
      <c r="I129" s="353"/>
      <c r="J129" s="69" t="str">
        <f t="shared" si="148"/>
        <v/>
      </c>
      <c r="K129" s="353"/>
      <c r="L129" s="69" t="str">
        <f t="shared" si="149"/>
        <v/>
      </c>
      <c r="M129" s="353"/>
      <c r="N129" s="69" t="str">
        <f t="shared" si="168"/>
        <v/>
      </c>
      <c r="O129" s="353"/>
      <c r="P129" s="69" t="str">
        <f t="shared" si="150"/>
        <v/>
      </c>
      <c r="Q129" s="353"/>
      <c r="R129" s="69" t="str">
        <f t="shared" si="151"/>
        <v/>
      </c>
      <c r="S129" s="353"/>
      <c r="T129" s="69" t="str">
        <f t="shared" si="152"/>
        <v/>
      </c>
      <c r="U129" s="353"/>
      <c r="V129" s="69" t="str">
        <f t="shared" si="153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0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51">
        <f>IF(AD130="","",AD130)</f>
        <v>0</v>
      </c>
      <c r="F130" s="75">
        <f t="shared" si="146"/>
        <v>156</v>
      </c>
      <c r="G130" s="351">
        <f>IF(AF130="","",AF130)</f>
        <v>0</v>
      </c>
      <c r="H130" s="75">
        <f t="shared" si="147"/>
        <v>213</v>
      </c>
      <c r="I130" s="351">
        <f>IF(AH130="","",AH130)</f>
        <v>0</v>
      </c>
      <c r="J130" s="75">
        <f t="shared" si="148"/>
        <v>152</v>
      </c>
      <c r="K130" s="351">
        <f>IF(AJ130="","",AJ130)</f>
        <v>0</v>
      </c>
      <c r="L130" s="75" t="str">
        <f t="shared" si="149"/>
        <v/>
      </c>
      <c r="M130" s="351">
        <f>IF(AL130="","",AL130)</f>
        <v>0</v>
      </c>
      <c r="N130" s="75" t="str">
        <f t="shared" si="168"/>
        <v/>
      </c>
      <c r="O130" s="351">
        <f>IF(AN130="","",AN130)</f>
        <v>0</v>
      </c>
      <c r="P130" s="75" t="str">
        <f t="shared" si="150"/>
        <v/>
      </c>
      <c r="Q130" s="351">
        <f>IF(AP130="","",AP130)</f>
        <v>0</v>
      </c>
      <c r="R130" s="75" t="str">
        <f t="shared" si="151"/>
        <v/>
      </c>
      <c r="S130" s="351">
        <f>IF(AR130="","",AR130)</f>
        <v>1</v>
      </c>
      <c r="T130" s="75" t="str">
        <f t="shared" si="152"/>
        <v/>
      </c>
      <c r="U130" s="351">
        <f>IF(AT130="","",AT130)</f>
        <v>0</v>
      </c>
      <c r="V130" s="75">
        <f t="shared" si="153"/>
        <v>704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1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52"/>
      <c r="F131" s="78" t="str">
        <f t="shared" si="146"/>
        <v/>
      </c>
      <c r="G131" s="352"/>
      <c r="H131" s="78" t="str">
        <f t="shared" si="147"/>
        <v/>
      </c>
      <c r="I131" s="352"/>
      <c r="J131" s="78" t="str">
        <f t="shared" si="148"/>
        <v/>
      </c>
      <c r="K131" s="352"/>
      <c r="L131" s="78">
        <f t="shared" si="149"/>
        <v>146</v>
      </c>
      <c r="M131" s="352"/>
      <c r="N131" s="78">
        <f t="shared" si="168"/>
        <v>195</v>
      </c>
      <c r="O131" s="352"/>
      <c r="P131" s="78">
        <f t="shared" si="150"/>
        <v>167</v>
      </c>
      <c r="Q131" s="352"/>
      <c r="R131" s="78">
        <f t="shared" si="151"/>
        <v>179</v>
      </c>
      <c r="S131" s="352"/>
      <c r="T131" s="78">
        <f t="shared" si="152"/>
        <v>190</v>
      </c>
      <c r="U131" s="352"/>
      <c r="V131" s="78">
        <f t="shared" si="153"/>
        <v>877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2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3"/>
      <c r="F132" s="69" t="str">
        <f t="shared" si="146"/>
        <v/>
      </c>
      <c r="G132" s="353"/>
      <c r="H132" s="69" t="str">
        <f t="shared" si="147"/>
        <v/>
      </c>
      <c r="I132" s="353"/>
      <c r="J132" s="69" t="str">
        <f t="shared" si="148"/>
        <v/>
      </c>
      <c r="K132" s="353"/>
      <c r="L132" s="69" t="str">
        <f t="shared" si="149"/>
        <v/>
      </c>
      <c r="M132" s="353"/>
      <c r="N132" s="69" t="str">
        <f t="shared" si="168"/>
        <v/>
      </c>
      <c r="O132" s="353"/>
      <c r="P132" s="69" t="str">
        <f t="shared" si="150"/>
        <v/>
      </c>
      <c r="Q132" s="353"/>
      <c r="R132" s="69" t="str">
        <f t="shared" si="151"/>
        <v/>
      </c>
      <c r="S132" s="353"/>
      <c r="T132" s="69" t="str">
        <f t="shared" si="152"/>
        <v/>
      </c>
      <c r="U132" s="353"/>
      <c r="V132" s="69" t="str">
        <f t="shared" si="153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0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51">
        <f>IF(AD133="","",AD133)</f>
        <v>0.5</v>
      </c>
      <c r="F133" s="75">
        <f t="shared" si="146"/>
        <v>217</v>
      </c>
      <c r="G133" s="351">
        <f>IF(AF133="","",AF133)</f>
        <v>0</v>
      </c>
      <c r="H133" s="75">
        <f t="shared" si="147"/>
        <v>206</v>
      </c>
      <c r="I133" s="351">
        <f>IF(AH133="","",AH133)</f>
        <v>1</v>
      </c>
      <c r="J133" s="75">
        <f t="shared" si="148"/>
        <v>190</v>
      </c>
      <c r="K133" s="351">
        <f>IF(AJ133="","",AJ133)</f>
        <v>0</v>
      </c>
      <c r="L133" s="75">
        <f t="shared" si="149"/>
        <v>236</v>
      </c>
      <c r="M133" s="351">
        <f>IF(AL133="","",AL133)</f>
        <v>1</v>
      </c>
      <c r="N133" s="75">
        <f t="shared" si="168"/>
        <v>184</v>
      </c>
      <c r="O133" s="351">
        <f>IF(AN133="","",AN133)</f>
        <v>0</v>
      </c>
      <c r="P133" s="75">
        <f t="shared" si="150"/>
        <v>178</v>
      </c>
      <c r="Q133" s="351">
        <f>IF(AP133="","",AP133)</f>
        <v>1</v>
      </c>
      <c r="R133" s="75">
        <f t="shared" si="151"/>
        <v>162</v>
      </c>
      <c r="S133" s="351">
        <f>IF(AR133="","",AR133)</f>
        <v>0</v>
      </c>
      <c r="T133" s="75">
        <f t="shared" si="152"/>
        <v>165</v>
      </c>
      <c r="U133" s="351">
        <f>IF(AT133="","",AT133)</f>
        <v>0</v>
      </c>
      <c r="V133" s="75">
        <f t="shared" si="153"/>
        <v>1719</v>
      </c>
      <c r="W133" s="351">
        <f>IF(AV133="","",AV133)</f>
        <v>3.5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1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52"/>
      <c r="F134" s="78" t="str">
        <f t="shared" si="146"/>
        <v/>
      </c>
      <c r="G134" s="352"/>
      <c r="H134" s="78" t="str">
        <f t="shared" si="147"/>
        <v/>
      </c>
      <c r="I134" s="352"/>
      <c r="J134" s="78" t="str">
        <f t="shared" si="148"/>
        <v/>
      </c>
      <c r="K134" s="352"/>
      <c r="L134" s="78" t="str">
        <f t="shared" si="149"/>
        <v/>
      </c>
      <c r="M134" s="352"/>
      <c r="N134" s="78" t="str">
        <f t="shared" si="168"/>
        <v/>
      </c>
      <c r="O134" s="352"/>
      <c r="P134" s="78" t="str">
        <f t="shared" si="150"/>
        <v/>
      </c>
      <c r="Q134" s="352"/>
      <c r="R134" s="78" t="str">
        <f t="shared" si="151"/>
        <v/>
      </c>
      <c r="S134" s="352"/>
      <c r="T134" s="78" t="str">
        <f t="shared" si="152"/>
        <v/>
      </c>
      <c r="U134" s="352"/>
      <c r="V134" s="78" t="str">
        <f t="shared" si="153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2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3"/>
      <c r="F135" s="69" t="str">
        <f t="shared" si="146"/>
        <v/>
      </c>
      <c r="G135" s="353"/>
      <c r="H135" s="69" t="str">
        <f t="shared" si="147"/>
        <v/>
      </c>
      <c r="I135" s="353"/>
      <c r="J135" s="69" t="str">
        <f t="shared" si="148"/>
        <v/>
      </c>
      <c r="K135" s="353"/>
      <c r="L135" s="69" t="str">
        <f t="shared" si="149"/>
        <v/>
      </c>
      <c r="M135" s="353"/>
      <c r="N135" s="69" t="str">
        <f t="shared" si="168"/>
        <v/>
      </c>
      <c r="O135" s="353"/>
      <c r="P135" s="69" t="str">
        <f t="shared" si="150"/>
        <v/>
      </c>
      <c r="Q135" s="353"/>
      <c r="R135" s="69" t="str">
        <f t="shared" si="151"/>
        <v/>
      </c>
      <c r="S135" s="353"/>
      <c r="T135" s="69" t="str">
        <f t="shared" si="152"/>
        <v/>
      </c>
      <c r="U135" s="353"/>
      <c r="V135" s="69" t="str">
        <f t="shared" si="153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51">
        <f>IF(AD136="","",AD136)</f>
        <v>1</v>
      </c>
      <c r="F136" s="75">
        <f t="shared" si="146"/>
        <v>236</v>
      </c>
      <c r="G136" s="351">
        <f>IF(AF136="","",AF136)</f>
        <v>1</v>
      </c>
      <c r="H136" s="75">
        <f t="shared" si="147"/>
        <v>223</v>
      </c>
      <c r="I136" s="351">
        <f>IF(AH136="","",AH136)</f>
        <v>0</v>
      </c>
      <c r="J136" s="75">
        <f t="shared" si="148"/>
        <v>227</v>
      </c>
      <c r="K136" s="351">
        <f>IF(AJ136="","",AJ136)</f>
        <v>1</v>
      </c>
      <c r="L136" s="75">
        <f t="shared" si="149"/>
        <v>174</v>
      </c>
      <c r="M136" s="351">
        <f>IF(AL136="","",AL136)</f>
        <v>1</v>
      </c>
      <c r="N136" s="75">
        <f t="shared" si="168"/>
        <v>242</v>
      </c>
      <c r="O136" s="351">
        <f>IF(AN136="","",AN136)</f>
        <v>1</v>
      </c>
      <c r="P136" s="75">
        <f t="shared" si="150"/>
        <v>252</v>
      </c>
      <c r="Q136" s="351">
        <f>IF(AP136="","",AP136)</f>
        <v>1</v>
      </c>
      <c r="R136" s="75">
        <f t="shared" si="151"/>
        <v>218</v>
      </c>
      <c r="S136" s="351">
        <f>IF(AR136="","",AR136)</f>
        <v>1</v>
      </c>
      <c r="T136" s="75">
        <f t="shared" si="152"/>
        <v>186</v>
      </c>
      <c r="U136" s="351">
        <f>IF(AT136="","",AT136)</f>
        <v>0</v>
      </c>
      <c r="V136" s="75">
        <f t="shared" si="153"/>
        <v>1958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52"/>
      <c r="F137" s="78" t="str">
        <f t="shared" si="146"/>
        <v/>
      </c>
      <c r="G137" s="352"/>
      <c r="H137" s="78" t="str">
        <f t="shared" si="147"/>
        <v/>
      </c>
      <c r="I137" s="352"/>
      <c r="J137" s="78" t="str">
        <f t="shared" si="148"/>
        <v/>
      </c>
      <c r="K137" s="352"/>
      <c r="L137" s="78" t="str">
        <f t="shared" si="149"/>
        <v/>
      </c>
      <c r="M137" s="352"/>
      <c r="N137" s="78" t="str">
        <f t="shared" si="168"/>
        <v/>
      </c>
      <c r="O137" s="352"/>
      <c r="P137" s="78" t="str">
        <f t="shared" si="150"/>
        <v/>
      </c>
      <c r="Q137" s="352"/>
      <c r="R137" s="78" t="str">
        <f t="shared" si="151"/>
        <v/>
      </c>
      <c r="S137" s="352"/>
      <c r="T137" s="78" t="str">
        <f t="shared" si="152"/>
        <v/>
      </c>
      <c r="U137" s="352"/>
      <c r="V137" s="78" t="str">
        <f t="shared" si="153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3"/>
      <c r="F138" s="69" t="str">
        <f t="shared" si="146"/>
        <v/>
      </c>
      <c r="G138" s="353"/>
      <c r="H138" s="69" t="str">
        <f t="shared" si="147"/>
        <v/>
      </c>
      <c r="I138" s="353"/>
      <c r="J138" s="69" t="str">
        <f t="shared" si="148"/>
        <v/>
      </c>
      <c r="K138" s="353"/>
      <c r="L138" s="69" t="str">
        <f t="shared" si="149"/>
        <v/>
      </c>
      <c r="M138" s="353"/>
      <c r="N138" s="69" t="str">
        <f t="shared" si="168"/>
        <v/>
      </c>
      <c r="O138" s="353"/>
      <c r="P138" s="69" t="str">
        <f t="shared" si="150"/>
        <v/>
      </c>
      <c r="Q138" s="353"/>
      <c r="R138" s="69" t="str">
        <f t="shared" si="151"/>
        <v/>
      </c>
      <c r="S138" s="353"/>
      <c r="T138" s="69" t="str">
        <f t="shared" si="152"/>
        <v/>
      </c>
      <c r="U138" s="353"/>
      <c r="V138" s="69" t="str">
        <f t="shared" si="153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9">
        <f t="shared" ref="D142:M144" si="181">IF(AC142=0,"",AC142)</f>
        <v>9</v>
      </c>
      <c r="E142" s="349" t="str">
        <f t="shared" si="181"/>
        <v/>
      </c>
      <c r="F142" s="349">
        <f t="shared" si="181"/>
        <v>8</v>
      </c>
      <c r="G142" s="349" t="str">
        <f t="shared" si="181"/>
        <v/>
      </c>
      <c r="H142" s="349">
        <f t="shared" si="181"/>
        <v>3</v>
      </c>
      <c r="I142" s="349" t="str">
        <f t="shared" si="181"/>
        <v/>
      </c>
      <c r="J142" s="349">
        <f t="shared" si="181"/>
        <v>1</v>
      </c>
      <c r="K142" s="349" t="str">
        <f t="shared" si="181"/>
        <v/>
      </c>
      <c r="L142" s="349">
        <f t="shared" si="181"/>
        <v>7</v>
      </c>
      <c r="M142" s="349" t="str">
        <f t="shared" si="181"/>
        <v/>
      </c>
      <c r="N142" s="349">
        <f t="shared" ref="N142:U144" si="182">IF(AM142=0,"",AM142)</f>
        <v>2</v>
      </c>
      <c r="O142" s="349" t="str">
        <f t="shared" si="182"/>
        <v/>
      </c>
      <c r="P142" s="349">
        <f t="shared" si="182"/>
        <v>6</v>
      </c>
      <c r="Q142" s="349" t="str">
        <f t="shared" si="182"/>
        <v/>
      </c>
      <c r="R142" s="349">
        <f t="shared" si="182"/>
        <v>10</v>
      </c>
      <c r="S142" s="349" t="str">
        <f t="shared" si="182"/>
        <v/>
      </c>
      <c r="T142" s="349">
        <f t="shared" si="182"/>
        <v>4</v>
      </c>
      <c r="U142" s="349" t="str">
        <f t="shared" si="182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VLOOKUP($AA122,Schlüssel!$A$5:$K$14,3)</f>
        <v>9</v>
      </c>
      <c r="AD142" s="374"/>
      <c r="AE142" s="373">
        <f>VLOOKUP($AA122,Schlüssel!$A$5:$K$14,4)</f>
        <v>8</v>
      </c>
      <c r="AF142" s="374"/>
      <c r="AG142" s="373">
        <f>VLOOKUP($AA122,Schlüssel!$A$5:$K$14,5)</f>
        <v>3</v>
      </c>
      <c r="AH142" s="374"/>
      <c r="AI142" s="373">
        <f>VLOOKUP($AA122,Schlüssel!$A$5:$K$14,6)</f>
        <v>1</v>
      </c>
      <c r="AJ142" s="374"/>
      <c r="AK142" s="373">
        <f>VLOOKUP($AA122,Schlüssel!$A$5:$K$14,7)</f>
        <v>7</v>
      </c>
      <c r="AL142" s="374"/>
      <c r="AM142" s="373">
        <f>VLOOKUP($AA122,Schlüssel!$A$5:$K$14,8)</f>
        <v>2</v>
      </c>
      <c r="AN142" s="374"/>
      <c r="AO142" s="373">
        <f>VLOOKUP($AA122,Schlüssel!$A$5:$K$14,9)</f>
        <v>6</v>
      </c>
      <c r="AP142" s="374"/>
      <c r="AQ142" s="373">
        <f>VLOOKUP($AA122,Schlüssel!$A$5:$K$14,10)</f>
        <v>10</v>
      </c>
      <c r="AR142" s="374"/>
      <c r="AS142" s="373">
        <f>VLOOKUP($AA122,Schlüssel!$A$5:$K$14,11)</f>
        <v>4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6" t="str">
        <f t="shared" si="181"/>
        <v>Bowlinghaus Bamberg 1</v>
      </c>
      <c r="E143" s="347" t="str">
        <f t="shared" si="181"/>
        <v/>
      </c>
      <c r="F143" s="346" t="str">
        <f t="shared" si="181"/>
        <v>BC EMAX Unterföhring 2</v>
      </c>
      <c r="G143" s="347" t="str">
        <f t="shared" si="181"/>
        <v/>
      </c>
      <c r="H143" s="346" t="str">
        <f t="shared" si="181"/>
        <v>BK München 3</v>
      </c>
      <c r="I143" s="347" t="str">
        <f t="shared" si="181"/>
        <v/>
      </c>
      <c r="J143" s="346" t="str">
        <f t="shared" si="181"/>
        <v>BC Comet Nürnberg</v>
      </c>
      <c r="K143" s="347" t="str">
        <f t="shared" si="181"/>
        <v/>
      </c>
      <c r="L143" s="346" t="str">
        <f t="shared" si="181"/>
        <v>Schanzer Ingolstadt 1</v>
      </c>
      <c r="M143" s="347" t="str">
        <f t="shared" si="181"/>
        <v/>
      </c>
      <c r="N143" s="346" t="str">
        <f t="shared" si="182"/>
        <v>Bajuwaren München 1</v>
      </c>
      <c r="O143" s="347" t="str">
        <f t="shared" si="182"/>
        <v/>
      </c>
      <c r="P143" s="346" t="str">
        <f t="shared" si="182"/>
        <v>SG Rottendorf 1</v>
      </c>
      <c r="Q143" s="347" t="str">
        <f t="shared" si="182"/>
        <v/>
      </c>
      <c r="R143" s="346" t="str">
        <f t="shared" si="182"/>
        <v>High Roller Rosenheim 1</v>
      </c>
      <c r="S143" s="347" t="str">
        <f t="shared" si="182"/>
        <v/>
      </c>
      <c r="T143" s="346" t="str">
        <f t="shared" si="182"/>
        <v>SG DJK Rimpar</v>
      </c>
      <c r="U143" s="347" t="str">
        <f t="shared" si="182"/>
        <v/>
      </c>
      <c r="V143" s="348"/>
      <c r="W143" s="348"/>
      <c r="AA143" s="90"/>
      <c r="AB143" s="86"/>
      <c r="AC143" s="346" t="str">
        <f>VLOOKUP(AC142,Schlüssel!$A$5:$K$14,2)</f>
        <v>Bowlinghaus Bamberg 1</v>
      </c>
      <c r="AD143" s="347"/>
      <c r="AE143" s="346" t="str">
        <f>VLOOKUP(AE142,Schlüssel!$A$5:$K$14,2)</f>
        <v>BC EMAX Unterföhring 2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Comet Nürnberg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Bajuwaren München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DJK Rimpar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4" t="str">
        <f t="shared" si="181"/>
        <v/>
      </c>
      <c r="E144" s="344" t="str">
        <f t="shared" si="181"/>
        <v/>
      </c>
      <c r="F144" s="344" t="str">
        <f t="shared" si="181"/>
        <v/>
      </c>
      <c r="G144" s="344" t="str">
        <f t="shared" si="181"/>
        <v/>
      </c>
      <c r="H144" s="344" t="str">
        <f t="shared" si="181"/>
        <v/>
      </c>
      <c r="I144" s="344" t="str">
        <f t="shared" si="181"/>
        <v/>
      </c>
      <c r="J144" s="344" t="str">
        <f t="shared" si="181"/>
        <v/>
      </c>
      <c r="K144" s="344" t="str">
        <f t="shared" si="181"/>
        <v/>
      </c>
      <c r="L144" s="344" t="str">
        <f t="shared" si="181"/>
        <v/>
      </c>
      <c r="M144" s="344" t="str">
        <f t="shared" si="181"/>
        <v/>
      </c>
      <c r="N144" s="344" t="str">
        <f t="shared" si="182"/>
        <v/>
      </c>
      <c r="O144" s="344" t="str">
        <f t="shared" si="182"/>
        <v/>
      </c>
      <c r="P144" s="344" t="str">
        <f t="shared" si="182"/>
        <v/>
      </c>
      <c r="Q144" s="344" t="str">
        <f t="shared" si="182"/>
        <v/>
      </c>
      <c r="R144" s="344" t="str">
        <f t="shared" si="182"/>
        <v/>
      </c>
      <c r="S144" s="344" t="str">
        <f t="shared" si="182"/>
        <v/>
      </c>
      <c r="T144" s="344" t="str">
        <f t="shared" si="182"/>
        <v/>
      </c>
      <c r="U144" s="345" t="str">
        <f t="shared" si="182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si="179"/>
        <v>Spieler 1</v>
      </c>
      <c r="C145" s="369" t="str">
        <f t="shared" si="180"/>
        <v/>
      </c>
      <c r="D145" s="342">
        <f>IF(AC145=301,"",AC145)</f>
        <v>211</v>
      </c>
      <c r="E145" s="342" t="str">
        <f>IF(AD145=0,"",AD145)</f>
        <v/>
      </c>
      <c r="F145" s="342">
        <f>IF(AE145=301,"",AE145)</f>
        <v>183</v>
      </c>
      <c r="G145" s="342" t="str">
        <f>IF(AF145=0,"",AF145)</f>
        <v/>
      </c>
      <c r="H145" s="342">
        <f>IF(AG145=301,"",AG145)</f>
        <v>206</v>
      </c>
      <c r="I145" s="342" t="str">
        <f>IF(AH145=0,"",AH145)</f>
        <v/>
      </c>
      <c r="J145" s="342">
        <f>IF(AI145=301,"",AI145)</f>
        <v>232</v>
      </c>
      <c r="K145" s="342" t="str">
        <f>IF(AJ145=0,"",AJ145)</f>
        <v/>
      </c>
      <c r="L145" s="342">
        <f>IF(AK145=301,"",AK145)</f>
        <v>125</v>
      </c>
      <c r="M145" s="342" t="str">
        <f>IF(AL145=0,"",AL145)</f>
        <v/>
      </c>
      <c r="N145" s="342">
        <f>IF(AM145=301,"",AM145)</f>
        <v>216</v>
      </c>
      <c r="O145" s="342" t="str">
        <f>IF(AN145=0,"",AN145)</f>
        <v/>
      </c>
      <c r="P145" s="342">
        <f>IF(AO145=301,"",AO145)</f>
        <v>157</v>
      </c>
      <c r="Q145" s="342" t="str">
        <f>IF(AP145=0,"",AP145)</f>
        <v/>
      </c>
      <c r="R145" s="342">
        <f>IF(AQ145=301,"",AQ145)</f>
        <v>241</v>
      </c>
      <c r="S145" s="342" t="str">
        <f>IF(AR145=0,"",AR145)</f>
        <v/>
      </c>
      <c r="T145" s="342">
        <f>IF(AS145=301,"",AS145)</f>
        <v>188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211</v>
      </c>
      <c r="AD145" s="376"/>
      <c r="AE145" s="375">
        <f>ABS(INDEX(AE:AE,MATCH(AE142,$AA:$AA,0)+5)+INDEX(AE:AE,MATCH(AE142,$AA:$AA,0)+6)+INDEX(AE:AE,MATCH(AE142,$AA:$AA,0)+7))</f>
        <v>183</v>
      </c>
      <c r="AF145" s="376"/>
      <c r="AG145" s="375">
        <f>ABS(INDEX(AG:AG,MATCH(AG142,$AA:$AA,0)+5)+INDEX(AG:AG,MATCH(AG142,$AA:$AA,0)+6)+INDEX(AG:AG,MATCH(AG142,$AA:$AA,0)+7))</f>
        <v>206</v>
      </c>
      <c r="AH145" s="376"/>
      <c r="AI145" s="375">
        <f>ABS(INDEX(AI:AI,MATCH(AI142,$AA:$AA,0)+5)+INDEX(AI:AI,MATCH(AI142,$AA:$AA,0)+6)+INDEX(AI:AI,MATCH(AI142,$AA:$AA,0)+7))</f>
        <v>232</v>
      </c>
      <c r="AJ145" s="376"/>
      <c r="AK145" s="375">
        <f>ABS(INDEX(AK:AK,MATCH(AK142,$AA:$AA,0)+5)+INDEX(AK:AK,MATCH(AK142,$AA:$AA,0)+6)+INDEX(AK:AK,MATCH(AK142,$AA:$AA,0)+7))</f>
        <v>125</v>
      </c>
      <c r="AL145" s="376"/>
      <c r="AM145" s="375">
        <f>ABS(INDEX(AM:AM,MATCH(AM142,$AA:$AA,0)+5)+INDEX(AM:AM,MATCH(AM142,$AA:$AA,0)+6)+INDEX(AM:AM,MATCH(AM142,$AA:$AA,0)+7))</f>
        <v>216</v>
      </c>
      <c r="AN145" s="376"/>
      <c r="AO145" s="375">
        <f>ABS(INDEX(AO:AO,MATCH(AO142,$AA:$AA,0)+5)+INDEX(AO:AO,MATCH(AO142,$AA:$AA,0)+6)+INDEX(AO:AO,MATCH(AO142,$AA:$AA,0)+7))</f>
        <v>157</v>
      </c>
      <c r="AP145" s="376"/>
      <c r="AQ145" s="375">
        <f>ABS(INDEX(AQ:AQ,MATCH(AQ142,$AA:$AA,0)+5)+INDEX(AQ:AQ,MATCH(AQ142,$AA:$AA,0)+6)+INDEX(AQ:AQ,MATCH(AQ142,$AA:$AA,0)+7))</f>
        <v>241</v>
      </c>
      <c r="AR145" s="376"/>
      <c r="AS145" s="375">
        <f>ABS(INDEX(AS:AS,MATCH(AS142,$AA:$AA,0)+5)+INDEX(AS:AS,MATCH(AS142,$AA:$AA,0)+6)+INDEX(AS:AS,MATCH(AS142,$AA:$AA,0)+7))</f>
        <v>188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9"/>
        <v>Spieler 2</v>
      </c>
      <c r="C146" s="369" t="str">
        <f t="shared" si="180"/>
        <v/>
      </c>
      <c r="D146" s="342">
        <f>IF(AC146=301,"",AC146)</f>
        <v>192</v>
      </c>
      <c r="E146" s="342" t="str">
        <f>IF(AD146=0,"",AD146)</f>
        <v/>
      </c>
      <c r="F146" s="342">
        <f>IF(AE146=301,"",AE146)</f>
        <v>236</v>
      </c>
      <c r="G146" s="342" t="str">
        <f>IF(AF146=0,"",AF146)</f>
        <v/>
      </c>
      <c r="H146" s="342">
        <f>IF(AG146=301,"",AG146)</f>
        <v>233</v>
      </c>
      <c r="I146" s="342" t="str">
        <f>IF(AH146=0,"",AH146)</f>
        <v/>
      </c>
      <c r="J146" s="342">
        <f>IF(AI146=301,"",AI146)</f>
        <v>225</v>
      </c>
      <c r="K146" s="342" t="str">
        <f>IF(AJ146=0,"",AJ146)</f>
        <v/>
      </c>
      <c r="L146" s="342">
        <f>IF(AK146=301,"",AK146)</f>
        <v>185</v>
      </c>
      <c r="M146" s="342" t="str">
        <f>IF(AL146=0,"",AL146)</f>
        <v/>
      </c>
      <c r="N146" s="342">
        <f>IF(AM146=301,"",AM146)</f>
        <v>202</v>
      </c>
      <c r="O146" s="342" t="str">
        <f>IF(AN146=0,"",AN146)</f>
        <v/>
      </c>
      <c r="P146" s="342">
        <f>IF(AO146=301,"",AO146)</f>
        <v>199</v>
      </c>
      <c r="Q146" s="342" t="str">
        <f>IF(AP146=0,"",AP146)</f>
        <v/>
      </c>
      <c r="R146" s="342">
        <f>IF(AQ146=301,"",AQ146)</f>
        <v>176</v>
      </c>
      <c r="S146" s="342" t="str">
        <f>IF(AR146=0,"",AR146)</f>
        <v/>
      </c>
      <c r="T146" s="342">
        <f>IF(AS146=301,"",AS146)</f>
        <v>225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192</v>
      </c>
      <c r="AD146" s="378"/>
      <c r="AE146" s="377">
        <f>ABS(INDEX(AE:AE,MATCH(AE142,$AA:$AA,0)+8)+INDEX(AE:AE,MATCH(AE142,$AA:$AA,0)+9)+INDEX(AE:AE,MATCH(AE142,$AA:$AA,0)+10))</f>
        <v>236</v>
      </c>
      <c r="AF146" s="378"/>
      <c r="AG146" s="377">
        <f>ABS(INDEX(AG:AG,MATCH(AG142,$AA:$AA,0)+8)+INDEX(AG:AG,MATCH(AG142,$AA:$AA,0)+9)+INDEX(AG:AG,MATCH(AG142,$AA:$AA,0)+10))</f>
        <v>233</v>
      </c>
      <c r="AH146" s="378"/>
      <c r="AI146" s="377">
        <f>ABS(INDEX(AI:AI,MATCH(AI142,$AA:$AA,0)+8)+INDEX(AI:AI,MATCH(AI142,$AA:$AA,0)+9)+INDEX(AI:AI,MATCH(AI142,$AA:$AA,0)+10))</f>
        <v>225</v>
      </c>
      <c r="AJ146" s="378"/>
      <c r="AK146" s="377">
        <f>ABS(INDEX(AK:AK,MATCH(AK142,$AA:$AA,0)+8)+INDEX(AK:AK,MATCH(AK142,$AA:$AA,0)+9)+INDEX(AK:AK,MATCH(AK142,$AA:$AA,0)+10))</f>
        <v>185</v>
      </c>
      <c r="AL146" s="378"/>
      <c r="AM146" s="377">
        <f>ABS(INDEX(AM:AM,MATCH(AM142,$AA:$AA,0)+8)+INDEX(AM:AM,MATCH(AM142,$AA:$AA,0)+9)+INDEX(AM:AM,MATCH(AM142,$AA:$AA,0)+10))</f>
        <v>202</v>
      </c>
      <c r="AN146" s="378"/>
      <c r="AO146" s="377">
        <f>ABS(INDEX(AO:AO,MATCH(AO142,$AA:$AA,0)+8)+INDEX(AO:AO,MATCH(AO142,$AA:$AA,0)+9)+INDEX(AO:AO,MATCH(AO142,$AA:$AA,0)+10))</f>
        <v>199</v>
      </c>
      <c r="AP146" s="378"/>
      <c r="AQ146" s="377">
        <f>ABS(INDEX(AQ:AQ,MATCH(AQ142,$AA:$AA,0)+8)+INDEX(AQ:AQ,MATCH(AQ142,$AA:$AA,0)+9)+INDEX(AQ:AQ,MATCH(AQ142,$AA:$AA,0)+10))</f>
        <v>176</v>
      </c>
      <c r="AR146" s="378"/>
      <c r="AS146" s="377">
        <f>ABS(INDEX(AS:AS,MATCH(AS142,$AA:$AA,0)+8)+INDEX(AS:AS,MATCH(AS142,$AA:$AA,0)+9)+INDEX(AS:AS,MATCH(AS142,$AA:$AA,0)+10))</f>
        <v>225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9"/>
        <v>Spieler 3</v>
      </c>
      <c r="C147" s="369" t="str">
        <f t="shared" si="180"/>
        <v/>
      </c>
      <c r="D147" s="342">
        <f>IF(AC147=301,"",AC147)</f>
        <v>181</v>
      </c>
      <c r="E147" s="342" t="str">
        <f>IF(AD147=0,"",AD147)</f>
        <v/>
      </c>
      <c r="F147" s="342">
        <f>IF(AE147=301,"",AE147)</f>
        <v>238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198</v>
      </c>
      <c r="K147" s="342" t="str">
        <f>IF(AJ147=0,"",AJ147)</f>
        <v/>
      </c>
      <c r="L147" s="342">
        <f>IF(AK147=301,"",AK147)</f>
        <v>200</v>
      </c>
      <c r="M147" s="342" t="str">
        <f>IF(AL147=0,"",AL147)</f>
        <v/>
      </c>
      <c r="N147" s="342">
        <f>IF(AM147=301,"",AM147)</f>
        <v>192</v>
      </c>
      <c r="O147" s="342" t="str">
        <f>IF(AN147=0,"",AN147)</f>
        <v/>
      </c>
      <c r="P147" s="342">
        <f>IF(AO147=301,"",AO147)</f>
        <v>157</v>
      </c>
      <c r="Q147" s="342" t="str">
        <f>IF(AP147=0,"",AP147)</f>
        <v/>
      </c>
      <c r="R147" s="342">
        <f>IF(AQ147=301,"",AQ147)</f>
        <v>172</v>
      </c>
      <c r="S147" s="342" t="str">
        <f>IF(AR147=0,"",AR147)</f>
        <v/>
      </c>
      <c r="T147" s="342">
        <f>IF(AS147=301,"",AS147)</f>
        <v>191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181</v>
      </c>
      <c r="AD147" s="378"/>
      <c r="AE147" s="377">
        <f>ABS(INDEX(AE:AE,MATCH(AE142,$AA:$AA,0)+11)+INDEX(AE:AE,MATCH(AE142,$AA:$AA,0)+12)+INDEX(AE:AE,MATCH(AE142,$AA:$AA,0)+13))</f>
        <v>238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198</v>
      </c>
      <c r="AJ147" s="378"/>
      <c r="AK147" s="377">
        <f>ABS(INDEX(AK:AK,MATCH(AK142,$AA:$AA,0)+11)+INDEX(AK:AK,MATCH(AK142,$AA:$AA,0)+12)+INDEX(AK:AK,MATCH(AK142,$AA:$AA,0)+13))</f>
        <v>200</v>
      </c>
      <c r="AL147" s="378"/>
      <c r="AM147" s="377">
        <f>ABS(INDEX(AM:AM,MATCH(AM142,$AA:$AA,0)+11)+INDEX(AM:AM,MATCH(AM142,$AA:$AA,0)+12)+INDEX(AM:AM,MATCH(AM142,$AA:$AA,0)+13))</f>
        <v>192</v>
      </c>
      <c r="AN147" s="378"/>
      <c r="AO147" s="377">
        <f>ABS(INDEX(AO:AO,MATCH(AO142,$AA:$AA,0)+11)+INDEX(AO:AO,MATCH(AO142,$AA:$AA,0)+12)+INDEX(AO:AO,MATCH(AO142,$AA:$AA,0)+13))</f>
        <v>157</v>
      </c>
      <c r="AP147" s="378"/>
      <c r="AQ147" s="377">
        <f>ABS(INDEX(AQ:AQ,MATCH(AQ142,$AA:$AA,0)+11)+INDEX(AQ:AQ,MATCH(AQ142,$AA:$AA,0)+12)+INDEX(AQ:AQ,MATCH(AQ142,$AA:$AA,0)+13))</f>
        <v>172</v>
      </c>
      <c r="AR147" s="378"/>
      <c r="AS147" s="377">
        <f>ABS(INDEX(AS:AS,MATCH(AS142,$AA:$AA,0)+11)+INDEX(AS:AS,MATCH(AS142,$AA:$AA,0)+12)+INDEX(AS:AS,MATCH(AS142,$AA:$AA,0)+13))</f>
        <v>191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9"/>
        <v>Spieler 4</v>
      </c>
      <c r="C148" s="369" t="str">
        <f t="shared" si="180"/>
        <v/>
      </c>
      <c r="D148" s="342">
        <f>IF(AC148=301,"",AC148)</f>
        <v>148</v>
      </c>
      <c r="E148" s="342" t="str">
        <f>IF(AD148=0,"",AD148)</f>
        <v/>
      </c>
      <c r="F148" s="342">
        <f>IF(AE148=301,"",AE148)</f>
        <v>189</v>
      </c>
      <c r="G148" s="342" t="str">
        <f>IF(AF148=0,"",AF148)</f>
        <v/>
      </c>
      <c r="H148" s="342">
        <f>IF(AG148=301,"",AG148)</f>
        <v>236</v>
      </c>
      <c r="I148" s="342" t="str">
        <f>IF(AH148=0,"",AH148)</f>
        <v/>
      </c>
      <c r="J148" s="342">
        <f>IF(AI148=301,"",AI148)</f>
        <v>194</v>
      </c>
      <c r="K148" s="342" t="str">
        <f>IF(AJ148=0,"",AJ148)</f>
        <v/>
      </c>
      <c r="L148" s="342">
        <f>IF(AK148=301,"",AK148)</f>
        <v>170</v>
      </c>
      <c r="M148" s="342" t="str">
        <f>IF(AL148=0,"",AL148)</f>
        <v/>
      </c>
      <c r="N148" s="342">
        <f>IF(AM148=301,"",AM148)</f>
        <v>225</v>
      </c>
      <c r="O148" s="342" t="str">
        <f>IF(AN148=0,"",AN148)</f>
        <v/>
      </c>
      <c r="P148" s="342">
        <f>IF(AO148=301,"",AO148)</f>
        <v>156</v>
      </c>
      <c r="Q148" s="342" t="str">
        <f>IF(AP148=0,"",AP148)</f>
        <v/>
      </c>
      <c r="R148" s="342">
        <f>IF(AQ148=301,"",AQ148)</f>
        <v>159</v>
      </c>
      <c r="S148" s="342" t="str">
        <f>IF(AR148=0,"",AR148)</f>
        <v/>
      </c>
      <c r="T148" s="342">
        <f>IF(AS148=301,"",AS148)</f>
        <v>201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148</v>
      </c>
      <c r="AD148" s="378"/>
      <c r="AE148" s="377">
        <f>ABS(INDEX(AE:AE,MATCH(AE142,$AA:$AA,0)+14)+INDEX(AE:AE,MATCH(AE142,$AA:$AA,0)+15)+INDEX(AE:AE,MATCH(AE142,$AA:$AA,0)+16))</f>
        <v>189</v>
      </c>
      <c r="AF148" s="378"/>
      <c r="AG148" s="377">
        <f>ABS(INDEX(AG:AG,MATCH(AG142,$AA:$AA,0)+14)+INDEX(AG:AG,MATCH(AG142,$AA:$AA,0)+15)+INDEX(AG:AG,MATCH(AG142,$AA:$AA,0)+16))</f>
        <v>236</v>
      </c>
      <c r="AH148" s="378"/>
      <c r="AI148" s="377">
        <f>ABS(INDEX(AI:AI,MATCH(AI142,$AA:$AA,0)+14)+INDEX(AI:AI,MATCH(AI142,$AA:$AA,0)+15)+INDEX(AI:AI,MATCH(AI142,$AA:$AA,0)+16))</f>
        <v>194</v>
      </c>
      <c r="AJ148" s="378"/>
      <c r="AK148" s="377">
        <f>ABS(INDEX(AK:AK,MATCH(AK142,$AA:$AA,0)+14)+INDEX(AK:AK,MATCH(AK142,$AA:$AA,0)+15)+INDEX(AK:AK,MATCH(AK142,$AA:$AA,0)+16))</f>
        <v>170</v>
      </c>
      <c r="AL148" s="378"/>
      <c r="AM148" s="377">
        <f>ABS(INDEX(AM:AM,MATCH(AM142,$AA:$AA,0)+14)+INDEX(AM:AM,MATCH(AM142,$AA:$AA,0)+15)+INDEX(AM:AM,MATCH(AM142,$AA:$AA,0)+16))</f>
        <v>225</v>
      </c>
      <c r="AN148" s="378"/>
      <c r="AO148" s="377">
        <f>ABS(INDEX(AO:AO,MATCH(AO142,$AA:$AA,0)+14)+INDEX(AO:AO,MATCH(AO142,$AA:$AA,0)+15)+INDEX(AO:AO,MATCH(AO142,$AA:$AA,0)+16))</f>
        <v>156</v>
      </c>
      <c r="AP148" s="378"/>
      <c r="AQ148" s="377">
        <f>ABS(INDEX(AQ:AQ,MATCH(AQ142,$AA:$AA,0)+14)+INDEX(AQ:AQ,MATCH(AQ142,$AA:$AA,0)+15)+INDEX(AQ:AQ,MATCH(AQ142,$AA:$AA,0)+16))</f>
        <v>159</v>
      </c>
      <c r="AR148" s="378"/>
      <c r="AS148" s="377">
        <f>ABS(INDEX(AS:AS,MATCH(AS142,$AA:$AA,0)+14)+INDEX(AS:AS,MATCH(AS142,$AA:$AA,0)+15)+INDEX(AS:AS,MATCH(AS142,$AA:$AA,0)+16))</f>
        <v>201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9"/>
        <v>Gesamt</v>
      </c>
      <c r="C149" s="358" t="str">
        <f t="shared" si="180"/>
        <v/>
      </c>
      <c r="D149" s="341">
        <f>IF(AC149=1505,"",AC149)</f>
        <v>732</v>
      </c>
      <c r="E149" s="341" t="str">
        <f>IF(AD149=0,"",AD149)</f>
        <v/>
      </c>
      <c r="F149" s="341">
        <f>IF(AE149=1505,"",AE149)</f>
        <v>846</v>
      </c>
      <c r="G149" s="341" t="str">
        <f>IF(AF149=0,"",AF149)</f>
        <v/>
      </c>
      <c r="H149" s="341">
        <f>IF(AG149=1505,"",AG149)</f>
        <v>858</v>
      </c>
      <c r="I149" s="341" t="str">
        <f>IF(AH149=0,"",AH149)</f>
        <v/>
      </c>
      <c r="J149" s="341">
        <f>IF(AI149=1505,"",AI149)</f>
        <v>849</v>
      </c>
      <c r="K149" s="341" t="str">
        <f>IF(AJ149=0,"",AJ149)</f>
        <v/>
      </c>
      <c r="L149" s="341">
        <f>IF(AK149=1505,"",AK149)</f>
        <v>680</v>
      </c>
      <c r="M149" s="341" t="str">
        <f>IF(AL149=0,"",AL149)</f>
        <v/>
      </c>
      <c r="N149" s="341">
        <f>IF(AM149=1505,"",AM149)</f>
        <v>835</v>
      </c>
      <c r="O149" s="341" t="str">
        <f>IF(AN149=0,"",AN149)</f>
        <v/>
      </c>
      <c r="P149" s="341">
        <f>IF(AO149=1505,"",AO149)</f>
        <v>669</v>
      </c>
      <c r="Q149" s="341" t="str">
        <f>IF(AP149=0,"",AP149)</f>
        <v/>
      </c>
      <c r="R149" s="341">
        <f>IF(AQ149=1505,"",AQ149)</f>
        <v>748</v>
      </c>
      <c r="S149" s="341" t="str">
        <f>IF(AR149=0,"",AR149)</f>
        <v/>
      </c>
      <c r="T149" s="341">
        <f>IF(AS149=1505,"",AS149)</f>
        <v>805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732</v>
      </c>
      <c r="AD149" s="358"/>
      <c r="AE149" s="357">
        <f>SUM(AE145:AE148)</f>
        <v>846</v>
      </c>
      <c r="AF149" s="358"/>
      <c r="AG149" s="357">
        <f>SUM(AG145:AG148)</f>
        <v>858</v>
      </c>
      <c r="AH149" s="358"/>
      <c r="AI149" s="357">
        <f>SUM(AI145:AI148)</f>
        <v>849</v>
      </c>
      <c r="AJ149" s="358"/>
      <c r="AK149" s="357">
        <f>SUM(AK145:AK148)</f>
        <v>680</v>
      </c>
      <c r="AL149" s="358"/>
      <c r="AM149" s="357">
        <f>SUM(AM145:AM148)</f>
        <v>835</v>
      </c>
      <c r="AN149" s="358"/>
      <c r="AO149" s="357">
        <f>SUM(AO145:AO148)</f>
        <v>669</v>
      </c>
      <c r="AP149" s="358"/>
      <c r="AQ149" s="357">
        <f>SUM(AQ145:AQ148)</f>
        <v>748</v>
      </c>
      <c r="AR149" s="358"/>
      <c r="AS149" s="357">
        <f>SUM(AS145:AS148)</f>
        <v>805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12.10./13.10.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12.10./13.10.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51">
        <f>IF(AD157="","",AD157)</f>
        <v>0</v>
      </c>
      <c r="F157" s="75">
        <f t="shared" ref="F157:F170" si="183">IF(AE157=0,"",AE157)</f>
        <v>179</v>
      </c>
      <c r="G157" s="351">
        <f>IF(AF157="","",AF157)</f>
        <v>1</v>
      </c>
      <c r="H157" s="75">
        <f t="shared" ref="H157:H170" si="184">IF(AG157=0,"",AG157)</f>
        <v>158</v>
      </c>
      <c r="I157" s="351">
        <f>IF(AH157="","",AH157)</f>
        <v>0</v>
      </c>
      <c r="J157" s="75">
        <f t="shared" ref="J157:J170" si="185">IF(AI157=0,"",AI157)</f>
        <v>242</v>
      </c>
      <c r="K157" s="351">
        <f>IF(AJ157="","",AJ157)</f>
        <v>1</v>
      </c>
      <c r="L157" s="75">
        <f t="shared" ref="L157:L170" si="186">IF(AK157=0,"",AK157)</f>
        <v>164</v>
      </c>
      <c r="M157" s="351">
        <f>IF(AL157="","",AL157)</f>
        <v>0</v>
      </c>
      <c r="N157" s="75">
        <f>IF(AM157=0,"",AM157)</f>
        <v>239</v>
      </c>
      <c r="O157" s="351">
        <f>IF(AN157="","",AN157)</f>
        <v>1</v>
      </c>
      <c r="P157" s="75">
        <f t="shared" ref="P157:P170" si="187">IF(AO157=0,"",AO157)</f>
        <v>157</v>
      </c>
      <c r="Q157" s="351">
        <f>IF(AP157="","",AP157)</f>
        <v>0</v>
      </c>
      <c r="R157" s="75">
        <f t="shared" ref="R157:R170" si="188">IF(AQ157=0,"",AQ157)</f>
        <v>204</v>
      </c>
      <c r="S157" s="351">
        <f>IF(AR157="","",AR157)</f>
        <v>1</v>
      </c>
      <c r="T157" s="75">
        <f t="shared" ref="T157:T170" si="189">IF(AS157=0,"",AS157)</f>
        <v>236</v>
      </c>
      <c r="U157" s="351">
        <f>IF(AT157="","",AT157)</f>
        <v>1</v>
      </c>
      <c r="V157" s="75">
        <f t="shared" ref="V157:V170" si="190">IF(AU157=0,"",AU157)</f>
        <v>1790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1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52"/>
      <c r="F158" s="78" t="str">
        <f t="shared" si="183"/>
        <v/>
      </c>
      <c r="G158" s="352"/>
      <c r="H158" s="78" t="str">
        <f t="shared" si="184"/>
        <v/>
      </c>
      <c r="I158" s="352"/>
      <c r="J158" s="78" t="str">
        <f t="shared" si="185"/>
        <v/>
      </c>
      <c r="K158" s="352"/>
      <c r="L158" s="78" t="str">
        <f t="shared" si="186"/>
        <v/>
      </c>
      <c r="M158" s="352"/>
      <c r="N158" s="78" t="str">
        <f t="shared" ref="N158:N170" si="205">IF(AM158=0,"",AM158)</f>
        <v/>
      </c>
      <c r="O158" s="352"/>
      <c r="P158" s="78" t="str">
        <f t="shared" si="187"/>
        <v/>
      </c>
      <c r="Q158" s="352"/>
      <c r="R158" s="78" t="str">
        <f t="shared" si="188"/>
        <v/>
      </c>
      <c r="S158" s="352"/>
      <c r="T158" s="78" t="str">
        <f t="shared" si="189"/>
        <v/>
      </c>
      <c r="U158" s="352"/>
      <c r="V158" s="78" t="str">
        <f t="shared" si="190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2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3"/>
      <c r="F159" s="69" t="str">
        <f t="shared" si="183"/>
        <v/>
      </c>
      <c r="G159" s="353"/>
      <c r="H159" s="69" t="str">
        <f t="shared" si="184"/>
        <v/>
      </c>
      <c r="I159" s="353"/>
      <c r="J159" s="69" t="str">
        <f t="shared" si="185"/>
        <v/>
      </c>
      <c r="K159" s="353"/>
      <c r="L159" s="69" t="str">
        <f t="shared" si="186"/>
        <v/>
      </c>
      <c r="M159" s="353"/>
      <c r="N159" s="69" t="str">
        <f t="shared" si="205"/>
        <v/>
      </c>
      <c r="O159" s="353"/>
      <c r="P159" s="69" t="str">
        <f t="shared" si="187"/>
        <v/>
      </c>
      <c r="Q159" s="353"/>
      <c r="R159" s="69" t="str">
        <f t="shared" si="188"/>
        <v/>
      </c>
      <c r="S159" s="353"/>
      <c r="T159" s="69" t="str">
        <f t="shared" si="189"/>
        <v/>
      </c>
      <c r="U159" s="353"/>
      <c r="V159" s="69" t="str">
        <f t="shared" si="190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0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51">
        <f>IF(AD160="","",AD160)</f>
        <v>0</v>
      </c>
      <c r="F160" s="75">
        <f t="shared" si="183"/>
        <v>161</v>
      </c>
      <c r="G160" s="351">
        <f>IF(AF160="","",AF160)</f>
        <v>1</v>
      </c>
      <c r="H160" s="75">
        <f t="shared" si="184"/>
        <v>170</v>
      </c>
      <c r="I160" s="351">
        <f>IF(AH160="","",AH160)</f>
        <v>0</v>
      </c>
      <c r="J160" s="75">
        <f t="shared" si="185"/>
        <v>241</v>
      </c>
      <c r="K160" s="351">
        <f>IF(AJ160="","",AJ160)</f>
        <v>1</v>
      </c>
      <c r="L160" s="75">
        <f t="shared" si="186"/>
        <v>211</v>
      </c>
      <c r="M160" s="351">
        <f>IF(AL160="","",AL160)</f>
        <v>1</v>
      </c>
      <c r="N160" s="75">
        <f t="shared" si="205"/>
        <v>213</v>
      </c>
      <c r="O160" s="351">
        <f>IF(AN160="","",AN160)</f>
        <v>1</v>
      </c>
      <c r="P160" s="75">
        <f t="shared" si="187"/>
        <v>199</v>
      </c>
      <c r="Q160" s="351">
        <f>IF(AP160="","",AP160)</f>
        <v>1</v>
      </c>
      <c r="R160" s="75">
        <f t="shared" si="188"/>
        <v>231</v>
      </c>
      <c r="S160" s="351">
        <f>IF(AR160="","",AR160)</f>
        <v>1</v>
      </c>
      <c r="T160" s="75">
        <f t="shared" si="189"/>
        <v>204</v>
      </c>
      <c r="U160" s="351">
        <f>IF(AT160="","",AT160)</f>
        <v>0.5</v>
      </c>
      <c r="V160" s="75">
        <f t="shared" si="190"/>
        <v>1804</v>
      </c>
      <c r="W160" s="351">
        <f>IF(AV160="","",AV160)</f>
        <v>6.5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1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52"/>
      <c r="F161" s="78" t="str">
        <f t="shared" si="183"/>
        <v/>
      </c>
      <c r="G161" s="352"/>
      <c r="H161" s="78" t="str">
        <f t="shared" si="184"/>
        <v/>
      </c>
      <c r="I161" s="352"/>
      <c r="J161" s="78" t="str">
        <f t="shared" si="185"/>
        <v/>
      </c>
      <c r="K161" s="352"/>
      <c r="L161" s="78" t="str">
        <f t="shared" si="186"/>
        <v/>
      </c>
      <c r="M161" s="352"/>
      <c r="N161" s="78" t="str">
        <f t="shared" si="205"/>
        <v/>
      </c>
      <c r="O161" s="352"/>
      <c r="P161" s="78" t="str">
        <f t="shared" si="187"/>
        <v/>
      </c>
      <c r="Q161" s="352"/>
      <c r="R161" s="78" t="str">
        <f t="shared" si="188"/>
        <v/>
      </c>
      <c r="S161" s="352"/>
      <c r="T161" s="78" t="str">
        <f t="shared" si="189"/>
        <v/>
      </c>
      <c r="U161" s="352"/>
      <c r="V161" s="78" t="str">
        <f t="shared" si="190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2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3"/>
      <c r="F162" s="69" t="str">
        <f t="shared" si="183"/>
        <v/>
      </c>
      <c r="G162" s="353"/>
      <c r="H162" s="69" t="str">
        <f t="shared" si="184"/>
        <v/>
      </c>
      <c r="I162" s="353"/>
      <c r="J162" s="69" t="str">
        <f t="shared" si="185"/>
        <v/>
      </c>
      <c r="K162" s="353"/>
      <c r="L162" s="69" t="str">
        <f t="shared" si="186"/>
        <v/>
      </c>
      <c r="M162" s="353"/>
      <c r="N162" s="69" t="str">
        <f t="shared" si="205"/>
        <v/>
      </c>
      <c r="O162" s="353"/>
      <c r="P162" s="69" t="str">
        <f t="shared" si="187"/>
        <v/>
      </c>
      <c r="Q162" s="353"/>
      <c r="R162" s="69" t="str">
        <f t="shared" si="188"/>
        <v/>
      </c>
      <c r="S162" s="353"/>
      <c r="T162" s="69" t="str">
        <f t="shared" si="189"/>
        <v/>
      </c>
      <c r="U162" s="353"/>
      <c r="V162" s="69" t="str">
        <f t="shared" si="190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0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51">
        <f>IF(AD163="","",AD163)</f>
        <v>0</v>
      </c>
      <c r="F163" s="75">
        <f t="shared" si="183"/>
        <v>166</v>
      </c>
      <c r="G163" s="351">
        <f>IF(AF163="","",AF163)</f>
        <v>0</v>
      </c>
      <c r="H163" s="75">
        <f t="shared" si="184"/>
        <v>174</v>
      </c>
      <c r="I163" s="351">
        <f>IF(AH163="","",AH163)</f>
        <v>0</v>
      </c>
      <c r="J163" s="75">
        <f t="shared" si="185"/>
        <v>178</v>
      </c>
      <c r="K163" s="351">
        <f>IF(AJ163="","",AJ163)</f>
        <v>0</v>
      </c>
      <c r="L163" s="75">
        <f t="shared" si="186"/>
        <v>243</v>
      </c>
      <c r="M163" s="351">
        <f>IF(AL163="","",AL163)</f>
        <v>1</v>
      </c>
      <c r="N163" s="75">
        <f t="shared" si="205"/>
        <v>222</v>
      </c>
      <c r="O163" s="351">
        <f>IF(AN163="","",AN163)</f>
        <v>1</v>
      </c>
      <c r="P163" s="75">
        <f t="shared" si="187"/>
        <v>157</v>
      </c>
      <c r="Q163" s="351">
        <f>IF(AP163="","",AP163)</f>
        <v>0</v>
      </c>
      <c r="R163" s="75">
        <f t="shared" si="188"/>
        <v>201</v>
      </c>
      <c r="S163" s="351">
        <f>IF(AR163="","",AR163)</f>
        <v>0</v>
      </c>
      <c r="T163" s="75">
        <f t="shared" si="189"/>
        <v>177</v>
      </c>
      <c r="U163" s="351">
        <f>IF(AT163="","",AT163)</f>
        <v>0</v>
      </c>
      <c r="V163" s="75">
        <f t="shared" si="190"/>
        <v>1702</v>
      </c>
      <c r="W163" s="351">
        <f>IF(AV163="","",AV163)</f>
        <v>2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1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52"/>
      <c r="F164" s="78" t="str">
        <f t="shared" si="183"/>
        <v/>
      </c>
      <c r="G164" s="352"/>
      <c r="H164" s="78" t="str">
        <f t="shared" si="184"/>
        <v/>
      </c>
      <c r="I164" s="352"/>
      <c r="J164" s="78" t="str">
        <f t="shared" si="185"/>
        <v/>
      </c>
      <c r="K164" s="352"/>
      <c r="L164" s="78" t="str">
        <f t="shared" si="186"/>
        <v/>
      </c>
      <c r="M164" s="352"/>
      <c r="N164" s="78" t="str">
        <f t="shared" si="205"/>
        <v/>
      </c>
      <c r="O164" s="352"/>
      <c r="P164" s="78" t="str">
        <f t="shared" si="187"/>
        <v/>
      </c>
      <c r="Q164" s="352"/>
      <c r="R164" s="78" t="str">
        <f t="shared" si="188"/>
        <v/>
      </c>
      <c r="S164" s="352"/>
      <c r="T164" s="78" t="str">
        <f t="shared" si="189"/>
        <v/>
      </c>
      <c r="U164" s="352"/>
      <c r="V164" s="78" t="str">
        <f t="shared" si="190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2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3"/>
      <c r="F165" s="69" t="str">
        <f t="shared" si="183"/>
        <v/>
      </c>
      <c r="G165" s="353"/>
      <c r="H165" s="69" t="str">
        <f t="shared" si="184"/>
        <v/>
      </c>
      <c r="I165" s="353"/>
      <c r="J165" s="69" t="str">
        <f t="shared" si="185"/>
        <v/>
      </c>
      <c r="K165" s="353"/>
      <c r="L165" s="69" t="str">
        <f t="shared" si="186"/>
        <v/>
      </c>
      <c r="M165" s="353"/>
      <c r="N165" s="69" t="str">
        <f t="shared" si="205"/>
        <v/>
      </c>
      <c r="O165" s="353"/>
      <c r="P165" s="69" t="str">
        <f t="shared" si="187"/>
        <v/>
      </c>
      <c r="Q165" s="353"/>
      <c r="R165" s="69" t="str">
        <f t="shared" si="188"/>
        <v/>
      </c>
      <c r="S165" s="353"/>
      <c r="T165" s="69" t="str">
        <f t="shared" si="189"/>
        <v/>
      </c>
      <c r="U165" s="353"/>
      <c r="V165" s="69" t="str">
        <f t="shared" si="190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51">
        <f>IF(AD166="","",AD166)</f>
        <v>0</v>
      </c>
      <c r="F166" s="75">
        <f t="shared" si="183"/>
        <v>194</v>
      </c>
      <c r="G166" s="351">
        <f>IF(AF166="","",AF166)</f>
        <v>1</v>
      </c>
      <c r="H166" s="75">
        <f t="shared" si="184"/>
        <v>255</v>
      </c>
      <c r="I166" s="351">
        <f>IF(AH166="","",AH166)</f>
        <v>1</v>
      </c>
      <c r="J166" s="75">
        <f t="shared" si="185"/>
        <v>134</v>
      </c>
      <c r="K166" s="351">
        <f>IF(AJ166="","",AJ166)</f>
        <v>0</v>
      </c>
      <c r="L166" s="75">
        <f t="shared" si="186"/>
        <v>231</v>
      </c>
      <c r="M166" s="351">
        <f>IF(AL166="","",AL166)</f>
        <v>1</v>
      </c>
      <c r="N166" s="75">
        <f t="shared" si="205"/>
        <v>202</v>
      </c>
      <c r="O166" s="351">
        <f>IF(AN166="","",AN166)</f>
        <v>0</v>
      </c>
      <c r="P166" s="75">
        <f t="shared" si="187"/>
        <v>156</v>
      </c>
      <c r="Q166" s="351">
        <f>IF(AP166="","",AP166)</f>
        <v>0</v>
      </c>
      <c r="R166" s="75" t="str">
        <f t="shared" si="188"/>
        <v/>
      </c>
      <c r="S166" s="351">
        <f>IF(AR166="","",AR166)</f>
        <v>0</v>
      </c>
      <c r="T166" s="75">
        <f t="shared" si="189"/>
        <v>185</v>
      </c>
      <c r="U166" s="351">
        <f>IF(AT166="","",AT166)</f>
        <v>0</v>
      </c>
      <c r="V166" s="75">
        <f t="shared" si="190"/>
        <v>1534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1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52"/>
      <c r="F167" s="78" t="str">
        <f t="shared" si="183"/>
        <v/>
      </c>
      <c r="G167" s="352"/>
      <c r="H167" s="78" t="str">
        <f t="shared" si="184"/>
        <v/>
      </c>
      <c r="I167" s="352"/>
      <c r="J167" s="78" t="str">
        <f t="shared" si="185"/>
        <v/>
      </c>
      <c r="K167" s="352"/>
      <c r="L167" s="78" t="str">
        <f t="shared" si="186"/>
        <v/>
      </c>
      <c r="M167" s="352"/>
      <c r="N167" s="78" t="str">
        <f t="shared" si="205"/>
        <v/>
      </c>
      <c r="O167" s="352"/>
      <c r="P167" s="78" t="str">
        <f t="shared" si="187"/>
        <v/>
      </c>
      <c r="Q167" s="352"/>
      <c r="R167" s="78" t="str">
        <f t="shared" si="188"/>
        <v/>
      </c>
      <c r="S167" s="352"/>
      <c r="T167" s="78" t="str">
        <f t="shared" si="189"/>
        <v/>
      </c>
      <c r="U167" s="352"/>
      <c r="V167" s="78" t="str">
        <f t="shared" si="190"/>
        <v/>
      </c>
      <c r="W167" s="352"/>
      <c r="Z167" s="355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3"/>
      <c r="F168" s="69" t="str">
        <f t="shared" si="183"/>
        <v/>
      </c>
      <c r="G168" s="353"/>
      <c r="H168" s="69" t="str">
        <f t="shared" si="184"/>
        <v/>
      </c>
      <c r="I168" s="353"/>
      <c r="J168" s="69" t="str">
        <f t="shared" si="185"/>
        <v/>
      </c>
      <c r="K168" s="353"/>
      <c r="L168" s="69" t="str">
        <f t="shared" si="186"/>
        <v/>
      </c>
      <c r="M168" s="353"/>
      <c r="N168" s="69" t="str">
        <f t="shared" si="205"/>
        <v/>
      </c>
      <c r="O168" s="353"/>
      <c r="P168" s="69" t="str">
        <f t="shared" si="187"/>
        <v/>
      </c>
      <c r="Q168" s="353"/>
      <c r="R168" s="69" t="str">
        <f t="shared" si="188"/>
        <v/>
      </c>
      <c r="S168" s="353"/>
      <c r="T168" s="69" t="str">
        <f t="shared" si="189"/>
        <v/>
      </c>
      <c r="U168" s="353"/>
      <c r="V168" s="69" t="str">
        <f t="shared" si="190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9">
        <f t="shared" ref="D172:M174" si="218">IF(AC172=0,"",AC172)</f>
        <v>2</v>
      </c>
      <c r="E172" s="349" t="str">
        <f t="shared" si="218"/>
        <v/>
      </c>
      <c r="F172" s="349">
        <f t="shared" si="218"/>
        <v>7</v>
      </c>
      <c r="G172" s="349" t="str">
        <f t="shared" si="218"/>
        <v/>
      </c>
      <c r="H172" s="349">
        <f t="shared" si="218"/>
        <v>1</v>
      </c>
      <c r="I172" s="349" t="str">
        <f t="shared" si="218"/>
        <v/>
      </c>
      <c r="J172" s="349">
        <f t="shared" si="218"/>
        <v>8</v>
      </c>
      <c r="K172" s="349" t="str">
        <f t="shared" si="218"/>
        <v/>
      </c>
      <c r="L172" s="349">
        <f t="shared" si="218"/>
        <v>4</v>
      </c>
      <c r="M172" s="349" t="str">
        <f t="shared" si="218"/>
        <v/>
      </c>
      <c r="N172" s="349">
        <f t="shared" ref="N172:U174" si="219">IF(AM172=0,"",AM172)</f>
        <v>3</v>
      </c>
      <c r="O172" s="349" t="str">
        <f t="shared" si="219"/>
        <v/>
      </c>
      <c r="P172" s="349">
        <f t="shared" si="219"/>
        <v>5</v>
      </c>
      <c r="Q172" s="349" t="str">
        <f t="shared" si="219"/>
        <v/>
      </c>
      <c r="R172" s="349">
        <f t="shared" si="219"/>
        <v>9</v>
      </c>
      <c r="S172" s="349" t="str">
        <f t="shared" si="219"/>
        <v/>
      </c>
      <c r="T172" s="349">
        <f t="shared" si="219"/>
        <v>10</v>
      </c>
      <c r="U172" s="349" t="str">
        <f t="shared" si="219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VLOOKUP($AA152,Schlüssel!$A$5:$K$14,3)</f>
        <v>2</v>
      </c>
      <c r="AD172" s="374"/>
      <c r="AE172" s="373">
        <f>VLOOKUP($AA152,Schlüssel!$A$5:$K$14,4)</f>
        <v>7</v>
      </c>
      <c r="AF172" s="374"/>
      <c r="AG172" s="373">
        <f>VLOOKUP($AA152,Schlüssel!$A$5:$K$14,5)</f>
        <v>1</v>
      </c>
      <c r="AH172" s="374"/>
      <c r="AI172" s="373">
        <f>VLOOKUP($AA152,Schlüssel!$A$5:$K$14,6)</f>
        <v>8</v>
      </c>
      <c r="AJ172" s="374"/>
      <c r="AK172" s="373">
        <f>VLOOKUP($AA152,Schlüssel!$A$5:$K$14,7)</f>
        <v>4</v>
      </c>
      <c r="AL172" s="374"/>
      <c r="AM172" s="373">
        <f>VLOOKUP($AA152,Schlüssel!$A$5:$K$14,8)</f>
        <v>3</v>
      </c>
      <c r="AN172" s="374"/>
      <c r="AO172" s="373">
        <f>VLOOKUP($AA152,Schlüssel!$A$5:$K$14,9)</f>
        <v>5</v>
      </c>
      <c r="AP172" s="374"/>
      <c r="AQ172" s="373">
        <f>VLOOKUP($AA152,Schlüssel!$A$5:$K$14,10)</f>
        <v>9</v>
      </c>
      <c r="AR172" s="374"/>
      <c r="AS172" s="373">
        <f>VLOOKUP($AA152,Schlüssel!$A$5:$K$14,11)</f>
        <v>10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6" t="str">
        <f t="shared" si="218"/>
        <v>Bajuwaren München 1</v>
      </c>
      <c r="E173" s="347" t="str">
        <f t="shared" si="218"/>
        <v/>
      </c>
      <c r="F173" s="346" t="str">
        <f t="shared" si="218"/>
        <v>Schanzer Ingolstadt 1</v>
      </c>
      <c r="G173" s="347" t="str">
        <f t="shared" si="218"/>
        <v/>
      </c>
      <c r="H173" s="346" t="str">
        <f t="shared" si="218"/>
        <v>BC Comet Nürnberg</v>
      </c>
      <c r="I173" s="347" t="str">
        <f t="shared" si="218"/>
        <v/>
      </c>
      <c r="J173" s="346" t="str">
        <f t="shared" si="218"/>
        <v>BC EMAX Unterföhring 2</v>
      </c>
      <c r="K173" s="347" t="str">
        <f t="shared" si="218"/>
        <v/>
      </c>
      <c r="L173" s="346" t="str">
        <f t="shared" si="218"/>
        <v>SG DJK Rimpar</v>
      </c>
      <c r="M173" s="347" t="str">
        <f t="shared" si="218"/>
        <v/>
      </c>
      <c r="N173" s="346" t="str">
        <f t="shared" si="219"/>
        <v>BK München 3</v>
      </c>
      <c r="O173" s="347" t="str">
        <f t="shared" si="219"/>
        <v/>
      </c>
      <c r="P173" s="346" t="str">
        <f t="shared" si="219"/>
        <v>RW Lichtenhof Stein 1</v>
      </c>
      <c r="Q173" s="347" t="str">
        <f t="shared" si="219"/>
        <v/>
      </c>
      <c r="R173" s="346" t="str">
        <f t="shared" si="219"/>
        <v>Bowlinghaus Bamberg 1</v>
      </c>
      <c r="S173" s="347" t="str">
        <f t="shared" si="219"/>
        <v/>
      </c>
      <c r="T173" s="346" t="str">
        <f t="shared" si="219"/>
        <v>High Roller Rosenheim 1</v>
      </c>
      <c r="U173" s="347" t="str">
        <f t="shared" si="219"/>
        <v/>
      </c>
      <c r="V173" s="348"/>
      <c r="W173" s="348"/>
      <c r="AA173" s="90"/>
      <c r="AB173" s="86"/>
      <c r="AC173" s="346" t="str">
        <f>VLOOKUP(AC172,Schlüssel!$A$5:$K$14,2)</f>
        <v>Bajuwaren München 1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BC Comet Nürnberg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Bowlinghaus Bamberg 1</v>
      </c>
      <c r="AR173" s="347"/>
      <c r="AS173" s="346" t="str">
        <f>VLOOKUP(AS172,Schlüssel!$A$5:$K$14,2)</f>
        <v>High Roller Rosenheim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4" t="str">
        <f t="shared" si="218"/>
        <v/>
      </c>
      <c r="E174" s="344" t="str">
        <f t="shared" si="218"/>
        <v/>
      </c>
      <c r="F174" s="344" t="str">
        <f t="shared" si="218"/>
        <v/>
      </c>
      <c r="G174" s="344" t="str">
        <f t="shared" si="218"/>
        <v/>
      </c>
      <c r="H174" s="344" t="str">
        <f t="shared" si="218"/>
        <v/>
      </c>
      <c r="I174" s="344" t="str">
        <f t="shared" si="218"/>
        <v/>
      </c>
      <c r="J174" s="344" t="str">
        <f t="shared" si="218"/>
        <v/>
      </c>
      <c r="K174" s="344" t="str">
        <f t="shared" si="218"/>
        <v/>
      </c>
      <c r="L174" s="344" t="str">
        <f t="shared" si="218"/>
        <v/>
      </c>
      <c r="M174" s="344" t="str">
        <f t="shared" si="218"/>
        <v/>
      </c>
      <c r="N174" s="344" t="str">
        <f t="shared" si="219"/>
        <v/>
      </c>
      <c r="O174" s="344" t="str">
        <f t="shared" si="219"/>
        <v/>
      </c>
      <c r="P174" s="344" t="str">
        <f t="shared" si="219"/>
        <v/>
      </c>
      <c r="Q174" s="344" t="str">
        <f t="shared" si="219"/>
        <v/>
      </c>
      <c r="R174" s="344" t="str">
        <f t="shared" si="219"/>
        <v/>
      </c>
      <c r="S174" s="344" t="str">
        <f t="shared" si="219"/>
        <v/>
      </c>
      <c r="T174" s="344" t="str">
        <f t="shared" si="219"/>
        <v/>
      </c>
      <c r="U174" s="345" t="str">
        <f t="shared" si="219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si="216"/>
        <v>Spieler 1</v>
      </c>
      <c r="C175" s="369" t="str">
        <f t="shared" si="217"/>
        <v/>
      </c>
      <c r="D175" s="342">
        <f>IF(AC175=301,"",AC175)</f>
        <v>277</v>
      </c>
      <c r="E175" s="342" t="str">
        <f>IF(AD175=0,"",AD175)</f>
        <v/>
      </c>
      <c r="F175" s="342">
        <f>IF(AE175=301,"",AE175)</f>
        <v>145</v>
      </c>
      <c r="G175" s="342" t="str">
        <f>IF(AF175=0,"",AF175)</f>
        <v/>
      </c>
      <c r="H175" s="342">
        <f>IF(AG175=301,"",AG175)</f>
        <v>214</v>
      </c>
      <c r="I175" s="342" t="str">
        <f>IF(AH175=0,"",AH175)</f>
        <v/>
      </c>
      <c r="J175" s="342">
        <f>IF(AI175=301,"",AI175)</f>
        <v>195</v>
      </c>
      <c r="K175" s="342" t="str">
        <f>IF(AJ175=0,"",AJ175)</f>
        <v/>
      </c>
      <c r="L175" s="342">
        <f>IF(AK175=301,"",AK175)</f>
        <v>234</v>
      </c>
      <c r="M175" s="342" t="str">
        <f>IF(AL175=0,"",AL175)</f>
        <v/>
      </c>
      <c r="N175" s="342">
        <f>IF(AM175=301,"",AM175)</f>
        <v>224</v>
      </c>
      <c r="O175" s="342" t="str">
        <f>IF(AN175=0,"",AN175)</f>
        <v/>
      </c>
      <c r="P175" s="342">
        <f>IF(AO175=301,"",AO175)</f>
        <v>174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135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277</v>
      </c>
      <c r="AD175" s="376"/>
      <c r="AE175" s="375">
        <f>ABS(INDEX(AE:AE,MATCH(AE172,$AA:$AA,0)+5)+INDEX(AE:AE,MATCH(AE172,$AA:$AA,0)+6)+INDEX(AE:AE,MATCH(AE172,$AA:$AA,0)+7))</f>
        <v>145</v>
      </c>
      <c r="AF175" s="376"/>
      <c r="AG175" s="375">
        <f>ABS(INDEX(AG:AG,MATCH(AG172,$AA:$AA,0)+5)+INDEX(AG:AG,MATCH(AG172,$AA:$AA,0)+6)+INDEX(AG:AG,MATCH(AG172,$AA:$AA,0)+7))</f>
        <v>214</v>
      </c>
      <c r="AH175" s="376"/>
      <c r="AI175" s="375">
        <f>ABS(INDEX(AI:AI,MATCH(AI172,$AA:$AA,0)+5)+INDEX(AI:AI,MATCH(AI172,$AA:$AA,0)+6)+INDEX(AI:AI,MATCH(AI172,$AA:$AA,0)+7))</f>
        <v>195</v>
      </c>
      <c r="AJ175" s="376"/>
      <c r="AK175" s="375">
        <f>ABS(INDEX(AK:AK,MATCH(AK172,$AA:$AA,0)+5)+INDEX(AK:AK,MATCH(AK172,$AA:$AA,0)+6)+INDEX(AK:AK,MATCH(AK172,$AA:$AA,0)+7))</f>
        <v>234</v>
      </c>
      <c r="AL175" s="376"/>
      <c r="AM175" s="375">
        <f>ABS(INDEX(AM:AM,MATCH(AM172,$AA:$AA,0)+5)+INDEX(AM:AM,MATCH(AM172,$AA:$AA,0)+6)+INDEX(AM:AM,MATCH(AM172,$AA:$AA,0)+7))</f>
        <v>224</v>
      </c>
      <c r="AN175" s="376"/>
      <c r="AO175" s="375">
        <f>ABS(INDEX(AO:AO,MATCH(AO172,$AA:$AA,0)+5)+INDEX(AO:AO,MATCH(AO172,$AA:$AA,0)+6)+INDEX(AO:AO,MATCH(AO172,$AA:$AA,0)+7))</f>
        <v>174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135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16"/>
        <v>Spieler 2</v>
      </c>
      <c r="C176" s="369" t="str">
        <f t="shared" si="217"/>
        <v/>
      </c>
      <c r="D176" s="342">
        <f>IF(AC176=301,"",AC176)</f>
        <v>185</v>
      </c>
      <c r="E176" s="342" t="str">
        <f>IF(AD176=0,"",AD176)</f>
        <v/>
      </c>
      <c r="F176" s="342">
        <f>IF(AE176=301,"",AE176)</f>
        <v>138</v>
      </c>
      <c r="G176" s="342" t="str">
        <f>IF(AF176=0,"",AF176)</f>
        <v/>
      </c>
      <c r="H176" s="342">
        <f>IF(AG176=301,"",AG176)</f>
        <v>258</v>
      </c>
      <c r="I176" s="342" t="str">
        <f>IF(AH176=0,"",AH176)</f>
        <v/>
      </c>
      <c r="J176" s="342">
        <f>IF(AI176=301,"",AI176)</f>
        <v>194</v>
      </c>
      <c r="K176" s="342" t="str">
        <f>IF(AJ176=0,"",AJ176)</f>
        <v/>
      </c>
      <c r="L176" s="342">
        <f>IF(AK176=301,"",AK176)</f>
        <v>162</v>
      </c>
      <c r="M176" s="342" t="str">
        <f>IF(AL176=0,"",AL176)</f>
        <v/>
      </c>
      <c r="N176" s="342">
        <f>IF(AM176=301,"",AM176)</f>
        <v>211</v>
      </c>
      <c r="O176" s="342" t="str">
        <f>IF(AN176=0,"",AN176)</f>
        <v/>
      </c>
      <c r="P176" s="342">
        <f>IF(AO176=301,"",AO176)</f>
        <v>167</v>
      </c>
      <c r="Q176" s="342" t="str">
        <f>IF(AP176=0,"",AP176)</f>
        <v/>
      </c>
      <c r="R176" s="342">
        <f>IF(AQ176=301,"",AQ176)</f>
        <v>189</v>
      </c>
      <c r="S176" s="342" t="str">
        <f>IF(AR176=0,"",AR176)</f>
        <v/>
      </c>
      <c r="T176" s="342">
        <f>IF(AS176=301,"",AS176)</f>
        <v>204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185</v>
      </c>
      <c r="AD176" s="378"/>
      <c r="AE176" s="377">
        <f>ABS(INDEX(AE:AE,MATCH(AE172,$AA:$AA,0)+8)+INDEX(AE:AE,MATCH(AE172,$AA:$AA,0)+9)+INDEX(AE:AE,MATCH(AE172,$AA:$AA,0)+10))</f>
        <v>138</v>
      </c>
      <c r="AF176" s="378"/>
      <c r="AG176" s="377">
        <f>ABS(INDEX(AG:AG,MATCH(AG172,$AA:$AA,0)+8)+INDEX(AG:AG,MATCH(AG172,$AA:$AA,0)+9)+INDEX(AG:AG,MATCH(AG172,$AA:$AA,0)+10))</f>
        <v>258</v>
      </c>
      <c r="AH176" s="378"/>
      <c r="AI176" s="377">
        <f>ABS(INDEX(AI:AI,MATCH(AI172,$AA:$AA,0)+8)+INDEX(AI:AI,MATCH(AI172,$AA:$AA,0)+9)+INDEX(AI:AI,MATCH(AI172,$AA:$AA,0)+10))</f>
        <v>194</v>
      </c>
      <c r="AJ176" s="378"/>
      <c r="AK176" s="377">
        <f>ABS(INDEX(AK:AK,MATCH(AK172,$AA:$AA,0)+8)+INDEX(AK:AK,MATCH(AK172,$AA:$AA,0)+9)+INDEX(AK:AK,MATCH(AK172,$AA:$AA,0)+10))</f>
        <v>162</v>
      </c>
      <c r="AL176" s="378"/>
      <c r="AM176" s="377">
        <f>ABS(INDEX(AM:AM,MATCH(AM172,$AA:$AA,0)+8)+INDEX(AM:AM,MATCH(AM172,$AA:$AA,0)+9)+INDEX(AM:AM,MATCH(AM172,$AA:$AA,0)+10))</f>
        <v>211</v>
      </c>
      <c r="AN176" s="378"/>
      <c r="AO176" s="377">
        <f>ABS(INDEX(AO:AO,MATCH(AO172,$AA:$AA,0)+8)+INDEX(AO:AO,MATCH(AO172,$AA:$AA,0)+9)+INDEX(AO:AO,MATCH(AO172,$AA:$AA,0)+10))</f>
        <v>167</v>
      </c>
      <c r="AP176" s="378"/>
      <c r="AQ176" s="377">
        <f>ABS(INDEX(AQ:AQ,MATCH(AQ172,$AA:$AA,0)+8)+INDEX(AQ:AQ,MATCH(AQ172,$AA:$AA,0)+9)+INDEX(AQ:AQ,MATCH(AQ172,$AA:$AA,0)+10))</f>
        <v>189</v>
      </c>
      <c r="AR176" s="378"/>
      <c r="AS176" s="377">
        <f>ABS(INDEX(AS:AS,MATCH(AS172,$AA:$AA,0)+8)+INDEX(AS:AS,MATCH(AS172,$AA:$AA,0)+9)+INDEX(AS:AS,MATCH(AS172,$AA:$AA,0)+10))</f>
        <v>204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16"/>
        <v>Spieler 3</v>
      </c>
      <c r="C177" s="369" t="str">
        <f t="shared" si="217"/>
        <v/>
      </c>
      <c r="D177" s="342">
        <f>IF(AC177=301,"",AC177)</f>
        <v>246</v>
      </c>
      <c r="E177" s="342" t="str">
        <f>IF(AD177=0,"",AD177)</f>
        <v/>
      </c>
      <c r="F177" s="342">
        <f>IF(AE177=301,"",AE177)</f>
        <v>176</v>
      </c>
      <c r="G177" s="342" t="str">
        <f>IF(AF177=0,"",AF177)</f>
        <v/>
      </c>
      <c r="H177" s="342">
        <f>IF(AG177=301,"",AG177)</f>
        <v>225</v>
      </c>
      <c r="I177" s="342" t="str">
        <f>IF(AH177=0,"",AH177)</f>
        <v/>
      </c>
      <c r="J177" s="342">
        <f>IF(AI177=301,"",AI177)</f>
        <v>203</v>
      </c>
      <c r="K177" s="342" t="str">
        <f>IF(AJ177=0,"",AJ177)</f>
        <v/>
      </c>
      <c r="L177" s="342">
        <f>IF(AK177=301,"",AK177)</f>
        <v>198</v>
      </c>
      <c r="M177" s="342" t="str">
        <f>IF(AL177=0,"",AL177)</f>
        <v/>
      </c>
      <c r="N177" s="342">
        <f>IF(AM177=301,"",AM177)</f>
        <v>196</v>
      </c>
      <c r="O177" s="342" t="str">
        <f>IF(AN177=0,"",AN177)</f>
        <v/>
      </c>
      <c r="P177" s="342">
        <f>IF(AO177=301,"",AO177)</f>
        <v>178</v>
      </c>
      <c r="Q177" s="342" t="str">
        <f>IF(AP177=0,"",AP177)</f>
        <v/>
      </c>
      <c r="R177" s="342">
        <f>IF(AQ177=301,"",AQ177)</f>
        <v>219</v>
      </c>
      <c r="S177" s="342" t="str">
        <f>IF(AR177=0,"",AR177)</f>
        <v/>
      </c>
      <c r="T177" s="342">
        <f>IF(AS177=301,"",AS177)</f>
        <v>200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246</v>
      </c>
      <c r="AD177" s="378"/>
      <c r="AE177" s="377">
        <f>ABS(INDEX(AE:AE,MATCH(AE172,$AA:$AA,0)+11)+INDEX(AE:AE,MATCH(AE172,$AA:$AA,0)+12)+INDEX(AE:AE,MATCH(AE172,$AA:$AA,0)+13))</f>
        <v>176</v>
      </c>
      <c r="AF177" s="378"/>
      <c r="AG177" s="377">
        <f>ABS(INDEX(AG:AG,MATCH(AG172,$AA:$AA,0)+11)+INDEX(AG:AG,MATCH(AG172,$AA:$AA,0)+12)+INDEX(AG:AG,MATCH(AG172,$AA:$AA,0)+13))</f>
        <v>225</v>
      </c>
      <c r="AH177" s="378"/>
      <c r="AI177" s="377">
        <f>ABS(INDEX(AI:AI,MATCH(AI172,$AA:$AA,0)+11)+INDEX(AI:AI,MATCH(AI172,$AA:$AA,0)+12)+INDEX(AI:AI,MATCH(AI172,$AA:$AA,0)+13))</f>
        <v>203</v>
      </c>
      <c r="AJ177" s="378"/>
      <c r="AK177" s="377">
        <f>ABS(INDEX(AK:AK,MATCH(AK172,$AA:$AA,0)+11)+INDEX(AK:AK,MATCH(AK172,$AA:$AA,0)+12)+INDEX(AK:AK,MATCH(AK172,$AA:$AA,0)+13))</f>
        <v>198</v>
      </c>
      <c r="AL177" s="378"/>
      <c r="AM177" s="377">
        <f>ABS(INDEX(AM:AM,MATCH(AM172,$AA:$AA,0)+11)+INDEX(AM:AM,MATCH(AM172,$AA:$AA,0)+12)+INDEX(AM:AM,MATCH(AM172,$AA:$AA,0)+13))</f>
        <v>196</v>
      </c>
      <c r="AN177" s="378"/>
      <c r="AO177" s="377">
        <f>ABS(INDEX(AO:AO,MATCH(AO172,$AA:$AA,0)+11)+INDEX(AO:AO,MATCH(AO172,$AA:$AA,0)+12)+INDEX(AO:AO,MATCH(AO172,$AA:$AA,0)+13))</f>
        <v>178</v>
      </c>
      <c r="AP177" s="378"/>
      <c r="AQ177" s="377">
        <f>ABS(INDEX(AQ:AQ,MATCH(AQ172,$AA:$AA,0)+11)+INDEX(AQ:AQ,MATCH(AQ172,$AA:$AA,0)+12)+INDEX(AQ:AQ,MATCH(AQ172,$AA:$AA,0)+13))</f>
        <v>219</v>
      </c>
      <c r="AR177" s="378"/>
      <c r="AS177" s="377">
        <f>ABS(INDEX(AS:AS,MATCH(AS172,$AA:$AA,0)+11)+INDEX(AS:AS,MATCH(AS172,$AA:$AA,0)+12)+INDEX(AS:AS,MATCH(AS172,$AA:$AA,0)+13))</f>
        <v>200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16"/>
        <v>Spieler 4</v>
      </c>
      <c r="C178" s="369" t="str">
        <f t="shared" si="217"/>
        <v/>
      </c>
      <c r="D178" s="342">
        <f>IF(AC178=301,"",AC178)</f>
        <v>204</v>
      </c>
      <c r="E178" s="342" t="str">
        <f>IF(AD178=0,"",AD178)</f>
        <v/>
      </c>
      <c r="F178" s="342">
        <f>IF(AE178=301,"",AE178)</f>
        <v>166</v>
      </c>
      <c r="G178" s="342" t="str">
        <f>IF(AF178=0,"",AF178)</f>
        <v/>
      </c>
      <c r="H178" s="342">
        <f>IF(AG178=301,"",AG178)</f>
        <v>182</v>
      </c>
      <c r="I178" s="342" t="str">
        <f>IF(AH178=0,"",AH178)</f>
        <v/>
      </c>
      <c r="J178" s="342">
        <f>IF(AI178=301,"",AI178)</f>
        <v>172</v>
      </c>
      <c r="K178" s="342" t="str">
        <f>IF(AJ178=0,"",AJ178)</f>
        <v/>
      </c>
      <c r="L178" s="342">
        <f>IF(AK178=301,"",AK178)</f>
        <v>223</v>
      </c>
      <c r="M178" s="342" t="str">
        <f>IF(AL178=0,"",AL178)</f>
        <v/>
      </c>
      <c r="N178" s="342">
        <f>IF(AM178=301,"",AM178)</f>
        <v>230</v>
      </c>
      <c r="O178" s="342" t="str">
        <f>IF(AN178=0,"",AN178)</f>
        <v/>
      </c>
      <c r="P178" s="342">
        <f>IF(AO178=301,"",AO178)</f>
        <v>252</v>
      </c>
      <c r="Q178" s="342" t="str">
        <f>IF(AP178=0,"",AP178)</f>
        <v/>
      </c>
      <c r="R178" s="342">
        <f>IF(AQ178=301,"",AQ178)</f>
        <v>212</v>
      </c>
      <c r="S178" s="342" t="str">
        <f>IF(AR178=0,"",AR178)</f>
        <v/>
      </c>
      <c r="T178" s="342">
        <f>IF(AS178=301,"",AS178)</f>
        <v>216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204</v>
      </c>
      <c r="AD178" s="378"/>
      <c r="AE178" s="377">
        <f>ABS(INDEX(AE:AE,MATCH(AE172,$AA:$AA,0)+14)+INDEX(AE:AE,MATCH(AE172,$AA:$AA,0)+15)+INDEX(AE:AE,MATCH(AE172,$AA:$AA,0)+16))</f>
        <v>166</v>
      </c>
      <c r="AF178" s="378"/>
      <c r="AG178" s="377">
        <f>ABS(INDEX(AG:AG,MATCH(AG172,$AA:$AA,0)+14)+INDEX(AG:AG,MATCH(AG172,$AA:$AA,0)+15)+INDEX(AG:AG,MATCH(AG172,$AA:$AA,0)+16))</f>
        <v>182</v>
      </c>
      <c r="AH178" s="378"/>
      <c r="AI178" s="377">
        <f>ABS(INDEX(AI:AI,MATCH(AI172,$AA:$AA,0)+14)+INDEX(AI:AI,MATCH(AI172,$AA:$AA,0)+15)+INDEX(AI:AI,MATCH(AI172,$AA:$AA,0)+16))</f>
        <v>172</v>
      </c>
      <c r="AJ178" s="378"/>
      <c r="AK178" s="377">
        <f>ABS(INDEX(AK:AK,MATCH(AK172,$AA:$AA,0)+14)+INDEX(AK:AK,MATCH(AK172,$AA:$AA,0)+15)+INDEX(AK:AK,MATCH(AK172,$AA:$AA,0)+16))</f>
        <v>223</v>
      </c>
      <c r="AL178" s="378"/>
      <c r="AM178" s="377">
        <f>ABS(INDEX(AM:AM,MATCH(AM172,$AA:$AA,0)+14)+INDEX(AM:AM,MATCH(AM172,$AA:$AA,0)+15)+INDEX(AM:AM,MATCH(AM172,$AA:$AA,0)+16))</f>
        <v>230</v>
      </c>
      <c r="AN178" s="378"/>
      <c r="AO178" s="377">
        <f>ABS(INDEX(AO:AO,MATCH(AO172,$AA:$AA,0)+14)+INDEX(AO:AO,MATCH(AO172,$AA:$AA,0)+15)+INDEX(AO:AO,MATCH(AO172,$AA:$AA,0)+16))</f>
        <v>252</v>
      </c>
      <c r="AP178" s="378"/>
      <c r="AQ178" s="377">
        <f>ABS(INDEX(AQ:AQ,MATCH(AQ172,$AA:$AA,0)+14)+INDEX(AQ:AQ,MATCH(AQ172,$AA:$AA,0)+15)+INDEX(AQ:AQ,MATCH(AQ172,$AA:$AA,0)+16))</f>
        <v>212</v>
      </c>
      <c r="AR178" s="378"/>
      <c r="AS178" s="377">
        <f>ABS(INDEX(AS:AS,MATCH(AS172,$AA:$AA,0)+14)+INDEX(AS:AS,MATCH(AS172,$AA:$AA,0)+15)+INDEX(AS:AS,MATCH(AS172,$AA:$AA,0)+16))</f>
        <v>216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16"/>
        <v>Gesamt</v>
      </c>
      <c r="C179" s="358" t="str">
        <f t="shared" si="217"/>
        <v/>
      </c>
      <c r="D179" s="341">
        <f>IF(AC179=1505,"",AC179)</f>
        <v>912</v>
      </c>
      <c r="E179" s="341" t="str">
        <f>IF(AD179=0,"",AD179)</f>
        <v/>
      </c>
      <c r="F179" s="341">
        <f>IF(AE179=1505,"",AE179)</f>
        <v>625</v>
      </c>
      <c r="G179" s="341" t="str">
        <f>IF(AF179=0,"",AF179)</f>
        <v/>
      </c>
      <c r="H179" s="341">
        <f>IF(AG179=1505,"",AG179)</f>
        <v>879</v>
      </c>
      <c r="I179" s="341" t="str">
        <f>IF(AH179=0,"",AH179)</f>
        <v/>
      </c>
      <c r="J179" s="341">
        <f>IF(AI179=1505,"",AI179)</f>
        <v>764</v>
      </c>
      <c r="K179" s="341" t="str">
        <f>IF(AJ179=0,"",AJ179)</f>
        <v/>
      </c>
      <c r="L179" s="341">
        <f>IF(AK179=1505,"",AK179)</f>
        <v>817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771</v>
      </c>
      <c r="Q179" s="341" t="str">
        <f>IF(AP179=0,"",AP179)</f>
        <v/>
      </c>
      <c r="R179" s="341">
        <f>IF(AQ179=1505,"",AQ179)</f>
        <v>792</v>
      </c>
      <c r="S179" s="341" t="str">
        <f>IF(AR179=0,"",AR179)</f>
        <v/>
      </c>
      <c r="T179" s="341">
        <f>IF(AS179=1505,"",AS179)</f>
        <v>755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912</v>
      </c>
      <c r="AD179" s="358"/>
      <c r="AE179" s="357">
        <f>SUM(AE175:AE178)</f>
        <v>625</v>
      </c>
      <c r="AF179" s="358"/>
      <c r="AG179" s="357">
        <f>SUM(AG175:AG178)</f>
        <v>879</v>
      </c>
      <c r="AH179" s="358"/>
      <c r="AI179" s="357">
        <f>SUM(AI175:AI178)</f>
        <v>764</v>
      </c>
      <c r="AJ179" s="358"/>
      <c r="AK179" s="357">
        <f>SUM(AK175:AK178)</f>
        <v>817</v>
      </c>
      <c r="AL179" s="358"/>
      <c r="AM179" s="357">
        <f>SUM(AM175:AM178)</f>
        <v>861</v>
      </c>
      <c r="AN179" s="358"/>
      <c r="AO179" s="357">
        <f>SUM(AO175:AO178)</f>
        <v>771</v>
      </c>
      <c r="AP179" s="358"/>
      <c r="AQ179" s="357">
        <f>SUM(AQ175:AQ178)</f>
        <v>792</v>
      </c>
      <c r="AR179" s="358"/>
      <c r="AS179" s="357">
        <f>SUM(AS175:AS178)</f>
        <v>755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12.10./13.10.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12.10./13.10.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51">
        <f>IF(AD187="","",AD187)</f>
        <v>0</v>
      </c>
      <c r="F187" s="75">
        <f t="shared" ref="F187:F200" si="220">IF(AE187=0,"",AE187)</f>
        <v>145</v>
      </c>
      <c r="G187" s="351">
        <f>IF(AF187="","",AF187)</f>
        <v>0</v>
      </c>
      <c r="H187" s="75">
        <f t="shared" ref="H187:H200" si="221">IF(AG187=0,"",AG187)</f>
        <v>148</v>
      </c>
      <c r="I187" s="351">
        <f>IF(AH187="","",AH187)</f>
        <v>0</v>
      </c>
      <c r="J187" s="75">
        <f t="shared" ref="J187:J200" si="222">IF(AI187=0,"",AI187)</f>
        <v>163</v>
      </c>
      <c r="K187" s="351">
        <f>IF(AJ187="","",AJ187)</f>
        <v>0</v>
      </c>
      <c r="L187" s="75">
        <f t="shared" ref="L187:L200" si="223">IF(AK187=0,"",AK187)</f>
        <v>125</v>
      </c>
      <c r="M187" s="351">
        <f>IF(AL187="","",AL187)</f>
        <v>0</v>
      </c>
      <c r="N187" s="75">
        <f>IF(AM187=0,"",AM187)</f>
        <v>191</v>
      </c>
      <c r="O187" s="351">
        <f>IF(AN187="","",AN187)</f>
        <v>0</v>
      </c>
      <c r="P187" s="75">
        <f t="shared" ref="P187:P200" si="224">IF(AO187=0,"",AO187)</f>
        <v>166</v>
      </c>
      <c r="Q187" s="351">
        <f>IF(AP187="","",AP187)</f>
        <v>0</v>
      </c>
      <c r="R187" s="75">
        <f t="shared" ref="R187:R200" si="225">IF(AQ187=0,"",AQ187)</f>
        <v>168</v>
      </c>
      <c r="S187" s="351">
        <f>IF(AR187="","",AR187)</f>
        <v>0</v>
      </c>
      <c r="T187" s="75">
        <f t="shared" ref="T187:T200" si="226">IF(AS187=0,"",AS187)</f>
        <v>159</v>
      </c>
      <c r="U187" s="351">
        <f>IF(AT187="","",AT187)</f>
        <v>0</v>
      </c>
      <c r="V187" s="75">
        <f t="shared" ref="V187:V200" si="227">IF(AU187=0,"",AU187)</f>
        <v>1434</v>
      </c>
      <c r="W187" s="351">
        <f>IF(AV187="","",AV187)</f>
        <v>0</v>
      </c>
      <c r="Z187" s="354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1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52"/>
      <c r="F188" s="78" t="str">
        <f t="shared" si="220"/>
        <v/>
      </c>
      <c r="G188" s="352"/>
      <c r="H188" s="78" t="str">
        <f t="shared" si="221"/>
        <v/>
      </c>
      <c r="I188" s="352"/>
      <c r="J188" s="78" t="str">
        <f t="shared" si="222"/>
        <v/>
      </c>
      <c r="K188" s="352"/>
      <c r="L188" s="78" t="str">
        <f t="shared" si="223"/>
        <v/>
      </c>
      <c r="M188" s="352"/>
      <c r="N188" s="78" t="str">
        <f t="shared" ref="N188:N200" si="242">IF(AM188=0,"",AM188)</f>
        <v/>
      </c>
      <c r="O188" s="352"/>
      <c r="P188" s="78" t="str">
        <f t="shared" si="224"/>
        <v/>
      </c>
      <c r="Q188" s="352"/>
      <c r="R188" s="78" t="str">
        <f t="shared" si="225"/>
        <v/>
      </c>
      <c r="S188" s="352"/>
      <c r="T188" s="78" t="str">
        <f t="shared" si="226"/>
        <v/>
      </c>
      <c r="U188" s="352"/>
      <c r="V188" s="78" t="str">
        <f t="shared" si="227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2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3"/>
      <c r="F189" s="69" t="str">
        <f t="shared" si="220"/>
        <v/>
      </c>
      <c r="G189" s="353"/>
      <c r="H189" s="69" t="str">
        <f t="shared" si="221"/>
        <v/>
      </c>
      <c r="I189" s="353"/>
      <c r="J189" s="69" t="str">
        <f t="shared" si="222"/>
        <v/>
      </c>
      <c r="K189" s="353"/>
      <c r="L189" s="69" t="str">
        <f t="shared" si="223"/>
        <v/>
      </c>
      <c r="M189" s="353"/>
      <c r="N189" s="69" t="str">
        <f t="shared" si="242"/>
        <v/>
      </c>
      <c r="O189" s="353"/>
      <c r="P189" s="69" t="str">
        <f t="shared" si="224"/>
        <v/>
      </c>
      <c r="Q189" s="353"/>
      <c r="R189" s="69" t="str">
        <f t="shared" si="225"/>
        <v/>
      </c>
      <c r="S189" s="353"/>
      <c r="T189" s="69" t="str">
        <f t="shared" si="226"/>
        <v/>
      </c>
      <c r="U189" s="353"/>
      <c r="V189" s="69" t="str">
        <f t="shared" si="227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0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51">
        <f>IF(AD190="","",AD190)</f>
        <v>0</v>
      </c>
      <c r="F190" s="75">
        <f t="shared" si="220"/>
        <v>138</v>
      </c>
      <c r="G190" s="351">
        <f>IF(AF190="","",AF190)</f>
        <v>0</v>
      </c>
      <c r="H190" s="75">
        <f t="shared" si="221"/>
        <v>138</v>
      </c>
      <c r="I190" s="351">
        <f>IF(AH190="","",AH190)</f>
        <v>0</v>
      </c>
      <c r="J190" s="75">
        <f t="shared" si="222"/>
        <v>156</v>
      </c>
      <c r="K190" s="351">
        <f>IF(AJ190="","",AJ190)</f>
        <v>0</v>
      </c>
      <c r="L190" s="75">
        <f t="shared" si="223"/>
        <v>185</v>
      </c>
      <c r="M190" s="351">
        <f>IF(AL190="","",AL190)</f>
        <v>1</v>
      </c>
      <c r="N190" s="75">
        <f t="shared" si="242"/>
        <v>193</v>
      </c>
      <c r="O190" s="351">
        <f>IF(AN190="","",AN190)</f>
        <v>0</v>
      </c>
      <c r="P190" s="75">
        <f t="shared" si="224"/>
        <v>170</v>
      </c>
      <c r="Q190" s="351">
        <f>IF(AP190="","",AP190)</f>
        <v>0</v>
      </c>
      <c r="R190" s="75">
        <f t="shared" si="225"/>
        <v>169</v>
      </c>
      <c r="S190" s="351">
        <f>IF(AR190="","",AR190)</f>
        <v>1</v>
      </c>
      <c r="T190" s="75">
        <f t="shared" si="226"/>
        <v>201</v>
      </c>
      <c r="U190" s="351">
        <f>IF(AT190="","",AT190)</f>
        <v>1</v>
      </c>
      <c r="V190" s="75">
        <f t="shared" si="227"/>
        <v>1551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1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52"/>
      <c r="F191" s="78" t="str">
        <f t="shared" si="220"/>
        <v/>
      </c>
      <c r="G191" s="352"/>
      <c r="H191" s="78" t="str">
        <f t="shared" si="221"/>
        <v/>
      </c>
      <c r="I191" s="352"/>
      <c r="J191" s="78" t="str">
        <f t="shared" si="222"/>
        <v/>
      </c>
      <c r="K191" s="352"/>
      <c r="L191" s="78" t="str">
        <f t="shared" si="223"/>
        <v/>
      </c>
      <c r="M191" s="352"/>
      <c r="N191" s="78" t="str">
        <f t="shared" si="242"/>
        <v/>
      </c>
      <c r="O191" s="352"/>
      <c r="P191" s="78" t="str">
        <f t="shared" si="224"/>
        <v/>
      </c>
      <c r="Q191" s="352"/>
      <c r="R191" s="78" t="str">
        <f t="shared" si="225"/>
        <v/>
      </c>
      <c r="S191" s="352"/>
      <c r="T191" s="78" t="str">
        <f t="shared" si="226"/>
        <v/>
      </c>
      <c r="U191" s="352"/>
      <c r="V191" s="78" t="str">
        <f t="shared" si="227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2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3"/>
      <c r="F192" s="69" t="str">
        <f t="shared" si="220"/>
        <v/>
      </c>
      <c r="G192" s="353"/>
      <c r="H192" s="69" t="str">
        <f t="shared" si="221"/>
        <v/>
      </c>
      <c r="I192" s="353"/>
      <c r="J192" s="69" t="str">
        <f t="shared" si="222"/>
        <v/>
      </c>
      <c r="K192" s="353"/>
      <c r="L192" s="69" t="str">
        <f t="shared" si="223"/>
        <v/>
      </c>
      <c r="M192" s="353"/>
      <c r="N192" s="69" t="str">
        <f t="shared" si="242"/>
        <v/>
      </c>
      <c r="O192" s="353"/>
      <c r="P192" s="69" t="str">
        <f t="shared" si="224"/>
        <v/>
      </c>
      <c r="Q192" s="353"/>
      <c r="R192" s="69" t="str">
        <f t="shared" si="225"/>
        <v/>
      </c>
      <c r="S192" s="353"/>
      <c r="T192" s="69" t="str">
        <f t="shared" si="226"/>
        <v/>
      </c>
      <c r="U192" s="353"/>
      <c r="V192" s="69" t="str">
        <f t="shared" si="227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0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51">
        <f>IF(AD193="","",AD193)</f>
        <v>1</v>
      </c>
      <c r="F193" s="75">
        <f t="shared" si="220"/>
        <v>176</v>
      </c>
      <c r="G193" s="351">
        <f>IF(AF193="","",AF193)</f>
        <v>1</v>
      </c>
      <c r="H193" s="75">
        <f t="shared" si="221"/>
        <v>168</v>
      </c>
      <c r="I193" s="351">
        <f>IF(AH193="","",AH193)</f>
        <v>1</v>
      </c>
      <c r="J193" s="75">
        <f t="shared" si="222"/>
        <v>177</v>
      </c>
      <c r="K193" s="351">
        <f>IF(AJ193="","",AJ193)</f>
        <v>0</v>
      </c>
      <c r="L193" s="75">
        <f t="shared" si="223"/>
        <v>200</v>
      </c>
      <c r="M193" s="351">
        <f>IF(AL193="","",AL193)</f>
        <v>0</v>
      </c>
      <c r="N193" s="75">
        <f t="shared" si="242"/>
        <v>214</v>
      </c>
      <c r="O193" s="351">
        <f>IF(AN193="","",AN193)</f>
        <v>1</v>
      </c>
      <c r="P193" s="75">
        <f t="shared" si="224"/>
        <v>183</v>
      </c>
      <c r="Q193" s="351">
        <f>IF(AP193="","",AP193)</f>
        <v>1</v>
      </c>
      <c r="R193" s="75">
        <f t="shared" si="225"/>
        <v>169</v>
      </c>
      <c r="S193" s="351">
        <f>IF(AR193="","",AR193)</f>
        <v>1</v>
      </c>
      <c r="T193" s="75">
        <f t="shared" si="226"/>
        <v>273</v>
      </c>
      <c r="U193" s="351">
        <f>IF(AT193="","",AT193)</f>
        <v>1</v>
      </c>
      <c r="V193" s="75">
        <f t="shared" si="227"/>
        <v>1741</v>
      </c>
      <c r="W193" s="351">
        <f>IF(AV193="","",AV193)</f>
        <v>7</v>
      </c>
      <c r="Z193" s="354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1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52"/>
      <c r="F194" s="78" t="str">
        <f t="shared" si="220"/>
        <v/>
      </c>
      <c r="G194" s="352"/>
      <c r="H194" s="78" t="str">
        <f t="shared" si="221"/>
        <v/>
      </c>
      <c r="I194" s="352"/>
      <c r="J194" s="78" t="str">
        <f t="shared" si="222"/>
        <v/>
      </c>
      <c r="K194" s="352"/>
      <c r="L194" s="78" t="str">
        <f t="shared" si="223"/>
        <v/>
      </c>
      <c r="M194" s="352"/>
      <c r="N194" s="78" t="str">
        <f t="shared" si="242"/>
        <v/>
      </c>
      <c r="O194" s="352"/>
      <c r="P194" s="78" t="str">
        <f t="shared" si="224"/>
        <v/>
      </c>
      <c r="Q194" s="352"/>
      <c r="R194" s="78" t="str">
        <f t="shared" si="225"/>
        <v/>
      </c>
      <c r="S194" s="352"/>
      <c r="T194" s="78" t="str">
        <f t="shared" si="226"/>
        <v/>
      </c>
      <c r="U194" s="352"/>
      <c r="V194" s="78" t="str">
        <f t="shared" si="227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2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3"/>
      <c r="F195" s="69" t="str">
        <f t="shared" si="220"/>
        <v/>
      </c>
      <c r="G195" s="353"/>
      <c r="H195" s="69" t="str">
        <f t="shared" si="221"/>
        <v/>
      </c>
      <c r="I195" s="353"/>
      <c r="J195" s="69" t="str">
        <f t="shared" si="222"/>
        <v/>
      </c>
      <c r="K195" s="353"/>
      <c r="L195" s="69" t="str">
        <f t="shared" si="223"/>
        <v/>
      </c>
      <c r="M195" s="353"/>
      <c r="N195" s="69" t="str">
        <f t="shared" si="242"/>
        <v/>
      </c>
      <c r="O195" s="353"/>
      <c r="P195" s="69" t="str">
        <f t="shared" si="224"/>
        <v/>
      </c>
      <c r="Q195" s="353"/>
      <c r="R195" s="69" t="str">
        <f t="shared" si="225"/>
        <v/>
      </c>
      <c r="S195" s="353"/>
      <c r="T195" s="69" t="str">
        <f t="shared" si="226"/>
        <v/>
      </c>
      <c r="U195" s="353"/>
      <c r="V195" s="69" t="str">
        <f t="shared" si="227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51">
        <f>IF(AD196="","",AD196)</f>
        <v>0</v>
      </c>
      <c r="F196" s="75">
        <f t="shared" si="220"/>
        <v>166</v>
      </c>
      <c r="G196" s="351">
        <f>IF(AF196="","",AF196)</f>
        <v>0</v>
      </c>
      <c r="H196" s="75">
        <f t="shared" si="221"/>
        <v>166</v>
      </c>
      <c r="I196" s="351">
        <f>IF(AH196="","",AH196)</f>
        <v>0</v>
      </c>
      <c r="J196" s="75">
        <f t="shared" si="222"/>
        <v>157</v>
      </c>
      <c r="K196" s="351">
        <f>IF(AJ196="","",AJ196)</f>
        <v>0</v>
      </c>
      <c r="L196" s="75">
        <f t="shared" si="223"/>
        <v>170</v>
      </c>
      <c r="M196" s="351">
        <f>IF(AL196="","",AL196)</f>
        <v>0</v>
      </c>
      <c r="N196" s="75">
        <f t="shared" si="242"/>
        <v>182</v>
      </c>
      <c r="O196" s="351">
        <f>IF(AN196="","",AN196)</f>
        <v>0</v>
      </c>
      <c r="P196" s="75">
        <f t="shared" si="224"/>
        <v>189</v>
      </c>
      <c r="Q196" s="351">
        <f>IF(AP196="","",AP196)</f>
        <v>1</v>
      </c>
      <c r="R196" s="75">
        <f t="shared" si="225"/>
        <v>192</v>
      </c>
      <c r="S196" s="351">
        <f>IF(AR196="","",AR196)</f>
        <v>1</v>
      </c>
      <c r="T196" s="75">
        <f t="shared" si="226"/>
        <v>136</v>
      </c>
      <c r="U196" s="351">
        <f>IF(AT196="","",AT196)</f>
        <v>0</v>
      </c>
      <c r="V196" s="75">
        <f t="shared" si="227"/>
        <v>1528</v>
      </c>
      <c r="W196" s="351">
        <f>IF(AV196="","",AV196)</f>
        <v>2</v>
      </c>
      <c r="Z196" s="354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52"/>
      <c r="F197" s="78" t="str">
        <f t="shared" si="220"/>
        <v/>
      </c>
      <c r="G197" s="352"/>
      <c r="H197" s="78" t="str">
        <f t="shared" si="221"/>
        <v/>
      </c>
      <c r="I197" s="352"/>
      <c r="J197" s="78" t="str">
        <f t="shared" si="222"/>
        <v/>
      </c>
      <c r="K197" s="352"/>
      <c r="L197" s="78" t="str">
        <f t="shared" si="223"/>
        <v/>
      </c>
      <c r="M197" s="352"/>
      <c r="N197" s="78" t="str">
        <f t="shared" si="242"/>
        <v/>
      </c>
      <c r="O197" s="352"/>
      <c r="P197" s="78" t="str">
        <f t="shared" si="224"/>
        <v/>
      </c>
      <c r="Q197" s="352"/>
      <c r="R197" s="78" t="str">
        <f t="shared" si="225"/>
        <v/>
      </c>
      <c r="S197" s="352"/>
      <c r="T197" s="78" t="str">
        <f t="shared" si="226"/>
        <v/>
      </c>
      <c r="U197" s="352"/>
      <c r="V197" s="78" t="str">
        <f t="shared" si="227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3"/>
      <c r="F198" s="69" t="str">
        <f t="shared" si="220"/>
        <v/>
      </c>
      <c r="G198" s="353"/>
      <c r="H198" s="69" t="str">
        <f t="shared" si="221"/>
        <v/>
      </c>
      <c r="I198" s="353"/>
      <c r="J198" s="69" t="str">
        <f t="shared" si="222"/>
        <v/>
      </c>
      <c r="K198" s="353"/>
      <c r="L198" s="69" t="str">
        <f t="shared" si="223"/>
        <v/>
      </c>
      <c r="M198" s="353"/>
      <c r="N198" s="69" t="str">
        <f t="shared" si="242"/>
        <v/>
      </c>
      <c r="O198" s="353"/>
      <c r="P198" s="69" t="str">
        <f t="shared" si="224"/>
        <v/>
      </c>
      <c r="Q198" s="353"/>
      <c r="R198" s="69" t="str">
        <f t="shared" si="225"/>
        <v/>
      </c>
      <c r="S198" s="353"/>
      <c r="T198" s="69" t="str">
        <f t="shared" si="226"/>
        <v/>
      </c>
      <c r="U198" s="353"/>
      <c r="V198" s="69" t="str">
        <f t="shared" si="227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9">
        <f t="shared" ref="D202:M204" si="255">IF(AC202=0,"",AC202)</f>
        <v>4</v>
      </c>
      <c r="E202" s="349" t="str">
        <f t="shared" si="255"/>
        <v/>
      </c>
      <c r="F202" s="349">
        <f t="shared" si="255"/>
        <v>6</v>
      </c>
      <c r="G202" s="349" t="str">
        <f t="shared" si="255"/>
        <v/>
      </c>
      <c r="H202" s="349">
        <f t="shared" si="255"/>
        <v>10</v>
      </c>
      <c r="I202" s="349" t="str">
        <f t="shared" si="255"/>
        <v/>
      </c>
      <c r="J202" s="349">
        <f t="shared" si="255"/>
        <v>2</v>
      </c>
      <c r="K202" s="349" t="str">
        <f t="shared" si="255"/>
        <v/>
      </c>
      <c r="L202" s="349">
        <f t="shared" si="255"/>
        <v>5</v>
      </c>
      <c r="M202" s="349" t="str">
        <f t="shared" si="255"/>
        <v/>
      </c>
      <c r="N202" s="349">
        <f t="shared" ref="N202:U204" si="256">IF(AM202=0,"",AM202)</f>
        <v>1</v>
      </c>
      <c r="O202" s="349" t="str">
        <f t="shared" si="256"/>
        <v/>
      </c>
      <c r="P202" s="349">
        <f t="shared" si="256"/>
        <v>9</v>
      </c>
      <c r="Q202" s="349" t="str">
        <f t="shared" si="256"/>
        <v/>
      </c>
      <c r="R202" s="349">
        <f t="shared" si="256"/>
        <v>8</v>
      </c>
      <c r="S202" s="349" t="str">
        <f t="shared" si="256"/>
        <v/>
      </c>
      <c r="T202" s="349">
        <f t="shared" si="256"/>
        <v>3</v>
      </c>
      <c r="U202" s="349" t="str">
        <f t="shared" si="256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VLOOKUP($AA182,Schlüssel!$A$5:$K$14,3)</f>
        <v>4</v>
      </c>
      <c r="AD202" s="374"/>
      <c r="AE202" s="373">
        <f>VLOOKUP($AA182,Schlüssel!$A$5:$K$14,4)</f>
        <v>6</v>
      </c>
      <c r="AF202" s="374"/>
      <c r="AG202" s="373">
        <f>VLOOKUP($AA182,Schlüssel!$A$5:$K$14,5)</f>
        <v>10</v>
      </c>
      <c r="AH202" s="374"/>
      <c r="AI202" s="373">
        <f>VLOOKUP($AA182,Schlüssel!$A$5:$K$14,6)</f>
        <v>2</v>
      </c>
      <c r="AJ202" s="374"/>
      <c r="AK202" s="373">
        <f>VLOOKUP($AA182,Schlüssel!$A$5:$K$14,7)</f>
        <v>5</v>
      </c>
      <c r="AL202" s="374"/>
      <c r="AM202" s="373">
        <f>VLOOKUP($AA182,Schlüssel!$A$5:$K$14,8)</f>
        <v>1</v>
      </c>
      <c r="AN202" s="374"/>
      <c r="AO202" s="373">
        <f>VLOOKUP($AA182,Schlüssel!$A$5:$K$14,9)</f>
        <v>9</v>
      </c>
      <c r="AP202" s="374"/>
      <c r="AQ202" s="373">
        <f>VLOOKUP($AA182,Schlüssel!$A$5:$K$14,10)</f>
        <v>8</v>
      </c>
      <c r="AR202" s="374"/>
      <c r="AS202" s="373">
        <f>VLOOKUP($AA182,Schlüssel!$A$5:$K$14,11)</f>
        <v>3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6" t="str">
        <f t="shared" si="255"/>
        <v>SG DJK Rimpar</v>
      </c>
      <c r="E203" s="347" t="str">
        <f t="shared" si="255"/>
        <v/>
      </c>
      <c r="F203" s="346" t="str">
        <f t="shared" si="255"/>
        <v>SG Rottendorf 1</v>
      </c>
      <c r="G203" s="347" t="str">
        <f t="shared" si="255"/>
        <v/>
      </c>
      <c r="H203" s="346" t="str">
        <f t="shared" si="255"/>
        <v>High Roller Rosenheim 1</v>
      </c>
      <c r="I203" s="347" t="str">
        <f t="shared" si="255"/>
        <v/>
      </c>
      <c r="J203" s="346" t="str">
        <f t="shared" si="255"/>
        <v>Bajuwaren München 1</v>
      </c>
      <c r="K203" s="347" t="str">
        <f t="shared" si="255"/>
        <v/>
      </c>
      <c r="L203" s="346" t="str">
        <f t="shared" si="255"/>
        <v>RW Lichtenhof Stein 1</v>
      </c>
      <c r="M203" s="347" t="str">
        <f t="shared" si="255"/>
        <v/>
      </c>
      <c r="N203" s="346" t="str">
        <f t="shared" si="256"/>
        <v>BC Comet Nürnberg</v>
      </c>
      <c r="O203" s="347" t="str">
        <f t="shared" si="256"/>
        <v/>
      </c>
      <c r="P203" s="346" t="str">
        <f t="shared" si="256"/>
        <v>Bowlinghaus Bamberg 1</v>
      </c>
      <c r="Q203" s="347" t="str">
        <f t="shared" si="256"/>
        <v/>
      </c>
      <c r="R203" s="346" t="str">
        <f t="shared" si="256"/>
        <v>BC EMAX Unterföhring 2</v>
      </c>
      <c r="S203" s="347" t="str">
        <f t="shared" si="256"/>
        <v/>
      </c>
      <c r="T203" s="346" t="str">
        <f t="shared" si="256"/>
        <v>BK München 3</v>
      </c>
      <c r="U203" s="347" t="str">
        <f t="shared" si="256"/>
        <v/>
      </c>
      <c r="V203" s="348"/>
      <c r="W203" s="348"/>
      <c r="AA203" s="90"/>
      <c r="AB203" s="86"/>
      <c r="AC203" s="346" t="str">
        <f>VLOOKUP(AC202,Schlüssel!$A$5:$K$14,2)</f>
        <v>SG DJK Rimpar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BC Comet Nürnberg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BK München 3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4" t="str">
        <f t="shared" si="255"/>
        <v/>
      </c>
      <c r="E204" s="344" t="str">
        <f t="shared" si="255"/>
        <v/>
      </c>
      <c r="F204" s="344" t="str">
        <f t="shared" si="255"/>
        <v/>
      </c>
      <c r="G204" s="344" t="str">
        <f t="shared" si="255"/>
        <v/>
      </c>
      <c r="H204" s="344" t="str">
        <f t="shared" si="255"/>
        <v/>
      </c>
      <c r="I204" s="344" t="str">
        <f t="shared" si="255"/>
        <v/>
      </c>
      <c r="J204" s="344" t="str">
        <f t="shared" si="255"/>
        <v/>
      </c>
      <c r="K204" s="344" t="str">
        <f t="shared" si="255"/>
        <v/>
      </c>
      <c r="L204" s="344" t="str">
        <f t="shared" si="255"/>
        <v/>
      </c>
      <c r="M204" s="344" t="str">
        <f t="shared" si="255"/>
        <v/>
      </c>
      <c r="N204" s="344" t="str">
        <f t="shared" si="256"/>
        <v/>
      </c>
      <c r="O204" s="344" t="str">
        <f t="shared" si="256"/>
        <v/>
      </c>
      <c r="P204" s="344" t="str">
        <f t="shared" si="256"/>
        <v/>
      </c>
      <c r="Q204" s="344" t="str">
        <f t="shared" si="256"/>
        <v/>
      </c>
      <c r="R204" s="344" t="str">
        <f t="shared" si="256"/>
        <v/>
      </c>
      <c r="S204" s="344" t="str">
        <f t="shared" si="256"/>
        <v/>
      </c>
      <c r="T204" s="344" t="str">
        <f t="shared" si="256"/>
        <v/>
      </c>
      <c r="U204" s="345" t="str">
        <f t="shared" si="256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si="253"/>
        <v>Spieler 1</v>
      </c>
      <c r="C205" s="369" t="str">
        <f t="shared" si="254"/>
        <v/>
      </c>
      <c r="D205" s="342">
        <f>IF(AC205=301,"",AC205)</f>
        <v>224</v>
      </c>
      <c r="E205" s="342" t="str">
        <f>IF(AD205=0,"",AD205)</f>
        <v/>
      </c>
      <c r="F205" s="342">
        <f>IF(AE205=301,"",AE205)</f>
        <v>179</v>
      </c>
      <c r="G205" s="342" t="str">
        <f>IF(AF205=0,"",AF205)</f>
        <v/>
      </c>
      <c r="H205" s="342">
        <f>IF(AG205=301,"",AG205)</f>
        <v>217</v>
      </c>
      <c r="I205" s="342" t="str">
        <f>IF(AH205=0,"",AH205)</f>
        <v/>
      </c>
      <c r="J205" s="342">
        <f>IF(AI205=301,"",AI205)</f>
        <v>244</v>
      </c>
      <c r="K205" s="342" t="str">
        <f>IF(AJ205=0,"",AJ205)</f>
        <v/>
      </c>
      <c r="L205" s="342">
        <f>IF(AK205=301,"",AK205)</f>
        <v>210</v>
      </c>
      <c r="M205" s="342" t="str">
        <f>IF(AL205=0,"",AL205)</f>
        <v/>
      </c>
      <c r="N205" s="342">
        <f>IF(AM205=301,"",AM205)</f>
        <v>277</v>
      </c>
      <c r="O205" s="342" t="str">
        <f>IF(AN205=0,"",AN205)</f>
        <v/>
      </c>
      <c r="P205" s="342">
        <f>IF(AO205=301,"",AO205)</f>
        <v>171</v>
      </c>
      <c r="Q205" s="342" t="str">
        <f>IF(AP205=0,"",AP205)</f>
        <v/>
      </c>
      <c r="R205" s="342">
        <f>IF(AQ205=301,"",AQ205)</f>
        <v>182</v>
      </c>
      <c r="S205" s="342" t="str">
        <f>IF(AR205=0,"",AR205)</f>
        <v/>
      </c>
      <c r="T205" s="342">
        <f>IF(AS205=301,"",AS205)</f>
        <v>211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224</v>
      </c>
      <c r="AD205" s="376"/>
      <c r="AE205" s="375">
        <f>ABS(INDEX(AE:AE,MATCH(AE202,$AA:$AA,0)+5)+INDEX(AE:AE,MATCH(AE202,$AA:$AA,0)+6)+INDEX(AE:AE,MATCH(AE202,$AA:$AA,0)+7))</f>
        <v>179</v>
      </c>
      <c r="AF205" s="376"/>
      <c r="AG205" s="375">
        <f>ABS(INDEX(AG:AG,MATCH(AG202,$AA:$AA,0)+5)+INDEX(AG:AG,MATCH(AG202,$AA:$AA,0)+6)+INDEX(AG:AG,MATCH(AG202,$AA:$AA,0)+7))</f>
        <v>217</v>
      </c>
      <c r="AH205" s="376"/>
      <c r="AI205" s="375">
        <f>ABS(INDEX(AI:AI,MATCH(AI202,$AA:$AA,0)+5)+INDEX(AI:AI,MATCH(AI202,$AA:$AA,0)+6)+INDEX(AI:AI,MATCH(AI202,$AA:$AA,0)+7))</f>
        <v>244</v>
      </c>
      <c r="AJ205" s="376"/>
      <c r="AK205" s="375">
        <f>ABS(INDEX(AK:AK,MATCH(AK202,$AA:$AA,0)+5)+INDEX(AK:AK,MATCH(AK202,$AA:$AA,0)+6)+INDEX(AK:AK,MATCH(AK202,$AA:$AA,0)+7))</f>
        <v>210</v>
      </c>
      <c r="AL205" s="376"/>
      <c r="AM205" s="375">
        <f>ABS(INDEX(AM:AM,MATCH(AM202,$AA:$AA,0)+5)+INDEX(AM:AM,MATCH(AM202,$AA:$AA,0)+6)+INDEX(AM:AM,MATCH(AM202,$AA:$AA,0)+7))</f>
        <v>277</v>
      </c>
      <c r="AN205" s="376"/>
      <c r="AO205" s="375">
        <f>ABS(INDEX(AO:AO,MATCH(AO202,$AA:$AA,0)+5)+INDEX(AO:AO,MATCH(AO202,$AA:$AA,0)+6)+INDEX(AO:AO,MATCH(AO202,$AA:$AA,0)+7))</f>
        <v>171</v>
      </c>
      <c r="AP205" s="376"/>
      <c r="AQ205" s="375">
        <f>ABS(INDEX(AQ:AQ,MATCH(AQ202,$AA:$AA,0)+5)+INDEX(AQ:AQ,MATCH(AQ202,$AA:$AA,0)+6)+INDEX(AQ:AQ,MATCH(AQ202,$AA:$AA,0)+7))</f>
        <v>182</v>
      </c>
      <c r="AR205" s="376"/>
      <c r="AS205" s="375">
        <f>ABS(INDEX(AS:AS,MATCH(AS202,$AA:$AA,0)+5)+INDEX(AS:AS,MATCH(AS202,$AA:$AA,0)+6)+INDEX(AS:AS,MATCH(AS202,$AA:$AA,0)+7))</f>
        <v>211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53"/>
        <v>Spieler 2</v>
      </c>
      <c r="C206" s="369" t="str">
        <f t="shared" si="254"/>
        <v/>
      </c>
      <c r="D206" s="342">
        <f>IF(AC206=301,"",AC206)</f>
        <v>244</v>
      </c>
      <c r="E206" s="342" t="str">
        <f>IF(AD206=0,"",AD206)</f>
        <v/>
      </c>
      <c r="F206" s="342">
        <f>IF(AE206=301,"",AE206)</f>
        <v>161</v>
      </c>
      <c r="G206" s="342" t="str">
        <f>IF(AF206=0,"",AF206)</f>
        <v/>
      </c>
      <c r="H206" s="342">
        <f>IF(AG206=301,"",AG206)</f>
        <v>200</v>
      </c>
      <c r="I206" s="342" t="str">
        <f>IF(AH206=0,"",AH206)</f>
        <v/>
      </c>
      <c r="J206" s="342">
        <f>IF(AI206=301,"",AI206)</f>
        <v>230</v>
      </c>
      <c r="K206" s="342" t="str">
        <f>IF(AJ206=0,"",AJ206)</f>
        <v/>
      </c>
      <c r="L206" s="342">
        <f>IF(AK206=301,"",AK206)</f>
        <v>146</v>
      </c>
      <c r="M206" s="342" t="str">
        <f>IF(AL206=0,"",AL206)</f>
        <v/>
      </c>
      <c r="N206" s="342">
        <f>IF(AM206=301,"",AM206)</f>
        <v>207</v>
      </c>
      <c r="O206" s="342" t="str">
        <f>IF(AN206=0,"",AN206)</f>
        <v/>
      </c>
      <c r="P206" s="342">
        <f>IF(AO206=301,"",AO206)</f>
        <v>187</v>
      </c>
      <c r="Q206" s="342" t="str">
        <f>IF(AP206=0,"",AP206)</f>
        <v/>
      </c>
      <c r="R206" s="342">
        <f>IF(AQ206=301,"",AQ206)</f>
        <v>163</v>
      </c>
      <c r="S206" s="342" t="str">
        <f>IF(AR206=0,"",AR206)</f>
        <v/>
      </c>
      <c r="T206" s="342">
        <f>IF(AS206=301,"",AS206)</f>
        <v>183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244</v>
      </c>
      <c r="AD206" s="378"/>
      <c r="AE206" s="377">
        <f>ABS(INDEX(AE:AE,MATCH(AE202,$AA:$AA,0)+8)+INDEX(AE:AE,MATCH(AE202,$AA:$AA,0)+9)+INDEX(AE:AE,MATCH(AE202,$AA:$AA,0)+10))</f>
        <v>161</v>
      </c>
      <c r="AF206" s="378"/>
      <c r="AG206" s="377">
        <f>ABS(INDEX(AG:AG,MATCH(AG202,$AA:$AA,0)+8)+INDEX(AG:AG,MATCH(AG202,$AA:$AA,0)+9)+INDEX(AG:AG,MATCH(AG202,$AA:$AA,0)+10))</f>
        <v>200</v>
      </c>
      <c r="AH206" s="378"/>
      <c r="AI206" s="377">
        <f>ABS(INDEX(AI:AI,MATCH(AI202,$AA:$AA,0)+8)+INDEX(AI:AI,MATCH(AI202,$AA:$AA,0)+9)+INDEX(AI:AI,MATCH(AI202,$AA:$AA,0)+10))</f>
        <v>230</v>
      </c>
      <c r="AJ206" s="378"/>
      <c r="AK206" s="377">
        <f>ABS(INDEX(AK:AK,MATCH(AK202,$AA:$AA,0)+8)+INDEX(AK:AK,MATCH(AK202,$AA:$AA,0)+9)+INDEX(AK:AK,MATCH(AK202,$AA:$AA,0)+10))</f>
        <v>146</v>
      </c>
      <c r="AL206" s="378"/>
      <c r="AM206" s="377">
        <f>ABS(INDEX(AM:AM,MATCH(AM202,$AA:$AA,0)+8)+INDEX(AM:AM,MATCH(AM202,$AA:$AA,0)+9)+INDEX(AM:AM,MATCH(AM202,$AA:$AA,0)+10))</f>
        <v>207</v>
      </c>
      <c r="AN206" s="378"/>
      <c r="AO206" s="377">
        <f>ABS(INDEX(AO:AO,MATCH(AO202,$AA:$AA,0)+8)+INDEX(AO:AO,MATCH(AO202,$AA:$AA,0)+9)+INDEX(AO:AO,MATCH(AO202,$AA:$AA,0)+10))</f>
        <v>187</v>
      </c>
      <c r="AP206" s="378"/>
      <c r="AQ206" s="377">
        <f>ABS(INDEX(AQ:AQ,MATCH(AQ202,$AA:$AA,0)+8)+INDEX(AQ:AQ,MATCH(AQ202,$AA:$AA,0)+9)+INDEX(AQ:AQ,MATCH(AQ202,$AA:$AA,0)+10))</f>
        <v>163</v>
      </c>
      <c r="AR206" s="378"/>
      <c r="AS206" s="377">
        <f>ABS(INDEX(AS:AS,MATCH(AS202,$AA:$AA,0)+8)+INDEX(AS:AS,MATCH(AS202,$AA:$AA,0)+9)+INDEX(AS:AS,MATCH(AS202,$AA:$AA,0)+10))</f>
        <v>183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53"/>
        <v>Spieler 3</v>
      </c>
      <c r="C207" s="369" t="str">
        <f t="shared" si="254"/>
        <v/>
      </c>
      <c r="D207" s="342">
        <f>IF(AC207=301,"",AC207)</f>
        <v>158</v>
      </c>
      <c r="E207" s="342" t="str">
        <f>IF(AD207=0,"",AD207)</f>
        <v/>
      </c>
      <c r="F207" s="342">
        <f>IF(AE207=301,"",AE207)</f>
        <v>166</v>
      </c>
      <c r="G207" s="342" t="str">
        <f>IF(AF207=0,"",AF207)</f>
        <v/>
      </c>
      <c r="H207" s="342">
        <f>IF(AG207=301,"",AG207)</f>
        <v>159</v>
      </c>
      <c r="I207" s="342" t="str">
        <f>IF(AH207=0,"",AH207)</f>
        <v/>
      </c>
      <c r="J207" s="342">
        <f>IF(AI207=301,"",AI207)</f>
        <v>216</v>
      </c>
      <c r="K207" s="342" t="str">
        <f>IF(AJ207=0,"",AJ207)</f>
        <v/>
      </c>
      <c r="L207" s="342">
        <f>IF(AK207=301,"",AK207)</f>
        <v>236</v>
      </c>
      <c r="M207" s="342" t="str">
        <f>IF(AL207=0,"",AL207)</f>
        <v/>
      </c>
      <c r="N207" s="342">
        <f>IF(AM207=301,"",AM207)</f>
        <v>157</v>
      </c>
      <c r="O207" s="342" t="str">
        <f>IF(AN207=0,"",AN207)</f>
        <v/>
      </c>
      <c r="P207" s="342">
        <f>IF(AO207=301,"",AO207)</f>
        <v>181</v>
      </c>
      <c r="Q207" s="342" t="str">
        <f>IF(AP207=0,"",AP207)</f>
        <v/>
      </c>
      <c r="R207" s="342">
        <f>IF(AQ207=301,"",AQ207)</f>
        <v>156</v>
      </c>
      <c r="S207" s="342" t="str">
        <f>IF(AR207=0,"",AR207)</f>
        <v/>
      </c>
      <c r="T207" s="342">
        <f>IF(AS207=301,"",AS207)</f>
        <v>258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158</v>
      </c>
      <c r="AD207" s="378"/>
      <c r="AE207" s="377">
        <f>ABS(INDEX(AE:AE,MATCH(AE202,$AA:$AA,0)+11)+INDEX(AE:AE,MATCH(AE202,$AA:$AA,0)+12)+INDEX(AE:AE,MATCH(AE202,$AA:$AA,0)+13))</f>
        <v>166</v>
      </c>
      <c r="AF207" s="378"/>
      <c r="AG207" s="377">
        <f>ABS(INDEX(AG:AG,MATCH(AG202,$AA:$AA,0)+11)+INDEX(AG:AG,MATCH(AG202,$AA:$AA,0)+12)+INDEX(AG:AG,MATCH(AG202,$AA:$AA,0)+13))</f>
        <v>159</v>
      </c>
      <c r="AH207" s="378"/>
      <c r="AI207" s="377">
        <f>ABS(INDEX(AI:AI,MATCH(AI202,$AA:$AA,0)+11)+INDEX(AI:AI,MATCH(AI202,$AA:$AA,0)+12)+INDEX(AI:AI,MATCH(AI202,$AA:$AA,0)+13))</f>
        <v>216</v>
      </c>
      <c r="AJ207" s="378"/>
      <c r="AK207" s="377">
        <f>ABS(INDEX(AK:AK,MATCH(AK202,$AA:$AA,0)+11)+INDEX(AK:AK,MATCH(AK202,$AA:$AA,0)+12)+INDEX(AK:AK,MATCH(AK202,$AA:$AA,0)+13))</f>
        <v>236</v>
      </c>
      <c r="AL207" s="378"/>
      <c r="AM207" s="377">
        <f>ABS(INDEX(AM:AM,MATCH(AM202,$AA:$AA,0)+11)+INDEX(AM:AM,MATCH(AM202,$AA:$AA,0)+12)+INDEX(AM:AM,MATCH(AM202,$AA:$AA,0)+13))</f>
        <v>157</v>
      </c>
      <c r="AN207" s="378"/>
      <c r="AO207" s="377">
        <f>ABS(INDEX(AO:AO,MATCH(AO202,$AA:$AA,0)+11)+INDEX(AO:AO,MATCH(AO202,$AA:$AA,0)+12)+INDEX(AO:AO,MATCH(AO202,$AA:$AA,0)+13))</f>
        <v>181</v>
      </c>
      <c r="AP207" s="378"/>
      <c r="AQ207" s="377">
        <f>ABS(INDEX(AQ:AQ,MATCH(AQ202,$AA:$AA,0)+11)+INDEX(AQ:AQ,MATCH(AQ202,$AA:$AA,0)+12)+INDEX(AQ:AQ,MATCH(AQ202,$AA:$AA,0)+13))</f>
        <v>156</v>
      </c>
      <c r="AR207" s="378"/>
      <c r="AS207" s="377">
        <f>ABS(INDEX(AS:AS,MATCH(AS202,$AA:$AA,0)+11)+INDEX(AS:AS,MATCH(AS202,$AA:$AA,0)+12)+INDEX(AS:AS,MATCH(AS202,$AA:$AA,0)+13))</f>
        <v>258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53"/>
        <v>Spieler 4</v>
      </c>
      <c r="C208" s="369" t="str">
        <f t="shared" si="254"/>
        <v/>
      </c>
      <c r="D208" s="342">
        <f>IF(AC208=301,"",AC208)</f>
        <v>262</v>
      </c>
      <c r="E208" s="342" t="str">
        <f>IF(AD208=0,"",AD208)</f>
        <v/>
      </c>
      <c r="F208" s="342">
        <f>IF(AE208=301,"",AE208)</f>
        <v>194</v>
      </c>
      <c r="G208" s="342" t="str">
        <f>IF(AF208=0,"",AF208)</f>
        <v/>
      </c>
      <c r="H208" s="342">
        <f>IF(AG208=301,"",AG208)</f>
        <v>180</v>
      </c>
      <c r="I208" s="342" t="str">
        <f>IF(AH208=0,"",AH208)</f>
        <v/>
      </c>
      <c r="J208" s="342">
        <f>IF(AI208=301,"",AI208)</f>
        <v>176</v>
      </c>
      <c r="K208" s="342" t="str">
        <f>IF(AJ208=0,"",AJ208)</f>
        <v/>
      </c>
      <c r="L208" s="342">
        <f>IF(AK208=301,"",AK208)</f>
        <v>174</v>
      </c>
      <c r="M208" s="342" t="str">
        <f>IF(AL208=0,"",AL208)</f>
        <v/>
      </c>
      <c r="N208" s="342">
        <f>IF(AM208=301,"",AM208)</f>
        <v>204</v>
      </c>
      <c r="O208" s="342" t="str">
        <f>IF(AN208=0,"",AN208)</f>
        <v/>
      </c>
      <c r="P208" s="342">
        <f>IF(AO208=301,"",AO208)</f>
        <v>175</v>
      </c>
      <c r="Q208" s="342" t="str">
        <f>IF(AP208=0,"",AP208)</f>
        <v/>
      </c>
      <c r="R208" s="342">
        <f>IF(AQ208=301,"",AQ208)</f>
        <v>188</v>
      </c>
      <c r="S208" s="342" t="str">
        <f>IF(AR208=0,"",AR208)</f>
        <v/>
      </c>
      <c r="T208" s="342">
        <f>IF(AS208=301,"",AS208)</f>
        <v>242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262</v>
      </c>
      <c r="AD208" s="378"/>
      <c r="AE208" s="377">
        <f>ABS(INDEX(AE:AE,MATCH(AE202,$AA:$AA,0)+14)+INDEX(AE:AE,MATCH(AE202,$AA:$AA,0)+15)+INDEX(AE:AE,MATCH(AE202,$AA:$AA,0)+16))</f>
        <v>194</v>
      </c>
      <c r="AF208" s="378"/>
      <c r="AG208" s="377">
        <f>ABS(INDEX(AG:AG,MATCH(AG202,$AA:$AA,0)+14)+INDEX(AG:AG,MATCH(AG202,$AA:$AA,0)+15)+INDEX(AG:AG,MATCH(AG202,$AA:$AA,0)+16))</f>
        <v>180</v>
      </c>
      <c r="AH208" s="378"/>
      <c r="AI208" s="377">
        <f>ABS(INDEX(AI:AI,MATCH(AI202,$AA:$AA,0)+14)+INDEX(AI:AI,MATCH(AI202,$AA:$AA,0)+15)+INDEX(AI:AI,MATCH(AI202,$AA:$AA,0)+16))</f>
        <v>176</v>
      </c>
      <c r="AJ208" s="378"/>
      <c r="AK208" s="377">
        <f>ABS(INDEX(AK:AK,MATCH(AK202,$AA:$AA,0)+14)+INDEX(AK:AK,MATCH(AK202,$AA:$AA,0)+15)+INDEX(AK:AK,MATCH(AK202,$AA:$AA,0)+16))</f>
        <v>174</v>
      </c>
      <c r="AL208" s="378"/>
      <c r="AM208" s="377">
        <f>ABS(INDEX(AM:AM,MATCH(AM202,$AA:$AA,0)+14)+INDEX(AM:AM,MATCH(AM202,$AA:$AA,0)+15)+INDEX(AM:AM,MATCH(AM202,$AA:$AA,0)+16))</f>
        <v>204</v>
      </c>
      <c r="AN208" s="378"/>
      <c r="AO208" s="377">
        <f>ABS(INDEX(AO:AO,MATCH(AO202,$AA:$AA,0)+14)+INDEX(AO:AO,MATCH(AO202,$AA:$AA,0)+15)+INDEX(AO:AO,MATCH(AO202,$AA:$AA,0)+16))</f>
        <v>175</v>
      </c>
      <c r="AP208" s="378"/>
      <c r="AQ208" s="377">
        <f>ABS(INDEX(AQ:AQ,MATCH(AQ202,$AA:$AA,0)+14)+INDEX(AQ:AQ,MATCH(AQ202,$AA:$AA,0)+15)+INDEX(AQ:AQ,MATCH(AQ202,$AA:$AA,0)+16))</f>
        <v>188</v>
      </c>
      <c r="AR208" s="378"/>
      <c r="AS208" s="377">
        <f>ABS(INDEX(AS:AS,MATCH(AS202,$AA:$AA,0)+14)+INDEX(AS:AS,MATCH(AS202,$AA:$AA,0)+15)+INDEX(AS:AS,MATCH(AS202,$AA:$AA,0)+16))</f>
        <v>242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53"/>
        <v>Gesamt</v>
      </c>
      <c r="C209" s="358" t="str">
        <f t="shared" si="254"/>
        <v/>
      </c>
      <c r="D209" s="341">
        <f>IF(AC209=1505,"",AC209)</f>
        <v>888</v>
      </c>
      <c r="E209" s="341" t="str">
        <f>IF(AD209=0,"",AD209)</f>
        <v/>
      </c>
      <c r="F209" s="341">
        <f>IF(AE209=1505,"",AE209)</f>
        <v>700</v>
      </c>
      <c r="G209" s="341" t="str">
        <f>IF(AF209=0,"",AF209)</f>
        <v/>
      </c>
      <c r="H209" s="341">
        <f>IF(AG209=1505,"",AG209)</f>
        <v>756</v>
      </c>
      <c r="I209" s="341" t="str">
        <f>IF(AH209=0,"",AH209)</f>
        <v/>
      </c>
      <c r="J209" s="341">
        <f>IF(AI209=1505,"",AI209)</f>
        <v>866</v>
      </c>
      <c r="K209" s="341" t="str">
        <f>IF(AJ209=0,"",AJ209)</f>
        <v/>
      </c>
      <c r="L209" s="341">
        <f>IF(AK209=1505,"",AK209)</f>
        <v>766</v>
      </c>
      <c r="M209" s="341" t="str">
        <f>IF(AL209=0,"",AL209)</f>
        <v/>
      </c>
      <c r="N209" s="341">
        <f>IF(AM209=1505,"",AM209)</f>
        <v>845</v>
      </c>
      <c r="O209" s="341" t="str">
        <f>IF(AN209=0,"",AN209)</f>
        <v/>
      </c>
      <c r="P209" s="341">
        <f>IF(AO209=1505,"",AO209)</f>
        <v>714</v>
      </c>
      <c r="Q209" s="341" t="str">
        <f>IF(AP209=0,"",AP209)</f>
        <v/>
      </c>
      <c r="R209" s="341">
        <f>IF(AQ209=1505,"",AQ209)</f>
        <v>689</v>
      </c>
      <c r="S209" s="341" t="str">
        <f>IF(AR209=0,"",AR209)</f>
        <v/>
      </c>
      <c r="T209" s="341">
        <f>IF(AS209=1505,"",AS209)</f>
        <v>894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888</v>
      </c>
      <c r="AD209" s="358"/>
      <c r="AE209" s="357">
        <f>SUM(AE205:AE208)</f>
        <v>700</v>
      </c>
      <c r="AF209" s="358"/>
      <c r="AG209" s="357">
        <f>SUM(AG205:AG208)</f>
        <v>756</v>
      </c>
      <c r="AH209" s="358"/>
      <c r="AI209" s="357">
        <f>SUM(AI205:AI208)</f>
        <v>866</v>
      </c>
      <c r="AJ209" s="358"/>
      <c r="AK209" s="357">
        <f>SUM(AK205:AK208)</f>
        <v>766</v>
      </c>
      <c r="AL209" s="358"/>
      <c r="AM209" s="357">
        <f>SUM(AM205:AM208)</f>
        <v>845</v>
      </c>
      <c r="AN209" s="358"/>
      <c r="AO209" s="357">
        <f>SUM(AO205:AO208)</f>
        <v>714</v>
      </c>
      <c r="AP209" s="358"/>
      <c r="AQ209" s="357">
        <f>SUM(AQ205:AQ208)</f>
        <v>689</v>
      </c>
      <c r="AR209" s="358"/>
      <c r="AS209" s="357">
        <f>SUM(AS205:AS208)</f>
        <v>894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12.10./13.10.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12.10./13.10.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51">
        <f>IF(AD217="","",AD217)</f>
        <v>0</v>
      </c>
      <c r="F217" s="75">
        <f t="shared" ref="F217:F230" si="257">IF(AE217=0,"",AE217)</f>
        <v>183</v>
      </c>
      <c r="G217" s="351">
        <f>IF(AF217="","",AF217)</f>
        <v>1</v>
      </c>
      <c r="H217" s="75">
        <f t="shared" ref="H217:H230" si="258">IF(AG217=0,"",AG217)</f>
        <v>178</v>
      </c>
      <c r="I217" s="351">
        <f>IF(AH217="","",AH217)</f>
        <v>0</v>
      </c>
      <c r="J217" s="75">
        <f t="shared" ref="J217:J230" si="259">IF(AI217=0,"",AI217)</f>
        <v>195</v>
      </c>
      <c r="K217" s="351">
        <f>IF(AJ217="","",AJ217)</f>
        <v>0</v>
      </c>
      <c r="L217" s="75">
        <f t="shared" ref="L217:L230" si="260">IF(AK217=0,"",AK217)</f>
        <v>259</v>
      </c>
      <c r="M217" s="351">
        <f>IF(AL217="","",AL217)</f>
        <v>1</v>
      </c>
      <c r="N217" s="75">
        <f>IF(AM217=0,"",AM217)</f>
        <v>207</v>
      </c>
      <c r="O217" s="351">
        <f>IF(AN217="","",AN217)</f>
        <v>0</v>
      </c>
      <c r="P217" s="75">
        <f t="shared" ref="P217:P230" si="261">IF(AO217=0,"",AO217)</f>
        <v>209</v>
      </c>
      <c r="Q217" s="351">
        <f>IF(AP217="","",AP217)</f>
        <v>0.5</v>
      </c>
      <c r="R217" s="75">
        <f t="shared" ref="R217:R230" si="262">IF(AQ217=0,"",AQ217)</f>
        <v>182</v>
      </c>
      <c r="S217" s="351">
        <f>IF(AR217="","",AR217)</f>
        <v>1</v>
      </c>
      <c r="T217" s="75">
        <f t="shared" ref="T217:T230" si="263">IF(AS217=0,"",AS217)</f>
        <v>167</v>
      </c>
      <c r="U217" s="351">
        <f>IF(AT217="","",AT217)</f>
        <v>0</v>
      </c>
      <c r="V217" s="75">
        <f t="shared" ref="V217:V230" si="264">IF(AU217=0,"",AU217)</f>
        <v>1774</v>
      </c>
      <c r="W217" s="351">
        <f>IF(AV217="","",AV217)</f>
        <v>3.5</v>
      </c>
      <c r="Z217" s="354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1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52"/>
      <c r="F218" s="78" t="str">
        <f t="shared" si="257"/>
        <v/>
      </c>
      <c r="G218" s="352"/>
      <c r="H218" s="78" t="str">
        <f t="shared" si="258"/>
        <v/>
      </c>
      <c r="I218" s="352"/>
      <c r="J218" s="78" t="str">
        <f t="shared" si="259"/>
        <v/>
      </c>
      <c r="K218" s="352"/>
      <c r="L218" s="78" t="str">
        <f t="shared" si="260"/>
        <v/>
      </c>
      <c r="M218" s="352"/>
      <c r="N218" s="78" t="str">
        <f t="shared" ref="N218:N230" si="279">IF(AM218=0,"",AM218)</f>
        <v/>
      </c>
      <c r="O218" s="352"/>
      <c r="P218" s="78" t="str">
        <f t="shared" si="261"/>
        <v/>
      </c>
      <c r="Q218" s="352"/>
      <c r="R218" s="78" t="str">
        <f t="shared" si="262"/>
        <v/>
      </c>
      <c r="S218" s="352"/>
      <c r="T218" s="78" t="str">
        <f t="shared" si="263"/>
        <v/>
      </c>
      <c r="U218" s="352"/>
      <c r="V218" s="78" t="str">
        <f t="shared" si="264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2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3"/>
      <c r="F219" s="69" t="str">
        <f t="shared" si="257"/>
        <v/>
      </c>
      <c r="G219" s="353"/>
      <c r="H219" s="69" t="str">
        <f t="shared" si="258"/>
        <v/>
      </c>
      <c r="I219" s="353"/>
      <c r="J219" s="69" t="str">
        <f t="shared" si="259"/>
        <v/>
      </c>
      <c r="K219" s="353"/>
      <c r="L219" s="69" t="str">
        <f t="shared" si="260"/>
        <v/>
      </c>
      <c r="M219" s="353"/>
      <c r="N219" s="69" t="str">
        <f t="shared" si="279"/>
        <v/>
      </c>
      <c r="O219" s="353"/>
      <c r="P219" s="69" t="str">
        <f t="shared" si="261"/>
        <v/>
      </c>
      <c r="Q219" s="353"/>
      <c r="R219" s="69" t="str">
        <f t="shared" si="262"/>
        <v/>
      </c>
      <c r="S219" s="353"/>
      <c r="T219" s="69" t="str">
        <f t="shared" si="263"/>
        <v/>
      </c>
      <c r="U219" s="353"/>
      <c r="V219" s="69" t="str">
        <f t="shared" si="264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0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51">
        <f>IF(AD220="","",AD220)</f>
        <v>1</v>
      </c>
      <c r="F220" s="75">
        <f t="shared" si="257"/>
        <v>236</v>
      </c>
      <c r="G220" s="351">
        <f>IF(AF220="","",AF220)</f>
        <v>1</v>
      </c>
      <c r="H220" s="75">
        <f t="shared" si="258"/>
        <v>214</v>
      </c>
      <c r="I220" s="351">
        <f>IF(AH220="","",AH220)</f>
        <v>0</v>
      </c>
      <c r="J220" s="75">
        <f t="shared" si="259"/>
        <v>194</v>
      </c>
      <c r="K220" s="351">
        <f>IF(AJ220="","",AJ220)</f>
        <v>0</v>
      </c>
      <c r="L220" s="75">
        <f t="shared" si="260"/>
        <v>212</v>
      </c>
      <c r="M220" s="351">
        <f>IF(AL220="","",AL220)</f>
        <v>0</v>
      </c>
      <c r="N220" s="75">
        <f t="shared" si="279"/>
        <v>224</v>
      </c>
      <c r="O220" s="351">
        <f>IF(AN220="","",AN220)</f>
        <v>1</v>
      </c>
      <c r="P220" s="75">
        <f t="shared" si="261"/>
        <v>197</v>
      </c>
      <c r="Q220" s="351">
        <f>IF(AP220="","",AP220)</f>
        <v>1</v>
      </c>
      <c r="R220" s="75">
        <f t="shared" si="262"/>
        <v>163</v>
      </c>
      <c r="S220" s="351">
        <f>IF(AR220="","",AR220)</f>
        <v>0</v>
      </c>
      <c r="T220" s="75">
        <f t="shared" si="263"/>
        <v>184</v>
      </c>
      <c r="U220" s="351">
        <f>IF(AT220="","",AT220)</f>
        <v>0</v>
      </c>
      <c r="V220" s="75">
        <f t="shared" si="264"/>
        <v>1848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1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52"/>
      <c r="F221" s="78" t="str">
        <f t="shared" si="257"/>
        <v/>
      </c>
      <c r="G221" s="352"/>
      <c r="H221" s="78" t="str">
        <f t="shared" si="258"/>
        <v/>
      </c>
      <c r="I221" s="352"/>
      <c r="J221" s="78" t="str">
        <f t="shared" si="259"/>
        <v/>
      </c>
      <c r="K221" s="352"/>
      <c r="L221" s="78" t="str">
        <f t="shared" si="260"/>
        <v/>
      </c>
      <c r="M221" s="352"/>
      <c r="N221" s="78" t="str">
        <f t="shared" si="279"/>
        <v/>
      </c>
      <c r="O221" s="352"/>
      <c r="P221" s="78" t="str">
        <f t="shared" si="261"/>
        <v/>
      </c>
      <c r="Q221" s="352"/>
      <c r="R221" s="78" t="str">
        <f t="shared" si="262"/>
        <v/>
      </c>
      <c r="S221" s="352"/>
      <c r="T221" s="78" t="str">
        <f t="shared" si="263"/>
        <v/>
      </c>
      <c r="U221" s="352"/>
      <c r="V221" s="78" t="str">
        <f t="shared" si="264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2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3"/>
      <c r="F222" s="69" t="str">
        <f t="shared" si="257"/>
        <v/>
      </c>
      <c r="G222" s="353"/>
      <c r="H222" s="69" t="str">
        <f t="shared" si="258"/>
        <v/>
      </c>
      <c r="I222" s="353"/>
      <c r="J222" s="69" t="str">
        <f t="shared" si="259"/>
        <v/>
      </c>
      <c r="K222" s="353"/>
      <c r="L222" s="69" t="str">
        <f t="shared" si="260"/>
        <v/>
      </c>
      <c r="M222" s="353"/>
      <c r="N222" s="69" t="str">
        <f t="shared" si="279"/>
        <v/>
      </c>
      <c r="O222" s="353"/>
      <c r="P222" s="69" t="str">
        <f t="shared" si="261"/>
        <v/>
      </c>
      <c r="Q222" s="353"/>
      <c r="R222" s="69" t="str">
        <f t="shared" si="262"/>
        <v/>
      </c>
      <c r="S222" s="353"/>
      <c r="T222" s="69" t="str">
        <f t="shared" si="263"/>
        <v/>
      </c>
      <c r="U222" s="353"/>
      <c r="V222" s="69" t="str">
        <f t="shared" si="264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0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51">
        <f>IF(AD223="","",AD223)</f>
        <v>1</v>
      </c>
      <c r="F223" s="75">
        <f t="shared" si="257"/>
        <v>238</v>
      </c>
      <c r="G223" s="351">
        <f>IF(AF223="","",AF223)</f>
        <v>1</v>
      </c>
      <c r="H223" s="75">
        <f t="shared" si="258"/>
        <v>172</v>
      </c>
      <c r="I223" s="351">
        <f>IF(AH223="","",AH223)</f>
        <v>0</v>
      </c>
      <c r="J223" s="75">
        <f t="shared" si="259"/>
        <v>203</v>
      </c>
      <c r="K223" s="351">
        <f>IF(AJ223="","",AJ223)</f>
        <v>1</v>
      </c>
      <c r="L223" s="75">
        <f t="shared" si="260"/>
        <v>205</v>
      </c>
      <c r="M223" s="351">
        <f>IF(AL223="","",AL223)</f>
        <v>1</v>
      </c>
      <c r="N223" s="75">
        <f t="shared" si="279"/>
        <v>249</v>
      </c>
      <c r="O223" s="351">
        <f>IF(AN223="","",AN223)</f>
        <v>1</v>
      </c>
      <c r="P223" s="75">
        <f t="shared" si="261"/>
        <v>255</v>
      </c>
      <c r="Q223" s="351">
        <f>IF(AP223="","",AP223)</f>
        <v>0.5</v>
      </c>
      <c r="R223" s="75">
        <f t="shared" si="262"/>
        <v>156</v>
      </c>
      <c r="S223" s="351">
        <f>IF(AR223="","",AR223)</f>
        <v>0</v>
      </c>
      <c r="T223" s="75">
        <f t="shared" si="263"/>
        <v>170</v>
      </c>
      <c r="U223" s="351">
        <f>IF(AT223="","",AT223)</f>
        <v>0</v>
      </c>
      <c r="V223" s="75">
        <f t="shared" si="264"/>
        <v>1848</v>
      </c>
      <c r="W223" s="351">
        <f>IF(AV223="","",AV223)</f>
        <v>5.5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1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52"/>
      <c r="F224" s="78" t="str">
        <f t="shared" si="257"/>
        <v/>
      </c>
      <c r="G224" s="352"/>
      <c r="H224" s="78" t="str">
        <f t="shared" si="258"/>
        <v/>
      </c>
      <c r="I224" s="352"/>
      <c r="J224" s="78" t="str">
        <f t="shared" si="259"/>
        <v/>
      </c>
      <c r="K224" s="352"/>
      <c r="L224" s="78" t="str">
        <f t="shared" si="260"/>
        <v/>
      </c>
      <c r="M224" s="352"/>
      <c r="N224" s="78" t="str">
        <f t="shared" si="279"/>
        <v/>
      </c>
      <c r="O224" s="352"/>
      <c r="P224" s="78" t="str">
        <f t="shared" si="261"/>
        <v/>
      </c>
      <c r="Q224" s="352"/>
      <c r="R224" s="78" t="str">
        <f t="shared" si="262"/>
        <v/>
      </c>
      <c r="S224" s="352"/>
      <c r="T224" s="78" t="str">
        <f t="shared" si="263"/>
        <v/>
      </c>
      <c r="U224" s="352"/>
      <c r="V224" s="78" t="str">
        <f t="shared" si="264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2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3"/>
      <c r="F225" s="69" t="str">
        <f t="shared" si="257"/>
        <v/>
      </c>
      <c r="G225" s="353"/>
      <c r="H225" s="69" t="str">
        <f t="shared" si="258"/>
        <v/>
      </c>
      <c r="I225" s="353"/>
      <c r="J225" s="69" t="str">
        <f t="shared" si="259"/>
        <v/>
      </c>
      <c r="K225" s="353"/>
      <c r="L225" s="69" t="str">
        <f t="shared" si="260"/>
        <v/>
      </c>
      <c r="M225" s="353"/>
      <c r="N225" s="69" t="str">
        <f t="shared" si="279"/>
        <v/>
      </c>
      <c r="O225" s="353"/>
      <c r="P225" s="69" t="str">
        <f t="shared" si="261"/>
        <v/>
      </c>
      <c r="Q225" s="353"/>
      <c r="R225" s="69" t="str">
        <f t="shared" si="262"/>
        <v/>
      </c>
      <c r="S225" s="353"/>
      <c r="T225" s="69" t="str">
        <f t="shared" si="263"/>
        <v/>
      </c>
      <c r="U225" s="353"/>
      <c r="V225" s="69" t="str">
        <f t="shared" si="264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51">
        <f>IF(AD226="","",AD226)</f>
        <v>1</v>
      </c>
      <c r="F226" s="75">
        <f t="shared" si="257"/>
        <v>189</v>
      </c>
      <c r="G226" s="351">
        <f>IF(AF226="","",AF226)</f>
        <v>0</v>
      </c>
      <c r="H226" s="75">
        <f t="shared" si="258"/>
        <v>143</v>
      </c>
      <c r="I226" s="351">
        <f>IF(AH226="","",AH226)</f>
        <v>0</v>
      </c>
      <c r="J226" s="75">
        <f t="shared" si="259"/>
        <v>172</v>
      </c>
      <c r="K226" s="351">
        <f>IF(AJ226="","",AJ226)</f>
        <v>1</v>
      </c>
      <c r="L226" s="75">
        <f t="shared" si="260"/>
        <v>234</v>
      </c>
      <c r="M226" s="351">
        <f>IF(AL226="","",AL226)</f>
        <v>1</v>
      </c>
      <c r="N226" s="75">
        <f t="shared" si="279"/>
        <v>168</v>
      </c>
      <c r="O226" s="351">
        <f>IF(AN226="","",AN226)</f>
        <v>0</v>
      </c>
      <c r="P226" s="75">
        <f t="shared" si="261"/>
        <v>202</v>
      </c>
      <c r="Q226" s="351">
        <f>IF(AP226="","",AP226)</f>
        <v>0</v>
      </c>
      <c r="R226" s="75">
        <f t="shared" si="262"/>
        <v>188</v>
      </c>
      <c r="S226" s="351">
        <f>IF(AR226="","",AR226)</f>
        <v>0</v>
      </c>
      <c r="T226" s="75">
        <f t="shared" si="263"/>
        <v>181</v>
      </c>
      <c r="U226" s="351">
        <f>IF(AT226="","",AT226)</f>
        <v>0.5</v>
      </c>
      <c r="V226" s="75">
        <f t="shared" si="264"/>
        <v>1735</v>
      </c>
      <c r="W226" s="351">
        <f>IF(AV226="","",AV226)</f>
        <v>3.5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52"/>
      <c r="F227" s="78" t="str">
        <f t="shared" si="257"/>
        <v/>
      </c>
      <c r="G227" s="352"/>
      <c r="H227" s="78" t="str">
        <f t="shared" si="258"/>
        <v/>
      </c>
      <c r="I227" s="352"/>
      <c r="J227" s="78" t="str">
        <f t="shared" si="259"/>
        <v/>
      </c>
      <c r="K227" s="352"/>
      <c r="L227" s="78" t="str">
        <f t="shared" si="260"/>
        <v/>
      </c>
      <c r="M227" s="352"/>
      <c r="N227" s="78" t="str">
        <f t="shared" si="279"/>
        <v/>
      </c>
      <c r="O227" s="352"/>
      <c r="P227" s="78" t="str">
        <f t="shared" si="261"/>
        <v/>
      </c>
      <c r="Q227" s="352"/>
      <c r="R227" s="78" t="str">
        <f t="shared" si="262"/>
        <v/>
      </c>
      <c r="S227" s="352"/>
      <c r="T227" s="78" t="str">
        <f t="shared" si="263"/>
        <v/>
      </c>
      <c r="U227" s="352"/>
      <c r="V227" s="78" t="str">
        <f t="shared" si="264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3"/>
      <c r="F228" s="69" t="str">
        <f t="shared" si="257"/>
        <v/>
      </c>
      <c r="G228" s="353"/>
      <c r="H228" s="69" t="str">
        <f t="shared" si="258"/>
        <v/>
      </c>
      <c r="I228" s="353"/>
      <c r="J228" s="69" t="str">
        <f t="shared" si="259"/>
        <v/>
      </c>
      <c r="K228" s="353"/>
      <c r="L228" s="69" t="str">
        <f t="shared" si="260"/>
        <v/>
      </c>
      <c r="M228" s="353"/>
      <c r="N228" s="69" t="str">
        <f t="shared" si="279"/>
        <v/>
      </c>
      <c r="O228" s="353"/>
      <c r="P228" s="69" t="str">
        <f t="shared" si="261"/>
        <v/>
      </c>
      <c r="Q228" s="353"/>
      <c r="R228" s="69" t="str">
        <f t="shared" si="262"/>
        <v/>
      </c>
      <c r="S228" s="353"/>
      <c r="T228" s="69" t="str">
        <f t="shared" si="263"/>
        <v/>
      </c>
      <c r="U228" s="353"/>
      <c r="V228" s="69" t="str">
        <f t="shared" si="264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9">
        <f t="shared" ref="D232:M234" si="292">IF(AC232=0,"",AC232)</f>
        <v>10</v>
      </c>
      <c r="E232" s="349" t="str">
        <f t="shared" si="292"/>
        <v/>
      </c>
      <c r="F232" s="349">
        <f t="shared" si="292"/>
        <v>5</v>
      </c>
      <c r="G232" s="349" t="str">
        <f t="shared" si="292"/>
        <v/>
      </c>
      <c r="H232" s="349">
        <f t="shared" si="292"/>
        <v>2</v>
      </c>
      <c r="I232" s="349" t="str">
        <f t="shared" si="292"/>
        <v/>
      </c>
      <c r="J232" s="349">
        <f t="shared" si="292"/>
        <v>6</v>
      </c>
      <c r="K232" s="349" t="str">
        <f t="shared" si="292"/>
        <v/>
      </c>
      <c r="L232" s="349">
        <f t="shared" si="292"/>
        <v>9</v>
      </c>
      <c r="M232" s="349" t="str">
        <f t="shared" si="292"/>
        <v/>
      </c>
      <c r="N232" s="349">
        <f t="shared" ref="N232:U234" si="293">IF(AM232=0,"",AM232)</f>
        <v>4</v>
      </c>
      <c r="O232" s="349" t="str">
        <f t="shared" si="293"/>
        <v/>
      </c>
      <c r="P232" s="349">
        <f t="shared" si="293"/>
        <v>3</v>
      </c>
      <c r="Q232" s="349" t="str">
        <f t="shared" si="293"/>
        <v/>
      </c>
      <c r="R232" s="349">
        <f t="shared" si="293"/>
        <v>7</v>
      </c>
      <c r="S232" s="349" t="str">
        <f t="shared" si="293"/>
        <v/>
      </c>
      <c r="T232" s="349">
        <f t="shared" si="293"/>
        <v>1</v>
      </c>
      <c r="U232" s="349" t="str">
        <f t="shared" si="293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VLOOKUP($AA212,Schlüssel!$A$5:$K$14,3)</f>
        <v>10</v>
      </c>
      <c r="AD232" s="374"/>
      <c r="AE232" s="373">
        <f>VLOOKUP($AA212,Schlüssel!$A$5:$K$14,4)</f>
        <v>5</v>
      </c>
      <c r="AF232" s="374"/>
      <c r="AG232" s="373">
        <f>VLOOKUP($AA212,Schlüssel!$A$5:$K$14,5)</f>
        <v>2</v>
      </c>
      <c r="AH232" s="374"/>
      <c r="AI232" s="373">
        <f>VLOOKUP($AA212,Schlüssel!$A$5:$K$14,6)</f>
        <v>6</v>
      </c>
      <c r="AJ232" s="374"/>
      <c r="AK232" s="373">
        <f>VLOOKUP($AA212,Schlüssel!$A$5:$K$14,7)</f>
        <v>9</v>
      </c>
      <c r="AL232" s="374"/>
      <c r="AM232" s="373">
        <f>VLOOKUP($AA212,Schlüssel!$A$5:$K$14,8)</f>
        <v>4</v>
      </c>
      <c r="AN232" s="374"/>
      <c r="AO232" s="373">
        <f>VLOOKUP($AA212,Schlüssel!$A$5:$K$14,9)</f>
        <v>3</v>
      </c>
      <c r="AP232" s="374"/>
      <c r="AQ232" s="373">
        <f>VLOOKUP($AA212,Schlüssel!$A$5:$K$14,10)</f>
        <v>7</v>
      </c>
      <c r="AR232" s="374"/>
      <c r="AS232" s="373">
        <f>VLOOKUP($AA212,Schlüssel!$A$5:$K$14,11)</f>
        <v>1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6" t="str">
        <f t="shared" si="292"/>
        <v>High Roller Rosenheim 1</v>
      </c>
      <c r="E233" s="347" t="str">
        <f t="shared" si="292"/>
        <v/>
      </c>
      <c r="F233" s="346" t="str">
        <f t="shared" si="292"/>
        <v>RW Lichtenhof Stein 1</v>
      </c>
      <c r="G233" s="347" t="str">
        <f t="shared" si="292"/>
        <v/>
      </c>
      <c r="H233" s="346" t="str">
        <f t="shared" si="292"/>
        <v>Bajuwaren München 1</v>
      </c>
      <c r="I233" s="347" t="str">
        <f t="shared" si="292"/>
        <v/>
      </c>
      <c r="J233" s="346" t="str">
        <f t="shared" si="292"/>
        <v>SG Rottendorf 1</v>
      </c>
      <c r="K233" s="347" t="str">
        <f t="shared" si="292"/>
        <v/>
      </c>
      <c r="L233" s="346" t="str">
        <f t="shared" si="292"/>
        <v>Bowlinghaus Bamberg 1</v>
      </c>
      <c r="M233" s="347" t="str">
        <f t="shared" si="292"/>
        <v/>
      </c>
      <c r="N233" s="346" t="str">
        <f t="shared" si="293"/>
        <v>SG DJK Rimpar</v>
      </c>
      <c r="O233" s="347" t="str">
        <f t="shared" si="293"/>
        <v/>
      </c>
      <c r="P233" s="346" t="str">
        <f t="shared" si="293"/>
        <v>BK München 3</v>
      </c>
      <c r="Q233" s="347" t="str">
        <f t="shared" si="293"/>
        <v/>
      </c>
      <c r="R233" s="346" t="str">
        <f t="shared" si="293"/>
        <v>Schanzer Ingolstadt 1</v>
      </c>
      <c r="S233" s="347" t="str">
        <f t="shared" si="293"/>
        <v/>
      </c>
      <c r="T233" s="346" t="str">
        <f t="shared" si="293"/>
        <v>BC Comet Nürnberg</v>
      </c>
      <c r="U233" s="347" t="str">
        <f t="shared" si="293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RW Lichtenhof Stein 1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DJK Rimpar</v>
      </c>
      <c r="AN233" s="347"/>
      <c r="AO233" s="346" t="str">
        <f>VLOOKUP(AO232,Schlüssel!$A$5:$K$14,2)</f>
        <v>BK München 3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BC Comet Nürnberg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4" t="str">
        <f t="shared" si="292"/>
        <v/>
      </c>
      <c r="E234" s="344" t="str">
        <f t="shared" si="292"/>
        <v/>
      </c>
      <c r="F234" s="344" t="str">
        <f t="shared" si="292"/>
        <v/>
      </c>
      <c r="G234" s="344" t="str">
        <f t="shared" si="292"/>
        <v/>
      </c>
      <c r="H234" s="344" t="str">
        <f t="shared" si="292"/>
        <v/>
      </c>
      <c r="I234" s="344" t="str">
        <f t="shared" si="292"/>
        <v/>
      </c>
      <c r="J234" s="344" t="str">
        <f t="shared" si="292"/>
        <v/>
      </c>
      <c r="K234" s="344" t="str">
        <f t="shared" si="292"/>
        <v/>
      </c>
      <c r="L234" s="344" t="str">
        <f t="shared" si="292"/>
        <v/>
      </c>
      <c r="M234" s="344" t="str">
        <f t="shared" si="292"/>
        <v/>
      </c>
      <c r="N234" s="344" t="str">
        <f t="shared" si="293"/>
        <v/>
      </c>
      <c r="O234" s="344" t="str">
        <f t="shared" si="293"/>
        <v/>
      </c>
      <c r="P234" s="344" t="str">
        <f t="shared" si="293"/>
        <v/>
      </c>
      <c r="Q234" s="344" t="str">
        <f t="shared" si="293"/>
        <v/>
      </c>
      <c r="R234" s="344" t="str">
        <f t="shared" si="293"/>
        <v/>
      </c>
      <c r="S234" s="344" t="str">
        <f t="shared" si="293"/>
        <v/>
      </c>
      <c r="T234" s="344" t="str">
        <f t="shared" si="293"/>
        <v/>
      </c>
      <c r="U234" s="345" t="str">
        <f t="shared" si="293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si="290"/>
        <v>Spieler 1</v>
      </c>
      <c r="C235" s="369" t="str">
        <f t="shared" si="291"/>
        <v/>
      </c>
      <c r="D235" s="342">
        <f>IF(AC235=301,"",AC235)</f>
        <v>196</v>
      </c>
      <c r="E235" s="342" t="str">
        <f>IF(AD235=0,"",AD235)</f>
        <v/>
      </c>
      <c r="F235" s="342">
        <f>IF(AE235=301,"",AE235)</f>
        <v>168</v>
      </c>
      <c r="G235" s="342" t="str">
        <f>IF(AF235=0,"",AF235)</f>
        <v/>
      </c>
      <c r="H235" s="342">
        <f>IF(AG235=301,"",AG235)</f>
        <v>233</v>
      </c>
      <c r="I235" s="342" t="str">
        <f>IF(AH235=0,"",AH235)</f>
        <v/>
      </c>
      <c r="J235" s="342">
        <f>IF(AI235=301,"",AI235)</f>
        <v>242</v>
      </c>
      <c r="K235" s="342" t="str">
        <f>IF(AJ235=0,"",AJ235)</f>
        <v/>
      </c>
      <c r="L235" s="342">
        <f>IF(AK235=301,"",AK235)</f>
        <v>216</v>
      </c>
      <c r="M235" s="342" t="str">
        <f>IF(AL235=0,"",AL235)</f>
        <v/>
      </c>
      <c r="N235" s="342">
        <f>IF(AM235=301,"",AM235)</f>
        <v>219</v>
      </c>
      <c r="O235" s="342" t="str">
        <f>IF(AN235=0,"",AN235)</f>
        <v/>
      </c>
      <c r="P235" s="342">
        <f>IF(AO235=301,"",AO235)</f>
        <v>209</v>
      </c>
      <c r="Q235" s="342" t="str">
        <f>IF(AP235=0,"",AP235)</f>
        <v/>
      </c>
      <c r="R235" s="342">
        <f>IF(AQ235=301,"",AQ235)</f>
        <v>168</v>
      </c>
      <c r="S235" s="342" t="str">
        <f>IF(AR235=0,"",AR235)</f>
        <v/>
      </c>
      <c r="T235" s="342">
        <f>IF(AS235=301,"",AS235)</f>
        <v>192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196</v>
      </c>
      <c r="AD235" s="376"/>
      <c r="AE235" s="375">
        <f>ABS(INDEX(AE:AE,MATCH(AE232,$AA:$AA,0)+5)+INDEX(AE:AE,MATCH(AE232,$AA:$AA,0)+6)+INDEX(AE:AE,MATCH(AE232,$AA:$AA,0)+7))</f>
        <v>168</v>
      </c>
      <c r="AF235" s="376"/>
      <c r="AG235" s="375">
        <f>ABS(INDEX(AG:AG,MATCH(AG232,$AA:$AA,0)+5)+INDEX(AG:AG,MATCH(AG232,$AA:$AA,0)+6)+INDEX(AG:AG,MATCH(AG232,$AA:$AA,0)+7))</f>
        <v>233</v>
      </c>
      <c r="AH235" s="376"/>
      <c r="AI235" s="375">
        <f>ABS(INDEX(AI:AI,MATCH(AI232,$AA:$AA,0)+5)+INDEX(AI:AI,MATCH(AI232,$AA:$AA,0)+6)+INDEX(AI:AI,MATCH(AI232,$AA:$AA,0)+7))</f>
        <v>242</v>
      </c>
      <c r="AJ235" s="376"/>
      <c r="AK235" s="375">
        <f>ABS(INDEX(AK:AK,MATCH(AK232,$AA:$AA,0)+5)+INDEX(AK:AK,MATCH(AK232,$AA:$AA,0)+6)+INDEX(AK:AK,MATCH(AK232,$AA:$AA,0)+7))</f>
        <v>216</v>
      </c>
      <c r="AL235" s="376"/>
      <c r="AM235" s="375">
        <f>ABS(INDEX(AM:AM,MATCH(AM232,$AA:$AA,0)+5)+INDEX(AM:AM,MATCH(AM232,$AA:$AA,0)+6)+INDEX(AM:AM,MATCH(AM232,$AA:$AA,0)+7))</f>
        <v>219</v>
      </c>
      <c r="AN235" s="376"/>
      <c r="AO235" s="375">
        <f>ABS(INDEX(AO:AO,MATCH(AO232,$AA:$AA,0)+5)+INDEX(AO:AO,MATCH(AO232,$AA:$AA,0)+6)+INDEX(AO:AO,MATCH(AO232,$AA:$AA,0)+7))</f>
        <v>209</v>
      </c>
      <c r="AP235" s="376"/>
      <c r="AQ235" s="375">
        <f>ABS(INDEX(AQ:AQ,MATCH(AQ232,$AA:$AA,0)+5)+INDEX(AQ:AQ,MATCH(AQ232,$AA:$AA,0)+6)+INDEX(AQ:AQ,MATCH(AQ232,$AA:$AA,0)+7))</f>
        <v>168</v>
      </c>
      <c r="AR235" s="376"/>
      <c r="AS235" s="375">
        <f>ABS(INDEX(AS:AS,MATCH(AS232,$AA:$AA,0)+5)+INDEX(AS:AS,MATCH(AS232,$AA:$AA,0)+6)+INDEX(AS:AS,MATCH(AS232,$AA:$AA,0)+7))</f>
        <v>192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90"/>
        <v>Spieler 2</v>
      </c>
      <c r="C236" s="369" t="str">
        <f t="shared" si="291"/>
        <v/>
      </c>
      <c r="D236" s="342">
        <f>IF(AC236=301,"",AC236)</f>
        <v>190</v>
      </c>
      <c r="E236" s="342" t="str">
        <f>IF(AD236=0,"",AD236)</f>
        <v/>
      </c>
      <c r="F236" s="342">
        <f>IF(AE236=301,"",AE236)</f>
        <v>156</v>
      </c>
      <c r="G236" s="342" t="str">
        <f>IF(AF236=0,"",AF236)</f>
        <v/>
      </c>
      <c r="H236" s="342">
        <f>IF(AG236=301,"",AG236)</f>
        <v>222</v>
      </c>
      <c r="I236" s="342" t="str">
        <f>IF(AH236=0,"",AH236)</f>
        <v/>
      </c>
      <c r="J236" s="342">
        <f>IF(AI236=301,"",AI236)</f>
        <v>241</v>
      </c>
      <c r="K236" s="342" t="str">
        <f>IF(AJ236=0,"",AJ236)</f>
        <v/>
      </c>
      <c r="L236" s="342">
        <f>IF(AK236=301,"",AK236)</f>
        <v>227</v>
      </c>
      <c r="M236" s="342" t="str">
        <f>IF(AL236=0,"",AL236)</f>
        <v/>
      </c>
      <c r="N236" s="342">
        <f>IF(AM236=301,"",AM236)</f>
        <v>186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169</v>
      </c>
      <c r="S236" s="342" t="str">
        <f>IF(AR236=0,"",AR236)</f>
        <v/>
      </c>
      <c r="T236" s="342">
        <f>IF(AS236=301,"",AS236)</f>
        <v>186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190</v>
      </c>
      <c r="AD236" s="378"/>
      <c r="AE236" s="377">
        <f>ABS(INDEX(AE:AE,MATCH(AE232,$AA:$AA,0)+8)+INDEX(AE:AE,MATCH(AE232,$AA:$AA,0)+9)+INDEX(AE:AE,MATCH(AE232,$AA:$AA,0)+10))</f>
        <v>156</v>
      </c>
      <c r="AF236" s="378"/>
      <c r="AG236" s="377">
        <f>ABS(INDEX(AG:AG,MATCH(AG232,$AA:$AA,0)+8)+INDEX(AG:AG,MATCH(AG232,$AA:$AA,0)+9)+INDEX(AG:AG,MATCH(AG232,$AA:$AA,0)+10))</f>
        <v>222</v>
      </c>
      <c r="AH236" s="378"/>
      <c r="AI236" s="377">
        <f>ABS(INDEX(AI:AI,MATCH(AI232,$AA:$AA,0)+8)+INDEX(AI:AI,MATCH(AI232,$AA:$AA,0)+9)+INDEX(AI:AI,MATCH(AI232,$AA:$AA,0)+10))</f>
        <v>241</v>
      </c>
      <c r="AJ236" s="378"/>
      <c r="AK236" s="377">
        <f>ABS(INDEX(AK:AK,MATCH(AK232,$AA:$AA,0)+8)+INDEX(AK:AK,MATCH(AK232,$AA:$AA,0)+9)+INDEX(AK:AK,MATCH(AK232,$AA:$AA,0)+10))</f>
        <v>227</v>
      </c>
      <c r="AL236" s="378"/>
      <c r="AM236" s="377">
        <f>ABS(INDEX(AM:AM,MATCH(AM232,$AA:$AA,0)+8)+INDEX(AM:AM,MATCH(AM232,$AA:$AA,0)+9)+INDEX(AM:AM,MATCH(AM232,$AA:$AA,0)+10))</f>
        <v>186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169</v>
      </c>
      <c r="AR236" s="378"/>
      <c r="AS236" s="377">
        <f>ABS(INDEX(AS:AS,MATCH(AS232,$AA:$AA,0)+8)+INDEX(AS:AS,MATCH(AS232,$AA:$AA,0)+9)+INDEX(AS:AS,MATCH(AS232,$AA:$AA,0)+10))</f>
        <v>186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90"/>
        <v>Spieler 3</v>
      </c>
      <c r="C237" s="369" t="str">
        <f t="shared" si="291"/>
        <v/>
      </c>
      <c r="D237" s="342">
        <f>IF(AC237=301,"",AC237)</f>
        <v>188</v>
      </c>
      <c r="E237" s="342" t="str">
        <f>IF(AD237=0,"",AD237)</f>
        <v/>
      </c>
      <c r="F237" s="342">
        <f>IF(AE237=301,"",AE237)</f>
        <v>217</v>
      </c>
      <c r="G237" s="342" t="str">
        <f>IF(AF237=0,"",AF237)</f>
        <v/>
      </c>
      <c r="H237" s="342">
        <f>IF(AG237=301,"",AG237)</f>
        <v>235</v>
      </c>
      <c r="I237" s="342" t="str">
        <f>IF(AH237=0,"",AH237)</f>
        <v/>
      </c>
      <c r="J237" s="342">
        <f>IF(AI237=301,"",AI237)</f>
        <v>178</v>
      </c>
      <c r="K237" s="342" t="str">
        <f>IF(AJ237=0,"",AJ237)</f>
        <v/>
      </c>
      <c r="L237" s="342">
        <f>IF(AK237=301,"",AK237)</f>
        <v>163</v>
      </c>
      <c r="M237" s="342" t="str">
        <f>IF(AL237=0,"",AL237)</f>
        <v/>
      </c>
      <c r="N237" s="342">
        <f>IF(AM237=301,"",AM237)</f>
        <v>245</v>
      </c>
      <c r="O237" s="342" t="str">
        <f>IF(AN237=0,"",AN237)</f>
        <v/>
      </c>
      <c r="P237" s="342">
        <f>IF(AO237=301,"",AO237)</f>
        <v>255</v>
      </c>
      <c r="Q237" s="342" t="str">
        <f>IF(AP237=0,"",AP237)</f>
        <v/>
      </c>
      <c r="R237" s="342">
        <f>IF(AQ237=301,"",AQ237)</f>
        <v>169</v>
      </c>
      <c r="S237" s="342" t="str">
        <f>IF(AR237=0,"",AR237)</f>
        <v/>
      </c>
      <c r="T237" s="342">
        <f>IF(AS237=301,"",AS237)</f>
        <v>193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188</v>
      </c>
      <c r="AD237" s="378"/>
      <c r="AE237" s="377">
        <f>ABS(INDEX(AE:AE,MATCH(AE232,$AA:$AA,0)+11)+INDEX(AE:AE,MATCH(AE232,$AA:$AA,0)+12)+INDEX(AE:AE,MATCH(AE232,$AA:$AA,0)+13))</f>
        <v>217</v>
      </c>
      <c r="AF237" s="378"/>
      <c r="AG237" s="377">
        <f>ABS(INDEX(AG:AG,MATCH(AG232,$AA:$AA,0)+11)+INDEX(AG:AG,MATCH(AG232,$AA:$AA,0)+12)+INDEX(AG:AG,MATCH(AG232,$AA:$AA,0)+13))</f>
        <v>235</v>
      </c>
      <c r="AH237" s="378"/>
      <c r="AI237" s="377">
        <f>ABS(INDEX(AI:AI,MATCH(AI232,$AA:$AA,0)+11)+INDEX(AI:AI,MATCH(AI232,$AA:$AA,0)+12)+INDEX(AI:AI,MATCH(AI232,$AA:$AA,0)+13))</f>
        <v>178</v>
      </c>
      <c r="AJ237" s="378"/>
      <c r="AK237" s="377">
        <f>ABS(INDEX(AK:AK,MATCH(AK232,$AA:$AA,0)+11)+INDEX(AK:AK,MATCH(AK232,$AA:$AA,0)+12)+INDEX(AK:AK,MATCH(AK232,$AA:$AA,0)+13))</f>
        <v>163</v>
      </c>
      <c r="AL237" s="378"/>
      <c r="AM237" s="377">
        <f>ABS(INDEX(AM:AM,MATCH(AM232,$AA:$AA,0)+11)+INDEX(AM:AM,MATCH(AM232,$AA:$AA,0)+12)+INDEX(AM:AM,MATCH(AM232,$AA:$AA,0)+13))</f>
        <v>245</v>
      </c>
      <c r="AN237" s="378"/>
      <c r="AO237" s="377">
        <f>ABS(INDEX(AO:AO,MATCH(AO232,$AA:$AA,0)+11)+INDEX(AO:AO,MATCH(AO232,$AA:$AA,0)+12)+INDEX(AO:AO,MATCH(AO232,$AA:$AA,0)+13))</f>
        <v>255</v>
      </c>
      <c r="AP237" s="378"/>
      <c r="AQ237" s="377">
        <f>ABS(INDEX(AQ:AQ,MATCH(AQ232,$AA:$AA,0)+11)+INDEX(AQ:AQ,MATCH(AQ232,$AA:$AA,0)+12)+INDEX(AQ:AQ,MATCH(AQ232,$AA:$AA,0)+13))</f>
        <v>169</v>
      </c>
      <c r="AR237" s="378"/>
      <c r="AS237" s="377">
        <f>ABS(INDEX(AS:AS,MATCH(AS232,$AA:$AA,0)+11)+INDEX(AS:AS,MATCH(AS232,$AA:$AA,0)+12)+INDEX(AS:AS,MATCH(AS232,$AA:$AA,0)+13))</f>
        <v>193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90"/>
        <v>Spieler 4</v>
      </c>
      <c r="C238" s="369" t="str">
        <f t="shared" si="291"/>
        <v/>
      </c>
      <c r="D238" s="342">
        <f>IF(AC238=301,"",AC238)</f>
        <v>155</v>
      </c>
      <c r="E238" s="342" t="str">
        <f>IF(AD238=0,"",AD238)</f>
        <v/>
      </c>
      <c r="F238" s="342">
        <f>IF(AE238=301,"",AE238)</f>
        <v>236</v>
      </c>
      <c r="G238" s="342" t="str">
        <f>IF(AF238=0,"",AF238)</f>
        <v/>
      </c>
      <c r="H238" s="342">
        <f>IF(AG238=301,"",AG238)</f>
        <v>182</v>
      </c>
      <c r="I238" s="342" t="str">
        <f>IF(AH238=0,"",AH238)</f>
        <v/>
      </c>
      <c r="J238" s="342">
        <f>IF(AI238=301,"",AI238)</f>
        <v>134</v>
      </c>
      <c r="K238" s="342" t="str">
        <f>IF(AJ238=0,"",AJ238)</f>
        <v/>
      </c>
      <c r="L238" s="342">
        <f>IF(AK238=301,"",AK238)</f>
        <v>219</v>
      </c>
      <c r="M238" s="342" t="str">
        <f>IF(AL238=0,"",AL238)</f>
        <v/>
      </c>
      <c r="N238" s="342">
        <f>IF(AM238=301,"",AM238)</f>
        <v>195</v>
      </c>
      <c r="O238" s="342" t="str">
        <f>IF(AN238=0,"",AN238)</f>
        <v/>
      </c>
      <c r="P238" s="342">
        <f>IF(AO238=301,"",AO238)</f>
        <v>246</v>
      </c>
      <c r="Q238" s="342" t="str">
        <f>IF(AP238=0,"",AP238)</f>
        <v/>
      </c>
      <c r="R238" s="342">
        <f>IF(AQ238=301,"",AQ238)</f>
        <v>192</v>
      </c>
      <c r="S238" s="342" t="str">
        <f>IF(AR238=0,"",AR238)</f>
        <v/>
      </c>
      <c r="T238" s="342">
        <f>IF(AS238=301,"",AS238)</f>
        <v>181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155</v>
      </c>
      <c r="AD238" s="378"/>
      <c r="AE238" s="377">
        <f>ABS(INDEX(AE:AE,MATCH(AE232,$AA:$AA,0)+14)+INDEX(AE:AE,MATCH(AE232,$AA:$AA,0)+15)+INDEX(AE:AE,MATCH(AE232,$AA:$AA,0)+16))</f>
        <v>236</v>
      </c>
      <c r="AF238" s="378"/>
      <c r="AG238" s="377">
        <f>ABS(INDEX(AG:AG,MATCH(AG232,$AA:$AA,0)+14)+INDEX(AG:AG,MATCH(AG232,$AA:$AA,0)+15)+INDEX(AG:AG,MATCH(AG232,$AA:$AA,0)+16))</f>
        <v>182</v>
      </c>
      <c r="AH238" s="378"/>
      <c r="AI238" s="377">
        <f>ABS(INDEX(AI:AI,MATCH(AI232,$AA:$AA,0)+14)+INDEX(AI:AI,MATCH(AI232,$AA:$AA,0)+15)+INDEX(AI:AI,MATCH(AI232,$AA:$AA,0)+16))</f>
        <v>134</v>
      </c>
      <c r="AJ238" s="378"/>
      <c r="AK238" s="377">
        <f>ABS(INDEX(AK:AK,MATCH(AK232,$AA:$AA,0)+14)+INDEX(AK:AK,MATCH(AK232,$AA:$AA,0)+15)+INDEX(AK:AK,MATCH(AK232,$AA:$AA,0)+16))</f>
        <v>219</v>
      </c>
      <c r="AL238" s="378"/>
      <c r="AM238" s="377">
        <f>ABS(INDEX(AM:AM,MATCH(AM232,$AA:$AA,0)+14)+INDEX(AM:AM,MATCH(AM232,$AA:$AA,0)+15)+INDEX(AM:AM,MATCH(AM232,$AA:$AA,0)+16))</f>
        <v>195</v>
      </c>
      <c r="AN238" s="378"/>
      <c r="AO238" s="377">
        <f>ABS(INDEX(AO:AO,MATCH(AO232,$AA:$AA,0)+14)+INDEX(AO:AO,MATCH(AO232,$AA:$AA,0)+15)+INDEX(AO:AO,MATCH(AO232,$AA:$AA,0)+16))</f>
        <v>246</v>
      </c>
      <c r="AP238" s="378"/>
      <c r="AQ238" s="377">
        <f>ABS(INDEX(AQ:AQ,MATCH(AQ232,$AA:$AA,0)+14)+INDEX(AQ:AQ,MATCH(AQ232,$AA:$AA,0)+15)+INDEX(AQ:AQ,MATCH(AQ232,$AA:$AA,0)+16))</f>
        <v>192</v>
      </c>
      <c r="AR238" s="378"/>
      <c r="AS238" s="377">
        <f>ABS(INDEX(AS:AS,MATCH(AS232,$AA:$AA,0)+14)+INDEX(AS:AS,MATCH(AS232,$AA:$AA,0)+15)+INDEX(AS:AS,MATCH(AS232,$AA:$AA,0)+16))</f>
        <v>181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90"/>
        <v>Gesamt</v>
      </c>
      <c r="C239" s="358" t="str">
        <f t="shared" si="291"/>
        <v/>
      </c>
      <c r="D239" s="341">
        <f>IF(AC239=1505,"",AC239)</f>
        <v>729</v>
      </c>
      <c r="E239" s="341" t="str">
        <f>IF(AD239=0,"",AD239)</f>
        <v/>
      </c>
      <c r="F239" s="341">
        <f>IF(AE239=1505,"",AE239)</f>
        <v>777</v>
      </c>
      <c r="G239" s="341" t="str">
        <f>IF(AF239=0,"",AF239)</f>
        <v/>
      </c>
      <c r="H239" s="341">
        <f>IF(AG239=1505,"",AG239)</f>
        <v>872</v>
      </c>
      <c r="I239" s="341" t="str">
        <f>IF(AH239=0,"",AH239)</f>
        <v/>
      </c>
      <c r="J239" s="341">
        <f>IF(AI239=1505,"",AI239)</f>
        <v>795</v>
      </c>
      <c r="K239" s="341" t="str">
        <f>IF(AJ239=0,"",AJ239)</f>
        <v/>
      </c>
      <c r="L239" s="341">
        <f>IF(AK239=1505,"",AK239)</f>
        <v>825</v>
      </c>
      <c r="M239" s="341" t="str">
        <f>IF(AL239=0,"",AL239)</f>
        <v/>
      </c>
      <c r="N239" s="341">
        <f>IF(AM239=1505,"",AM239)</f>
        <v>845</v>
      </c>
      <c r="O239" s="341" t="str">
        <f>IF(AN239=0,"",AN239)</f>
        <v/>
      </c>
      <c r="P239" s="341">
        <f>IF(AO239=1505,"",AO239)</f>
        <v>892</v>
      </c>
      <c r="Q239" s="341" t="str">
        <f>IF(AP239=0,"",AP239)</f>
        <v/>
      </c>
      <c r="R239" s="341">
        <f>IF(AQ239=1505,"",AQ239)</f>
        <v>698</v>
      </c>
      <c r="S239" s="341" t="str">
        <f>IF(AR239=0,"",AR239)</f>
        <v/>
      </c>
      <c r="T239" s="341">
        <f>IF(AS239=1505,"",AS239)</f>
        <v>752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729</v>
      </c>
      <c r="AD239" s="358"/>
      <c r="AE239" s="357">
        <f>SUM(AE235:AE238)</f>
        <v>777</v>
      </c>
      <c r="AF239" s="358"/>
      <c r="AG239" s="357">
        <f>SUM(AG235:AG238)</f>
        <v>872</v>
      </c>
      <c r="AH239" s="358"/>
      <c r="AI239" s="357">
        <f>SUM(AI235:AI238)</f>
        <v>795</v>
      </c>
      <c r="AJ239" s="358"/>
      <c r="AK239" s="357">
        <f>SUM(AK235:AK238)</f>
        <v>825</v>
      </c>
      <c r="AL239" s="358"/>
      <c r="AM239" s="357">
        <f>SUM(AM235:AM238)</f>
        <v>845</v>
      </c>
      <c r="AN239" s="358"/>
      <c r="AO239" s="357">
        <f>SUM(AO235:AO238)</f>
        <v>892</v>
      </c>
      <c r="AP239" s="358"/>
      <c r="AQ239" s="357">
        <f>SUM(AQ235:AQ238)</f>
        <v>698</v>
      </c>
      <c r="AR239" s="358"/>
      <c r="AS239" s="357">
        <f>SUM(AS235:AS238)</f>
        <v>752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12.10./13.10.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12.10./13.10.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51">
        <f>IF(AD247="","",AD247)</f>
        <v>1</v>
      </c>
      <c r="F247" s="75">
        <f t="shared" ref="F247:F260" si="294">IF(AE247=0,"",AE247)</f>
        <v>190</v>
      </c>
      <c r="G247" s="351">
        <f>IF(AF247="","",AF247)</f>
        <v>1</v>
      </c>
      <c r="H247" s="75">
        <f t="shared" ref="H247:H260" si="295">IF(AG247=0,"",AG247)</f>
        <v>189</v>
      </c>
      <c r="I247" s="351">
        <f>IF(AH247="","",AH247)</f>
        <v>1</v>
      </c>
      <c r="J247" s="75">
        <f t="shared" ref="J247:J260" si="296">IF(AI247=0,"",AI247)</f>
        <v>224</v>
      </c>
      <c r="K247" s="351">
        <f>IF(AJ247="","",AJ247)</f>
        <v>1</v>
      </c>
      <c r="L247" s="75">
        <f t="shared" ref="L247:L260" si="297">IF(AK247=0,"",AK247)</f>
        <v>216</v>
      </c>
      <c r="M247" s="351">
        <f>IF(AL247="","",AL247)</f>
        <v>0</v>
      </c>
      <c r="N247" s="75">
        <f>IF(AM247=0,"",AM247)</f>
        <v>183</v>
      </c>
      <c r="O247" s="351">
        <f>IF(AN247="","",AN247)</f>
        <v>1</v>
      </c>
      <c r="P247" s="75">
        <f t="shared" ref="P247:P260" si="298">IF(AO247=0,"",AO247)</f>
        <v>171</v>
      </c>
      <c r="Q247" s="351">
        <f>IF(AP247="","",AP247)</f>
        <v>1</v>
      </c>
      <c r="R247" s="75" t="str">
        <f t="shared" ref="R247:R260" si="299">IF(AQ247=0,"",AQ247)</f>
        <v/>
      </c>
      <c r="S247" s="351">
        <f>IF(AR247="","",AR247)</f>
        <v>0</v>
      </c>
      <c r="T247" s="75" t="str">
        <f t="shared" ref="T247:T260" si="300">IF(AS247=0,"",AS247)</f>
        <v/>
      </c>
      <c r="U247" s="351">
        <f>IF(AT247="","",AT247)</f>
        <v>0</v>
      </c>
      <c r="V247" s="75">
        <f t="shared" ref="V247:V260" si="301">IF(AU247=0,"",AU247)</f>
        <v>1384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1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52"/>
      <c r="F248" s="78" t="str">
        <f t="shared" si="294"/>
        <v/>
      </c>
      <c r="G248" s="352"/>
      <c r="H248" s="78" t="str">
        <f t="shared" si="295"/>
        <v/>
      </c>
      <c r="I248" s="352"/>
      <c r="J248" s="78" t="str">
        <f t="shared" si="296"/>
        <v/>
      </c>
      <c r="K248" s="352"/>
      <c r="L248" s="78" t="str">
        <f t="shared" si="297"/>
        <v/>
      </c>
      <c r="M248" s="352"/>
      <c r="N248" s="78" t="str">
        <f t="shared" ref="N248:N260" si="316">IF(AM248=0,"",AM248)</f>
        <v/>
      </c>
      <c r="O248" s="352"/>
      <c r="P248" s="78" t="str">
        <f t="shared" si="298"/>
        <v/>
      </c>
      <c r="Q248" s="352"/>
      <c r="R248" s="78">
        <f t="shared" si="299"/>
        <v>172</v>
      </c>
      <c r="S248" s="352"/>
      <c r="T248" s="78">
        <f t="shared" si="300"/>
        <v>164</v>
      </c>
      <c r="U248" s="352"/>
      <c r="V248" s="78">
        <f t="shared" si="301"/>
        <v>336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2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3"/>
      <c r="F249" s="69" t="str">
        <f t="shared" si="294"/>
        <v/>
      </c>
      <c r="G249" s="353"/>
      <c r="H249" s="69" t="str">
        <f t="shared" si="295"/>
        <v/>
      </c>
      <c r="I249" s="353"/>
      <c r="J249" s="69" t="str">
        <f t="shared" si="296"/>
        <v/>
      </c>
      <c r="K249" s="353"/>
      <c r="L249" s="69" t="str">
        <f t="shared" si="297"/>
        <v/>
      </c>
      <c r="M249" s="353"/>
      <c r="N249" s="69" t="str">
        <f t="shared" si="316"/>
        <v/>
      </c>
      <c r="O249" s="353"/>
      <c r="P249" s="69" t="str">
        <f t="shared" si="298"/>
        <v/>
      </c>
      <c r="Q249" s="353"/>
      <c r="R249" s="69" t="str">
        <f t="shared" si="299"/>
        <v/>
      </c>
      <c r="S249" s="353"/>
      <c r="T249" s="69" t="str">
        <f t="shared" si="300"/>
        <v/>
      </c>
      <c r="U249" s="353"/>
      <c r="V249" s="69" t="str">
        <f t="shared" si="301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0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51">
        <f>IF(AD250="","",AD250)</f>
        <v>1</v>
      </c>
      <c r="F250" s="75">
        <f t="shared" si="294"/>
        <v>201</v>
      </c>
      <c r="G250" s="351">
        <f>IF(AF250="","",AF250)</f>
        <v>1</v>
      </c>
      <c r="H250" s="75">
        <f t="shared" si="295"/>
        <v>172</v>
      </c>
      <c r="I250" s="351">
        <f>IF(AH250="","",AH250)</f>
        <v>0</v>
      </c>
      <c r="J250" s="75">
        <f t="shared" si="296"/>
        <v>172</v>
      </c>
      <c r="K250" s="351">
        <f>IF(AJ250="","",AJ250)</f>
        <v>0</v>
      </c>
      <c r="L250" s="75">
        <f t="shared" si="297"/>
        <v>227</v>
      </c>
      <c r="M250" s="351">
        <f>IF(AL250="","",AL250)</f>
        <v>1</v>
      </c>
      <c r="N250" s="75">
        <f t="shared" si="316"/>
        <v>199</v>
      </c>
      <c r="O250" s="351">
        <f>IF(AN250="","",AN250)</f>
        <v>0</v>
      </c>
      <c r="P250" s="75">
        <f t="shared" si="298"/>
        <v>187</v>
      </c>
      <c r="Q250" s="351">
        <f>IF(AP250="","",AP250)</f>
        <v>1</v>
      </c>
      <c r="R250" s="75">
        <f t="shared" si="299"/>
        <v>189</v>
      </c>
      <c r="S250" s="351">
        <f>IF(AR250="","",AR250)</f>
        <v>0</v>
      </c>
      <c r="T250" s="75">
        <f t="shared" si="300"/>
        <v>171</v>
      </c>
      <c r="U250" s="351">
        <f>IF(AT250="","",AT250)</f>
        <v>0</v>
      </c>
      <c r="V250" s="75">
        <f t="shared" si="301"/>
        <v>1710</v>
      </c>
      <c r="W250" s="351">
        <f>IF(AV250="","",AV250)</f>
        <v>4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1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52"/>
      <c r="F251" s="78" t="str">
        <f t="shared" si="294"/>
        <v/>
      </c>
      <c r="G251" s="352"/>
      <c r="H251" s="78" t="str">
        <f t="shared" si="295"/>
        <v/>
      </c>
      <c r="I251" s="352"/>
      <c r="J251" s="78" t="str">
        <f t="shared" si="296"/>
        <v/>
      </c>
      <c r="K251" s="352"/>
      <c r="L251" s="78" t="str">
        <f t="shared" si="297"/>
        <v/>
      </c>
      <c r="M251" s="352"/>
      <c r="N251" s="78" t="str">
        <f t="shared" si="316"/>
        <v/>
      </c>
      <c r="O251" s="352"/>
      <c r="P251" s="78" t="str">
        <f t="shared" si="298"/>
        <v/>
      </c>
      <c r="Q251" s="352"/>
      <c r="R251" s="78" t="str">
        <f t="shared" si="299"/>
        <v/>
      </c>
      <c r="S251" s="352"/>
      <c r="T251" s="78" t="str">
        <f t="shared" si="300"/>
        <v/>
      </c>
      <c r="U251" s="352"/>
      <c r="V251" s="78" t="str">
        <f t="shared" si="301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2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3"/>
      <c r="F252" s="69" t="str">
        <f t="shared" si="294"/>
        <v/>
      </c>
      <c r="G252" s="353"/>
      <c r="H252" s="69" t="str">
        <f t="shared" si="295"/>
        <v/>
      </c>
      <c r="I252" s="353"/>
      <c r="J252" s="69" t="str">
        <f t="shared" si="296"/>
        <v/>
      </c>
      <c r="K252" s="353"/>
      <c r="L252" s="69" t="str">
        <f t="shared" si="297"/>
        <v/>
      </c>
      <c r="M252" s="353"/>
      <c r="N252" s="69" t="str">
        <f t="shared" si="316"/>
        <v/>
      </c>
      <c r="O252" s="353"/>
      <c r="P252" s="69" t="str">
        <f t="shared" si="298"/>
        <v/>
      </c>
      <c r="Q252" s="353"/>
      <c r="R252" s="69" t="str">
        <f t="shared" si="299"/>
        <v/>
      </c>
      <c r="S252" s="353"/>
      <c r="T252" s="69" t="str">
        <f t="shared" si="300"/>
        <v/>
      </c>
      <c r="U252" s="353"/>
      <c r="V252" s="69" t="str">
        <f t="shared" si="301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0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51">
        <f>IF(AD253="","",AD253)</f>
        <v>0.5</v>
      </c>
      <c r="F253" s="75">
        <f t="shared" si="294"/>
        <v>210</v>
      </c>
      <c r="G253" s="351">
        <f>IF(AF253="","",AF253)</f>
        <v>1</v>
      </c>
      <c r="H253" s="75">
        <f t="shared" si="295"/>
        <v>168</v>
      </c>
      <c r="I253" s="351">
        <f>IF(AH253="","",AH253)</f>
        <v>0</v>
      </c>
      <c r="J253" s="75" t="str">
        <f t="shared" si="296"/>
        <v/>
      </c>
      <c r="K253" s="351">
        <f>IF(AJ253="","",AJ253)</f>
        <v>1</v>
      </c>
      <c r="L253" s="75" t="str">
        <f t="shared" si="297"/>
        <v/>
      </c>
      <c r="M253" s="351">
        <f>IF(AL253="","",AL253)</f>
        <v>0</v>
      </c>
      <c r="N253" s="75" t="str">
        <f t="shared" si="316"/>
        <v/>
      </c>
      <c r="O253" s="351">
        <f>IF(AN253="","",AN253)</f>
        <v>1</v>
      </c>
      <c r="P253" s="75" t="str">
        <f t="shared" si="298"/>
        <v/>
      </c>
      <c r="Q253" s="351">
        <f>IF(AP253="","",AP253)</f>
        <v>0</v>
      </c>
      <c r="R253" s="75" t="str">
        <f t="shared" si="299"/>
        <v/>
      </c>
      <c r="S253" s="351">
        <f>IF(AR253="","",AR253)</f>
        <v>1</v>
      </c>
      <c r="T253" s="75" t="str">
        <f t="shared" si="300"/>
        <v/>
      </c>
      <c r="U253" s="351">
        <f>IF(AT253="","",AT253)</f>
        <v>1</v>
      </c>
      <c r="V253" s="75">
        <f t="shared" si="301"/>
        <v>559</v>
      </c>
      <c r="W253" s="351">
        <f>IF(AV253="","",AV253)</f>
        <v>5.5</v>
      </c>
      <c r="Z253" s="354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1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52"/>
      <c r="F254" s="78" t="str">
        <f t="shared" si="294"/>
        <v/>
      </c>
      <c r="G254" s="352"/>
      <c r="H254" s="78" t="str">
        <f t="shared" si="295"/>
        <v/>
      </c>
      <c r="I254" s="352"/>
      <c r="J254" s="78">
        <f t="shared" si="296"/>
        <v>192</v>
      </c>
      <c r="K254" s="352"/>
      <c r="L254" s="78" t="str">
        <f t="shared" si="297"/>
        <v/>
      </c>
      <c r="M254" s="352"/>
      <c r="N254" s="78" t="str">
        <f t="shared" si="316"/>
        <v/>
      </c>
      <c r="O254" s="352"/>
      <c r="P254" s="78" t="str">
        <f t="shared" si="298"/>
        <v/>
      </c>
      <c r="Q254" s="352"/>
      <c r="R254" s="78" t="str">
        <f t="shared" si="299"/>
        <v/>
      </c>
      <c r="S254" s="352"/>
      <c r="T254" s="78" t="str">
        <f t="shared" si="300"/>
        <v/>
      </c>
      <c r="U254" s="352"/>
      <c r="V254" s="78">
        <f t="shared" si="301"/>
        <v>192</v>
      </c>
      <c r="W254" s="352"/>
      <c r="Z254" s="355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2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3"/>
      <c r="F255" s="69" t="str">
        <f t="shared" si="294"/>
        <v/>
      </c>
      <c r="G255" s="353"/>
      <c r="H255" s="69" t="str">
        <f t="shared" si="295"/>
        <v/>
      </c>
      <c r="I255" s="353"/>
      <c r="J255" s="69" t="str">
        <f t="shared" si="296"/>
        <v/>
      </c>
      <c r="K255" s="353"/>
      <c r="L255" s="69">
        <f t="shared" si="297"/>
        <v>163</v>
      </c>
      <c r="M255" s="353"/>
      <c r="N255" s="69">
        <f t="shared" si="316"/>
        <v>202</v>
      </c>
      <c r="O255" s="353"/>
      <c r="P255" s="69">
        <f t="shared" si="298"/>
        <v>181</v>
      </c>
      <c r="Q255" s="353"/>
      <c r="R255" s="69">
        <f t="shared" si="299"/>
        <v>219</v>
      </c>
      <c r="S255" s="353"/>
      <c r="T255" s="69">
        <f t="shared" si="300"/>
        <v>244</v>
      </c>
      <c r="U255" s="353"/>
      <c r="V255" s="69">
        <f t="shared" si="301"/>
        <v>1009</v>
      </c>
      <c r="W255" s="353"/>
      <c r="Z255" s="356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51">
        <f>IF(AD256="","",AD256)</f>
        <v>0</v>
      </c>
      <c r="F256" s="75" t="str">
        <f t="shared" si="294"/>
        <v/>
      </c>
      <c r="G256" s="351">
        <f>IF(AF256="","",AF256)</f>
        <v>1</v>
      </c>
      <c r="H256" s="75" t="str">
        <f t="shared" si="295"/>
        <v/>
      </c>
      <c r="I256" s="351">
        <f>IF(AH256="","",AH256)</f>
        <v>0</v>
      </c>
      <c r="J256" s="75" t="str">
        <f t="shared" si="296"/>
        <v/>
      </c>
      <c r="K256" s="351">
        <f>IF(AJ256="","",AJ256)</f>
        <v>1</v>
      </c>
      <c r="L256" s="75" t="str">
        <f t="shared" si="297"/>
        <v/>
      </c>
      <c r="M256" s="351">
        <f>IF(AL256="","",AL256)</f>
        <v>0</v>
      </c>
      <c r="N256" s="75" t="str">
        <f t="shared" si="316"/>
        <v/>
      </c>
      <c r="O256" s="351">
        <f>IF(AN256="","",AN256)</f>
        <v>0</v>
      </c>
      <c r="P256" s="75" t="str">
        <f t="shared" si="298"/>
        <v/>
      </c>
      <c r="Q256" s="351">
        <f>IF(AP256="","",AP256)</f>
        <v>0</v>
      </c>
      <c r="R256" s="75">
        <f t="shared" si="299"/>
        <v>212</v>
      </c>
      <c r="S256" s="351">
        <f>IF(AR256="","",AR256)</f>
        <v>1</v>
      </c>
      <c r="T256" s="75">
        <f t="shared" si="300"/>
        <v>151</v>
      </c>
      <c r="U256" s="351">
        <f>IF(AT256="","",AT256)</f>
        <v>0</v>
      </c>
      <c r="V256" s="75">
        <f t="shared" si="301"/>
        <v>511</v>
      </c>
      <c r="W256" s="351">
        <f>IF(AV256="","",AV256)</f>
        <v>3</v>
      </c>
      <c r="Z256" s="354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1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52"/>
      <c r="F257" s="78">
        <f t="shared" si="294"/>
        <v>245</v>
      </c>
      <c r="G257" s="352"/>
      <c r="H257" s="78">
        <f t="shared" si="295"/>
        <v>216</v>
      </c>
      <c r="I257" s="352"/>
      <c r="J257" s="78">
        <f t="shared" si="296"/>
        <v>251</v>
      </c>
      <c r="K257" s="352"/>
      <c r="L257" s="78">
        <f t="shared" si="297"/>
        <v>219</v>
      </c>
      <c r="M257" s="352"/>
      <c r="N257" s="78">
        <f t="shared" si="316"/>
        <v>179</v>
      </c>
      <c r="O257" s="352"/>
      <c r="P257" s="78">
        <f t="shared" si="298"/>
        <v>175</v>
      </c>
      <c r="Q257" s="352"/>
      <c r="R257" s="78" t="str">
        <f t="shared" si="299"/>
        <v/>
      </c>
      <c r="S257" s="352"/>
      <c r="T257" s="78" t="str">
        <f t="shared" si="300"/>
        <v/>
      </c>
      <c r="U257" s="352"/>
      <c r="V257" s="78">
        <f t="shared" si="301"/>
        <v>1285</v>
      </c>
      <c r="W257" s="352"/>
      <c r="Z257" s="355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3"/>
      <c r="F258" s="69" t="str">
        <f t="shared" si="294"/>
        <v/>
      </c>
      <c r="G258" s="353"/>
      <c r="H258" s="69" t="str">
        <f t="shared" si="295"/>
        <v/>
      </c>
      <c r="I258" s="353"/>
      <c r="J258" s="69" t="str">
        <f t="shared" si="296"/>
        <v/>
      </c>
      <c r="K258" s="353"/>
      <c r="L258" s="69" t="str">
        <f t="shared" si="297"/>
        <v/>
      </c>
      <c r="M258" s="353"/>
      <c r="N258" s="69" t="str">
        <f t="shared" si="316"/>
        <v/>
      </c>
      <c r="O258" s="353"/>
      <c r="P258" s="69" t="str">
        <f t="shared" si="298"/>
        <v/>
      </c>
      <c r="Q258" s="353"/>
      <c r="R258" s="69" t="str">
        <f t="shared" si="299"/>
        <v/>
      </c>
      <c r="S258" s="353"/>
      <c r="T258" s="69" t="str">
        <f t="shared" si="300"/>
        <v/>
      </c>
      <c r="U258" s="353"/>
      <c r="V258" s="69" t="str">
        <f t="shared" si="301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9">
        <f t="shared" ref="D262:M264" si="329">IF(AC262=0,"",AC262)</f>
        <v>5</v>
      </c>
      <c r="E262" s="349" t="str">
        <f t="shared" si="329"/>
        <v/>
      </c>
      <c r="F262" s="349">
        <f t="shared" si="329"/>
        <v>1</v>
      </c>
      <c r="G262" s="349" t="str">
        <f t="shared" si="329"/>
        <v/>
      </c>
      <c r="H262" s="349">
        <f t="shared" si="329"/>
        <v>4</v>
      </c>
      <c r="I262" s="349" t="str">
        <f t="shared" si="329"/>
        <v/>
      </c>
      <c r="J262" s="349">
        <f t="shared" si="329"/>
        <v>3</v>
      </c>
      <c r="K262" s="349" t="str">
        <f t="shared" si="329"/>
        <v/>
      </c>
      <c r="L262" s="349">
        <f t="shared" si="329"/>
        <v>8</v>
      </c>
      <c r="M262" s="349" t="str">
        <f t="shared" si="329"/>
        <v/>
      </c>
      <c r="N262" s="349">
        <f t="shared" ref="N262:U264" si="330">IF(AM262=0,"",AM262)</f>
        <v>10</v>
      </c>
      <c r="O262" s="349" t="str">
        <f t="shared" si="330"/>
        <v/>
      </c>
      <c r="P262" s="349">
        <f t="shared" si="330"/>
        <v>7</v>
      </c>
      <c r="Q262" s="349" t="str">
        <f t="shared" si="330"/>
        <v/>
      </c>
      <c r="R262" s="349">
        <f t="shared" si="330"/>
        <v>6</v>
      </c>
      <c r="S262" s="349" t="str">
        <f t="shared" si="330"/>
        <v/>
      </c>
      <c r="T262" s="349">
        <f t="shared" si="330"/>
        <v>2</v>
      </c>
      <c r="U262" s="349" t="str">
        <f t="shared" si="330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VLOOKUP($AA242,Schlüssel!$A$5:$K$14,3)</f>
        <v>5</v>
      </c>
      <c r="AD262" s="374"/>
      <c r="AE262" s="373">
        <f>VLOOKUP($AA242,Schlüssel!$A$5:$K$14,4)</f>
        <v>1</v>
      </c>
      <c r="AF262" s="374"/>
      <c r="AG262" s="373">
        <f>VLOOKUP($AA242,Schlüssel!$A$5:$K$14,5)</f>
        <v>4</v>
      </c>
      <c r="AH262" s="374"/>
      <c r="AI262" s="373">
        <f>VLOOKUP($AA242,Schlüssel!$A$5:$K$14,6)</f>
        <v>3</v>
      </c>
      <c r="AJ262" s="374"/>
      <c r="AK262" s="373">
        <f>VLOOKUP($AA242,Schlüssel!$A$5:$K$14,7)</f>
        <v>8</v>
      </c>
      <c r="AL262" s="374"/>
      <c r="AM262" s="373">
        <f>VLOOKUP($AA242,Schlüssel!$A$5:$K$14,8)</f>
        <v>10</v>
      </c>
      <c r="AN262" s="374"/>
      <c r="AO262" s="373">
        <f>VLOOKUP($AA242,Schlüssel!$A$5:$K$14,9)</f>
        <v>7</v>
      </c>
      <c r="AP262" s="374"/>
      <c r="AQ262" s="373">
        <f>VLOOKUP($AA242,Schlüssel!$A$5:$K$14,10)</f>
        <v>6</v>
      </c>
      <c r="AR262" s="374"/>
      <c r="AS262" s="373">
        <f>VLOOKUP($AA242,Schlüssel!$A$5:$K$14,11)</f>
        <v>2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6" t="str">
        <f t="shared" si="329"/>
        <v>RW Lichtenhof Stein 1</v>
      </c>
      <c r="E263" s="347" t="str">
        <f t="shared" si="329"/>
        <v/>
      </c>
      <c r="F263" s="346" t="str">
        <f t="shared" si="329"/>
        <v>BC Comet Nürnberg</v>
      </c>
      <c r="G263" s="347" t="str">
        <f t="shared" si="329"/>
        <v/>
      </c>
      <c r="H263" s="346" t="str">
        <f t="shared" si="329"/>
        <v>SG DJK Rimpar</v>
      </c>
      <c r="I263" s="347" t="str">
        <f t="shared" si="329"/>
        <v/>
      </c>
      <c r="J263" s="346" t="str">
        <f t="shared" si="329"/>
        <v>BK München 3</v>
      </c>
      <c r="K263" s="347" t="str">
        <f t="shared" si="329"/>
        <v/>
      </c>
      <c r="L263" s="346" t="str">
        <f t="shared" si="329"/>
        <v>BC EMAX Unterföhring 2</v>
      </c>
      <c r="M263" s="347" t="str">
        <f t="shared" si="329"/>
        <v/>
      </c>
      <c r="N263" s="346" t="str">
        <f t="shared" si="330"/>
        <v>High Roller Rosenheim 1</v>
      </c>
      <c r="O263" s="347" t="str">
        <f t="shared" si="330"/>
        <v/>
      </c>
      <c r="P263" s="346" t="str">
        <f t="shared" si="330"/>
        <v>Schanzer Ingolstadt 1</v>
      </c>
      <c r="Q263" s="347" t="str">
        <f t="shared" si="330"/>
        <v/>
      </c>
      <c r="R263" s="346" t="str">
        <f t="shared" si="330"/>
        <v>SG Rottendorf 1</v>
      </c>
      <c r="S263" s="347" t="str">
        <f t="shared" si="330"/>
        <v/>
      </c>
      <c r="T263" s="346" t="str">
        <f t="shared" si="330"/>
        <v>Bajuwaren München 1</v>
      </c>
      <c r="U263" s="347" t="str">
        <f t="shared" si="330"/>
        <v/>
      </c>
      <c r="V263" s="348"/>
      <c r="W263" s="348"/>
      <c r="AA263" s="90"/>
      <c r="AB263" s="86"/>
      <c r="AC263" s="346" t="str">
        <f>VLOOKUP(AC262,Schlüssel!$A$5:$K$14,2)</f>
        <v>RW Lichtenhof Stein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BK München 3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SG Rottendorf 1</v>
      </c>
      <c r="AR263" s="347"/>
      <c r="AS263" s="346" t="str">
        <f>VLOOKUP(AS262,Schlüssel!$A$5:$K$14,2)</f>
        <v>Bajuwaren München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4" t="str">
        <f t="shared" si="329"/>
        <v/>
      </c>
      <c r="E264" s="344" t="str">
        <f t="shared" si="329"/>
        <v/>
      </c>
      <c r="F264" s="344" t="str">
        <f t="shared" si="329"/>
        <v/>
      </c>
      <c r="G264" s="344" t="str">
        <f t="shared" si="329"/>
        <v/>
      </c>
      <c r="H264" s="344" t="str">
        <f t="shared" si="329"/>
        <v/>
      </c>
      <c r="I264" s="344" t="str">
        <f t="shared" si="329"/>
        <v/>
      </c>
      <c r="J264" s="344" t="str">
        <f t="shared" si="329"/>
        <v/>
      </c>
      <c r="K264" s="344" t="str">
        <f t="shared" si="329"/>
        <v/>
      </c>
      <c r="L264" s="344" t="str">
        <f t="shared" si="329"/>
        <v/>
      </c>
      <c r="M264" s="344" t="str">
        <f t="shared" si="329"/>
        <v/>
      </c>
      <c r="N264" s="344" t="str">
        <f t="shared" si="330"/>
        <v/>
      </c>
      <c r="O264" s="344" t="str">
        <f t="shared" si="330"/>
        <v/>
      </c>
      <c r="P264" s="344" t="str">
        <f t="shared" si="330"/>
        <v/>
      </c>
      <c r="Q264" s="344" t="str">
        <f t="shared" si="330"/>
        <v/>
      </c>
      <c r="R264" s="344" t="str">
        <f t="shared" si="330"/>
        <v/>
      </c>
      <c r="S264" s="344" t="str">
        <f t="shared" si="330"/>
        <v/>
      </c>
      <c r="T264" s="344" t="str">
        <f t="shared" si="330"/>
        <v/>
      </c>
      <c r="U264" s="345" t="str">
        <f t="shared" si="330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si="327"/>
        <v>Spieler 1</v>
      </c>
      <c r="C265" s="369" t="str">
        <f t="shared" si="328"/>
        <v/>
      </c>
      <c r="D265" s="342">
        <f>IF(AC265=301,"",AC265)</f>
        <v>189</v>
      </c>
      <c r="E265" s="342" t="str">
        <f>IF(AD265=0,"",AD265)</f>
        <v/>
      </c>
      <c r="F265" s="342">
        <f>IF(AE265=301,"",AE265)</f>
        <v>185</v>
      </c>
      <c r="G265" s="342" t="str">
        <f>IF(AF265=0,"",AF265)</f>
        <v/>
      </c>
      <c r="H265" s="342">
        <f>IF(AG265=301,"",AG265)</f>
        <v>180</v>
      </c>
      <c r="I265" s="342" t="str">
        <f>IF(AH265=0,"",AH265)</f>
        <v/>
      </c>
      <c r="J265" s="342">
        <f>IF(AI265=301,"",AI265)</f>
        <v>179</v>
      </c>
      <c r="K265" s="342" t="str">
        <f>IF(AJ265=0,"",AJ265)</f>
        <v/>
      </c>
      <c r="L265" s="342">
        <f>IF(AK265=301,"",AK265)</f>
        <v>259</v>
      </c>
      <c r="M265" s="342" t="str">
        <f>IF(AL265=0,"",AL265)</f>
        <v/>
      </c>
      <c r="N265" s="342">
        <f>IF(AM265=301,"",AM265)</f>
        <v>143</v>
      </c>
      <c r="O265" s="342" t="str">
        <f>IF(AN265=0,"",AN265)</f>
        <v/>
      </c>
      <c r="P265" s="342">
        <f>IF(AO265=301,"",AO265)</f>
        <v>166</v>
      </c>
      <c r="Q265" s="342" t="str">
        <f>IF(AP265=0,"",AP265)</f>
        <v/>
      </c>
      <c r="R265" s="342">
        <f>IF(AQ265=301,"",AQ265)</f>
        <v>204</v>
      </c>
      <c r="S265" s="342" t="str">
        <f>IF(AR265=0,"",AR265)</f>
        <v/>
      </c>
      <c r="T265" s="342">
        <f>IF(AS265=301,"",AS265)</f>
        <v>207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189</v>
      </c>
      <c r="AD265" s="376"/>
      <c r="AE265" s="375">
        <f>ABS(INDEX(AE:AE,MATCH(AE262,$AA:$AA,0)+5)+INDEX(AE:AE,MATCH(AE262,$AA:$AA,0)+6)+INDEX(AE:AE,MATCH(AE262,$AA:$AA,0)+7))</f>
        <v>185</v>
      </c>
      <c r="AF265" s="376"/>
      <c r="AG265" s="375">
        <f>ABS(INDEX(AG:AG,MATCH(AG262,$AA:$AA,0)+5)+INDEX(AG:AG,MATCH(AG262,$AA:$AA,0)+6)+INDEX(AG:AG,MATCH(AG262,$AA:$AA,0)+7))</f>
        <v>180</v>
      </c>
      <c r="AH265" s="376"/>
      <c r="AI265" s="375">
        <f>ABS(INDEX(AI:AI,MATCH(AI262,$AA:$AA,0)+5)+INDEX(AI:AI,MATCH(AI262,$AA:$AA,0)+6)+INDEX(AI:AI,MATCH(AI262,$AA:$AA,0)+7))</f>
        <v>179</v>
      </c>
      <c r="AJ265" s="376"/>
      <c r="AK265" s="375">
        <f>ABS(INDEX(AK:AK,MATCH(AK262,$AA:$AA,0)+5)+INDEX(AK:AK,MATCH(AK262,$AA:$AA,0)+6)+INDEX(AK:AK,MATCH(AK262,$AA:$AA,0)+7))</f>
        <v>259</v>
      </c>
      <c r="AL265" s="376"/>
      <c r="AM265" s="375">
        <f>ABS(INDEX(AM:AM,MATCH(AM262,$AA:$AA,0)+5)+INDEX(AM:AM,MATCH(AM262,$AA:$AA,0)+6)+INDEX(AM:AM,MATCH(AM262,$AA:$AA,0)+7))</f>
        <v>143</v>
      </c>
      <c r="AN265" s="376"/>
      <c r="AO265" s="375">
        <f>ABS(INDEX(AO:AO,MATCH(AO262,$AA:$AA,0)+5)+INDEX(AO:AO,MATCH(AO262,$AA:$AA,0)+6)+INDEX(AO:AO,MATCH(AO262,$AA:$AA,0)+7))</f>
        <v>166</v>
      </c>
      <c r="AP265" s="376"/>
      <c r="AQ265" s="375">
        <f>ABS(INDEX(AQ:AQ,MATCH(AQ262,$AA:$AA,0)+5)+INDEX(AQ:AQ,MATCH(AQ262,$AA:$AA,0)+6)+INDEX(AQ:AQ,MATCH(AQ262,$AA:$AA,0)+7))</f>
        <v>204</v>
      </c>
      <c r="AR265" s="376"/>
      <c r="AS265" s="375">
        <f>ABS(INDEX(AS:AS,MATCH(AS262,$AA:$AA,0)+5)+INDEX(AS:AS,MATCH(AS262,$AA:$AA,0)+6)+INDEX(AS:AS,MATCH(AS262,$AA:$AA,0)+7))</f>
        <v>207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27"/>
        <v>Spieler 2</v>
      </c>
      <c r="C266" s="369" t="str">
        <f t="shared" si="328"/>
        <v/>
      </c>
      <c r="D266" s="342">
        <f>IF(AC266=301,"",AC266)</f>
        <v>183</v>
      </c>
      <c r="E266" s="342" t="str">
        <f>IF(AD266=0,"",AD266)</f>
        <v/>
      </c>
      <c r="F266" s="342">
        <f>IF(AE266=301,"",AE266)</f>
        <v>185</v>
      </c>
      <c r="G266" s="342" t="str">
        <f>IF(AF266=0,"",AF266)</f>
        <v/>
      </c>
      <c r="H266" s="342">
        <f>IF(AG266=301,"",AG266)</f>
        <v>180</v>
      </c>
      <c r="I266" s="342" t="str">
        <f>IF(AH266=0,"",AH266)</f>
        <v/>
      </c>
      <c r="J266" s="342">
        <f>IF(AI266=301,"",AI266)</f>
        <v>208</v>
      </c>
      <c r="K266" s="342" t="str">
        <f>IF(AJ266=0,"",AJ266)</f>
        <v/>
      </c>
      <c r="L266" s="342">
        <f>IF(AK266=301,"",AK266)</f>
        <v>212</v>
      </c>
      <c r="M266" s="342" t="str">
        <f>IF(AL266=0,"",AL266)</f>
        <v/>
      </c>
      <c r="N266" s="342">
        <f>IF(AM266=301,"",AM266)</f>
        <v>223</v>
      </c>
      <c r="O266" s="342" t="str">
        <f>IF(AN266=0,"",AN266)</f>
        <v/>
      </c>
      <c r="P266" s="342">
        <f>IF(AO266=301,"",AO266)</f>
        <v>170</v>
      </c>
      <c r="Q266" s="342" t="str">
        <f>IF(AP266=0,"",AP266)</f>
        <v/>
      </c>
      <c r="R266" s="342">
        <f>IF(AQ266=301,"",AQ266)</f>
        <v>231</v>
      </c>
      <c r="S266" s="342" t="str">
        <f>IF(AR266=0,"",AR266)</f>
        <v/>
      </c>
      <c r="T266" s="342">
        <f>IF(AS266=301,"",AS266)</f>
        <v>195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183</v>
      </c>
      <c r="AD266" s="378"/>
      <c r="AE266" s="377">
        <f>ABS(INDEX(AE:AE,MATCH(AE262,$AA:$AA,0)+8)+INDEX(AE:AE,MATCH(AE262,$AA:$AA,0)+9)+INDEX(AE:AE,MATCH(AE262,$AA:$AA,0)+10))</f>
        <v>185</v>
      </c>
      <c r="AF266" s="378"/>
      <c r="AG266" s="377">
        <f>ABS(INDEX(AG:AG,MATCH(AG262,$AA:$AA,0)+8)+INDEX(AG:AG,MATCH(AG262,$AA:$AA,0)+9)+INDEX(AG:AG,MATCH(AG262,$AA:$AA,0)+10))</f>
        <v>180</v>
      </c>
      <c r="AH266" s="378"/>
      <c r="AI266" s="377">
        <f>ABS(INDEX(AI:AI,MATCH(AI262,$AA:$AA,0)+8)+INDEX(AI:AI,MATCH(AI262,$AA:$AA,0)+9)+INDEX(AI:AI,MATCH(AI262,$AA:$AA,0)+10))</f>
        <v>208</v>
      </c>
      <c r="AJ266" s="378"/>
      <c r="AK266" s="377">
        <f>ABS(INDEX(AK:AK,MATCH(AK262,$AA:$AA,0)+8)+INDEX(AK:AK,MATCH(AK262,$AA:$AA,0)+9)+INDEX(AK:AK,MATCH(AK262,$AA:$AA,0)+10))</f>
        <v>212</v>
      </c>
      <c r="AL266" s="378"/>
      <c r="AM266" s="377">
        <f>ABS(INDEX(AM:AM,MATCH(AM262,$AA:$AA,0)+8)+INDEX(AM:AM,MATCH(AM262,$AA:$AA,0)+9)+INDEX(AM:AM,MATCH(AM262,$AA:$AA,0)+10))</f>
        <v>223</v>
      </c>
      <c r="AN266" s="378"/>
      <c r="AO266" s="377">
        <f>ABS(INDEX(AO:AO,MATCH(AO262,$AA:$AA,0)+8)+INDEX(AO:AO,MATCH(AO262,$AA:$AA,0)+9)+INDEX(AO:AO,MATCH(AO262,$AA:$AA,0)+10))</f>
        <v>170</v>
      </c>
      <c r="AP266" s="378"/>
      <c r="AQ266" s="377">
        <f>ABS(INDEX(AQ:AQ,MATCH(AQ262,$AA:$AA,0)+8)+INDEX(AQ:AQ,MATCH(AQ262,$AA:$AA,0)+9)+INDEX(AQ:AQ,MATCH(AQ262,$AA:$AA,0)+10))</f>
        <v>231</v>
      </c>
      <c r="AR266" s="378"/>
      <c r="AS266" s="377">
        <f>ABS(INDEX(AS:AS,MATCH(AS262,$AA:$AA,0)+8)+INDEX(AS:AS,MATCH(AS262,$AA:$AA,0)+9)+INDEX(AS:AS,MATCH(AS262,$AA:$AA,0)+10))</f>
        <v>195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27"/>
        <v>Spieler 3</v>
      </c>
      <c r="C267" s="369" t="str">
        <f t="shared" si="328"/>
        <v/>
      </c>
      <c r="D267" s="342">
        <f>IF(AC267=301,"",AC267)</f>
        <v>181</v>
      </c>
      <c r="E267" s="342" t="str">
        <f>IF(AD267=0,"",AD267)</f>
        <v/>
      </c>
      <c r="F267" s="342">
        <f>IF(AE267=301,"",AE267)</f>
        <v>183</v>
      </c>
      <c r="G267" s="342" t="str">
        <f>IF(AF267=0,"",AF267)</f>
        <v/>
      </c>
      <c r="H267" s="342">
        <f>IF(AG267=301,"",AG267)</f>
        <v>239</v>
      </c>
      <c r="I267" s="342" t="str">
        <f>IF(AH267=0,"",AH267)</f>
        <v/>
      </c>
      <c r="J267" s="342">
        <f>IF(AI267=301,"",AI267)</f>
        <v>167</v>
      </c>
      <c r="K267" s="342" t="str">
        <f>IF(AJ267=0,"",AJ267)</f>
        <v/>
      </c>
      <c r="L267" s="342">
        <f>IF(AK267=301,"",AK267)</f>
        <v>205</v>
      </c>
      <c r="M267" s="342" t="str">
        <f>IF(AL267=0,"",AL267)</f>
        <v/>
      </c>
      <c r="N267" s="342">
        <f>IF(AM267=301,"",AM267)</f>
        <v>130</v>
      </c>
      <c r="O267" s="342" t="str">
        <f>IF(AN267=0,"",AN267)</f>
        <v/>
      </c>
      <c r="P267" s="342">
        <f>IF(AO267=301,"",AO267)</f>
        <v>183</v>
      </c>
      <c r="Q267" s="342" t="str">
        <f>IF(AP267=0,"",AP267)</f>
        <v/>
      </c>
      <c r="R267" s="342">
        <f>IF(AQ267=301,"",AQ267)</f>
        <v>201</v>
      </c>
      <c r="S267" s="342" t="str">
        <f>IF(AR267=0,"",AR267)</f>
        <v/>
      </c>
      <c r="T267" s="342">
        <f>IF(AS267=301,"",AS267)</f>
        <v>213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181</v>
      </c>
      <c r="AD267" s="378"/>
      <c r="AE267" s="377">
        <f>ABS(INDEX(AE:AE,MATCH(AE262,$AA:$AA,0)+11)+INDEX(AE:AE,MATCH(AE262,$AA:$AA,0)+12)+INDEX(AE:AE,MATCH(AE262,$AA:$AA,0)+13))</f>
        <v>183</v>
      </c>
      <c r="AF267" s="378"/>
      <c r="AG267" s="377">
        <f>ABS(INDEX(AG:AG,MATCH(AG262,$AA:$AA,0)+11)+INDEX(AG:AG,MATCH(AG262,$AA:$AA,0)+12)+INDEX(AG:AG,MATCH(AG262,$AA:$AA,0)+13))</f>
        <v>239</v>
      </c>
      <c r="AH267" s="378"/>
      <c r="AI267" s="377">
        <f>ABS(INDEX(AI:AI,MATCH(AI262,$AA:$AA,0)+11)+INDEX(AI:AI,MATCH(AI262,$AA:$AA,0)+12)+INDEX(AI:AI,MATCH(AI262,$AA:$AA,0)+13))</f>
        <v>167</v>
      </c>
      <c r="AJ267" s="378"/>
      <c r="AK267" s="377">
        <f>ABS(INDEX(AK:AK,MATCH(AK262,$AA:$AA,0)+11)+INDEX(AK:AK,MATCH(AK262,$AA:$AA,0)+12)+INDEX(AK:AK,MATCH(AK262,$AA:$AA,0)+13))</f>
        <v>205</v>
      </c>
      <c r="AL267" s="378"/>
      <c r="AM267" s="377">
        <f>ABS(INDEX(AM:AM,MATCH(AM262,$AA:$AA,0)+11)+INDEX(AM:AM,MATCH(AM262,$AA:$AA,0)+12)+INDEX(AM:AM,MATCH(AM262,$AA:$AA,0)+13))</f>
        <v>130</v>
      </c>
      <c r="AN267" s="378"/>
      <c r="AO267" s="377">
        <f>ABS(INDEX(AO:AO,MATCH(AO262,$AA:$AA,0)+11)+INDEX(AO:AO,MATCH(AO262,$AA:$AA,0)+12)+INDEX(AO:AO,MATCH(AO262,$AA:$AA,0)+13))</f>
        <v>183</v>
      </c>
      <c r="AP267" s="378"/>
      <c r="AQ267" s="377">
        <f>ABS(INDEX(AQ:AQ,MATCH(AQ262,$AA:$AA,0)+11)+INDEX(AQ:AQ,MATCH(AQ262,$AA:$AA,0)+12)+INDEX(AQ:AQ,MATCH(AQ262,$AA:$AA,0)+13))</f>
        <v>201</v>
      </c>
      <c r="AR267" s="378"/>
      <c r="AS267" s="377">
        <f>ABS(INDEX(AS:AS,MATCH(AS262,$AA:$AA,0)+11)+INDEX(AS:AS,MATCH(AS262,$AA:$AA,0)+12)+INDEX(AS:AS,MATCH(AS262,$AA:$AA,0)+13))</f>
        <v>213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27"/>
        <v>Spieler 4</v>
      </c>
      <c r="C268" s="369" t="str">
        <f t="shared" si="328"/>
        <v/>
      </c>
      <c r="D268" s="342">
        <f>IF(AC268=301,"",AC268)</f>
        <v>200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280</v>
      </c>
      <c r="I268" s="342" t="str">
        <f>IF(AH268=0,"",AH268)</f>
        <v/>
      </c>
      <c r="J268" s="342">
        <f>IF(AI268=301,"",AI268)</f>
        <v>233</v>
      </c>
      <c r="K268" s="342" t="str">
        <f>IF(AJ268=0,"",AJ268)</f>
        <v/>
      </c>
      <c r="L268" s="342">
        <f>IF(AK268=301,"",AK268)</f>
        <v>234</v>
      </c>
      <c r="M268" s="342" t="str">
        <f>IF(AL268=0,"",AL268)</f>
        <v/>
      </c>
      <c r="N268" s="342">
        <f>IF(AM268=301,"",AM268)</f>
        <v>184</v>
      </c>
      <c r="O268" s="342" t="str">
        <f>IF(AN268=0,"",AN268)</f>
        <v/>
      </c>
      <c r="P268" s="342">
        <f>IF(AO268=301,"",AO268)</f>
        <v>189</v>
      </c>
      <c r="Q268" s="342" t="str">
        <f>IF(AP268=0,"",AP268)</f>
        <v/>
      </c>
      <c r="R268" s="342">
        <f>IF(AQ268=301,"",AQ268)</f>
        <v>0</v>
      </c>
      <c r="S268" s="342" t="str">
        <f>IF(AR268=0,"",AR268)</f>
        <v/>
      </c>
      <c r="T268" s="342">
        <f>IF(AS268=301,"",AS268)</f>
        <v>212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200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280</v>
      </c>
      <c r="AH268" s="378"/>
      <c r="AI268" s="377">
        <f>ABS(INDEX(AI:AI,MATCH(AI262,$AA:$AA,0)+14)+INDEX(AI:AI,MATCH(AI262,$AA:$AA,0)+15)+INDEX(AI:AI,MATCH(AI262,$AA:$AA,0)+16))</f>
        <v>233</v>
      </c>
      <c r="AJ268" s="378"/>
      <c r="AK268" s="377">
        <f>ABS(INDEX(AK:AK,MATCH(AK262,$AA:$AA,0)+14)+INDEX(AK:AK,MATCH(AK262,$AA:$AA,0)+15)+INDEX(AK:AK,MATCH(AK262,$AA:$AA,0)+16))</f>
        <v>234</v>
      </c>
      <c r="AL268" s="378"/>
      <c r="AM268" s="377">
        <f>ABS(INDEX(AM:AM,MATCH(AM262,$AA:$AA,0)+14)+INDEX(AM:AM,MATCH(AM262,$AA:$AA,0)+15)+INDEX(AM:AM,MATCH(AM262,$AA:$AA,0)+16))</f>
        <v>184</v>
      </c>
      <c r="AN268" s="378"/>
      <c r="AO268" s="377">
        <f>ABS(INDEX(AO:AO,MATCH(AO262,$AA:$AA,0)+14)+INDEX(AO:AO,MATCH(AO262,$AA:$AA,0)+15)+INDEX(AO:AO,MATCH(AO262,$AA:$AA,0)+16))</f>
        <v>189</v>
      </c>
      <c r="AP268" s="378"/>
      <c r="AQ268" s="377">
        <f>ABS(INDEX(AQ:AQ,MATCH(AQ262,$AA:$AA,0)+14)+INDEX(AQ:AQ,MATCH(AQ262,$AA:$AA,0)+15)+INDEX(AQ:AQ,MATCH(AQ262,$AA:$AA,0)+16))</f>
        <v>0</v>
      </c>
      <c r="AR268" s="378"/>
      <c r="AS268" s="377">
        <f>ABS(INDEX(AS:AS,MATCH(AS262,$AA:$AA,0)+14)+INDEX(AS:AS,MATCH(AS262,$AA:$AA,0)+15)+INDEX(AS:AS,MATCH(AS262,$AA:$AA,0)+16))</f>
        <v>212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27"/>
        <v>Gesamt</v>
      </c>
      <c r="C269" s="358" t="str">
        <f t="shared" si="328"/>
        <v/>
      </c>
      <c r="D269" s="341">
        <f>IF(AC269=1505,"",AC269)</f>
        <v>753</v>
      </c>
      <c r="E269" s="341" t="str">
        <f>IF(AD269=0,"",AD269)</f>
        <v/>
      </c>
      <c r="F269" s="341">
        <f>IF(AE269=1505,"",AE269)</f>
        <v>765</v>
      </c>
      <c r="G269" s="341" t="str">
        <f>IF(AF269=0,"",AF269)</f>
        <v/>
      </c>
      <c r="H269" s="341">
        <f>IF(AG269=1505,"",AG269)</f>
        <v>879</v>
      </c>
      <c r="I269" s="341" t="str">
        <f>IF(AH269=0,"",AH269)</f>
        <v/>
      </c>
      <c r="J269" s="341">
        <f>IF(AI269=1505,"",AI269)</f>
        <v>787</v>
      </c>
      <c r="K269" s="341" t="str">
        <f>IF(AJ269=0,"",AJ269)</f>
        <v/>
      </c>
      <c r="L269" s="341">
        <f>IF(AK269=1505,"",AK269)</f>
        <v>910</v>
      </c>
      <c r="M269" s="341" t="str">
        <f>IF(AL269=0,"",AL269)</f>
        <v/>
      </c>
      <c r="N269" s="341">
        <f>IF(AM269=1505,"",AM269)</f>
        <v>680</v>
      </c>
      <c r="O269" s="341" t="str">
        <f>IF(AN269=0,"",AN269)</f>
        <v/>
      </c>
      <c r="P269" s="341">
        <f>IF(AO269=1505,"",AO269)</f>
        <v>708</v>
      </c>
      <c r="Q269" s="341" t="str">
        <f>IF(AP269=0,"",AP269)</f>
        <v/>
      </c>
      <c r="R269" s="341">
        <f>IF(AQ269=1505,"",AQ269)</f>
        <v>636</v>
      </c>
      <c r="S269" s="341" t="str">
        <f>IF(AR269=0,"",AR269)</f>
        <v/>
      </c>
      <c r="T269" s="341">
        <f>IF(AS269=1505,"",AS269)</f>
        <v>827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753</v>
      </c>
      <c r="AD269" s="358"/>
      <c r="AE269" s="357">
        <f>SUM(AE265:AE268)</f>
        <v>765</v>
      </c>
      <c r="AF269" s="358"/>
      <c r="AG269" s="357">
        <f>SUM(AG265:AG268)</f>
        <v>879</v>
      </c>
      <c r="AH269" s="358"/>
      <c r="AI269" s="357">
        <f>SUM(AI265:AI268)</f>
        <v>787</v>
      </c>
      <c r="AJ269" s="358"/>
      <c r="AK269" s="357">
        <f>SUM(AK265:AK268)</f>
        <v>910</v>
      </c>
      <c r="AL269" s="358"/>
      <c r="AM269" s="357">
        <f>SUM(AM265:AM268)</f>
        <v>680</v>
      </c>
      <c r="AN269" s="358"/>
      <c r="AO269" s="357">
        <f>SUM(AO265:AO268)</f>
        <v>708</v>
      </c>
      <c r="AP269" s="358"/>
      <c r="AQ269" s="357">
        <f>SUM(AQ265:AQ268)</f>
        <v>636</v>
      </c>
      <c r="AR269" s="358"/>
      <c r="AS269" s="357">
        <f>SUM(AS265:AS268)</f>
        <v>827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12.10./13.10.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12.10./13.10.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51">
        <f>IF(AD277="","",AD277)</f>
        <v>1</v>
      </c>
      <c r="F277" s="75">
        <f t="shared" ref="F277:F290" si="331">IF(AE277=0,"",AE277)</f>
        <v>207</v>
      </c>
      <c r="G277" s="351">
        <f>IF(AF277="","",AF277)</f>
        <v>0</v>
      </c>
      <c r="H277" s="75">
        <f t="shared" ref="H277:H290" si="332">IF(AG277=0,"",AG277)</f>
        <v>217</v>
      </c>
      <c r="I277" s="351">
        <f>IF(AH277="","",AH277)</f>
        <v>1</v>
      </c>
      <c r="J277" s="75">
        <f t="shared" ref="J277:J290" si="333">IF(AI277=0,"",AI277)</f>
        <v>223</v>
      </c>
      <c r="K277" s="351">
        <f>IF(AJ277="","",AJ277)</f>
        <v>1</v>
      </c>
      <c r="L277" s="75">
        <f t="shared" ref="L277:L290" si="334">IF(AK277=0,"",AK277)</f>
        <v>212</v>
      </c>
      <c r="M277" s="351">
        <f>IF(AL277="","",AL277)</f>
        <v>1</v>
      </c>
      <c r="N277" s="75">
        <f>IF(AM277=0,"",AM277)</f>
        <v>143</v>
      </c>
      <c r="O277" s="351">
        <f>IF(AN277="","",AN277)</f>
        <v>0</v>
      </c>
      <c r="P277" s="75" t="str">
        <f t="shared" ref="P277:P290" si="335">IF(AO277=0,"",AO277)</f>
        <v/>
      </c>
      <c r="Q277" s="351">
        <f>IF(AP277="","",AP277)</f>
        <v>0</v>
      </c>
      <c r="R277" s="75">
        <f t="shared" ref="R277:R290" si="336">IF(AQ277=0,"",AQ277)</f>
        <v>241</v>
      </c>
      <c r="S277" s="351">
        <f>IF(AR277="","",AR277)</f>
        <v>1</v>
      </c>
      <c r="T277" s="75">
        <f t="shared" ref="T277:T290" si="337">IF(AS277=0,"",AS277)</f>
        <v>135</v>
      </c>
      <c r="U277" s="351">
        <f>IF(AT277="","",AT277)</f>
        <v>0</v>
      </c>
      <c r="V277" s="75">
        <f t="shared" ref="V277:V290" si="338">IF(AU277=0,"",AU277)</f>
        <v>1574</v>
      </c>
      <c r="W277" s="351">
        <f>IF(AV277="","",AV277)</f>
        <v>5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1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52"/>
      <c r="F278" s="78" t="str">
        <f t="shared" si="331"/>
        <v/>
      </c>
      <c r="G278" s="352"/>
      <c r="H278" s="78" t="str">
        <f t="shared" si="332"/>
        <v/>
      </c>
      <c r="I278" s="352"/>
      <c r="J278" s="78" t="str">
        <f t="shared" si="333"/>
        <v/>
      </c>
      <c r="K278" s="352"/>
      <c r="L278" s="78" t="str">
        <f t="shared" si="334"/>
        <v/>
      </c>
      <c r="M278" s="352"/>
      <c r="N278" s="78" t="str">
        <f t="shared" ref="N278:N290" si="353">IF(AM278=0,"",AM278)</f>
        <v/>
      </c>
      <c r="O278" s="352"/>
      <c r="P278" s="78">
        <f t="shared" si="335"/>
        <v>156</v>
      </c>
      <c r="Q278" s="352"/>
      <c r="R278" s="78" t="str">
        <f t="shared" si="336"/>
        <v/>
      </c>
      <c r="S278" s="352"/>
      <c r="T278" s="78" t="str">
        <f t="shared" si="337"/>
        <v/>
      </c>
      <c r="U278" s="352"/>
      <c r="V278" s="78">
        <f t="shared" si="338"/>
        <v>156</v>
      </c>
      <c r="W278" s="352"/>
      <c r="Z278" s="355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2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3"/>
      <c r="F279" s="69" t="str">
        <f t="shared" si="331"/>
        <v/>
      </c>
      <c r="G279" s="353"/>
      <c r="H279" s="69" t="str">
        <f t="shared" si="332"/>
        <v/>
      </c>
      <c r="I279" s="353"/>
      <c r="J279" s="69" t="str">
        <f t="shared" si="333"/>
        <v/>
      </c>
      <c r="K279" s="353"/>
      <c r="L279" s="69" t="str">
        <f t="shared" si="334"/>
        <v/>
      </c>
      <c r="M279" s="353"/>
      <c r="N279" s="69" t="str">
        <f t="shared" si="353"/>
        <v/>
      </c>
      <c r="O279" s="353"/>
      <c r="P279" s="69" t="str">
        <f t="shared" si="335"/>
        <v/>
      </c>
      <c r="Q279" s="353"/>
      <c r="R279" s="69" t="str">
        <f t="shared" si="336"/>
        <v/>
      </c>
      <c r="S279" s="353"/>
      <c r="T279" s="69" t="str">
        <f t="shared" si="337"/>
        <v/>
      </c>
      <c r="U279" s="353"/>
      <c r="V279" s="69" t="str">
        <f t="shared" si="338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0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51">
        <f>IF(AD280="","",AD280)</f>
        <v>0</v>
      </c>
      <c r="F280" s="75">
        <f t="shared" si="331"/>
        <v>200</v>
      </c>
      <c r="G280" s="351">
        <f>IF(AF280="","",AF280)</f>
        <v>0</v>
      </c>
      <c r="H280" s="75">
        <f t="shared" si="332"/>
        <v>200</v>
      </c>
      <c r="I280" s="351">
        <f>IF(AH280="","",AH280)</f>
        <v>1</v>
      </c>
      <c r="J280" s="75">
        <f t="shared" si="333"/>
        <v>225</v>
      </c>
      <c r="K280" s="351">
        <f>IF(AJ280="","",AJ280)</f>
        <v>1</v>
      </c>
      <c r="L280" s="75">
        <f t="shared" si="334"/>
        <v>166</v>
      </c>
      <c r="M280" s="351">
        <f>IF(AL280="","",AL280)</f>
        <v>0</v>
      </c>
      <c r="N280" s="75">
        <f t="shared" si="353"/>
        <v>223</v>
      </c>
      <c r="O280" s="351">
        <f>IF(AN280="","",AN280)</f>
        <v>1</v>
      </c>
      <c r="P280" s="75">
        <f t="shared" si="335"/>
        <v>199</v>
      </c>
      <c r="Q280" s="351">
        <f>IF(AP280="","",AP280)</f>
        <v>0</v>
      </c>
      <c r="R280" s="75">
        <f t="shared" si="336"/>
        <v>176</v>
      </c>
      <c r="S280" s="351">
        <f>IF(AR280="","",AR280)</f>
        <v>0</v>
      </c>
      <c r="T280" s="75">
        <f t="shared" si="337"/>
        <v>204</v>
      </c>
      <c r="U280" s="351">
        <f>IF(AT280="","",AT280)</f>
        <v>0.5</v>
      </c>
      <c r="V280" s="75">
        <f t="shared" si="338"/>
        <v>1783</v>
      </c>
      <c r="W280" s="351">
        <f>IF(AV280="","",AV280)</f>
        <v>3.5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1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52"/>
      <c r="F281" s="78" t="str">
        <f t="shared" si="331"/>
        <v/>
      </c>
      <c r="G281" s="352"/>
      <c r="H281" s="78" t="str">
        <f t="shared" si="332"/>
        <v/>
      </c>
      <c r="I281" s="352"/>
      <c r="J281" s="78" t="str">
        <f t="shared" si="333"/>
        <v/>
      </c>
      <c r="K281" s="352"/>
      <c r="L281" s="78" t="str">
        <f t="shared" si="334"/>
        <v/>
      </c>
      <c r="M281" s="352"/>
      <c r="N281" s="78" t="str">
        <f t="shared" si="353"/>
        <v/>
      </c>
      <c r="O281" s="352"/>
      <c r="P281" s="78" t="str">
        <f t="shared" si="335"/>
        <v/>
      </c>
      <c r="Q281" s="352"/>
      <c r="R281" s="78" t="str">
        <f t="shared" si="336"/>
        <v/>
      </c>
      <c r="S281" s="352"/>
      <c r="T281" s="78" t="str">
        <f t="shared" si="337"/>
        <v/>
      </c>
      <c r="U281" s="352"/>
      <c r="V281" s="78" t="str">
        <f t="shared" si="338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2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3"/>
      <c r="F282" s="69" t="str">
        <f t="shared" si="331"/>
        <v/>
      </c>
      <c r="G282" s="353"/>
      <c r="H282" s="69" t="str">
        <f t="shared" si="332"/>
        <v/>
      </c>
      <c r="I282" s="353"/>
      <c r="J282" s="69" t="str">
        <f t="shared" si="333"/>
        <v/>
      </c>
      <c r="K282" s="353"/>
      <c r="L282" s="69" t="str">
        <f t="shared" si="334"/>
        <v/>
      </c>
      <c r="M282" s="353"/>
      <c r="N282" s="69" t="str">
        <f t="shared" si="353"/>
        <v/>
      </c>
      <c r="O282" s="353"/>
      <c r="P282" s="69" t="str">
        <f t="shared" si="335"/>
        <v/>
      </c>
      <c r="Q282" s="353"/>
      <c r="R282" s="69" t="str">
        <f t="shared" si="336"/>
        <v/>
      </c>
      <c r="S282" s="353"/>
      <c r="T282" s="69" t="str">
        <f t="shared" si="337"/>
        <v/>
      </c>
      <c r="U282" s="353"/>
      <c r="V282" s="69" t="str">
        <f t="shared" si="338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0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51">
        <f>IF(AD283="","",AD283)</f>
        <v>0</v>
      </c>
      <c r="F283" s="75">
        <f t="shared" si="331"/>
        <v>178</v>
      </c>
      <c r="G283" s="351">
        <f>IF(AF283="","",AF283)</f>
        <v>1</v>
      </c>
      <c r="H283" s="75">
        <f t="shared" si="332"/>
        <v>159</v>
      </c>
      <c r="I283" s="351">
        <f>IF(AH283="","",AH283)</f>
        <v>0</v>
      </c>
      <c r="J283" s="75">
        <f t="shared" si="333"/>
        <v>172</v>
      </c>
      <c r="K283" s="351">
        <f>IF(AJ283="","",AJ283)</f>
        <v>0</v>
      </c>
      <c r="L283" s="75" t="str">
        <f t="shared" si="334"/>
        <v/>
      </c>
      <c r="M283" s="351">
        <f>IF(AL283="","",AL283)</f>
        <v>0</v>
      </c>
      <c r="N283" s="75" t="str">
        <f t="shared" si="353"/>
        <v/>
      </c>
      <c r="O283" s="351">
        <f>IF(AN283="","",AN283)</f>
        <v>0</v>
      </c>
      <c r="P283" s="75">
        <f t="shared" si="335"/>
        <v>167</v>
      </c>
      <c r="Q283" s="351">
        <f>IF(AP283="","",AP283)</f>
        <v>0</v>
      </c>
      <c r="R283" s="75">
        <f t="shared" si="336"/>
        <v>172</v>
      </c>
      <c r="S283" s="351">
        <f>IF(AR283="","",AR283)</f>
        <v>1</v>
      </c>
      <c r="T283" s="75">
        <f t="shared" si="337"/>
        <v>200</v>
      </c>
      <c r="U283" s="351">
        <f>IF(AT283="","",AT283)</f>
        <v>1</v>
      </c>
      <c r="V283" s="75">
        <f t="shared" si="338"/>
        <v>1236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1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52"/>
      <c r="F284" s="78" t="str">
        <f t="shared" si="331"/>
        <v/>
      </c>
      <c r="G284" s="352"/>
      <c r="H284" s="78" t="str">
        <f t="shared" si="332"/>
        <v/>
      </c>
      <c r="I284" s="352"/>
      <c r="J284" s="78" t="str">
        <f t="shared" si="333"/>
        <v/>
      </c>
      <c r="K284" s="352"/>
      <c r="L284" s="78">
        <f t="shared" si="334"/>
        <v>170</v>
      </c>
      <c r="M284" s="352"/>
      <c r="N284" s="78">
        <f t="shared" si="353"/>
        <v>130</v>
      </c>
      <c r="O284" s="352"/>
      <c r="P284" s="78" t="str">
        <f t="shared" si="335"/>
        <v/>
      </c>
      <c r="Q284" s="352"/>
      <c r="R284" s="78" t="str">
        <f t="shared" si="336"/>
        <v/>
      </c>
      <c r="S284" s="352"/>
      <c r="T284" s="78" t="str">
        <f t="shared" si="337"/>
        <v/>
      </c>
      <c r="U284" s="352"/>
      <c r="V284" s="78">
        <f t="shared" si="338"/>
        <v>300</v>
      </c>
      <c r="W284" s="352"/>
      <c r="Z284" s="355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2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3"/>
      <c r="F285" s="69" t="str">
        <f t="shared" si="331"/>
        <v/>
      </c>
      <c r="G285" s="353"/>
      <c r="H285" s="69" t="str">
        <f t="shared" si="332"/>
        <v/>
      </c>
      <c r="I285" s="353"/>
      <c r="J285" s="69" t="str">
        <f t="shared" si="333"/>
        <v/>
      </c>
      <c r="K285" s="353"/>
      <c r="L285" s="69" t="str">
        <f t="shared" si="334"/>
        <v/>
      </c>
      <c r="M285" s="353"/>
      <c r="N285" s="69" t="str">
        <f t="shared" si="353"/>
        <v/>
      </c>
      <c r="O285" s="353"/>
      <c r="P285" s="69" t="str">
        <f t="shared" si="335"/>
        <v/>
      </c>
      <c r="Q285" s="353"/>
      <c r="R285" s="69" t="str">
        <f t="shared" si="336"/>
        <v/>
      </c>
      <c r="S285" s="353"/>
      <c r="T285" s="69" t="str">
        <f t="shared" si="337"/>
        <v/>
      </c>
      <c r="U285" s="353"/>
      <c r="V285" s="69" t="str">
        <f t="shared" si="338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51">
        <f>IF(AD286="","",AD286)</f>
        <v>0</v>
      </c>
      <c r="F286" s="75">
        <f t="shared" si="331"/>
        <v>147</v>
      </c>
      <c r="G286" s="351">
        <f>IF(AF286="","",AF286)</f>
        <v>0</v>
      </c>
      <c r="H286" s="75" t="str">
        <f t="shared" si="332"/>
        <v/>
      </c>
      <c r="I286" s="351">
        <f>IF(AH286="","",AH286)</f>
        <v>1</v>
      </c>
      <c r="J286" s="75" t="str">
        <f t="shared" si="333"/>
        <v/>
      </c>
      <c r="K286" s="351">
        <f>IF(AJ286="","",AJ286)</f>
        <v>0</v>
      </c>
      <c r="L286" s="75" t="str">
        <f t="shared" si="334"/>
        <v/>
      </c>
      <c r="M286" s="351">
        <f>IF(AL286="","",AL286)</f>
        <v>1</v>
      </c>
      <c r="N286" s="75" t="str">
        <f t="shared" si="353"/>
        <v/>
      </c>
      <c r="O286" s="351">
        <f>IF(AN286="","",AN286)</f>
        <v>1</v>
      </c>
      <c r="P286" s="75" t="str">
        <f t="shared" si="335"/>
        <v/>
      </c>
      <c r="Q286" s="351">
        <f>IF(AP286="","",AP286)</f>
        <v>1</v>
      </c>
      <c r="R286" s="75" t="str">
        <f t="shared" si="336"/>
        <v/>
      </c>
      <c r="S286" s="351">
        <f>IF(AR286="","",AR286)</f>
        <v>0</v>
      </c>
      <c r="T286" s="75" t="str">
        <f t="shared" si="337"/>
        <v/>
      </c>
      <c r="U286" s="351">
        <f>IF(AT286="","",AT286)</f>
        <v>1</v>
      </c>
      <c r="V286" s="75">
        <f t="shared" si="338"/>
        <v>302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52"/>
      <c r="F287" s="78" t="str">
        <f t="shared" si="331"/>
        <v/>
      </c>
      <c r="G287" s="352"/>
      <c r="H287" s="78">
        <f t="shared" si="332"/>
        <v>180</v>
      </c>
      <c r="I287" s="352"/>
      <c r="J287" s="78">
        <f t="shared" si="333"/>
        <v>214</v>
      </c>
      <c r="K287" s="352"/>
      <c r="L287" s="78">
        <f t="shared" si="334"/>
        <v>199</v>
      </c>
      <c r="M287" s="352"/>
      <c r="N287" s="78">
        <f t="shared" si="353"/>
        <v>184</v>
      </c>
      <c r="O287" s="352"/>
      <c r="P287" s="78">
        <f t="shared" si="335"/>
        <v>193</v>
      </c>
      <c r="Q287" s="352"/>
      <c r="R287" s="78">
        <f t="shared" si="336"/>
        <v>159</v>
      </c>
      <c r="S287" s="352"/>
      <c r="T287" s="78">
        <f t="shared" si="337"/>
        <v>216</v>
      </c>
      <c r="U287" s="352"/>
      <c r="V287" s="78">
        <f t="shared" si="338"/>
        <v>1345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3"/>
      <c r="F288" s="69" t="str">
        <f t="shared" si="331"/>
        <v/>
      </c>
      <c r="G288" s="353"/>
      <c r="H288" s="69" t="str">
        <f t="shared" si="332"/>
        <v/>
      </c>
      <c r="I288" s="353"/>
      <c r="J288" s="69" t="str">
        <f t="shared" si="333"/>
        <v/>
      </c>
      <c r="K288" s="353"/>
      <c r="L288" s="69" t="str">
        <f t="shared" si="334"/>
        <v/>
      </c>
      <c r="M288" s="353"/>
      <c r="N288" s="69" t="str">
        <f t="shared" si="353"/>
        <v/>
      </c>
      <c r="O288" s="353"/>
      <c r="P288" s="69" t="str">
        <f t="shared" si="335"/>
        <v/>
      </c>
      <c r="Q288" s="353"/>
      <c r="R288" s="69" t="str">
        <f t="shared" si="336"/>
        <v/>
      </c>
      <c r="S288" s="353"/>
      <c r="T288" s="69" t="str">
        <f t="shared" si="337"/>
        <v/>
      </c>
      <c r="U288" s="353"/>
      <c r="V288" s="69" t="str">
        <f t="shared" si="338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9">
        <f t="shared" ref="D292:M294" si="366">IF(AC292=0,"",AC292)</f>
        <v>8</v>
      </c>
      <c r="E292" s="349" t="str">
        <f t="shared" si="366"/>
        <v/>
      </c>
      <c r="F292" s="349">
        <f t="shared" si="366"/>
        <v>3</v>
      </c>
      <c r="G292" s="349" t="str">
        <f t="shared" si="366"/>
        <v/>
      </c>
      <c r="H292" s="349">
        <f t="shared" si="366"/>
        <v>7</v>
      </c>
      <c r="I292" s="349" t="str">
        <f t="shared" si="366"/>
        <v/>
      </c>
      <c r="J292" s="349">
        <f t="shared" si="366"/>
        <v>4</v>
      </c>
      <c r="K292" s="349" t="str">
        <f t="shared" si="366"/>
        <v/>
      </c>
      <c r="L292" s="349">
        <f t="shared" si="366"/>
        <v>1</v>
      </c>
      <c r="M292" s="349" t="str">
        <f t="shared" si="366"/>
        <v/>
      </c>
      <c r="N292" s="349">
        <f t="shared" ref="N292:U294" si="367">IF(AM292=0,"",AM292)</f>
        <v>9</v>
      </c>
      <c r="O292" s="349" t="str">
        <f t="shared" si="367"/>
        <v/>
      </c>
      <c r="P292" s="349">
        <f t="shared" si="367"/>
        <v>2</v>
      </c>
      <c r="Q292" s="349" t="str">
        <f t="shared" si="367"/>
        <v/>
      </c>
      <c r="R292" s="349">
        <f t="shared" si="367"/>
        <v>5</v>
      </c>
      <c r="S292" s="349" t="str">
        <f t="shared" si="367"/>
        <v/>
      </c>
      <c r="T292" s="349">
        <f t="shared" si="367"/>
        <v>6</v>
      </c>
      <c r="U292" s="349" t="str">
        <f t="shared" si="367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VLOOKUP($AA272,Schlüssel!$A$5:$K$14,3)</f>
        <v>8</v>
      </c>
      <c r="AD292" s="374"/>
      <c r="AE292" s="373">
        <f>VLOOKUP($AA272,Schlüssel!$A$5:$K$14,4)</f>
        <v>3</v>
      </c>
      <c r="AF292" s="374"/>
      <c r="AG292" s="373">
        <f>VLOOKUP($AA272,Schlüssel!$A$5:$K$14,5)</f>
        <v>7</v>
      </c>
      <c r="AH292" s="374"/>
      <c r="AI292" s="373">
        <f>VLOOKUP($AA272,Schlüssel!$A$5:$K$14,6)</f>
        <v>4</v>
      </c>
      <c r="AJ292" s="374"/>
      <c r="AK292" s="373">
        <f>VLOOKUP($AA272,Schlüssel!$A$5:$K$14,7)</f>
        <v>1</v>
      </c>
      <c r="AL292" s="374"/>
      <c r="AM292" s="373">
        <f>VLOOKUP($AA272,Schlüssel!$A$5:$K$14,8)</f>
        <v>9</v>
      </c>
      <c r="AN292" s="374"/>
      <c r="AO292" s="373">
        <f>VLOOKUP($AA272,Schlüssel!$A$5:$K$14,9)</f>
        <v>2</v>
      </c>
      <c r="AP292" s="374"/>
      <c r="AQ292" s="373">
        <f>VLOOKUP($AA272,Schlüssel!$A$5:$K$14,10)</f>
        <v>5</v>
      </c>
      <c r="AR292" s="374"/>
      <c r="AS292" s="373">
        <f>VLOOKUP($AA272,Schlüssel!$A$5:$K$14,11)</f>
        <v>6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6" t="str">
        <f t="shared" si="366"/>
        <v>BC EMAX Unterföhring 2</v>
      </c>
      <c r="E293" s="347" t="str">
        <f t="shared" si="366"/>
        <v/>
      </c>
      <c r="F293" s="346" t="str">
        <f t="shared" si="366"/>
        <v>BK München 3</v>
      </c>
      <c r="G293" s="347" t="str">
        <f t="shared" si="366"/>
        <v/>
      </c>
      <c r="H293" s="346" t="str">
        <f t="shared" si="366"/>
        <v>Schanzer Ingolstadt 1</v>
      </c>
      <c r="I293" s="347" t="str">
        <f t="shared" si="366"/>
        <v/>
      </c>
      <c r="J293" s="346" t="str">
        <f t="shared" si="366"/>
        <v>SG DJK Rimpar</v>
      </c>
      <c r="K293" s="347" t="str">
        <f t="shared" si="366"/>
        <v/>
      </c>
      <c r="L293" s="346" t="str">
        <f t="shared" si="366"/>
        <v>BC Comet Nürnberg</v>
      </c>
      <c r="M293" s="347" t="str">
        <f t="shared" si="366"/>
        <v/>
      </c>
      <c r="N293" s="346" t="str">
        <f t="shared" si="367"/>
        <v>Bowlinghaus Bamberg 1</v>
      </c>
      <c r="O293" s="347" t="str">
        <f t="shared" si="367"/>
        <v/>
      </c>
      <c r="P293" s="346" t="str">
        <f t="shared" si="367"/>
        <v>Bajuwaren München 1</v>
      </c>
      <c r="Q293" s="347" t="str">
        <f t="shared" si="367"/>
        <v/>
      </c>
      <c r="R293" s="346" t="str">
        <f t="shared" si="367"/>
        <v>RW Lichtenhof Stein 1</v>
      </c>
      <c r="S293" s="347" t="str">
        <f t="shared" si="367"/>
        <v/>
      </c>
      <c r="T293" s="346" t="str">
        <f t="shared" si="367"/>
        <v>SG Rottendorf 1</v>
      </c>
      <c r="U293" s="347" t="str">
        <f t="shared" si="367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BK München 3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Bajuwaren München 1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SG Rottendorf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4" t="str">
        <f t="shared" si="366"/>
        <v/>
      </c>
      <c r="E294" s="344" t="str">
        <f t="shared" si="366"/>
        <v/>
      </c>
      <c r="F294" s="344" t="str">
        <f t="shared" si="366"/>
        <v/>
      </c>
      <c r="G294" s="344" t="str">
        <f t="shared" si="366"/>
        <v/>
      </c>
      <c r="H294" s="344" t="str">
        <f t="shared" si="366"/>
        <v/>
      </c>
      <c r="I294" s="344" t="str">
        <f t="shared" si="366"/>
        <v/>
      </c>
      <c r="J294" s="344" t="str">
        <f t="shared" si="366"/>
        <v/>
      </c>
      <c r="K294" s="344" t="str">
        <f t="shared" si="366"/>
        <v/>
      </c>
      <c r="L294" s="344" t="str">
        <f t="shared" si="366"/>
        <v/>
      </c>
      <c r="M294" s="344" t="str">
        <f t="shared" si="366"/>
        <v/>
      </c>
      <c r="N294" s="344" t="str">
        <f t="shared" si="367"/>
        <v/>
      </c>
      <c r="O294" s="344" t="str">
        <f t="shared" si="367"/>
        <v/>
      </c>
      <c r="P294" s="344" t="str">
        <f t="shared" si="367"/>
        <v/>
      </c>
      <c r="Q294" s="344" t="str">
        <f t="shared" si="367"/>
        <v/>
      </c>
      <c r="R294" s="344" t="str">
        <f t="shared" si="367"/>
        <v/>
      </c>
      <c r="S294" s="344" t="str">
        <f t="shared" si="367"/>
        <v/>
      </c>
      <c r="T294" s="344" t="str">
        <f t="shared" si="367"/>
        <v/>
      </c>
      <c r="U294" s="345" t="str">
        <f t="shared" si="367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si="364"/>
        <v>Spieler 1</v>
      </c>
      <c r="C295" s="369" t="str">
        <f t="shared" si="365"/>
        <v/>
      </c>
      <c r="D295" s="342">
        <f>IF(AC295=301,"",AC295)</f>
        <v>194</v>
      </c>
      <c r="E295" s="342" t="str">
        <f>IF(AD295=0,"",AD295)</f>
        <v/>
      </c>
      <c r="F295" s="342">
        <f>IF(AE295=301,"",AE295)</f>
        <v>269</v>
      </c>
      <c r="G295" s="342" t="str">
        <f>IF(AF295=0,"",AF295)</f>
        <v/>
      </c>
      <c r="H295" s="342">
        <f>IF(AG295=301,"",AG295)</f>
        <v>148</v>
      </c>
      <c r="I295" s="342" t="str">
        <f>IF(AH295=0,"",AH295)</f>
        <v/>
      </c>
      <c r="J295" s="342">
        <f>IF(AI295=301,"",AI295)</f>
        <v>215</v>
      </c>
      <c r="K295" s="342" t="str">
        <f>IF(AJ295=0,"",AJ295)</f>
        <v/>
      </c>
      <c r="L295" s="342">
        <f>IF(AK295=301,"",AK295)</f>
        <v>169</v>
      </c>
      <c r="M295" s="342" t="str">
        <f>IF(AL295=0,"",AL295)</f>
        <v/>
      </c>
      <c r="N295" s="342">
        <f>IF(AM295=301,"",AM295)</f>
        <v>183</v>
      </c>
      <c r="O295" s="342" t="str">
        <f>IF(AN295=0,"",AN295)</f>
        <v/>
      </c>
      <c r="P295" s="342">
        <f>IF(AO295=301,"",AO295)</f>
        <v>236</v>
      </c>
      <c r="Q295" s="342" t="str">
        <f>IF(AP295=0,"",AP295)</f>
        <v/>
      </c>
      <c r="R295" s="342">
        <f>IF(AQ295=301,"",AQ295)</f>
        <v>201</v>
      </c>
      <c r="S295" s="342" t="str">
        <f>IF(AR295=0,"",AR295)</f>
        <v/>
      </c>
      <c r="T295" s="342">
        <f>IF(AS295=301,"",AS295)</f>
        <v>236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194</v>
      </c>
      <c r="AD295" s="376"/>
      <c r="AE295" s="375">
        <f>ABS(INDEX(AE:AE,MATCH(AE292,$AA:$AA,0)+5)+INDEX(AE:AE,MATCH(AE292,$AA:$AA,0)+6)+INDEX(AE:AE,MATCH(AE292,$AA:$AA,0)+7))</f>
        <v>269</v>
      </c>
      <c r="AF295" s="376"/>
      <c r="AG295" s="375">
        <f>ABS(INDEX(AG:AG,MATCH(AG292,$AA:$AA,0)+5)+INDEX(AG:AG,MATCH(AG292,$AA:$AA,0)+6)+INDEX(AG:AG,MATCH(AG292,$AA:$AA,0)+7))</f>
        <v>148</v>
      </c>
      <c r="AH295" s="376"/>
      <c r="AI295" s="375">
        <f>ABS(INDEX(AI:AI,MATCH(AI292,$AA:$AA,0)+5)+INDEX(AI:AI,MATCH(AI292,$AA:$AA,0)+6)+INDEX(AI:AI,MATCH(AI292,$AA:$AA,0)+7))</f>
        <v>215</v>
      </c>
      <c r="AJ295" s="376"/>
      <c r="AK295" s="375">
        <f>ABS(INDEX(AK:AK,MATCH(AK292,$AA:$AA,0)+5)+INDEX(AK:AK,MATCH(AK292,$AA:$AA,0)+6)+INDEX(AK:AK,MATCH(AK292,$AA:$AA,0)+7))</f>
        <v>169</v>
      </c>
      <c r="AL295" s="376"/>
      <c r="AM295" s="375">
        <f>ABS(INDEX(AM:AM,MATCH(AM292,$AA:$AA,0)+5)+INDEX(AM:AM,MATCH(AM292,$AA:$AA,0)+6)+INDEX(AM:AM,MATCH(AM292,$AA:$AA,0)+7))</f>
        <v>183</v>
      </c>
      <c r="AN295" s="376"/>
      <c r="AO295" s="375">
        <f>ABS(INDEX(AO:AO,MATCH(AO292,$AA:$AA,0)+5)+INDEX(AO:AO,MATCH(AO292,$AA:$AA,0)+6)+INDEX(AO:AO,MATCH(AO292,$AA:$AA,0)+7))</f>
        <v>236</v>
      </c>
      <c r="AP295" s="376"/>
      <c r="AQ295" s="375">
        <f>ABS(INDEX(AQ:AQ,MATCH(AQ292,$AA:$AA,0)+5)+INDEX(AQ:AQ,MATCH(AQ292,$AA:$AA,0)+6)+INDEX(AQ:AQ,MATCH(AQ292,$AA:$AA,0)+7))</f>
        <v>201</v>
      </c>
      <c r="AR295" s="376"/>
      <c r="AS295" s="375">
        <f>ABS(INDEX(AS:AS,MATCH(AS292,$AA:$AA,0)+5)+INDEX(AS:AS,MATCH(AS292,$AA:$AA,0)+6)+INDEX(AS:AS,MATCH(AS292,$AA:$AA,0)+7))</f>
        <v>236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64"/>
        <v>Spieler 2</v>
      </c>
      <c r="C296" s="369" t="str">
        <f t="shared" si="365"/>
        <v/>
      </c>
      <c r="D296" s="342">
        <f>IF(AC296=301,"",AC296)</f>
        <v>224</v>
      </c>
      <c r="E296" s="342" t="str">
        <f>IF(AD296=0,"",AD296)</f>
        <v/>
      </c>
      <c r="F296" s="342">
        <f>IF(AE296=301,"",AE296)</f>
        <v>235</v>
      </c>
      <c r="G296" s="342" t="str">
        <f>IF(AF296=0,"",AF296)</f>
        <v/>
      </c>
      <c r="H296" s="342">
        <f>IF(AG296=301,"",AG296)</f>
        <v>138</v>
      </c>
      <c r="I296" s="342" t="str">
        <f>IF(AH296=0,"",AH296)</f>
        <v/>
      </c>
      <c r="J296" s="342">
        <f>IF(AI296=301,"",AI296)</f>
        <v>191</v>
      </c>
      <c r="K296" s="342" t="str">
        <f>IF(AJ296=0,"",AJ296)</f>
        <v/>
      </c>
      <c r="L296" s="342">
        <f>IF(AK296=301,"",AK296)</f>
        <v>238</v>
      </c>
      <c r="M296" s="342" t="str">
        <f>IF(AL296=0,"",AL296)</f>
        <v/>
      </c>
      <c r="N296" s="342">
        <f>IF(AM296=301,"",AM296)</f>
        <v>199</v>
      </c>
      <c r="O296" s="342" t="str">
        <f>IF(AN296=0,"",AN296)</f>
        <v/>
      </c>
      <c r="P296" s="342">
        <f>IF(AO296=301,"",AO296)</f>
        <v>219</v>
      </c>
      <c r="Q296" s="342" t="str">
        <f>IF(AP296=0,"",AP296)</f>
        <v/>
      </c>
      <c r="R296" s="342">
        <f>IF(AQ296=301,"",AQ296)</f>
        <v>179</v>
      </c>
      <c r="S296" s="342" t="str">
        <f>IF(AR296=0,"",AR296)</f>
        <v/>
      </c>
      <c r="T296" s="342">
        <f>IF(AS296=301,"",AS296)</f>
        <v>204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224</v>
      </c>
      <c r="AD296" s="378"/>
      <c r="AE296" s="377">
        <f>ABS(INDEX(AE:AE,MATCH(AE292,$AA:$AA,0)+8)+INDEX(AE:AE,MATCH(AE292,$AA:$AA,0)+9)+INDEX(AE:AE,MATCH(AE292,$AA:$AA,0)+10))</f>
        <v>235</v>
      </c>
      <c r="AF296" s="378"/>
      <c r="AG296" s="377">
        <f>ABS(INDEX(AG:AG,MATCH(AG292,$AA:$AA,0)+8)+INDEX(AG:AG,MATCH(AG292,$AA:$AA,0)+9)+INDEX(AG:AG,MATCH(AG292,$AA:$AA,0)+10))</f>
        <v>138</v>
      </c>
      <c r="AH296" s="378"/>
      <c r="AI296" s="377">
        <f>ABS(INDEX(AI:AI,MATCH(AI292,$AA:$AA,0)+8)+INDEX(AI:AI,MATCH(AI292,$AA:$AA,0)+9)+INDEX(AI:AI,MATCH(AI292,$AA:$AA,0)+10))</f>
        <v>191</v>
      </c>
      <c r="AJ296" s="378"/>
      <c r="AK296" s="377">
        <f>ABS(INDEX(AK:AK,MATCH(AK292,$AA:$AA,0)+8)+INDEX(AK:AK,MATCH(AK292,$AA:$AA,0)+9)+INDEX(AK:AK,MATCH(AK292,$AA:$AA,0)+10))</f>
        <v>238</v>
      </c>
      <c r="AL296" s="378"/>
      <c r="AM296" s="377">
        <f>ABS(INDEX(AM:AM,MATCH(AM292,$AA:$AA,0)+8)+INDEX(AM:AM,MATCH(AM292,$AA:$AA,0)+9)+INDEX(AM:AM,MATCH(AM292,$AA:$AA,0)+10))</f>
        <v>199</v>
      </c>
      <c r="AN296" s="378"/>
      <c r="AO296" s="377">
        <f>ABS(INDEX(AO:AO,MATCH(AO292,$AA:$AA,0)+8)+INDEX(AO:AO,MATCH(AO292,$AA:$AA,0)+9)+INDEX(AO:AO,MATCH(AO292,$AA:$AA,0)+10))</f>
        <v>219</v>
      </c>
      <c r="AP296" s="378"/>
      <c r="AQ296" s="377">
        <f>ABS(INDEX(AQ:AQ,MATCH(AQ292,$AA:$AA,0)+8)+INDEX(AQ:AQ,MATCH(AQ292,$AA:$AA,0)+9)+INDEX(AQ:AQ,MATCH(AQ292,$AA:$AA,0)+10))</f>
        <v>179</v>
      </c>
      <c r="AR296" s="378"/>
      <c r="AS296" s="377">
        <f>ABS(INDEX(AS:AS,MATCH(AS292,$AA:$AA,0)+8)+INDEX(AS:AS,MATCH(AS292,$AA:$AA,0)+9)+INDEX(AS:AS,MATCH(AS292,$AA:$AA,0)+10))</f>
        <v>204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64"/>
        <v>Spieler 3</v>
      </c>
      <c r="C297" s="369" t="str">
        <f t="shared" si="365"/>
        <v/>
      </c>
      <c r="D297" s="342">
        <f>IF(AC297=301,"",AC297)</f>
        <v>200</v>
      </c>
      <c r="E297" s="342" t="str">
        <f>IF(AD297=0,"",AD297)</f>
        <v/>
      </c>
      <c r="F297" s="342">
        <f>IF(AE297=301,"",AE297)</f>
        <v>147</v>
      </c>
      <c r="G297" s="342" t="str">
        <f>IF(AF297=0,"",AF297)</f>
        <v/>
      </c>
      <c r="H297" s="342">
        <f>IF(AG297=301,"",AG297)</f>
        <v>168</v>
      </c>
      <c r="I297" s="342" t="str">
        <f>IF(AH297=0,"",AH297)</f>
        <v/>
      </c>
      <c r="J297" s="342">
        <f>IF(AI297=301,"",AI297)</f>
        <v>176</v>
      </c>
      <c r="K297" s="342" t="str">
        <f>IF(AJ297=0,"",AJ297)</f>
        <v/>
      </c>
      <c r="L297" s="342">
        <f>IF(AK297=301,"",AK297)</f>
        <v>246</v>
      </c>
      <c r="M297" s="342" t="str">
        <f>IF(AL297=0,"",AL297)</f>
        <v/>
      </c>
      <c r="N297" s="342">
        <f>IF(AM297=301,"",AM297)</f>
        <v>202</v>
      </c>
      <c r="O297" s="342" t="str">
        <f>IF(AN297=0,"",AN297)</f>
        <v/>
      </c>
      <c r="P297" s="342">
        <f>IF(AO297=301,"",AO297)</f>
        <v>200</v>
      </c>
      <c r="Q297" s="342" t="str">
        <f>IF(AP297=0,"",AP297)</f>
        <v/>
      </c>
      <c r="R297" s="342">
        <f>IF(AQ297=301,"",AQ297)</f>
        <v>162</v>
      </c>
      <c r="S297" s="342" t="str">
        <f>IF(AR297=0,"",AR297)</f>
        <v/>
      </c>
      <c r="T297" s="342">
        <f>IF(AS297=301,"",AS297)</f>
        <v>177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200</v>
      </c>
      <c r="AD297" s="378"/>
      <c r="AE297" s="377">
        <f>ABS(INDEX(AE:AE,MATCH(AE292,$AA:$AA,0)+11)+INDEX(AE:AE,MATCH(AE292,$AA:$AA,0)+12)+INDEX(AE:AE,MATCH(AE292,$AA:$AA,0)+13))</f>
        <v>147</v>
      </c>
      <c r="AF297" s="378"/>
      <c r="AG297" s="377">
        <f>ABS(INDEX(AG:AG,MATCH(AG292,$AA:$AA,0)+11)+INDEX(AG:AG,MATCH(AG292,$AA:$AA,0)+12)+INDEX(AG:AG,MATCH(AG292,$AA:$AA,0)+13))</f>
        <v>168</v>
      </c>
      <c r="AH297" s="378"/>
      <c r="AI297" s="377">
        <f>ABS(INDEX(AI:AI,MATCH(AI292,$AA:$AA,0)+11)+INDEX(AI:AI,MATCH(AI292,$AA:$AA,0)+12)+INDEX(AI:AI,MATCH(AI292,$AA:$AA,0)+13))</f>
        <v>176</v>
      </c>
      <c r="AJ297" s="378"/>
      <c r="AK297" s="377">
        <f>ABS(INDEX(AK:AK,MATCH(AK292,$AA:$AA,0)+11)+INDEX(AK:AK,MATCH(AK292,$AA:$AA,0)+12)+INDEX(AK:AK,MATCH(AK292,$AA:$AA,0)+13))</f>
        <v>246</v>
      </c>
      <c r="AL297" s="378"/>
      <c r="AM297" s="377">
        <f>ABS(INDEX(AM:AM,MATCH(AM292,$AA:$AA,0)+11)+INDEX(AM:AM,MATCH(AM292,$AA:$AA,0)+12)+INDEX(AM:AM,MATCH(AM292,$AA:$AA,0)+13))</f>
        <v>202</v>
      </c>
      <c r="AN297" s="378"/>
      <c r="AO297" s="377">
        <f>ABS(INDEX(AO:AO,MATCH(AO292,$AA:$AA,0)+11)+INDEX(AO:AO,MATCH(AO292,$AA:$AA,0)+12)+INDEX(AO:AO,MATCH(AO292,$AA:$AA,0)+13))</f>
        <v>200</v>
      </c>
      <c r="AP297" s="378"/>
      <c r="AQ297" s="377">
        <f>ABS(INDEX(AQ:AQ,MATCH(AQ292,$AA:$AA,0)+11)+INDEX(AQ:AQ,MATCH(AQ292,$AA:$AA,0)+12)+INDEX(AQ:AQ,MATCH(AQ292,$AA:$AA,0)+13))</f>
        <v>162</v>
      </c>
      <c r="AR297" s="378"/>
      <c r="AS297" s="377">
        <f>ABS(INDEX(AS:AS,MATCH(AS292,$AA:$AA,0)+11)+INDEX(AS:AS,MATCH(AS292,$AA:$AA,0)+12)+INDEX(AS:AS,MATCH(AS292,$AA:$AA,0)+13))</f>
        <v>177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64"/>
        <v>Spieler 4</v>
      </c>
      <c r="C298" s="369" t="str">
        <f t="shared" si="365"/>
        <v/>
      </c>
      <c r="D298" s="342">
        <f>IF(AC298=301,"",AC298)</f>
        <v>258</v>
      </c>
      <c r="E298" s="342" t="str">
        <f>IF(AD298=0,"",AD298)</f>
        <v/>
      </c>
      <c r="F298" s="342">
        <f>IF(AE298=301,"",AE298)</f>
        <v>193</v>
      </c>
      <c r="G298" s="342" t="str">
        <f>IF(AF298=0,"",AF298)</f>
        <v/>
      </c>
      <c r="H298" s="342">
        <f>IF(AG298=301,"",AG298)</f>
        <v>166</v>
      </c>
      <c r="I298" s="342" t="str">
        <f>IF(AH298=0,"",AH298)</f>
        <v/>
      </c>
      <c r="J298" s="342">
        <f>IF(AI298=301,"",AI298)</f>
        <v>236</v>
      </c>
      <c r="K298" s="342" t="str">
        <f>IF(AJ298=0,"",AJ298)</f>
        <v/>
      </c>
      <c r="L298" s="342">
        <f>IF(AK298=301,"",AK298)</f>
        <v>176</v>
      </c>
      <c r="M298" s="342" t="str">
        <f>IF(AL298=0,"",AL298)</f>
        <v/>
      </c>
      <c r="N298" s="342">
        <f>IF(AM298=301,"",AM298)</f>
        <v>179</v>
      </c>
      <c r="O298" s="342" t="str">
        <f>IF(AN298=0,"",AN298)</f>
        <v/>
      </c>
      <c r="P298" s="342">
        <f>IF(AO298=301,"",AO298)</f>
        <v>160</v>
      </c>
      <c r="Q298" s="342" t="str">
        <f>IF(AP298=0,"",AP298)</f>
        <v/>
      </c>
      <c r="R298" s="342">
        <f>IF(AQ298=301,"",AQ298)</f>
        <v>218</v>
      </c>
      <c r="S298" s="342" t="str">
        <f>IF(AR298=0,"",AR298)</f>
        <v/>
      </c>
      <c r="T298" s="342">
        <f>IF(AS298=301,"",AS298)</f>
        <v>185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258</v>
      </c>
      <c r="AD298" s="378"/>
      <c r="AE298" s="377">
        <f>ABS(INDEX(AE:AE,MATCH(AE292,$AA:$AA,0)+14)+INDEX(AE:AE,MATCH(AE292,$AA:$AA,0)+15)+INDEX(AE:AE,MATCH(AE292,$AA:$AA,0)+16))</f>
        <v>193</v>
      </c>
      <c r="AF298" s="378"/>
      <c r="AG298" s="377">
        <f>ABS(INDEX(AG:AG,MATCH(AG292,$AA:$AA,0)+14)+INDEX(AG:AG,MATCH(AG292,$AA:$AA,0)+15)+INDEX(AG:AG,MATCH(AG292,$AA:$AA,0)+16))</f>
        <v>166</v>
      </c>
      <c r="AH298" s="378"/>
      <c r="AI298" s="377">
        <f>ABS(INDEX(AI:AI,MATCH(AI292,$AA:$AA,0)+14)+INDEX(AI:AI,MATCH(AI292,$AA:$AA,0)+15)+INDEX(AI:AI,MATCH(AI292,$AA:$AA,0)+16))</f>
        <v>236</v>
      </c>
      <c r="AJ298" s="378"/>
      <c r="AK298" s="377">
        <f>ABS(INDEX(AK:AK,MATCH(AK292,$AA:$AA,0)+14)+INDEX(AK:AK,MATCH(AK292,$AA:$AA,0)+15)+INDEX(AK:AK,MATCH(AK292,$AA:$AA,0)+16))</f>
        <v>176</v>
      </c>
      <c r="AL298" s="378"/>
      <c r="AM298" s="377">
        <f>ABS(INDEX(AM:AM,MATCH(AM292,$AA:$AA,0)+14)+INDEX(AM:AM,MATCH(AM292,$AA:$AA,0)+15)+INDEX(AM:AM,MATCH(AM292,$AA:$AA,0)+16))</f>
        <v>179</v>
      </c>
      <c r="AN298" s="378"/>
      <c r="AO298" s="377">
        <f>ABS(INDEX(AO:AO,MATCH(AO292,$AA:$AA,0)+14)+INDEX(AO:AO,MATCH(AO292,$AA:$AA,0)+15)+INDEX(AO:AO,MATCH(AO292,$AA:$AA,0)+16))</f>
        <v>160</v>
      </c>
      <c r="AP298" s="378"/>
      <c r="AQ298" s="377">
        <f>ABS(INDEX(AQ:AQ,MATCH(AQ292,$AA:$AA,0)+14)+INDEX(AQ:AQ,MATCH(AQ292,$AA:$AA,0)+15)+INDEX(AQ:AQ,MATCH(AQ292,$AA:$AA,0)+16))</f>
        <v>218</v>
      </c>
      <c r="AR298" s="378"/>
      <c r="AS298" s="377">
        <f>ABS(INDEX(AS:AS,MATCH(AS292,$AA:$AA,0)+14)+INDEX(AS:AS,MATCH(AS292,$AA:$AA,0)+15)+INDEX(AS:AS,MATCH(AS292,$AA:$AA,0)+16))</f>
        <v>185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64"/>
        <v>Gesamt</v>
      </c>
      <c r="C299" s="358" t="str">
        <f t="shared" si="365"/>
        <v/>
      </c>
      <c r="D299" s="341">
        <f>IF(AC299=1505,"",AC299)</f>
        <v>876</v>
      </c>
      <c r="E299" s="341" t="str">
        <f>IF(AD299=0,"",AD299)</f>
        <v/>
      </c>
      <c r="F299" s="341">
        <f>IF(AE299=1505,"",AE299)</f>
        <v>844</v>
      </c>
      <c r="G299" s="341" t="str">
        <f>IF(AF299=0,"",AF299)</f>
        <v/>
      </c>
      <c r="H299" s="341">
        <f>IF(AG299=1505,"",AG299)</f>
        <v>620</v>
      </c>
      <c r="I299" s="341" t="str">
        <f>IF(AH299=0,"",AH299)</f>
        <v/>
      </c>
      <c r="J299" s="341">
        <f>IF(AI299=1505,"",AI299)</f>
        <v>818</v>
      </c>
      <c r="K299" s="341" t="str">
        <f>IF(AJ299=0,"",AJ299)</f>
        <v/>
      </c>
      <c r="L299" s="341">
        <f>IF(AK299=1505,"",AK299)</f>
        <v>829</v>
      </c>
      <c r="M299" s="341" t="str">
        <f>IF(AL299=0,"",AL299)</f>
        <v/>
      </c>
      <c r="N299" s="341">
        <f>IF(AM299=1505,"",AM299)</f>
        <v>763</v>
      </c>
      <c r="O299" s="341" t="str">
        <f>IF(AN299=0,"",AN299)</f>
        <v/>
      </c>
      <c r="P299" s="341">
        <f>IF(AO299=1505,"",AO299)</f>
        <v>815</v>
      </c>
      <c r="Q299" s="341" t="str">
        <f>IF(AP299=0,"",AP299)</f>
        <v/>
      </c>
      <c r="R299" s="341">
        <f>IF(AQ299=1505,"",AQ299)</f>
        <v>760</v>
      </c>
      <c r="S299" s="341" t="str">
        <f>IF(AR299=0,"",AR299)</f>
        <v/>
      </c>
      <c r="T299" s="341">
        <f>IF(AS299=1505,"",AS299)</f>
        <v>802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876</v>
      </c>
      <c r="AD299" s="358"/>
      <c r="AE299" s="357">
        <f>SUM(AE295:AE298)</f>
        <v>844</v>
      </c>
      <c r="AF299" s="358"/>
      <c r="AG299" s="357">
        <f>SUM(AG295:AG298)</f>
        <v>620</v>
      </c>
      <c r="AH299" s="358"/>
      <c r="AI299" s="357">
        <f>SUM(AI295:AI298)</f>
        <v>818</v>
      </c>
      <c r="AJ299" s="358"/>
      <c r="AK299" s="357">
        <f>SUM(AK295:AK298)</f>
        <v>829</v>
      </c>
      <c r="AL299" s="358"/>
      <c r="AM299" s="357">
        <f>SUM(AM295:AM298)</f>
        <v>763</v>
      </c>
      <c r="AN299" s="358"/>
      <c r="AO299" s="357">
        <f>SUM(AO295:AO298)</f>
        <v>815</v>
      </c>
      <c r="AP299" s="358"/>
      <c r="AQ299" s="357">
        <f>SUM(AQ295:AQ298)</f>
        <v>760</v>
      </c>
      <c r="AR299" s="358"/>
      <c r="AS299" s="357">
        <f>SUM(AS295:AS298)</f>
        <v>802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"&amp;Erfassung1!AS2&amp;"     -     "&amp;Erfassung1!AT1</f>
        <v>Saison 2024/2025     -     Spieltag 1     -     12.10./13.10.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+Erfassung1!AE2</f>
        <v>Unterföhring Dreambowl Palace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79" t="str">
        <f>IFERROR(ROUND(INDEX(Erfassung1!BW:BW,MATCH(1,Erfassung1!BZ:BZ,0)),0),"")&amp;"  /  "&amp;ROUND(IFERROR(ROUND(INDEX(Erfassung1!BW:BW,MATCH(1,Erfassung1!BZ:BZ,0)),0),"")/9,2)</f>
        <v>2081  /  231,22</v>
      </c>
      <c r="O24" s="379"/>
      <c r="P24" s="379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+Spielzettel2!T2</f>
        <v>2</v>
      </c>
      <c r="F6" s="320"/>
      <c r="P6" s="140" t="s">
        <v>1838</v>
      </c>
      <c r="Q6" s="321" t="str">
        <f>+Spielzettel2!U1</f>
        <v>02.11./03.11.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+Spielzettel2!F2</f>
        <v>Nürnberg West Bowling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+Spielzettel2!F1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2557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2558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 t="s">
        <v>2559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Schlüssel!$AG$1</f>
        <v>02.11./03.11.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Schlüssel!$W$2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VLOOKUP(B2,Schlüssel!$A$5:$DZ$14,23)</f>
        <v>8</v>
      </c>
      <c r="E22" s="349"/>
      <c r="F22" s="349">
        <f>VLOOKUP(B2,Schlüssel!$A$5:$DZ$14,24)</f>
        <v>2</v>
      </c>
      <c r="G22" s="349"/>
      <c r="H22" s="349">
        <f>VLOOKUP(B2,Schlüssel!$A$5:$DZ$14,25)</f>
        <v>4</v>
      </c>
      <c r="I22" s="349"/>
      <c r="J22" s="349">
        <f>VLOOKUP(B2,Schlüssel!$A$5:$DZ$14,26)</f>
        <v>7</v>
      </c>
      <c r="K22" s="349"/>
      <c r="L22" s="349">
        <f>VLOOKUP(B2,Schlüssel!$A$5:$DZ$14,27)</f>
        <v>10</v>
      </c>
      <c r="M22" s="349"/>
      <c r="N22" s="349">
        <f>VLOOKUP(B2,Schlüssel!$A$5:$DZ$14,28)</f>
        <v>5</v>
      </c>
      <c r="O22" s="349"/>
      <c r="P22" s="349">
        <f>VLOOKUP(B2,Schlüssel!$A$5:$DZ$14,29)</f>
        <v>6</v>
      </c>
      <c r="Q22" s="349"/>
      <c r="R22" s="349">
        <f>VLOOKUP(B2,Schlüssel!$A$5:$DZ$14,30)</f>
        <v>9</v>
      </c>
      <c r="S22" s="349"/>
      <c r="T22" s="349">
        <f>VLOOKUP(B2,Schlüssel!$A$5:$DZ$14,31)</f>
        <v>3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BC EMAX Unterföhring 2</v>
      </c>
      <c r="E23" s="347"/>
      <c r="F23" s="346" t="str">
        <f>VLOOKUP(F22,Schlüssel!$A$5:$K$14,2)</f>
        <v>Bajuwaren München 1</v>
      </c>
      <c r="G23" s="347"/>
      <c r="H23" s="346" t="str">
        <f>VLOOKUP(H22,Schlüssel!$A$5:$K$14,2)</f>
        <v>SG DJK Rimpar</v>
      </c>
      <c r="I23" s="347"/>
      <c r="J23" s="346" t="str">
        <f>VLOOKUP(J22,Schlüssel!$A$5:$K$14,2)</f>
        <v>Schanzer Ingolstadt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RW Lichtenhof Stein 1</v>
      </c>
      <c r="O23" s="347"/>
      <c r="P23" s="346" t="str">
        <f>VLOOKUP(P22,Schlüssel!$A$5:$K$14,2)</f>
        <v>SG Rottendorf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BK München 3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Schlüssel!$AG$1</f>
        <v>02.11./03.11.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Schlüssel!$W$2</f>
        <v>Nürnberg West Bowling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VLOOKUP(B31,Schlüssel!$A$5:$DZ$14,23)</f>
        <v>9</v>
      </c>
      <c r="E51" s="349"/>
      <c r="F51" s="349">
        <f>VLOOKUP(B31,Schlüssel!$A$5:$DZ$14,24)</f>
        <v>1</v>
      </c>
      <c r="G51" s="349"/>
      <c r="H51" s="349">
        <f>VLOOKUP(B31,Schlüssel!$A$5:$DZ$14,25)</f>
        <v>10</v>
      </c>
      <c r="I51" s="349"/>
      <c r="J51" s="349">
        <f>VLOOKUP(B31,Schlüssel!$A$5:$DZ$14,26)</f>
        <v>5</v>
      </c>
      <c r="K51" s="349"/>
      <c r="L51" s="349">
        <f>VLOOKUP(B31,Schlüssel!$A$5:$DZ$14,27)</f>
        <v>3</v>
      </c>
      <c r="M51" s="349"/>
      <c r="N51" s="349">
        <f>VLOOKUP(B31,Schlüssel!$A$5:$DZ$14,28)</f>
        <v>7</v>
      </c>
      <c r="O51" s="349"/>
      <c r="P51" s="349">
        <f>VLOOKUP(B31,Schlüssel!$A$5:$DZ$14,29)</f>
        <v>8</v>
      </c>
      <c r="Q51" s="349"/>
      <c r="R51" s="349">
        <f>VLOOKUP(B31,Schlüssel!$A$5:$DZ$14,30)</f>
        <v>4</v>
      </c>
      <c r="S51" s="349"/>
      <c r="T51" s="349">
        <f>VLOOKUP(B31,Schlüssel!$A$5:$DZ$14,31)</f>
        <v>6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Bowlinghaus Bamberg 1</v>
      </c>
      <c r="E52" s="347"/>
      <c r="F52" s="346" t="str">
        <f>VLOOKUP(F51,Schlüssel!$A$5:$K$14,2)</f>
        <v>BC Comet Nürnberg</v>
      </c>
      <c r="G52" s="347"/>
      <c r="H52" s="346" t="str">
        <f>VLOOKUP(H51,Schlüssel!$A$5:$K$14,2)</f>
        <v>High Roller Rosenheim 1</v>
      </c>
      <c r="I52" s="347"/>
      <c r="J52" s="346" t="str">
        <f>VLOOKUP(J51,Schlüssel!$A$5:$K$14,2)</f>
        <v>RW Lichtenhof Stein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SG Rottendorf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Schlüssel!$AG$1</f>
        <v>02.11./03.11.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Schlüssel!$W$2</f>
        <v>Nürnberg West Bowling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VLOOKUP(B60,Schlüssel!$A$5:$DZ$14,23)</f>
        <v>7</v>
      </c>
      <c r="E80" s="349"/>
      <c r="F80" s="349">
        <f>VLOOKUP(B60,Schlüssel!$A$5:$DZ$14,24)</f>
        <v>4</v>
      </c>
      <c r="G80" s="349"/>
      <c r="H80" s="349">
        <f>VLOOKUP(B60,Schlüssel!$A$5:$DZ$14,25)</f>
        <v>8</v>
      </c>
      <c r="I80" s="349"/>
      <c r="J80" s="349">
        <f>VLOOKUP(B60,Schlüssel!$A$5:$DZ$14,26)</f>
        <v>6</v>
      </c>
      <c r="K80" s="349"/>
      <c r="L80" s="349">
        <f>VLOOKUP(B60,Schlüssel!$A$5:$DZ$14,27)</f>
        <v>2</v>
      </c>
      <c r="M80" s="349"/>
      <c r="N80" s="349">
        <f>VLOOKUP(B60,Schlüssel!$A$5:$DZ$14,28)</f>
        <v>9</v>
      </c>
      <c r="O80" s="349"/>
      <c r="P80" s="349">
        <f>VLOOKUP(B60,Schlüssel!$A$5:$DZ$14,29)</f>
        <v>5</v>
      </c>
      <c r="Q80" s="349"/>
      <c r="R80" s="349">
        <f>VLOOKUP(B60,Schlüssel!$A$5:$DZ$14,30)</f>
        <v>10</v>
      </c>
      <c r="S80" s="349"/>
      <c r="T80" s="349">
        <f>VLOOKUP(B60,Schlüssel!$A$5:$DZ$14,31)</f>
        <v>1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Schanzer Ingolstadt 1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BC EMAX Unterföhring 2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Bowlinghaus Bamberg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High Roller Rosenheim 1</v>
      </c>
      <c r="S81" s="347"/>
      <c r="T81" s="346" t="str">
        <f>VLOOKUP(T80,Schlüssel!$A$5:$K$14,2)</f>
        <v>BC Comet Nürnberg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Schlüssel!$AG$1</f>
        <v>02.11./03.11.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Schlüssel!$W$2</f>
        <v>Nürnberg West Bowling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VLOOKUP(B89,Schlüssel!$A$5:$DZ$14,23)</f>
        <v>5</v>
      </c>
      <c r="E109" s="349"/>
      <c r="F109" s="349">
        <f>VLOOKUP(B89,Schlüssel!$A$5:$DZ$14,24)</f>
        <v>3</v>
      </c>
      <c r="G109" s="349"/>
      <c r="H109" s="349">
        <f>VLOOKUP(B89,Schlüssel!$A$5:$DZ$14,25)</f>
        <v>1</v>
      </c>
      <c r="I109" s="349"/>
      <c r="J109" s="349">
        <f>VLOOKUP(B89,Schlüssel!$A$5:$DZ$14,26)</f>
        <v>8</v>
      </c>
      <c r="K109" s="349"/>
      <c r="L109" s="349">
        <f>VLOOKUP(B89,Schlüssel!$A$5:$DZ$14,27)</f>
        <v>6</v>
      </c>
      <c r="M109" s="349"/>
      <c r="N109" s="349">
        <f>VLOOKUP(B89,Schlüssel!$A$5:$DZ$14,28)</f>
        <v>10</v>
      </c>
      <c r="O109" s="349"/>
      <c r="P109" s="349">
        <f>VLOOKUP(B89,Schlüssel!$A$5:$DZ$14,29)</f>
        <v>9</v>
      </c>
      <c r="Q109" s="349"/>
      <c r="R109" s="349">
        <f>VLOOKUP(B89,Schlüssel!$A$5:$DZ$14,30)</f>
        <v>2</v>
      </c>
      <c r="S109" s="349"/>
      <c r="T109" s="349">
        <f>VLOOKUP(B89,Schlüssel!$A$5:$DZ$14,31)</f>
        <v>7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RW Lichtenhof Stein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BC Comet Nürnberg</v>
      </c>
      <c r="I110" s="347"/>
      <c r="J110" s="346" t="str">
        <f>VLOOKUP(J109,Schlüssel!$A$5:$K$14,2)</f>
        <v>BC EMAX Unterföhring 2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Schanzer Ingolstadt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Schlüssel!$AG$1</f>
        <v>02.11./03.11.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Schlüssel!$W$2</f>
        <v>Nürnberg West Bowling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VLOOKUP(B118,Schlüssel!$A$5:$DZ$14,23)</f>
        <v>4</v>
      </c>
      <c r="E138" s="349"/>
      <c r="F138" s="349">
        <f>VLOOKUP(B118,Schlüssel!$A$5:$DZ$14,24)</f>
        <v>10</v>
      </c>
      <c r="G138" s="349"/>
      <c r="H138" s="349">
        <f>VLOOKUP(B118,Schlüssel!$A$5:$DZ$14,25)</f>
        <v>6</v>
      </c>
      <c r="I138" s="349"/>
      <c r="J138" s="349">
        <f>VLOOKUP(B118,Schlüssel!$A$5:$DZ$14,26)</f>
        <v>2</v>
      </c>
      <c r="K138" s="349"/>
      <c r="L138" s="349">
        <f>VLOOKUP(B118,Schlüssel!$A$5:$DZ$14,27)</f>
        <v>7</v>
      </c>
      <c r="M138" s="349"/>
      <c r="N138" s="349">
        <f>VLOOKUP(B118,Schlüssel!$A$5:$DZ$14,28)</f>
        <v>1</v>
      </c>
      <c r="O138" s="349"/>
      <c r="P138" s="349">
        <f>VLOOKUP(B118,Schlüssel!$A$5:$DZ$14,29)</f>
        <v>3</v>
      </c>
      <c r="Q138" s="349"/>
      <c r="R138" s="349">
        <f>VLOOKUP(B118,Schlüssel!$A$5:$DZ$14,30)</f>
        <v>8</v>
      </c>
      <c r="S138" s="349"/>
      <c r="T138" s="349">
        <f>VLOOKUP(B118,Schlüssel!$A$5:$DZ$14,31)</f>
        <v>9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DJK Rimpar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Bajuwaren München 1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BC Comet Nürnberg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BC EMAX Unterföhring 2</v>
      </c>
      <c r="S139" s="347"/>
      <c r="T139" s="346" t="str">
        <f>VLOOKUP(T138,Schlüssel!$A$5:$K$14,2)</f>
        <v>Bowlinghaus Bamberg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Schlüssel!$AG$1</f>
        <v>02.11./03.11.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Schlüssel!$W$2</f>
        <v>Nürnberg West Bowling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VLOOKUP(B147,Schlüssel!$A$5:$DZ$14,23)</f>
        <v>10</v>
      </c>
      <c r="E167" s="349"/>
      <c r="F167" s="349">
        <f>VLOOKUP(B147,Schlüssel!$A$5:$DZ$14,24)</f>
        <v>9</v>
      </c>
      <c r="G167" s="349"/>
      <c r="H167" s="349">
        <f>VLOOKUP(B147,Schlüssel!$A$5:$DZ$14,25)</f>
        <v>5</v>
      </c>
      <c r="I167" s="349"/>
      <c r="J167" s="349">
        <f>VLOOKUP(B147,Schlüssel!$A$5:$DZ$14,26)</f>
        <v>3</v>
      </c>
      <c r="K167" s="349"/>
      <c r="L167" s="349">
        <f>VLOOKUP(B147,Schlüssel!$A$5:$DZ$14,27)</f>
        <v>4</v>
      </c>
      <c r="M167" s="349"/>
      <c r="N167" s="349">
        <f>VLOOKUP(B147,Schlüssel!$A$5:$DZ$14,28)</f>
        <v>8</v>
      </c>
      <c r="O167" s="349"/>
      <c r="P167" s="349">
        <f>VLOOKUP(B147,Schlüssel!$A$5:$DZ$14,29)</f>
        <v>1</v>
      </c>
      <c r="Q167" s="349"/>
      <c r="R167" s="349">
        <f>VLOOKUP(B147,Schlüssel!$A$5:$DZ$14,30)</f>
        <v>7</v>
      </c>
      <c r="S167" s="349"/>
      <c r="T167" s="349">
        <f>VLOOKUP(B147,Schlüssel!$A$5:$DZ$14,31)</f>
        <v>2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High Roller Rosenheim 1</v>
      </c>
      <c r="E168" s="347"/>
      <c r="F168" s="346" t="str">
        <f>VLOOKUP(F167,Schlüssel!$A$5:$K$14,2)</f>
        <v>Bowlinghaus Bamberg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BC Comet Nürnberg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Bajuwaren München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Schlüssel!$AG$1</f>
        <v>02.11./03.11.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Schlüssel!$W$2</f>
        <v>Nürnberg West Bowling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VLOOKUP(B176,Schlüssel!$A$5:$DZ$14,23)</f>
        <v>3</v>
      </c>
      <c r="E196" s="349"/>
      <c r="F196" s="349">
        <f>VLOOKUP(B176,Schlüssel!$A$5:$DZ$14,24)</f>
        <v>8</v>
      </c>
      <c r="G196" s="349"/>
      <c r="H196" s="349">
        <f>VLOOKUP(B176,Schlüssel!$A$5:$DZ$14,25)</f>
        <v>9</v>
      </c>
      <c r="I196" s="349"/>
      <c r="J196" s="349">
        <f>VLOOKUP(B176,Schlüssel!$A$5:$DZ$14,26)</f>
        <v>1</v>
      </c>
      <c r="K196" s="349"/>
      <c r="L196" s="349">
        <f>VLOOKUP(B176,Schlüssel!$A$5:$DZ$14,27)</f>
        <v>5</v>
      </c>
      <c r="M196" s="349"/>
      <c r="N196" s="349">
        <f>VLOOKUP(B176,Schlüssel!$A$5:$DZ$14,28)</f>
        <v>2</v>
      </c>
      <c r="O196" s="349"/>
      <c r="P196" s="349">
        <f>VLOOKUP(B176,Schlüssel!$A$5:$DZ$14,29)</f>
        <v>10</v>
      </c>
      <c r="Q196" s="349"/>
      <c r="R196" s="349">
        <f>VLOOKUP(B176,Schlüssel!$A$5:$DZ$14,30)</f>
        <v>6</v>
      </c>
      <c r="S196" s="349"/>
      <c r="T196" s="349">
        <f>VLOOKUP(B176,Schlüssel!$A$5:$DZ$14,31)</f>
        <v>4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BK München 3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BC Comet Nürnberg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SG DJK Rimpar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Schlüssel!$AG$1</f>
        <v>02.11./03.11.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Schlüssel!$W$2</f>
        <v>Nürnberg West Bowling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VLOOKUP(B205,Schlüssel!$A$5:$DZ$14,23)</f>
        <v>1</v>
      </c>
      <c r="E225" s="349"/>
      <c r="F225" s="349">
        <f>VLOOKUP(B205,Schlüssel!$A$5:$DZ$14,24)</f>
        <v>7</v>
      </c>
      <c r="G225" s="349"/>
      <c r="H225" s="349">
        <f>VLOOKUP(B205,Schlüssel!$A$5:$DZ$14,25)</f>
        <v>3</v>
      </c>
      <c r="I225" s="349"/>
      <c r="J225" s="349">
        <f>VLOOKUP(B205,Schlüssel!$A$5:$DZ$14,26)</f>
        <v>4</v>
      </c>
      <c r="K225" s="349"/>
      <c r="L225" s="349">
        <f>VLOOKUP(B205,Schlüssel!$A$5:$DZ$14,27)</f>
        <v>9</v>
      </c>
      <c r="M225" s="349"/>
      <c r="N225" s="349">
        <f>VLOOKUP(B205,Schlüssel!$A$5:$DZ$14,28)</f>
        <v>6</v>
      </c>
      <c r="O225" s="349"/>
      <c r="P225" s="349">
        <f>VLOOKUP(B205,Schlüssel!$A$5:$DZ$14,29)</f>
        <v>2</v>
      </c>
      <c r="Q225" s="349"/>
      <c r="R225" s="349">
        <f>VLOOKUP(B205,Schlüssel!$A$5:$DZ$14,30)</f>
        <v>5</v>
      </c>
      <c r="S225" s="349"/>
      <c r="T225" s="349">
        <f>VLOOKUP(B205,Schlüssel!$A$5:$DZ$14,31)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BC Comet Nürnberg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BK München 3</v>
      </c>
      <c r="I226" s="347"/>
      <c r="J226" s="346" t="str">
        <f>VLOOKUP(J225,Schlüssel!$A$5:$K$14,2)</f>
        <v>SG DJK Rimpar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RW Lichtenhof Stein 1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Schlüssel!$AG$1</f>
        <v>02.11./03.11.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Schlüssel!$W$2</f>
        <v>Nürnberg West Bowling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VLOOKUP(B234,Schlüssel!$A$5:$DZ$14,23)</f>
        <v>2</v>
      </c>
      <c r="E254" s="349"/>
      <c r="F254" s="349">
        <f>VLOOKUP(B234,Schlüssel!$A$5:$DZ$14,24)</f>
        <v>6</v>
      </c>
      <c r="G254" s="349"/>
      <c r="H254" s="349">
        <f>VLOOKUP(B234,Schlüssel!$A$5:$DZ$14,25)</f>
        <v>7</v>
      </c>
      <c r="I254" s="349"/>
      <c r="J254" s="349">
        <f>VLOOKUP(B234,Schlüssel!$A$5:$DZ$14,26)</f>
        <v>10</v>
      </c>
      <c r="K254" s="349"/>
      <c r="L254" s="349">
        <f>VLOOKUP(B234,Schlüssel!$A$5:$DZ$14,27)</f>
        <v>8</v>
      </c>
      <c r="M254" s="349"/>
      <c r="N254" s="349">
        <f>VLOOKUP(B234,Schlüssel!$A$5:$DZ$14,28)</f>
        <v>3</v>
      </c>
      <c r="O254" s="349"/>
      <c r="P254" s="349">
        <f>VLOOKUP(B234,Schlüssel!$A$5:$DZ$14,29)</f>
        <v>4</v>
      </c>
      <c r="Q254" s="349"/>
      <c r="R254" s="349">
        <f>VLOOKUP(B234,Schlüssel!$A$5:$DZ$14,30)</f>
        <v>1</v>
      </c>
      <c r="S254" s="349"/>
      <c r="T254" s="349">
        <f>VLOOKUP(B234,Schlüssel!$A$5:$DZ$14,31)</f>
        <v>5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Bajuwaren München 1</v>
      </c>
      <c r="E255" s="347"/>
      <c r="F255" s="346" t="str">
        <f>VLOOKUP(F254,Schlüssel!$A$5:$K$14,2)</f>
        <v>SG Rottendorf 1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BK München 3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RW Lichtenhof Stein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Schlüssel!$AG$1</f>
        <v>02.11./03.11.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Schlüssel!$W$2</f>
        <v>Nürnberg West Bowling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VLOOKUP(B263,Schlüssel!$A$5:$DZ$14,23)</f>
        <v>6</v>
      </c>
      <c r="E283" s="349"/>
      <c r="F283" s="349">
        <f>VLOOKUP(B263,Schlüssel!$A$5:$DZ$14,24)</f>
        <v>5</v>
      </c>
      <c r="G283" s="349"/>
      <c r="H283" s="349">
        <f>VLOOKUP(B263,Schlüssel!$A$5:$DZ$14,25)</f>
        <v>2</v>
      </c>
      <c r="I283" s="349"/>
      <c r="J283" s="349">
        <f>VLOOKUP(B263,Schlüssel!$A$5:$DZ$14,26)</f>
        <v>9</v>
      </c>
      <c r="K283" s="349"/>
      <c r="L283" s="349">
        <f>VLOOKUP(B263,Schlüssel!$A$5:$DZ$14,27)</f>
        <v>1</v>
      </c>
      <c r="M283" s="349"/>
      <c r="N283" s="349">
        <f>VLOOKUP(B263,Schlüssel!$A$5:$DZ$14,28)</f>
        <v>4</v>
      </c>
      <c r="O283" s="349"/>
      <c r="P283" s="349">
        <f>VLOOKUP(B263,Schlüssel!$A$5:$DZ$14,29)</f>
        <v>7</v>
      </c>
      <c r="Q283" s="349"/>
      <c r="R283" s="349">
        <f>VLOOKUP(B263,Schlüssel!$A$5:$DZ$14,30)</f>
        <v>3</v>
      </c>
      <c r="S283" s="349"/>
      <c r="T283" s="349">
        <f>VLOOKUP(B263,Schlüssel!$A$5:$DZ$14,31)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SG Rottendorf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Bajuwaren München 1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BK München 3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02.11./03.11.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02.11./03.11.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51">
        <f>IF(AD7="","",AD7)</f>
        <v>1</v>
      </c>
      <c r="F7" s="75">
        <f t="shared" ref="F7:F20" si="0">IF(AE7=0,"",AE7)</f>
        <v>186</v>
      </c>
      <c r="G7" s="351">
        <f>IF(AF7="","",AF7)</f>
        <v>0</v>
      </c>
      <c r="H7" s="75">
        <f t="shared" ref="H7:H20" si="1">IF(AG7=0,"",AG7)</f>
        <v>191</v>
      </c>
      <c r="I7" s="351">
        <f>IF(AH7="","",AH7)</f>
        <v>1</v>
      </c>
      <c r="J7" s="75">
        <f t="shared" ref="J7:J20" si="2">IF(AI7=0,"",AI7)</f>
        <v>151</v>
      </c>
      <c r="K7" s="351">
        <f>IF(AJ7="","",AJ7)</f>
        <v>0</v>
      </c>
      <c r="L7" s="75">
        <f t="shared" ref="L7:L20" si="3">IF(AK7=0,"",AK7)</f>
        <v>203</v>
      </c>
      <c r="M7" s="351">
        <f>IF(AL7="","",AL7)</f>
        <v>1</v>
      </c>
      <c r="N7" s="75">
        <f>IF(AM7=0,"",AM7)</f>
        <v>184</v>
      </c>
      <c r="O7" s="351">
        <f>IF(AN7="","",AN7)</f>
        <v>0</v>
      </c>
      <c r="P7" s="75">
        <f t="shared" ref="P7:P20" si="4">IF(AO7=0,"",AO7)</f>
        <v>202</v>
      </c>
      <c r="Q7" s="351">
        <f>IF(AP7="","",AP7)</f>
        <v>1</v>
      </c>
      <c r="R7" s="75">
        <f t="shared" ref="R7:R20" si="5">IF(AQ7=0,"",AQ7)</f>
        <v>156</v>
      </c>
      <c r="S7" s="351">
        <f>IF(AR7="","",AR7)</f>
        <v>0</v>
      </c>
      <c r="T7" s="75">
        <f t="shared" ref="T7:T20" si="6">IF(AS7=0,"",AS7)</f>
        <v>222</v>
      </c>
      <c r="U7" s="351">
        <f>IF(AT7="","",AT7)</f>
        <v>1</v>
      </c>
      <c r="V7" s="75">
        <f t="shared" ref="V7:V20" si="7">IF(AU7=0,"",AU7)</f>
        <v>1719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51">
        <f>IF(AD10="","",AD10)</f>
        <v>1</v>
      </c>
      <c r="F10" s="75">
        <f t="shared" si="0"/>
        <v>214</v>
      </c>
      <c r="G10" s="351">
        <f>IF(AF10="","",AF10)</f>
        <v>0</v>
      </c>
      <c r="H10" s="75">
        <f t="shared" si="1"/>
        <v>225</v>
      </c>
      <c r="I10" s="351">
        <f>IF(AH10="","",AH10)</f>
        <v>1</v>
      </c>
      <c r="J10" s="75">
        <f t="shared" si="2"/>
        <v>162</v>
      </c>
      <c r="K10" s="351">
        <f>IF(AJ10="","",AJ10)</f>
        <v>0</v>
      </c>
      <c r="L10" s="75">
        <f t="shared" si="3"/>
        <v>215</v>
      </c>
      <c r="M10" s="351">
        <f>IF(AL10="","",AL10)</f>
        <v>1</v>
      </c>
      <c r="N10" s="75">
        <f t="shared" si="20"/>
        <v>211</v>
      </c>
      <c r="O10" s="351">
        <f>IF(AN10="","",AN10)</f>
        <v>1</v>
      </c>
      <c r="P10" s="75">
        <f t="shared" si="4"/>
        <v>192</v>
      </c>
      <c r="Q10" s="351">
        <f>IF(AP10="","",AP10)</f>
        <v>0</v>
      </c>
      <c r="R10" s="75">
        <f t="shared" si="5"/>
        <v>180</v>
      </c>
      <c r="S10" s="351">
        <f>IF(AR10="","",AR10)</f>
        <v>1</v>
      </c>
      <c r="T10" s="75">
        <f t="shared" si="6"/>
        <v>155</v>
      </c>
      <c r="U10" s="351">
        <f>IF(AT10="","",AT10)</f>
        <v>0</v>
      </c>
      <c r="V10" s="75">
        <f t="shared" si="7"/>
        <v>1766</v>
      </c>
      <c r="W10" s="351">
        <f>IF(AV10="","",AV10)</f>
        <v>5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51">
        <f>IF(AD13="","",AD13)</f>
        <v>1</v>
      </c>
      <c r="F13" s="75">
        <f t="shared" si="0"/>
        <v>209</v>
      </c>
      <c r="G13" s="351">
        <f>IF(AF13="","",AF13)</f>
        <v>1</v>
      </c>
      <c r="H13" s="75">
        <f t="shared" si="1"/>
        <v>175</v>
      </c>
      <c r="I13" s="351">
        <f>IF(AH13="","",AH13)</f>
        <v>0</v>
      </c>
      <c r="J13" s="75">
        <f t="shared" si="2"/>
        <v>171</v>
      </c>
      <c r="K13" s="351">
        <f>IF(AJ13="","",AJ13)</f>
        <v>0</v>
      </c>
      <c r="L13" s="75">
        <f t="shared" si="3"/>
        <v>176</v>
      </c>
      <c r="M13" s="351">
        <f>IF(AL13="","",AL13)</f>
        <v>1</v>
      </c>
      <c r="N13" s="75">
        <f t="shared" si="20"/>
        <v>179</v>
      </c>
      <c r="O13" s="351">
        <f>IF(AN13="","",AN13)</f>
        <v>0</v>
      </c>
      <c r="P13" s="75">
        <f t="shared" si="4"/>
        <v>192</v>
      </c>
      <c r="Q13" s="351">
        <f>IF(AP13="","",AP13)</f>
        <v>1</v>
      </c>
      <c r="R13" s="75">
        <f t="shared" si="5"/>
        <v>244</v>
      </c>
      <c r="S13" s="351">
        <f>IF(AR13="","",AR13)</f>
        <v>1</v>
      </c>
      <c r="T13" s="75">
        <f t="shared" si="6"/>
        <v>170</v>
      </c>
      <c r="U13" s="351">
        <f>IF(AT13="","",AT13)</f>
        <v>1</v>
      </c>
      <c r="V13" s="75">
        <f t="shared" si="7"/>
        <v>1760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51">
        <f>IF(AD16="","",AD16)</f>
        <v>1</v>
      </c>
      <c r="F16" s="75">
        <f t="shared" si="0"/>
        <v>206</v>
      </c>
      <c r="G16" s="351">
        <f>IF(AF16="","",AF16)</f>
        <v>1</v>
      </c>
      <c r="H16" s="75">
        <f t="shared" si="1"/>
        <v>171</v>
      </c>
      <c r="I16" s="351">
        <f>IF(AH16="","",AH16)</f>
        <v>0</v>
      </c>
      <c r="J16" s="75">
        <f t="shared" si="2"/>
        <v>181</v>
      </c>
      <c r="K16" s="351">
        <f>IF(AJ16="","",AJ16)</f>
        <v>0</v>
      </c>
      <c r="L16" s="75">
        <f t="shared" si="3"/>
        <v>244</v>
      </c>
      <c r="M16" s="351">
        <f>IF(AL16="","",AL16)</f>
        <v>1</v>
      </c>
      <c r="N16" s="75">
        <f t="shared" si="20"/>
        <v>201</v>
      </c>
      <c r="O16" s="351">
        <f>IF(AN16="","",AN16)</f>
        <v>1</v>
      </c>
      <c r="P16" s="75">
        <f t="shared" si="4"/>
        <v>204</v>
      </c>
      <c r="Q16" s="351">
        <f>IF(AP16="","",AP16)</f>
        <v>0</v>
      </c>
      <c r="R16" s="75">
        <f t="shared" si="5"/>
        <v>207</v>
      </c>
      <c r="S16" s="351">
        <f>IF(AR16="","",AR16)</f>
        <v>0</v>
      </c>
      <c r="T16" s="75">
        <f t="shared" si="6"/>
        <v>181</v>
      </c>
      <c r="U16" s="351">
        <f>IF(AT16="","",AT16)</f>
        <v>0</v>
      </c>
      <c r="V16" s="75">
        <f t="shared" si="7"/>
        <v>1823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8</v>
      </c>
      <c r="E22" s="349" t="str">
        <f t="shared" si="31"/>
        <v/>
      </c>
      <c r="F22" s="349">
        <f t="shared" si="31"/>
        <v>2</v>
      </c>
      <c r="G22" s="349" t="str">
        <f t="shared" si="31"/>
        <v/>
      </c>
      <c r="H22" s="349">
        <f t="shared" si="31"/>
        <v>4</v>
      </c>
      <c r="I22" s="349" t="str">
        <f t="shared" si="31"/>
        <v/>
      </c>
      <c r="J22" s="349">
        <f t="shared" si="31"/>
        <v>7</v>
      </c>
      <c r="K22" s="349" t="str">
        <f t="shared" si="31"/>
        <v/>
      </c>
      <c r="L22" s="349">
        <f t="shared" ref="L22:U24" si="32">IF(AK22=0,"",AK22)</f>
        <v>10</v>
      </c>
      <c r="M22" s="349" t="str">
        <f t="shared" si="32"/>
        <v/>
      </c>
      <c r="N22" s="349">
        <f t="shared" si="32"/>
        <v>5</v>
      </c>
      <c r="O22" s="349" t="str">
        <f t="shared" si="32"/>
        <v/>
      </c>
      <c r="P22" s="349">
        <f t="shared" si="32"/>
        <v>6</v>
      </c>
      <c r="Q22" s="349" t="str">
        <f t="shared" si="32"/>
        <v/>
      </c>
      <c r="R22" s="349">
        <f t="shared" si="32"/>
        <v>9</v>
      </c>
      <c r="S22" s="349" t="str">
        <f t="shared" si="32"/>
        <v/>
      </c>
      <c r="T22" s="349">
        <f t="shared" si="32"/>
        <v>3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VLOOKUP($AA2,Schlüssel!$A$5:$DG$14,23)</f>
        <v>8</v>
      </c>
      <c r="AD22" s="374"/>
      <c r="AE22" s="373">
        <f>VLOOKUP($AA2,Schlüssel!$A$5:$EK$14,24)</f>
        <v>2</v>
      </c>
      <c r="AF22" s="374"/>
      <c r="AG22" s="373">
        <f>VLOOKUP($AA2,Schlüssel!$A$5:$EK$14,25)</f>
        <v>4</v>
      </c>
      <c r="AH22" s="374"/>
      <c r="AI22" s="373">
        <f>VLOOKUP($AA2,Schlüssel!$A$5:$EK$14,26)</f>
        <v>7</v>
      </c>
      <c r="AJ22" s="374"/>
      <c r="AK22" s="373">
        <f>VLOOKUP($AA2,Schlüssel!$A$5:$EK$14,27)</f>
        <v>10</v>
      </c>
      <c r="AL22" s="374"/>
      <c r="AM22" s="373">
        <f>VLOOKUP($AA2,Schlüssel!$A$5:$EK$14,28)</f>
        <v>5</v>
      </c>
      <c r="AN22" s="374"/>
      <c r="AO22" s="373">
        <f>VLOOKUP($AA2,Schlüssel!$A$5:$EK$14,29)</f>
        <v>6</v>
      </c>
      <c r="AP22" s="374"/>
      <c r="AQ22" s="373">
        <f>VLOOKUP($AA2,Schlüssel!$A$5:$EK$14,30)</f>
        <v>9</v>
      </c>
      <c r="AR22" s="374"/>
      <c r="AS22" s="373">
        <f>VLOOKUP($AA2,Schlüssel!$A$5:$EK$14,31)</f>
        <v>3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BC EMAX Unterföhring 2</v>
      </c>
      <c r="E23" s="347" t="str">
        <f t="shared" si="31"/>
        <v/>
      </c>
      <c r="F23" s="346" t="str">
        <f t="shared" si="31"/>
        <v>Bajuwaren München 1</v>
      </c>
      <c r="G23" s="347" t="str">
        <f t="shared" si="31"/>
        <v/>
      </c>
      <c r="H23" s="346" t="str">
        <f t="shared" si="31"/>
        <v>SG DJK Rimpar</v>
      </c>
      <c r="I23" s="347" t="str">
        <f t="shared" si="31"/>
        <v/>
      </c>
      <c r="J23" s="346" t="str">
        <f t="shared" si="31"/>
        <v>Schanzer Ingolstadt 1</v>
      </c>
      <c r="K23" s="347" t="str">
        <f t="shared" si="31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RW Lichtenhof Stein 1</v>
      </c>
      <c r="O23" s="347" t="str">
        <f t="shared" si="32"/>
        <v/>
      </c>
      <c r="P23" s="346" t="str">
        <f t="shared" si="32"/>
        <v>SG Rottendorf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BK München 3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BC EMAX Unterföhring 2</v>
      </c>
      <c r="AD23" s="347"/>
      <c r="AE23" s="346" t="str">
        <f>VLOOKUP(AE22,Schlüssel!$A$5:$K$14,2)</f>
        <v>Bajuwaren München 1</v>
      </c>
      <c r="AF23" s="347"/>
      <c r="AG23" s="346" t="str">
        <f>VLOOKUP(AG22,Schlüssel!$A$5:$K$14,2)</f>
        <v>SG DJK Rimpar</v>
      </c>
      <c r="AH23" s="347"/>
      <c r="AI23" s="346" t="str">
        <f>VLOOKUP(AI22,Schlüssel!$A$5:$K$14,2)</f>
        <v>Schanzer Ingolstadt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RW Lichtenhof Stein 1</v>
      </c>
      <c r="AN23" s="347"/>
      <c r="AO23" s="346" t="str">
        <f>VLOOKUP(AO22,Schlüssel!$A$5:$K$14,2)</f>
        <v>SG Rottendorf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BK München 3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205</v>
      </c>
      <c r="G25" s="342" t="str">
        <f>IF(AF25=0,"",AF25)</f>
        <v/>
      </c>
      <c r="H25" s="342">
        <f>IF(AG25=301,"",AG25)</f>
        <v>180</v>
      </c>
      <c r="I25" s="342" t="str">
        <f>IF(AH25=0,"",AH25)</f>
        <v/>
      </c>
      <c r="J25" s="342">
        <f>IF(AI25=301,"",AI25)</f>
        <v>171</v>
      </c>
      <c r="K25" s="342" t="str">
        <f>IF(AJ25=0,"",AJ25)</f>
        <v/>
      </c>
      <c r="L25" s="342">
        <f>IF(AK25=301,"",AK25)</f>
        <v>192</v>
      </c>
      <c r="M25" s="342" t="str">
        <f>IF(AL25=0,"",AL25)</f>
        <v/>
      </c>
      <c r="N25" s="342">
        <f>IF(AM25=301,"",AM25)</f>
        <v>187</v>
      </c>
      <c r="O25" s="342" t="str">
        <f>IF(AN25=0,"",AN25)</f>
        <v/>
      </c>
      <c r="P25" s="342">
        <f>IF(AO25=301,"",AO25)</f>
        <v>149</v>
      </c>
      <c r="Q25" s="342" t="str">
        <f>IF(AP25=0,"",AP25)</f>
        <v/>
      </c>
      <c r="R25" s="342">
        <f>IF(AQ25=301,"",AQ25)</f>
        <v>184</v>
      </c>
      <c r="S25" s="342" t="str">
        <f>IF(AR25=0,"",AR25)</f>
        <v/>
      </c>
      <c r="T25" s="342">
        <f>IF(AS25=301,"",AS25)</f>
        <v>164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205</v>
      </c>
      <c r="AF25" s="376"/>
      <c r="AG25" s="375">
        <f>ABS(INDEX(AG:AG,MATCH(AG22,$AA:$AA,0)+5)+INDEX(AG:AG,MATCH(AG22,$AA:$AA,0)+6)+INDEX(AG:AG,MATCH(AG22,$AA:$AA,0)+7))</f>
        <v>180</v>
      </c>
      <c r="AH25" s="376"/>
      <c r="AI25" s="375">
        <f>ABS(INDEX(AI:AI,MATCH(AI22,$AA:$AA,0)+5)+INDEX(AI:AI,MATCH(AI22,$AA:$AA,0)+6)+INDEX(AI:AI,MATCH(AI22,$AA:$AA,0)+7))</f>
        <v>171</v>
      </c>
      <c r="AJ25" s="376"/>
      <c r="AK25" s="375">
        <f>ABS(INDEX(AK:AK,MATCH(AK22,$AA:$AA,0)+5)+INDEX(AK:AK,MATCH(AK22,$AA:$AA,0)+6)+INDEX(AK:AK,MATCH(AK22,$AA:$AA,0)+7))</f>
        <v>192</v>
      </c>
      <c r="AL25" s="376"/>
      <c r="AM25" s="375">
        <f>ABS(INDEX(AM:AM,MATCH(AM22,$AA:$AA,0)+5)+INDEX(AM:AM,MATCH(AM22,$AA:$AA,0)+6)+INDEX(AM:AM,MATCH(AM22,$AA:$AA,0)+7))</f>
        <v>187</v>
      </c>
      <c r="AN25" s="376"/>
      <c r="AO25" s="375">
        <f>ABS(INDEX(AO:AO,MATCH(AO22,$AA:$AA,0)+5)+INDEX(AO:AO,MATCH(AO22,$AA:$AA,0)+6)+INDEX(AO:AO,MATCH(AO22,$AA:$AA,0)+7))</f>
        <v>149</v>
      </c>
      <c r="AP25" s="376"/>
      <c r="AQ25" s="375">
        <f>ABS(INDEX(AQ:AQ,MATCH(AQ22,$AA:$AA,0)+5)+INDEX(AQ:AQ,MATCH(AQ22,$AA:$AA,0)+6)+INDEX(AQ:AQ,MATCH(AQ22,$AA:$AA,0)+7))</f>
        <v>184</v>
      </c>
      <c r="AR25" s="376"/>
      <c r="AS25" s="375">
        <f>ABS(INDEX(AS:AS,MATCH(AS22,$AA:$AA,0)+5)+INDEX(AS:AS,MATCH(AS22,$AA:$AA,0)+6)+INDEX(AS:AS,MATCH(AS22,$AA:$AA,0)+7))</f>
        <v>164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169</v>
      </c>
      <c r="E26" s="342" t="str">
        <f>IF(AD26=0,"",AD26)</f>
        <v/>
      </c>
      <c r="F26" s="342">
        <f>IF(AE26=301,"",AE26)</f>
        <v>223</v>
      </c>
      <c r="G26" s="342" t="str">
        <f>IF(AF26=0,"",AF26)</f>
        <v/>
      </c>
      <c r="H26" s="342">
        <f>IF(AG26=301,"",AG26)</f>
        <v>223</v>
      </c>
      <c r="I26" s="342" t="str">
        <f>IF(AH26=0,"",AH26)</f>
        <v/>
      </c>
      <c r="J26" s="342">
        <f>IF(AI26=301,"",AI26)</f>
        <v>176</v>
      </c>
      <c r="K26" s="342" t="str">
        <f>IF(AJ26=0,"",AJ26)</f>
        <v/>
      </c>
      <c r="L26" s="342">
        <f>IF(AK26=301,"",AK26)</f>
        <v>154</v>
      </c>
      <c r="M26" s="342" t="str">
        <f>IF(AL26=0,"",AL26)</f>
        <v/>
      </c>
      <c r="N26" s="342">
        <f>IF(AM26=301,"",AM26)</f>
        <v>157</v>
      </c>
      <c r="O26" s="342" t="str">
        <f>IF(AN26=0,"",AN26)</f>
        <v/>
      </c>
      <c r="P26" s="342">
        <f>IF(AO26=301,"",AO26)</f>
        <v>235</v>
      </c>
      <c r="Q26" s="342" t="str">
        <f>IF(AP26=0,"",AP26)</f>
        <v/>
      </c>
      <c r="R26" s="342">
        <f>IF(AQ26=301,"",AQ26)</f>
        <v>178</v>
      </c>
      <c r="S26" s="342" t="str">
        <f>IF(AR26=0,"",AR26)</f>
        <v/>
      </c>
      <c r="T26" s="342">
        <f>IF(AS26=301,"",AS26)</f>
        <v>158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169</v>
      </c>
      <c r="AD26" s="378"/>
      <c r="AE26" s="377">
        <f>ABS(INDEX(AE:AE,MATCH(AE22,$AA:$AA,0)+8)+INDEX(AE:AE,MATCH(AE22,$AA:$AA,0)+9)+INDEX(AE:AE,MATCH(AE22,$AA:$AA,0)+10))</f>
        <v>223</v>
      </c>
      <c r="AF26" s="378"/>
      <c r="AG26" s="377">
        <f>ABS(INDEX(AG:AG,MATCH(AG22,$AA:$AA,0)+8)+INDEX(AG:AG,MATCH(AG22,$AA:$AA,0)+9)+INDEX(AG:AG,MATCH(AG22,$AA:$AA,0)+10))</f>
        <v>223</v>
      </c>
      <c r="AH26" s="378"/>
      <c r="AI26" s="377">
        <f>ABS(INDEX(AI:AI,MATCH(AI22,$AA:$AA,0)+8)+INDEX(AI:AI,MATCH(AI22,$AA:$AA,0)+9)+INDEX(AI:AI,MATCH(AI22,$AA:$AA,0)+10))</f>
        <v>176</v>
      </c>
      <c r="AJ26" s="378"/>
      <c r="AK26" s="377">
        <f>ABS(INDEX(AK:AK,MATCH(AK22,$AA:$AA,0)+8)+INDEX(AK:AK,MATCH(AK22,$AA:$AA,0)+9)+INDEX(AK:AK,MATCH(AK22,$AA:$AA,0)+10))</f>
        <v>154</v>
      </c>
      <c r="AL26" s="378"/>
      <c r="AM26" s="377">
        <f>ABS(INDEX(AM:AM,MATCH(AM22,$AA:$AA,0)+8)+INDEX(AM:AM,MATCH(AM22,$AA:$AA,0)+9)+INDEX(AM:AM,MATCH(AM22,$AA:$AA,0)+10))</f>
        <v>157</v>
      </c>
      <c r="AN26" s="378"/>
      <c r="AO26" s="377">
        <f>ABS(INDEX(AO:AO,MATCH(AO22,$AA:$AA,0)+8)+INDEX(AO:AO,MATCH(AO22,$AA:$AA,0)+9)+INDEX(AO:AO,MATCH(AO22,$AA:$AA,0)+10))</f>
        <v>235</v>
      </c>
      <c r="AP26" s="378"/>
      <c r="AQ26" s="377">
        <f>ABS(INDEX(AQ:AQ,MATCH(AQ22,$AA:$AA,0)+8)+INDEX(AQ:AQ,MATCH(AQ22,$AA:$AA,0)+9)+INDEX(AQ:AQ,MATCH(AQ22,$AA:$AA,0)+10))</f>
        <v>178</v>
      </c>
      <c r="AR26" s="378"/>
      <c r="AS26" s="377">
        <f>ABS(INDEX(AS:AS,MATCH(AS22,$AA:$AA,0)+8)+INDEX(AS:AS,MATCH(AS22,$AA:$AA,0)+9)+INDEX(AS:AS,MATCH(AS22,$AA:$AA,0)+10))</f>
        <v>158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236</v>
      </c>
      <c r="E27" s="342" t="str">
        <f>IF(AD27=0,"",AD27)</f>
        <v/>
      </c>
      <c r="F27" s="342">
        <f>IF(AE27=301,"",AE27)</f>
        <v>189</v>
      </c>
      <c r="G27" s="342" t="str">
        <f>IF(AF27=0,"",AF27)</f>
        <v/>
      </c>
      <c r="H27" s="342">
        <f>IF(AG27=301,"",AG27)</f>
        <v>225</v>
      </c>
      <c r="I27" s="342" t="str">
        <f>IF(AH27=0,"",AH27)</f>
        <v/>
      </c>
      <c r="J27" s="342">
        <f>IF(AI27=301,"",AI27)</f>
        <v>224</v>
      </c>
      <c r="K27" s="342" t="str">
        <f>IF(AJ27=0,"",AJ27)</f>
        <v/>
      </c>
      <c r="L27" s="342">
        <f>IF(AK27=301,"",AK27)</f>
        <v>173</v>
      </c>
      <c r="M27" s="342" t="str">
        <f>IF(AL27=0,"",AL27)</f>
        <v/>
      </c>
      <c r="N27" s="342">
        <f>IF(AM27=301,"",AM27)</f>
        <v>180</v>
      </c>
      <c r="O27" s="342" t="str">
        <f>IF(AN27=0,"",AN27)</f>
        <v/>
      </c>
      <c r="P27" s="342">
        <f>IF(AO27=301,"",AO27)</f>
        <v>175</v>
      </c>
      <c r="Q27" s="342" t="str">
        <f>IF(AP27=0,"",AP27)</f>
        <v/>
      </c>
      <c r="R27" s="342">
        <f>IF(AQ27=301,"",AQ27)</f>
        <v>170</v>
      </c>
      <c r="S27" s="342" t="str">
        <f>IF(AR27=0,"",AR27)</f>
        <v/>
      </c>
      <c r="T27" s="342">
        <f>IF(AS27=301,"",AS27)</f>
        <v>166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236</v>
      </c>
      <c r="AD27" s="378"/>
      <c r="AE27" s="377">
        <f>ABS(INDEX(AE:AE,MATCH(AE22,$AA:$AA,0)+11)+INDEX(AE:AE,MATCH(AE22,$AA:$AA,0)+12)+INDEX(AE:AE,MATCH(AE22,$AA:$AA,0)+13))</f>
        <v>189</v>
      </c>
      <c r="AF27" s="378"/>
      <c r="AG27" s="377">
        <f>ABS(INDEX(AG:AG,MATCH(AG22,$AA:$AA,0)+11)+INDEX(AG:AG,MATCH(AG22,$AA:$AA,0)+12)+INDEX(AG:AG,MATCH(AG22,$AA:$AA,0)+13))</f>
        <v>225</v>
      </c>
      <c r="AH27" s="378"/>
      <c r="AI27" s="377">
        <f>ABS(INDEX(AI:AI,MATCH(AI22,$AA:$AA,0)+11)+INDEX(AI:AI,MATCH(AI22,$AA:$AA,0)+12)+INDEX(AI:AI,MATCH(AI22,$AA:$AA,0)+13))</f>
        <v>224</v>
      </c>
      <c r="AJ27" s="378"/>
      <c r="AK27" s="377">
        <f>ABS(INDEX(AK:AK,MATCH(AK22,$AA:$AA,0)+11)+INDEX(AK:AK,MATCH(AK22,$AA:$AA,0)+12)+INDEX(AK:AK,MATCH(AK22,$AA:$AA,0)+13))</f>
        <v>173</v>
      </c>
      <c r="AL27" s="378"/>
      <c r="AM27" s="377">
        <f>ABS(INDEX(AM:AM,MATCH(AM22,$AA:$AA,0)+11)+INDEX(AM:AM,MATCH(AM22,$AA:$AA,0)+12)+INDEX(AM:AM,MATCH(AM22,$AA:$AA,0)+13))</f>
        <v>180</v>
      </c>
      <c r="AN27" s="378"/>
      <c r="AO27" s="377">
        <f>ABS(INDEX(AO:AO,MATCH(AO22,$AA:$AA,0)+11)+INDEX(AO:AO,MATCH(AO22,$AA:$AA,0)+12)+INDEX(AO:AO,MATCH(AO22,$AA:$AA,0)+13))</f>
        <v>175</v>
      </c>
      <c r="AP27" s="378"/>
      <c r="AQ27" s="377">
        <f>ABS(INDEX(AQ:AQ,MATCH(AQ22,$AA:$AA,0)+11)+INDEX(AQ:AQ,MATCH(AQ22,$AA:$AA,0)+12)+INDEX(AQ:AQ,MATCH(AQ22,$AA:$AA,0)+13))</f>
        <v>170</v>
      </c>
      <c r="AR27" s="378"/>
      <c r="AS27" s="377">
        <f>ABS(INDEX(AS:AS,MATCH(AS22,$AA:$AA,0)+11)+INDEX(AS:AS,MATCH(AS22,$AA:$AA,0)+12)+INDEX(AS:AS,MATCH(AS22,$AA:$AA,0)+13))</f>
        <v>166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167</v>
      </c>
      <c r="G28" s="342" t="str">
        <f>IF(AF28=0,"",AF28)</f>
        <v/>
      </c>
      <c r="H28" s="342">
        <f>IF(AG28=301,"",AG28)</f>
        <v>215</v>
      </c>
      <c r="I28" s="342" t="str">
        <f>IF(AH28=0,"",AH28)</f>
        <v/>
      </c>
      <c r="J28" s="342">
        <f>IF(AI28=301,"",AI28)</f>
        <v>220</v>
      </c>
      <c r="K28" s="342" t="str">
        <f>IF(AJ28=0,"",AJ28)</f>
        <v/>
      </c>
      <c r="L28" s="342">
        <f>IF(AK28=301,"",AK28)</f>
        <v>221</v>
      </c>
      <c r="M28" s="342" t="str">
        <f>IF(AL28=0,"",AL28)</f>
        <v/>
      </c>
      <c r="N28" s="342">
        <f>IF(AM28=301,"",AM28)</f>
        <v>195</v>
      </c>
      <c r="O28" s="342" t="str">
        <f>IF(AN28=0,"",AN28)</f>
        <v/>
      </c>
      <c r="P28" s="342">
        <f>IF(AO28=301,"",AO28)</f>
        <v>219</v>
      </c>
      <c r="Q28" s="342" t="str">
        <f>IF(AP28=0,"",AP28)</f>
        <v/>
      </c>
      <c r="R28" s="342">
        <f>IF(AQ28=301,"",AQ28)</f>
        <v>268</v>
      </c>
      <c r="S28" s="342" t="str">
        <f>IF(AR28=0,"",AR28)</f>
        <v/>
      </c>
      <c r="T28" s="342">
        <f>IF(AS28=301,"",AS28)</f>
        <v>202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167</v>
      </c>
      <c r="AF28" s="378"/>
      <c r="AG28" s="377">
        <f>ABS(INDEX(AG:AG,MATCH(AG22,$AA:$AA,0)+14)+INDEX(AG:AG,MATCH(AG22,$AA:$AA,0)+15)+INDEX(AG:AG,MATCH(AG22,$AA:$AA,0)+16))</f>
        <v>215</v>
      </c>
      <c r="AH28" s="378"/>
      <c r="AI28" s="377">
        <f>ABS(INDEX(AI:AI,MATCH(AI22,$AA:$AA,0)+14)+INDEX(AI:AI,MATCH(AI22,$AA:$AA,0)+15)+INDEX(AI:AI,MATCH(AI22,$AA:$AA,0)+16))</f>
        <v>220</v>
      </c>
      <c r="AJ28" s="378"/>
      <c r="AK28" s="377">
        <f>ABS(INDEX(AK:AK,MATCH(AK22,$AA:$AA,0)+14)+INDEX(AK:AK,MATCH(AK22,$AA:$AA,0)+15)+INDEX(AK:AK,MATCH(AK22,$AA:$AA,0)+16))</f>
        <v>221</v>
      </c>
      <c r="AL28" s="378"/>
      <c r="AM28" s="377">
        <f>ABS(INDEX(AM:AM,MATCH(AM22,$AA:$AA,0)+14)+INDEX(AM:AM,MATCH(AM22,$AA:$AA,0)+15)+INDEX(AM:AM,MATCH(AM22,$AA:$AA,0)+16))</f>
        <v>195</v>
      </c>
      <c r="AN28" s="378"/>
      <c r="AO28" s="377">
        <f>ABS(INDEX(AO:AO,MATCH(AO22,$AA:$AA,0)+14)+INDEX(AO:AO,MATCH(AO22,$AA:$AA,0)+15)+INDEX(AO:AO,MATCH(AO22,$AA:$AA,0)+16))</f>
        <v>219</v>
      </c>
      <c r="AP28" s="378"/>
      <c r="AQ28" s="377">
        <f>ABS(INDEX(AQ:AQ,MATCH(AQ22,$AA:$AA,0)+14)+INDEX(AQ:AQ,MATCH(AQ22,$AA:$AA,0)+15)+INDEX(AQ:AQ,MATCH(AQ22,$AA:$AA,0)+16))</f>
        <v>268</v>
      </c>
      <c r="AR28" s="378"/>
      <c r="AS28" s="377">
        <f>ABS(INDEX(AS:AS,MATCH(AS22,$AA:$AA,0)+14)+INDEX(AS:AS,MATCH(AS22,$AA:$AA,0)+15)+INDEX(AS:AS,MATCH(AS22,$AA:$AA,0)+16))</f>
        <v>202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728</v>
      </c>
      <c r="E29" s="341" t="str">
        <f>IF(AD29=0,"",AD29)</f>
        <v/>
      </c>
      <c r="F29" s="341">
        <f>IF(AE29=1505,"",AE29)</f>
        <v>784</v>
      </c>
      <c r="G29" s="341" t="str">
        <f>IF(AF29=0,"",AF29)</f>
        <v/>
      </c>
      <c r="H29" s="341">
        <f>IF(AG29=1505,"",AG29)</f>
        <v>843</v>
      </c>
      <c r="I29" s="341" t="str">
        <f>IF(AH29=0,"",AH29)</f>
        <v/>
      </c>
      <c r="J29" s="341">
        <f>IF(AI29=1505,"",AI29)</f>
        <v>791</v>
      </c>
      <c r="K29" s="341" t="str">
        <f>IF(AJ29=0,"",AJ29)</f>
        <v/>
      </c>
      <c r="L29" s="341">
        <f>IF(AK29=1505,"",AK29)</f>
        <v>740</v>
      </c>
      <c r="M29" s="341" t="str">
        <f>IF(AL29=0,"",AL29)</f>
        <v/>
      </c>
      <c r="N29" s="341">
        <f>IF(AM29=1505,"",AM29)</f>
        <v>719</v>
      </c>
      <c r="O29" s="341" t="str">
        <f>IF(AN29=0,"",AN29)</f>
        <v/>
      </c>
      <c r="P29" s="341">
        <f>IF(AO29=1505,"",AO29)</f>
        <v>778</v>
      </c>
      <c r="Q29" s="341" t="str">
        <f>IF(AP29=0,"",AP29)</f>
        <v/>
      </c>
      <c r="R29" s="341">
        <f>IF(AQ29=1505,"",AQ29)</f>
        <v>800</v>
      </c>
      <c r="S29" s="341" t="str">
        <f>IF(AR29=0,"",AR29)</f>
        <v/>
      </c>
      <c r="T29" s="341">
        <f>IF(AS29=1505,"",AS29)</f>
        <v>690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728</v>
      </c>
      <c r="AD29" s="358"/>
      <c r="AE29" s="357">
        <f>SUM(AE25:AE28)</f>
        <v>784</v>
      </c>
      <c r="AF29" s="358"/>
      <c r="AG29" s="357">
        <f>SUM(AG25:AG28)</f>
        <v>843</v>
      </c>
      <c r="AH29" s="358"/>
      <c r="AI29" s="357">
        <f>SUM(AI25:AI28)</f>
        <v>791</v>
      </c>
      <c r="AJ29" s="358"/>
      <c r="AK29" s="357">
        <f>SUM(AK25:AK28)</f>
        <v>740</v>
      </c>
      <c r="AL29" s="358"/>
      <c r="AM29" s="357">
        <f>SUM(AM25:AM28)</f>
        <v>719</v>
      </c>
      <c r="AN29" s="358"/>
      <c r="AO29" s="357">
        <f>SUM(AO25:AO28)</f>
        <v>778</v>
      </c>
      <c r="AP29" s="358"/>
      <c r="AQ29" s="357">
        <f>SUM(AQ25:AQ28)</f>
        <v>800</v>
      </c>
      <c r="AR29" s="358"/>
      <c r="AS29" s="357">
        <f>SUM(AS25:AS28)</f>
        <v>690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02.11./03.11.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02.11./03.11.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Nürnberg West Bowling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51">
        <f>IF(AD37="","",AD37)</f>
        <v>0</v>
      </c>
      <c r="F37" s="75">
        <f t="shared" ref="F37:F50" si="34">IF(AE37=0,"",AE37)</f>
        <v>205</v>
      </c>
      <c r="G37" s="351">
        <f>IF(AF37="","",AF37)</f>
        <v>1</v>
      </c>
      <c r="H37" s="75">
        <f t="shared" ref="H37:H50" si="35">IF(AG37=0,"",AG37)</f>
        <v>215</v>
      </c>
      <c r="I37" s="351">
        <f>IF(AH37="","",AH37)</f>
        <v>0</v>
      </c>
      <c r="J37" s="75">
        <f t="shared" ref="J37:J50" si="36">IF(AI37=0,"",AI37)</f>
        <v>166</v>
      </c>
      <c r="K37" s="351">
        <f>IF(AJ37="","",AJ37)</f>
        <v>0</v>
      </c>
      <c r="L37" s="75">
        <f t="shared" ref="L37:L50" si="37">IF(AK37=0,"",AK37)</f>
        <v>201</v>
      </c>
      <c r="M37" s="351">
        <f>IF(AL37="","",AL37)</f>
        <v>1</v>
      </c>
      <c r="N37" s="75">
        <f>IF(AM37=0,"",AM37)</f>
        <v>211</v>
      </c>
      <c r="O37" s="351">
        <f>IF(AN37="","",AN37)</f>
        <v>0</v>
      </c>
      <c r="P37" s="75">
        <f t="shared" ref="P37:P50" si="38">IF(AO37=0,"",AO37)</f>
        <v>140</v>
      </c>
      <c r="Q37" s="351">
        <f>IF(AP37="","",AP37)</f>
        <v>0</v>
      </c>
      <c r="R37" s="75">
        <f t="shared" ref="R37:R50" si="39">IF(AQ37=0,"",AQ37)</f>
        <v>179</v>
      </c>
      <c r="S37" s="351">
        <f>IF(AR37="","",AR37)</f>
        <v>0</v>
      </c>
      <c r="T37" s="75">
        <f t="shared" ref="T37:T50" si="40">IF(AS37=0,"",AS37)</f>
        <v>171</v>
      </c>
      <c r="U37" s="351">
        <f>IF(AT37="","",AT37)</f>
        <v>0</v>
      </c>
      <c r="V37" s="75">
        <f t="shared" ref="V37:V50" si="41">IF(AU37=0,"",AU37)</f>
        <v>1708</v>
      </c>
      <c r="W37" s="351">
        <f>IF(AV37="","",AV37)</f>
        <v>2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51">
        <f>IF(AD40="","",AD40)</f>
        <v>0</v>
      </c>
      <c r="F40" s="75" t="str">
        <f t="shared" si="34"/>
        <v/>
      </c>
      <c r="G40" s="351">
        <f>IF(AF40="","",AF40)</f>
        <v>1</v>
      </c>
      <c r="H40" s="75" t="str">
        <f t="shared" si="35"/>
        <v/>
      </c>
      <c r="I40" s="351">
        <f>IF(AH40="","",AH40)</f>
        <v>0</v>
      </c>
      <c r="J40" s="75" t="str">
        <f t="shared" si="36"/>
        <v/>
      </c>
      <c r="K40" s="351">
        <f>IF(AJ40="","",AJ40)</f>
        <v>1</v>
      </c>
      <c r="L40" s="75" t="str">
        <f t="shared" si="37"/>
        <v/>
      </c>
      <c r="M40" s="351">
        <f>IF(AL40="","",AL40)</f>
        <v>1</v>
      </c>
      <c r="N40" s="75" t="str">
        <f t="shared" si="54"/>
        <v/>
      </c>
      <c r="O40" s="351">
        <f>IF(AN40="","",AN40)</f>
        <v>1</v>
      </c>
      <c r="P40" s="75">
        <f t="shared" si="38"/>
        <v>150</v>
      </c>
      <c r="Q40" s="351">
        <f>IF(AP40="","",AP40)</f>
        <v>1</v>
      </c>
      <c r="R40" s="75">
        <f t="shared" si="39"/>
        <v>138</v>
      </c>
      <c r="S40" s="351">
        <f>IF(AR40="","",AR40)</f>
        <v>0</v>
      </c>
      <c r="T40" s="75" t="str">
        <f t="shared" si="40"/>
        <v/>
      </c>
      <c r="U40" s="351">
        <f>IF(AT40="","",AT40)</f>
        <v>0</v>
      </c>
      <c r="V40" s="75">
        <f t="shared" si="41"/>
        <v>409</v>
      </c>
      <c r="W40" s="351">
        <f>IF(AV40="","",AV40)</f>
        <v>5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52"/>
      <c r="F41" s="78">
        <f t="shared" si="34"/>
        <v>223</v>
      </c>
      <c r="G41" s="352"/>
      <c r="H41" s="78">
        <f t="shared" si="35"/>
        <v>171</v>
      </c>
      <c r="I41" s="352"/>
      <c r="J41" s="78">
        <f t="shared" si="36"/>
        <v>150</v>
      </c>
      <c r="K41" s="352"/>
      <c r="L41" s="78">
        <f t="shared" si="37"/>
        <v>169</v>
      </c>
      <c r="M41" s="352"/>
      <c r="N41" s="78">
        <f t="shared" si="54"/>
        <v>160</v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>
        <f t="shared" si="40"/>
        <v>199</v>
      </c>
      <c r="U41" s="352"/>
      <c r="V41" s="78">
        <f t="shared" si="41"/>
        <v>1072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51">
        <f>IF(AD43="","",AD43)</f>
        <v>1</v>
      </c>
      <c r="F43" s="75">
        <f t="shared" si="34"/>
        <v>189</v>
      </c>
      <c r="G43" s="351">
        <f>IF(AF43="","",AF43)</f>
        <v>0</v>
      </c>
      <c r="H43" s="75">
        <f t="shared" si="35"/>
        <v>235</v>
      </c>
      <c r="I43" s="351">
        <f>IF(AH43="","",AH43)</f>
        <v>1</v>
      </c>
      <c r="J43" s="75">
        <f t="shared" si="36"/>
        <v>203</v>
      </c>
      <c r="K43" s="351">
        <f>IF(AJ43="","",AJ43)</f>
        <v>1</v>
      </c>
      <c r="L43" s="75">
        <f t="shared" si="37"/>
        <v>213</v>
      </c>
      <c r="M43" s="351">
        <f>IF(AL43="","",AL43)</f>
        <v>0</v>
      </c>
      <c r="N43" s="75">
        <f t="shared" si="54"/>
        <v>161</v>
      </c>
      <c r="O43" s="351">
        <f>IF(AN43="","",AN43)</f>
        <v>0</v>
      </c>
      <c r="P43" s="75">
        <f t="shared" si="38"/>
        <v>237</v>
      </c>
      <c r="Q43" s="351">
        <f>IF(AP43="","",AP43)</f>
        <v>1</v>
      </c>
      <c r="R43" s="75">
        <f t="shared" si="39"/>
        <v>169</v>
      </c>
      <c r="S43" s="351">
        <f>IF(AR43="","",AR43)</f>
        <v>0</v>
      </c>
      <c r="T43" s="75">
        <f t="shared" si="40"/>
        <v>209</v>
      </c>
      <c r="U43" s="351">
        <f>IF(AT43="","",AT43)</f>
        <v>1</v>
      </c>
      <c r="V43" s="75">
        <f t="shared" si="41"/>
        <v>1858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51">
        <f>IF(AD46="","",AD46)</f>
        <v>1</v>
      </c>
      <c r="F46" s="75">
        <f t="shared" si="34"/>
        <v>167</v>
      </c>
      <c r="G46" s="351">
        <f>IF(AF46="","",AF46)</f>
        <v>0</v>
      </c>
      <c r="H46" s="75">
        <f t="shared" si="35"/>
        <v>175</v>
      </c>
      <c r="I46" s="351">
        <f>IF(AH46="","",AH46)</f>
        <v>0</v>
      </c>
      <c r="J46" s="75">
        <f t="shared" si="36"/>
        <v>155</v>
      </c>
      <c r="K46" s="351">
        <f>IF(AJ46="","",AJ46)</f>
        <v>0</v>
      </c>
      <c r="L46" s="75">
        <f t="shared" si="37"/>
        <v>266</v>
      </c>
      <c r="M46" s="351">
        <f>IF(AL46="","",AL46)</f>
        <v>1</v>
      </c>
      <c r="N46" s="75">
        <f t="shared" si="54"/>
        <v>213</v>
      </c>
      <c r="O46" s="351">
        <f>IF(AN46="","",AN46)</f>
        <v>1</v>
      </c>
      <c r="P46" s="75">
        <f t="shared" si="38"/>
        <v>165</v>
      </c>
      <c r="Q46" s="351">
        <f>IF(AP46="","",AP46)</f>
        <v>1</v>
      </c>
      <c r="R46" s="75">
        <f t="shared" si="39"/>
        <v>174</v>
      </c>
      <c r="S46" s="351">
        <f>IF(AR46="","",AR46)</f>
        <v>0</v>
      </c>
      <c r="T46" s="75">
        <f t="shared" si="40"/>
        <v>146</v>
      </c>
      <c r="U46" s="351">
        <f>IF(AT46="","",AT46)</f>
        <v>0</v>
      </c>
      <c r="V46" s="75">
        <f t="shared" si="41"/>
        <v>1657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9</v>
      </c>
      <c r="E52" s="349" t="str">
        <f t="shared" si="65"/>
        <v/>
      </c>
      <c r="F52" s="349">
        <f t="shared" si="65"/>
        <v>1</v>
      </c>
      <c r="G52" s="349" t="str">
        <f t="shared" si="65"/>
        <v/>
      </c>
      <c r="H52" s="349">
        <f t="shared" si="65"/>
        <v>10</v>
      </c>
      <c r="I52" s="349" t="str">
        <f t="shared" si="65"/>
        <v/>
      </c>
      <c r="J52" s="349">
        <f t="shared" si="65"/>
        <v>5</v>
      </c>
      <c r="K52" s="349" t="str">
        <f t="shared" si="65"/>
        <v/>
      </c>
      <c r="L52" s="349">
        <f t="shared" si="65"/>
        <v>3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N52:U54" si="66">IF(AQ52=0,"",AQ52)</f>
        <v>4</v>
      </c>
      <c r="S52" s="349" t="str">
        <f t="shared" si="66"/>
        <v/>
      </c>
      <c r="T52" s="349">
        <f t="shared" si="66"/>
        <v>6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VLOOKUP($AA32,Schlüssel!$A$5:$DG$14,23)</f>
        <v>9</v>
      </c>
      <c r="AD52" s="374"/>
      <c r="AE52" s="373">
        <f>VLOOKUP($AA32,Schlüssel!$A$5:$EK$14,24)</f>
        <v>1</v>
      </c>
      <c r="AF52" s="374"/>
      <c r="AG52" s="373">
        <f>VLOOKUP($AA32,Schlüssel!$A$5:$EK$14,25)</f>
        <v>10</v>
      </c>
      <c r="AH52" s="374"/>
      <c r="AI52" s="373">
        <f>VLOOKUP($AA32,Schlüssel!$A$5:$EK$14,26)</f>
        <v>5</v>
      </c>
      <c r="AJ52" s="374"/>
      <c r="AK52" s="373">
        <f>VLOOKUP($AA32,Schlüssel!$A$5:$EK$14,27)</f>
        <v>3</v>
      </c>
      <c r="AL52" s="374"/>
      <c r="AM52" s="373">
        <f>VLOOKUP($AA32,Schlüssel!$A$5:$EK$14,28)</f>
        <v>7</v>
      </c>
      <c r="AN52" s="374"/>
      <c r="AO52" s="373">
        <f>VLOOKUP($AA32,Schlüssel!$A$5:$EK$14,29)</f>
        <v>8</v>
      </c>
      <c r="AP52" s="374"/>
      <c r="AQ52" s="373">
        <f>VLOOKUP($AA32,Schlüssel!$A$5:$EK$14,30)</f>
        <v>4</v>
      </c>
      <c r="AR52" s="374"/>
      <c r="AS52" s="373">
        <f>VLOOKUP($AA32,Schlüssel!$A$5:$EK$14,31)</f>
        <v>6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6" t="str">
        <f t="shared" si="67"/>
        <v>Bowlinghaus Bamberg 1</v>
      </c>
      <c r="E53" s="347" t="str">
        <f t="shared" si="67"/>
        <v/>
      </c>
      <c r="F53" s="346" t="str">
        <f t="shared" si="67"/>
        <v>BC Comet Nürnberg</v>
      </c>
      <c r="G53" s="347" t="str">
        <f t="shared" si="67"/>
        <v/>
      </c>
      <c r="H53" s="346" t="str">
        <f t="shared" si="67"/>
        <v>High Roller Rosenheim 1</v>
      </c>
      <c r="I53" s="347" t="str">
        <f t="shared" si="67"/>
        <v/>
      </c>
      <c r="J53" s="346" t="str">
        <f t="shared" si="67"/>
        <v>RW Lichtenhof Stein 1</v>
      </c>
      <c r="K53" s="347" t="str">
        <f t="shared" si="67"/>
        <v/>
      </c>
      <c r="L53" s="346" t="str">
        <f t="shared" si="67"/>
        <v>BK München 3</v>
      </c>
      <c r="M53" s="347" t="str">
        <f t="shared" si="67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SG Rottendorf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Bowlinghaus Bamberg 1</v>
      </c>
      <c r="AD53" s="347"/>
      <c r="AE53" s="346" t="str">
        <f>VLOOKUP(AE52,Schlüssel!$A$5:$K$14,2)</f>
        <v>BC Comet Nürnberg</v>
      </c>
      <c r="AF53" s="347"/>
      <c r="AG53" s="346" t="str">
        <f>VLOOKUP(AG52,Schlüssel!$A$5:$K$14,2)</f>
        <v>High Roller Rosenheim 1</v>
      </c>
      <c r="AH53" s="347"/>
      <c r="AI53" s="346" t="str">
        <f>VLOOKUP(AI52,Schlüssel!$A$5:$K$14,2)</f>
        <v>RW Lichtenhof Stein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SG Rottendorf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7"/>
        <v/>
      </c>
      <c r="M54" s="344" t="str">
        <f t="shared" si="67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221</v>
      </c>
      <c r="E55" s="342" t="str">
        <f>IF(AD55=0,"",AD55)</f>
        <v/>
      </c>
      <c r="F55" s="342">
        <f>IF(AE55=301,"",AE55)</f>
        <v>186</v>
      </c>
      <c r="G55" s="342" t="str">
        <f>IF(AF55=0,"",AF55)</f>
        <v/>
      </c>
      <c r="H55" s="342">
        <f>IF(AG55=301,"",AG55)</f>
        <v>220</v>
      </c>
      <c r="I55" s="342" t="str">
        <f>IF(AH55=0,"",AH55)</f>
        <v/>
      </c>
      <c r="J55" s="342">
        <f>IF(AI55=301,"",AI55)</f>
        <v>181</v>
      </c>
      <c r="K55" s="342" t="str">
        <f>IF(AJ55=0,"",AJ55)</f>
        <v/>
      </c>
      <c r="L55" s="342">
        <f>IF(AK55=301,"",AK55)</f>
        <v>192</v>
      </c>
      <c r="M55" s="342" t="str">
        <f>IF(AL55=0,"",AL55)</f>
        <v/>
      </c>
      <c r="N55" s="342">
        <f>IF(AM55=301,"",AM55)</f>
        <v>220</v>
      </c>
      <c r="O55" s="342" t="str">
        <f>IF(AN55=0,"",AN55)</f>
        <v/>
      </c>
      <c r="P55" s="342">
        <f>IF(AO55=301,"",AO55)</f>
        <v>198</v>
      </c>
      <c r="Q55" s="342" t="str">
        <f>IF(AP55=0,"",AP55)</f>
        <v/>
      </c>
      <c r="R55" s="342">
        <f>IF(AQ55=301,"",AQ55)</f>
        <v>227</v>
      </c>
      <c r="S55" s="342" t="str">
        <f>IF(AR55=0,"",AR55)</f>
        <v/>
      </c>
      <c r="T55" s="342">
        <f>IF(AS55=301,"",AS55)</f>
        <v>222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221</v>
      </c>
      <c r="AD55" s="376"/>
      <c r="AE55" s="375">
        <f>ABS(INDEX(AE:AE,MATCH(AE52,$AA:$AA,0)+5)+INDEX(AE:AE,MATCH(AE52,$AA:$AA,0)+6)+INDEX(AE:AE,MATCH(AE52,$AA:$AA,0)+7))</f>
        <v>186</v>
      </c>
      <c r="AF55" s="376"/>
      <c r="AG55" s="375">
        <f>ABS(INDEX(AG:AG,MATCH(AG52,$AA:$AA,0)+5)+INDEX(AG:AG,MATCH(AG52,$AA:$AA,0)+6)+INDEX(AG:AG,MATCH(AG52,$AA:$AA,0)+7))</f>
        <v>220</v>
      </c>
      <c r="AH55" s="376"/>
      <c r="AI55" s="375">
        <f>ABS(INDEX(AI:AI,MATCH(AI52,$AA:$AA,0)+5)+INDEX(AI:AI,MATCH(AI52,$AA:$AA,0)+6)+INDEX(AI:AI,MATCH(AI52,$AA:$AA,0)+7))</f>
        <v>181</v>
      </c>
      <c r="AJ55" s="376"/>
      <c r="AK55" s="375">
        <f>ABS(INDEX(AK:AK,MATCH(AK52,$AA:$AA,0)+5)+INDEX(AK:AK,MATCH(AK52,$AA:$AA,0)+6)+INDEX(AK:AK,MATCH(AK52,$AA:$AA,0)+7))</f>
        <v>192</v>
      </c>
      <c r="AL55" s="376"/>
      <c r="AM55" s="375">
        <f>ABS(INDEX(AM:AM,MATCH(AM52,$AA:$AA,0)+5)+INDEX(AM:AM,MATCH(AM52,$AA:$AA,0)+6)+INDEX(AM:AM,MATCH(AM52,$AA:$AA,0)+7))</f>
        <v>220</v>
      </c>
      <c r="AN55" s="376"/>
      <c r="AO55" s="375">
        <f>ABS(INDEX(AO:AO,MATCH(AO52,$AA:$AA,0)+5)+INDEX(AO:AO,MATCH(AO52,$AA:$AA,0)+6)+INDEX(AO:AO,MATCH(AO52,$AA:$AA,0)+7))</f>
        <v>198</v>
      </c>
      <c r="AP55" s="376"/>
      <c r="AQ55" s="375">
        <f>ABS(INDEX(AQ:AQ,MATCH(AQ52,$AA:$AA,0)+5)+INDEX(AQ:AQ,MATCH(AQ52,$AA:$AA,0)+6)+INDEX(AQ:AQ,MATCH(AQ52,$AA:$AA,0)+7))</f>
        <v>227</v>
      </c>
      <c r="AR55" s="376"/>
      <c r="AS55" s="375">
        <f>ABS(INDEX(AS:AS,MATCH(AS52,$AA:$AA,0)+5)+INDEX(AS:AS,MATCH(AS52,$AA:$AA,0)+6)+INDEX(AS:AS,MATCH(AS52,$AA:$AA,0)+7))</f>
        <v>222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214</v>
      </c>
      <c r="E56" s="342" t="str">
        <f>IF(AD56=0,"",AD56)</f>
        <v/>
      </c>
      <c r="F56" s="342">
        <f>IF(AE56=301,"",AE56)</f>
        <v>214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137</v>
      </c>
      <c r="K56" s="342" t="str">
        <f>IF(AJ56=0,"",AJ56)</f>
        <v/>
      </c>
      <c r="L56" s="342">
        <f>IF(AK56=301,"",AK56)</f>
        <v>163</v>
      </c>
      <c r="M56" s="342" t="str">
        <f>IF(AL56=0,"",AL56)</f>
        <v/>
      </c>
      <c r="N56" s="342">
        <f>IF(AM56=301,"",AM56)</f>
        <v>154</v>
      </c>
      <c r="O56" s="342" t="str">
        <f>IF(AN56=0,"",AN56)</f>
        <v/>
      </c>
      <c r="P56" s="342">
        <f>IF(AO56=301,"",AO56)</f>
        <v>146</v>
      </c>
      <c r="Q56" s="342" t="str">
        <f>IF(AP56=0,"",AP56)</f>
        <v/>
      </c>
      <c r="R56" s="342">
        <f>IF(AQ56=301,"",AQ56)</f>
        <v>190</v>
      </c>
      <c r="S56" s="342" t="str">
        <f>IF(AR56=0,"",AR56)</f>
        <v/>
      </c>
      <c r="T56" s="342">
        <f>IF(AS56=301,"",AS56)</f>
        <v>214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214</v>
      </c>
      <c r="AD56" s="378"/>
      <c r="AE56" s="377">
        <f>ABS(INDEX(AE:AE,MATCH(AE52,$AA:$AA,0)+8)+INDEX(AE:AE,MATCH(AE52,$AA:$AA,0)+9)+INDEX(AE:AE,MATCH(AE52,$AA:$AA,0)+10))</f>
        <v>214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137</v>
      </c>
      <c r="AJ56" s="378"/>
      <c r="AK56" s="377">
        <f>ABS(INDEX(AK:AK,MATCH(AK52,$AA:$AA,0)+8)+INDEX(AK:AK,MATCH(AK52,$AA:$AA,0)+9)+INDEX(AK:AK,MATCH(AK52,$AA:$AA,0)+10))</f>
        <v>163</v>
      </c>
      <c r="AL56" s="378"/>
      <c r="AM56" s="377">
        <f>ABS(INDEX(AM:AM,MATCH(AM52,$AA:$AA,0)+8)+INDEX(AM:AM,MATCH(AM52,$AA:$AA,0)+9)+INDEX(AM:AM,MATCH(AM52,$AA:$AA,0)+10))</f>
        <v>154</v>
      </c>
      <c r="AN56" s="378"/>
      <c r="AO56" s="377">
        <f>ABS(INDEX(AO:AO,MATCH(AO52,$AA:$AA,0)+8)+INDEX(AO:AO,MATCH(AO52,$AA:$AA,0)+9)+INDEX(AO:AO,MATCH(AO52,$AA:$AA,0)+10))</f>
        <v>146</v>
      </c>
      <c r="AP56" s="378"/>
      <c r="AQ56" s="377">
        <f>ABS(INDEX(AQ:AQ,MATCH(AQ52,$AA:$AA,0)+8)+INDEX(AQ:AQ,MATCH(AQ52,$AA:$AA,0)+9)+INDEX(AQ:AQ,MATCH(AQ52,$AA:$AA,0)+10))</f>
        <v>190</v>
      </c>
      <c r="AR56" s="378"/>
      <c r="AS56" s="377">
        <f>ABS(INDEX(AS:AS,MATCH(AS52,$AA:$AA,0)+8)+INDEX(AS:AS,MATCH(AS52,$AA:$AA,0)+9)+INDEX(AS:AS,MATCH(AS52,$AA:$AA,0)+10))</f>
        <v>214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204</v>
      </c>
      <c r="E57" s="342" t="str">
        <f>IF(AD57=0,"",AD57)</f>
        <v/>
      </c>
      <c r="F57" s="342">
        <f>IF(AE57=301,"",AE57)</f>
        <v>209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141</v>
      </c>
      <c r="K57" s="342" t="str">
        <f>IF(AJ57=0,"",AJ57)</f>
        <v/>
      </c>
      <c r="L57" s="342">
        <f>IF(AK57=301,"",AK57)</f>
        <v>226</v>
      </c>
      <c r="M57" s="342" t="str">
        <f>IF(AL57=0,"",AL57)</f>
        <v/>
      </c>
      <c r="N57" s="342">
        <f>IF(AM57=301,"",AM57)</f>
        <v>181</v>
      </c>
      <c r="O57" s="342" t="str">
        <f>IF(AN57=0,"",AN57)</f>
        <v/>
      </c>
      <c r="P57" s="342">
        <f>IF(AO57=301,"",AO57)</f>
        <v>172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178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204</v>
      </c>
      <c r="AD57" s="378"/>
      <c r="AE57" s="377">
        <f>ABS(INDEX(AE:AE,MATCH(AE52,$AA:$AA,0)+11)+INDEX(AE:AE,MATCH(AE52,$AA:$AA,0)+12)+INDEX(AE:AE,MATCH(AE52,$AA:$AA,0)+13))</f>
        <v>209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141</v>
      </c>
      <c r="AJ57" s="378"/>
      <c r="AK57" s="377">
        <f>ABS(INDEX(AK:AK,MATCH(AK52,$AA:$AA,0)+11)+INDEX(AK:AK,MATCH(AK52,$AA:$AA,0)+12)+INDEX(AK:AK,MATCH(AK52,$AA:$AA,0)+13))</f>
        <v>226</v>
      </c>
      <c r="AL57" s="378"/>
      <c r="AM57" s="377">
        <f>ABS(INDEX(AM:AM,MATCH(AM52,$AA:$AA,0)+11)+INDEX(AM:AM,MATCH(AM52,$AA:$AA,0)+12)+INDEX(AM:AM,MATCH(AM52,$AA:$AA,0)+13))</f>
        <v>181</v>
      </c>
      <c r="AN57" s="378"/>
      <c r="AO57" s="377">
        <f>ABS(INDEX(AO:AO,MATCH(AO52,$AA:$AA,0)+11)+INDEX(AO:AO,MATCH(AO52,$AA:$AA,0)+12)+INDEX(AO:AO,MATCH(AO52,$AA:$AA,0)+13))</f>
        <v>172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178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164</v>
      </c>
      <c r="E58" s="342" t="str">
        <f>IF(AD58=0,"",AD58)</f>
        <v/>
      </c>
      <c r="F58" s="342">
        <f>IF(AE58=301,"",AE58)</f>
        <v>206</v>
      </c>
      <c r="G58" s="342" t="str">
        <f>IF(AF58=0,"",AF58)</f>
        <v/>
      </c>
      <c r="H58" s="342">
        <f>IF(AG58=301,"",AG58)</f>
        <v>191</v>
      </c>
      <c r="I58" s="342" t="str">
        <f>IF(AH58=0,"",AH58)</f>
        <v/>
      </c>
      <c r="J58" s="342">
        <f>IF(AI58=301,"",AI58)</f>
        <v>186</v>
      </c>
      <c r="K58" s="342" t="str">
        <f>IF(AJ58=0,"",AJ58)</f>
        <v/>
      </c>
      <c r="L58" s="342">
        <f>IF(AK58=301,"",AK58)</f>
        <v>224</v>
      </c>
      <c r="M58" s="342" t="str">
        <f>IF(AL58=0,"",AL58)</f>
        <v/>
      </c>
      <c r="N58" s="342">
        <f>IF(AM58=301,"",AM58)</f>
        <v>152</v>
      </c>
      <c r="O58" s="342" t="str">
        <f>IF(AN58=0,"",AN58)</f>
        <v/>
      </c>
      <c r="P58" s="342">
        <f>IF(AO58=301,"",AO58)</f>
        <v>158</v>
      </c>
      <c r="Q58" s="342" t="str">
        <f>IF(AP58=0,"",AP58)</f>
        <v/>
      </c>
      <c r="R58" s="342">
        <f>IF(AQ58=301,"",AQ58)</f>
        <v>226</v>
      </c>
      <c r="S58" s="342" t="str">
        <f>IF(AR58=0,"",AR58)</f>
        <v/>
      </c>
      <c r="T58" s="342">
        <f>IF(AS58=301,"",AS58)</f>
        <v>223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164</v>
      </c>
      <c r="AD58" s="378"/>
      <c r="AE58" s="377">
        <f>ABS(INDEX(AE:AE,MATCH(AE52,$AA:$AA,0)+14)+INDEX(AE:AE,MATCH(AE52,$AA:$AA,0)+15)+INDEX(AE:AE,MATCH(AE52,$AA:$AA,0)+16))</f>
        <v>206</v>
      </c>
      <c r="AF58" s="378"/>
      <c r="AG58" s="377">
        <f>ABS(INDEX(AG:AG,MATCH(AG52,$AA:$AA,0)+14)+INDEX(AG:AG,MATCH(AG52,$AA:$AA,0)+15)+INDEX(AG:AG,MATCH(AG52,$AA:$AA,0)+16))</f>
        <v>191</v>
      </c>
      <c r="AH58" s="378"/>
      <c r="AI58" s="377">
        <f>ABS(INDEX(AI:AI,MATCH(AI52,$AA:$AA,0)+14)+INDEX(AI:AI,MATCH(AI52,$AA:$AA,0)+15)+INDEX(AI:AI,MATCH(AI52,$AA:$AA,0)+16))</f>
        <v>186</v>
      </c>
      <c r="AJ58" s="378"/>
      <c r="AK58" s="377">
        <f>ABS(INDEX(AK:AK,MATCH(AK52,$AA:$AA,0)+14)+INDEX(AK:AK,MATCH(AK52,$AA:$AA,0)+15)+INDEX(AK:AK,MATCH(AK52,$AA:$AA,0)+16))</f>
        <v>224</v>
      </c>
      <c r="AL58" s="378"/>
      <c r="AM58" s="377">
        <f>ABS(INDEX(AM:AM,MATCH(AM52,$AA:$AA,0)+14)+INDEX(AM:AM,MATCH(AM52,$AA:$AA,0)+15)+INDEX(AM:AM,MATCH(AM52,$AA:$AA,0)+16))</f>
        <v>152</v>
      </c>
      <c r="AN58" s="378"/>
      <c r="AO58" s="377">
        <f>ABS(INDEX(AO:AO,MATCH(AO52,$AA:$AA,0)+14)+INDEX(AO:AO,MATCH(AO52,$AA:$AA,0)+15)+INDEX(AO:AO,MATCH(AO52,$AA:$AA,0)+16))</f>
        <v>158</v>
      </c>
      <c r="AP58" s="378"/>
      <c r="AQ58" s="377">
        <f>ABS(INDEX(AQ:AQ,MATCH(AQ52,$AA:$AA,0)+14)+INDEX(AQ:AQ,MATCH(AQ52,$AA:$AA,0)+15)+INDEX(AQ:AQ,MATCH(AQ52,$AA:$AA,0)+16))</f>
        <v>226</v>
      </c>
      <c r="AR58" s="378"/>
      <c r="AS58" s="377">
        <f>ABS(INDEX(AS:AS,MATCH(AS52,$AA:$AA,0)+14)+INDEX(AS:AS,MATCH(AS52,$AA:$AA,0)+15)+INDEX(AS:AS,MATCH(AS52,$AA:$AA,0)+16))</f>
        <v>223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803</v>
      </c>
      <c r="E59" s="341" t="str">
        <f>IF(AD59=0,"",AD59)</f>
        <v/>
      </c>
      <c r="F59" s="341">
        <f>IF(AE59=1505,"",AE59)</f>
        <v>815</v>
      </c>
      <c r="G59" s="341" t="str">
        <f>IF(AF59=0,"",AF59)</f>
        <v/>
      </c>
      <c r="H59" s="341">
        <f>IF(AG59=1505,"",AG59)</f>
        <v>760</v>
      </c>
      <c r="I59" s="341" t="str">
        <f>IF(AH59=0,"",AH59)</f>
        <v/>
      </c>
      <c r="J59" s="341">
        <f>IF(AI59=1505,"",AI59)</f>
        <v>645</v>
      </c>
      <c r="K59" s="341" t="str">
        <f>IF(AJ59=0,"",AJ59)</f>
        <v/>
      </c>
      <c r="L59" s="341">
        <f>IF(AK59=1505,"",AK59)</f>
        <v>805</v>
      </c>
      <c r="M59" s="341" t="str">
        <f>IF(AL59=0,"",AL59)</f>
        <v/>
      </c>
      <c r="N59" s="341">
        <f>IF(AM59=1505,"",AM59)</f>
        <v>707</v>
      </c>
      <c r="O59" s="341" t="str">
        <f>IF(AN59=0,"",AN59)</f>
        <v/>
      </c>
      <c r="P59" s="341">
        <f>IF(AO59=1505,"",AO59)</f>
        <v>674</v>
      </c>
      <c r="Q59" s="341" t="str">
        <f>IF(AP59=0,"",AP59)</f>
        <v/>
      </c>
      <c r="R59" s="341">
        <f>IF(AQ59=1505,"",AQ59)</f>
        <v>846</v>
      </c>
      <c r="S59" s="341" t="str">
        <f>IF(AR59=0,"",AR59)</f>
        <v/>
      </c>
      <c r="T59" s="341">
        <f>IF(AS59=1505,"",AS59)</f>
        <v>837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803</v>
      </c>
      <c r="AD59" s="358"/>
      <c r="AE59" s="357">
        <f>SUM(AE55:AE58)</f>
        <v>815</v>
      </c>
      <c r="AF59" s="358"/>
      <c r="AG59" s="357">
        <f>SUM(AG55:AG58)</f>
        <v>760</v>
      </c>
      <c r="AH59" s="358"/>
      <c r="AI59" s="357">
        <f>SUM(AI55:AI58)</f>
        <v>645</v>
      </c>
      <c r="AJ59" s="358"/>
      <c r="AK59" s="357">
        <f>SUM(AK55:AK58)</f>
        <v>805</v>
      </c>
      <c r="AL59" s="358"/>
      <c r="AM59" s="357">
        <f>SUM(AM55:AM58)</f>
        <v>707</v>
      </c>
      <c r="AN59" s="358"/>
      <c r="AO59" s="357">
        <f>SUM(AO55:AO58)</f>
        <v>674</v>
      </c>
      <c r="AP59" s="358"/>
      <c r="AQ59" s="357">
        <f>SUM(AQ55:AQ58)</f>
        <v>846</v>
      </c>
      <c r="AR59" s="358"/>
      <c r="AS59" s="357">
        <f>SUM(AS55:AS58)</f>
        <v>837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02.11./03.11.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02.11./03.11.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Nürnberg West Bowling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51">
        <f>IF(AD67="","",AD67)</f>
        <v>1</v>
      </c>
      <c r="F67" s="75">
        <f t="shared" ref="F67:F80" si="69">IF(AE67=0,"",AE67)</f>
        <v>223</v>
      </c>
      <c r="G67" s="351">
        <f>IF(AF67="","",AF67)</f>
        <v>0</v>
      </c>
      <c r="H67" s="75">
        <f t="shared" ref="H67:H80" si="70">IF(AG67=0,"",AG67)</f>
        <v>163</v>
      </c>
      <c r="I67" s="351">
        <f>IF(AH67="","",AH67)</f>
        <v>0</v>
      </c>
      <c r="J67" s="75">
        <f t="shared" ref="J67:J80" si="71">IF(AI67=0,"",AI67)</f>
        <v>202</v>
      </c>
      <c r="K67" s="351">
        <f>IF(AJ67="","",AJ67)</f>
        <v>1</v>
      </c>
      <c r="L67" s="75">
        <f t="shared" ref="L67:L80" si="72">IF(AK67=0,"",AK67)</f>
        <v>192</v>
      </c>
      <c r="M67" s="351">
        <f>IF(AL67="","",AL67)</f>
        <v>0</v>
      </c>
      <c r="N67" s="75">
        <f>IF(AM67=0,"",AM67)</f>
        <v>228</v>
      </c>
      <c r="O67" s="351">
        <f>IF(AN67="","",AN67)</f>
        <v>1</v>
      </c>
      <c r="P67" s="75">
        <f t="shared" ref="P67:P80" si="73">IF(AO67=0,"",AO67)</f>
        <v>242</v>
      </c>
      <c r="Q67" s="351">
        <f>IF(AP67="","",AP67)</f>
        <v>1</v>
      </c>
      <c r="R67" s="75">
        <f t="shared" ref="R67:R80" si="74">IF(AQ67=0,"",AQ67)</f>
        <v>173</v>
      </c>
      <c r="S67" s="351">
        <f>IF(AR67="","",AR67)</f>
        <v>0</v>
      </c>
      <c r="T67" s="75">
        <f t="shared" ref="T67:T80" si="75">IF(AS67=0,"",AS67)</f>
        <v>164</v>
      </c>
      <c r="U67" s="351">
        <f>IF(AT67="","",AT67)</f>
        <v>0</v>
      </c>
      <c r="V67" s="75">
        <f t="shared" ref="V67:V80" si="76">IF(AU67=0,"",AU67)</f>
        <v>1768</v>
      </c>
      <c r="W67" s="351">
        <f>IF(AV67="","",AV67)</f>
        <v>4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51">
        <f>IF(AD70="","",AD70)</f>
        <v>0</v>
      </c>
      <c r="F70" s="75">
        <f t="shared" si="69"/>
        <v>178</v>
      </c>
      <c r="G70" s="351">
        <f>IF(AF70="","",AF70)</f>
        <v>0</v>
      </c>
      <c r="H70" s="75">
        <f t="shared" si="70"/>
        <v>153</v>
      </c>
      <c r="I70" s="351">
        <f>IF(AH70="","",AH70)</f>
        <v>0</v>
      </c>
      <c r="J70" s="75">
        <f t="shared" si="71"/>
        <v>181</v>
      </c>
      <c r="K70" s="351">
        <f>IF(AJ70="","",AJ70)</f>
        <v>0</v>
      </c>
      <c r="L70" s="75">
        <f t="shared" si="72"/>
        <v>163</v>
      </c>
      <c r="M70" s="351">
        <f>IF(AL70="","",AL70)</f>
        <v>0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</v>
      </c>
      <c r="T70" s="75" t="str">
        <f t="shared" si="75"/>
        <v/>
      </c>
      <c r="U70" s="351">
        <f>IF(AT70="","",AT70)</f>
        <v>1</v>
      </c>
      <c r="V70" s="75">
        <f t="shared" si="76"/>
        <v>862</v>
      </c>
      <c r="W70" s="351">
        <f>IF(AV70="","",AV70)</f>
        <v>2</v>
      </c>
      <c r="Z70" s="354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>
        <f t="shared" si="89"/>
        <v>184</v>
      </c>
      <c r="O71" s="352"/>
      <c r="P71" s="78">
        <f t="shared" si="73"/>
        <v>180</v>
      </c>
      <c r="Q71" s="352"/>
      <c r="R71" s="78">
        <f t="shared" si="74"/>
        <v>150</v>
      </c>
      <c r="S71" s="352"/>
      <c r="T71" s="78">
        <f t="shared" si="75"/>
        <v>158</v>
      </c>
      <c r="U71" s="352"/>
      <c r="V71" s="78">
        <f t="shared" si="76"/>
        <v>672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51">
        <f>IF(AD73="","",AD73)</f>
        <v>0</v>
      </c>
      <c r="F73" s="75">
        <f t="shared" si="69"/>
        <v>201</v>
      </c>
      <c r="G73" s="351">
        <f>IF(AF73="","",AF73)</f>
        <v>1</v>
      </c>
      <c r="H73" s="75">
        <f t="shared" si="70"/>
        <v>167</v>
      </c>
      <c r="I73" s="351">
        <f>IF(AH73="","",AH73)</f>
        <v>0</v>
      </c>
      <c r="J73" s="75">
        <f t="shared" si="71"/>
        <v>128</v>
      </c>
      <c r="K73" s="351">
        <f>IF(AJ73="","",AJ73)</f>
        <v>0</v>
      </c>
      <c r="L73" s="75" t="str">
        <f t="shared" si="72"/>
        <v/>
      </c>
      <c r="M73" s="351">
        <f>IF(AL73="","",AL73)</f>
        <v>1</v>
      </c>
      <c r="N73" s="75" t="str">
        <f t="shared" si="89"/>
        <v/>
      </c>
      <c r="O73" s="351">
        <f>IF(AN73="","",AN73)</f>
        <v>1</v>
      </c>
      <c r="P73" s="75" t="str">
        <f t="shared" si="73"/>
        <v/>
      </c>
      <c r="Q73" s="351">
        <f>IF(AP73="","",AP73)</f>
        <v>1</v>
      </c>
      <c r="R73" s="75" t="str">
        <f t="shared" si="74"/>
        <v/>
      </c>
      <c r="S73" s="351">
        <f>IF(AR73="","",AR73)</f>
        <v>1</v>
      </c>
      <c r="T73" s="75" t="str">
        <f t="shared" si="75"/>
        <v/>
      </c>
      <c r="U73" s="351">
        <f>IF(AT73="","",AT73)</f>
        <v>0</v>
      </c>
      <c r="V73" s="75">
        <f t="shared" si="76"/>
        <v>669</v>
      </c>
      <c r="W73" s="351">
        <f>IF(AV73="","",AV73)</f>
        <v>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>
        <f t="shared" si="72"/>
        <v>226</v>
      </c>
      <c r="M74" s="352"/>
      <c r="N74" s="78">
        <f t="shared" si="89"/>
        <v>188</v>
      </c>
      <c r="O74" s="352"/>
      <c r="P74" s="78">
        <f t="shared" si="73"/>
        <v>217</v>
      </c>
      <c r="Q74" s="352"/>
      <c r="R74" s="78">
        <f t="shared" si="74"/>
        <v>213</v>
      </c>
      <c r="S74" s="352"/>
      <c r="T74" s="78">
        <f t="shared" si="75"/>
        <v>166</v>
      </c>
      <c r="U74" s="352"/>
      <c r="V74" s="78">
        <f t="shared" si="76"/>
        <v>1010</v>
      </c>
      <c r="W74" s="352"/>
      <c r="Z74" s="355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51">
        <f>IF(AD76="","",AD76)</f>
        <v>1</v>
      </c>
      <c r="F76" s="75">
        <f t="shared" si="69"/>
        <v>149</v>
      </c>
      <c r="G76" s="351">
        <f>IF(AF76="","",AF76)</f>
        <v>0</v>
      </c>
      <c r="H76" s="75">
        <f t="shared" si="70"/>
        <v>237</v>
      </c>
      <c r="I76" s="351">
        <f>IF(AH76="","",AH76)</f>
        <v>1</v>
      </c>
      <c r="J76" s="75">
        <f t="shared" si="71"/>
        <v>244</v>
      </c>
      <c r="K76" s="351">
        <f>IF(AJ76="","",AJ76)</f>
        <v>1</v>
      </c>
      <c r="L76" s="75">
        <f t="shared" si="72"/>
        <v>224</v>
      </c>
      <c r="M76" s="351">
        <f>IF(AL76="","",AL76)</f>
        <v>0</v>
      </c>
      <c r="N76" s="75">
        <f t="shared" si="89"/>
        <v>166</v>
      </c>
      <c r="O76" s="351">
        <f>IF(AN76="","",AN76)</f>
        <v>0</v>
      </c>
      <c r="P76" s="75">
        <f t="shared" si="73"/>
        <v>180</v>
      </c>
      <c r="Q76" s="351">
        <f>IF(AP76="","",AP76)</f>
        <v>1</v>
      </c>
      <c r="R76" s="75">
        <f t="shared" si="74"/>
        <v>263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1885</v>
      </c>
      <c r="W76" s="351">
        <f>IF(AV76="","",AV76)</f>
        <v>6</v>
      </c>
      <c r="Z76" s="354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7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8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si="100"/>
        <v>2</v>
      </c>
      <c r="M82" s="349" t="str">
        <f t="shared" si="100"/>
        <v/>
      </c>
      <c r="N82" s="349">
        <f t="shared" si="100"/>
        <v>9</v>
      </c>
      <c r="O82" s="349" t="str">
        <f t="shared" si="100"/>
        <v/>
      </c>
      <c r="P82" s="349">
        <f t="shared" si="100"/>
        <v>5</v>
      </c>
      <c r="Q82" s="349" t="str">
        <f t="shared" si="100"/>
        <v/>
      </c>
      <c r="R82" s="349">
        <f t="shared" ref="N82:U84" si="101">IF(AQ82=0,"",AQ82)</f>
        <v>10</v>
      </c>
      <c r="S82" s="349" t="str">
        <f t="shared" si="101"/>
        <v/>
      </c>
      <c r="T82" s="349">
        <f t="shared" si="101"/>
        <v>1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VLOOKUP($AA62,Schlüssel!$A$5:$DG$14,23)</f>
        <v>7</v>
      </c>
      <c r="AD82" s="374"/>
      <c r="AE82" s="373">
        <f>VLOOKUP($AA62,Schlüssel!$A$5:$EK$14,24)</f>
        <v>4</v>
      </c>
      <c r="AF82" s="374"/>
      <c r="AG82" s="373">
        <f>VLOOKUP($AA62,Schlüssel!$A$5:$EK$14,25)</f>
        <v>8</v>
      </c>
      <c r="AH82" s="374"/>
      <c r="AI82" s="373">
        <f>VLOOKUP($AA62,Schlüssel!$A$5:$EK$14,26)</f>
        <v>6</v>
      </c>
      <c r="AJ82" s="374"/>
      <c r="AK82" s="373">
        <f>VLOOKUP($AA62,Schlüssel!$A$5:$EK$14,27)</f>
        <v>2</v>
      </c>
      <c r="AL82" s="374"/>
      <c r="AM82" s="373">
        <f>VLOOKUP($AA62,Schlüssel!$A$5:$EK$14,28)</f>
        <v>9</v>
      </c>
      <c r="AN82" s="374"/>
      <c r="AO82" s="373">
        <f>VLOOKUP($AA62,Schlüssel!$A$5:$EK$14,29)</f>
        <v>5</v>
      </c>
      <c r="AP82" s="374"/>
      <c r="AQ82" s="373">
        <f>VLOOKUP($AA62,Schlüssel!$A$5:$EK$14,30)</f>
        <v>10</v>
      </c>
      <c r="AR82" s="374"/>
      <c r="AS82" s="373">
        <f>VLOOKUP($AA62,Schlüssel!$A$5:$EK$14,31)</f>
        <v>1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6" t="str">
        <f t="shared" si="102"/>
        <v>Schanzer Ingolstadt 1</v>
      </c>
      <c r="E83" s="347" t="str">
        <f t="shared" si="102"/>
        <v/>
      </c>
      <c r="F83" s="346" t="str">
        <f t="shared" si="102"/>
        <v>SG DJK Rimpar</v>
      </c>
      <c r="G83" s="347" t="str">
        <f t="shared" si="102"/>
        <v/>
      </c>
      <c r="H83" s="346" t="str">
        <f t="shared" si="102"/>
        <v>BC EMAX Unterföhring 2</v>
      </c>
      <c r="I83" s="347" t="str">
        <f t="shared" si="102"/>
        <v/>
      </c>
      <c r="J83" s="346" t="str">
        <f t="shared" si="102"/>
        <v>SG Rottendorf 1</v>
      </c>
      <c r="K83" s="347" t="str">
        <f t="shared" si="102"/>
        <v/>
      </c>
      <c r="L83" s="346" t="str">
        <f t="shared" si="102"/>
        <v>Bajuwaren München 1</v>
      </c>
      <c r="M83" s="347" t="str">
        <f t="shared" si="102"/>
        <v/>
      </c>
      <c r="N83" s="346" t="str">
        <f t="shared" si="101"/>
        <v>Bowlinghaus Bamberg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High Roller Rosenheim 1</v>
      </c>
      <c r="S83" s="347" t="str">
        <f t="shared" si="101"/>
        <v/>
      </c>
      <c r="T83" s="346" t="str">
        <f t="shared" si="101"/>
        <v>BC Comet Nürnberg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Schanzer Ingolstadt 1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BC EMAX Unterföhring 2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Bowlinghaus Bamberg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High Roller Rosenheim 1</v>
      </c>
      <c r="AR83" s="347"/>
      <c r="AS83" s="346" t="str">
        <f>VLOOKUP(AS82,Schlüssel!$A$5:$K$14,2)</f>
        <v>BC Comet Nürnberg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2"/>
        <v/>
      </c>
      <c r="M84" s="344" t="str">
        <f t="shared" si="102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144</v>
      </c>
      <c r="E85" s="342" t="str">
        <f>IF(AD85=0,"",AD85)</f>
        <v/>
      </c>
      <c r="F85" s="342">
        <f>IF(AE85=301,"",AE85)</f>
        <v>228</v>
      </c>
      <c r="G85" s="342" t="str">
        <f>IF(AF85=0,"",AF85)</f>
        <v/>
      </c>
      <c r="H85" s="342">
        <f>IF(AG85=301,"",AG85)</f>
        <v>164</v>
      </c>
      <c r="I85" s="342" t="str">
        <f>IF(AH85=0,"",AH85)</f>
        <v/>
      </c>
      <c r="J85" s="342">
        <f>IF(AI85=301,"",AI85)</f>
        <v>175</v>
      </c>
      <c r="K85" s="342" t="str">
        <f>IF(AJ85=0,"",AJ85)</f>
        <v/>
      </c>
      <c r="L85" s="342">
        <f>IF(AK85=301,"",AK85)</f>
        <v>201</v>
      </c>
      <c r="M85" s="342" t="str">
        <f>IF(AL85=0,"",AL85)</f>
        <v/>
      </c>
      <c r="N85" s="342">
        <f>IF(AM85=301,"",AM85)</f>
        <v>154</v>
      </c>
      <c r="O85" s="342" t="str">
        <f>IF(AN85=0,"",AN85)</f>
        <v/>
      </c>
      <c r="P85" s="342">
        <f>IF(AO85=301,"",AO85)</f>
        <v>203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222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144</v>
      </c>
      <c r="AD85" s="376"/>
      <c r="AE85" s="375">
        <f>ABS(INDEX(AE:AE,MATCH(AE82,$AA:$AA,0)+5)+INDEX(AE:AE,MATCH(AE82,$AA:$AA,0)+6)+INDEX(AE:AE,MATCH(AE82,$AA:$AA,0)+7))</f>
        <v>228</v>
      </c>
      <c r="AF85" s="376"/>
      <c r="AG85" s="375">
        <f>ABS(INDEX(AG:AG,MATCH(AG82,$AA:$AA,0)+5)+INDEX(AG:AG,MATCH(AG82,$AA:$AA,0)+6)+INDEX(AG:AG,MATCH(AG82,$AA:$AA,0)+7))</f>
        <v>164</v>
      </c>
      <c r="AH85" s="376"/>
      <c r="AI85" s="375">
        <f>ABS(INDEX(AI:AI,MATCH(AI82,$AA:$AA,0)+5)+INDEX(AI:AI,MATCH(AI82,$AA:$AA,0)+6)+INDEX(AI:AI,MATCH(AI82,$AA:$AA,0)+7))</f>
        <v>175</v>
      </c>
      <c r="AJ85" s="376"/>
      <c r="AK85" s="375">
        <f>ABS(INDEX(AK:AK,MATCH(AK82,$AA:$AA,0)+5)+INDEX(AK:AK,MATCH(AK82,$AA:$AA,0)+6)+INDEX(AK:AK,MATCH(AK82,$AA:$AA,0)+7))</f>
        <v>201</v>
      </c>
      <c r="AL85" s="376"/>
      <c r="AM85" s="375">
        <f>ABS(INDEX(AM:AM,MATCH(AM82,$AA:$AA,0)+5)+INDEX(AM:AM,MATCH(AM82,$AA:$AA,0)+6)+INDEX(AM:AM,MATCH(AM82,$AA:$AA,0)+7))</f>
        <v>154</v>
      </c>
      <c r="AN85" s="376"/>
      <c r="AO85" s="375">
        <f>ABS(INDEX(AO:AO,MATCH(AO82,$AA:$AA,0)+5)+INDEX(AO:AO,MATCH(AO82,$AA:$AA,0)+6)+INDEX(AO:AO,MATCH(AO82,$AA:$AA,0)+7))</f>
        <v>203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222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205</v>
      </c>
      <c r="E86" s="342" t="str">
        <f>IF(AD86=0,"",AD86)</f>
        <v/>
      </c>
      <c r="F86" s="342">
        <f>IF(AE86=301,"",AE86)</f>
        <v>205</v>
      </c>
      <c r="G86" s="342" t="str">
        <f>IF(AF86=0,"",AF86)</f>
        <v/>
      </c>
      <c r="H86" s="342">
        <f>IF(AG86=301,"",AG86)</f>
        <v>172</v>
      </c>
      <c r="I86" s="342" t="str">
        <f>IF(AH86=0,"",AH86)</f>
        <v/>
      </c>
      <c r="J86" s="342">
        <f>IF(AI86=301,"",AI86)</f>
        <v>208</v>
      </c>
      <c r="K86" s="342" t="str">
        <f>IF(AJ86=0,"",AJ86)</f>
        <v/>
      </c>
      <c r="L86" s="342">
        <f>IF(AK86=301,"",AK86)</f>
        <v>169</v>
      </c>
      <c r="M86" s="342" t="str">
        <f>IF(AL86=0,"",AL86)</f>
        <v/>
      </c>
      <c r="N86" s="342">
        <f>IF(AM86=301,"",AM86)</f>
        <v>203</v>
      </c>
      <c r="O86" s="342" t="str">
        <f>IF(AN86=0,"",AN86)</f>
        <v/>
      </c>
      <c r="P86" s="342">
        <f>IF(AO86=301,"",AO86)</f>
        <v>159</v>
      </c>
      <c r="Q86" s="342" t="str">
        <f>IF(AP86=0,"",AP86)</f>
        <v/>
      </c>
      <c r="R86" s="342">
        <f>IF(AQ86=301,"",AQ86)</f>
        <v>175</v>
      </c>
      <c r="S86" s="342" t="str">
        <f>IF(AR86=0,"",AR86)</f>
        <v/>
      </c>
      <c r="T86" s="342">
        <f>IF(AS86=301,"",AS86)</f>
        <v>155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205</v>
      </c>
      <c r="AD86" s="378"/>
      <c r="AE86" s="377">
        <f>ABS(INDEX(AE:AE,MATCH(AE82,$AA:$AA,0)+8)+INDEX(AE:AE,MATCH(AE82,$AA:$AA,0)+9)+INDEX(AE:AE,MATCH(AE82,$AA:$AA,0)+10))</f>
        <v>205</v>
      </c>
      <c r="AF86" s="378"/>
      <c r="AG86" s="377">
        <f>ABS(INDEX(AG:AG,MATCH(AG82,$AA:$AA,0)+8)+INDEX(AG:AG,MATCH(AG82,$AA:$AA,0)+9)+INDEX(AG:AG,MATCH(AG82,$AA:$AA,0)+10))</f>
        <v>172</v>
      </c>
      <c r="AH86" s="378"/>
      <c r="AI86" s="377">
        <f>ABS(INDEX(AI:AI,MATCH(AI82,$AA:$AA,0)+8)+INDEX(AI:AI,MATCH(AI82,$AA:$AA,0)+9)+INDEX(AI:AI,MATCH(AI82,$AA:$AA,0)+10))</f>
        <v>208</v>
      </c>
      <c r="AJ86" s="378"/>
      <c r="AK86" s="377">
        <f>ABS(INDEX(AK:AK,MATCH(AK82,$AA:$AA,0)+8)+INDEX(AK:AK,MATCH(AK82,$AA:$AA,0)+9)+INDEX(AK:AK,MATCH(AK82,$AA:$AA,0)+10))</f>
        <v>169</v>
      </c>
      <c r="AL86" s="378"/>
      <c r="AM86" s="377">
        <f>ABS(INDEX(AM:AM,MATCH(AM82,$AA:$AA,0)+8)+INDEX(AM:AM,MATCH(AM82,$AA:$AA,0)+9)+INDEX(AM:AM,MATCH(AM82,$AA:$AA,0)+10))</f>
        <v>203</v>
      </c>
      <c r="AN86" s="378"/>
      <c r="AO86" s="377">
        <f>ABS(INDEX(AO:AO,MATCH(AO82,$AA:$AA,0)+8)+INDEX(AO:AO,MATCH(AO82,$AA:$AA,0)+9)+INDEX(AO:AO,MATCH(AO82,$AA:$AA,0)+10))</f>
        <v>159</v>
      </c>
      <c r="AP86" s="378"/>
      <c r="AQ86" s="377">
        <f>ABS(INDEX(AQ:AQ,MATCH(AQ82,$AA:$AA,0)+8)+INDEX(AQ:AQ,MATCH(AQ82,$AA:$AA,0)+9)+INDEX(AQ:AQ,MATCH(AQ82,$AA:$AA,0)+10))</f>
        <v>175</v>
      </c>
      <c r="AR86" s="378"/>
      <c r="AS86" s="377">
        <f>ABS(INDEX(AS:AS,MATCH(AS82,$AA:$AA,0)+8)+INDEX(AS:AS,MATCH(AS82,$AA:$AA,0)+9)+INDEX(AS:AS,MATCH(AS82,$AA:$AA,0)+10))</f>
        <v>155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192</v>
      </c>
      <c r="E87" s="342" t="str">
        <f>IF(AD87=0,"",AD87)</f>
        <v/>
      </c>
      <c r="F87" s="342">
        <f>IF(AE87=301,"",AE87)</f>
        <v>198</v>
      </c>
      <c r="G87" s="342" t="str">
        <f>IF(AF87=0,"",AF87)</f>
        <v/>
      </c>
      <c r="H87" s="342">
        <f>IF(AG87=301,"",AG87)</f>
        <v>218</v>
      </c>
      <c r="I87" s="342" t="str">
        <f>IF(AH87=0,"",AH87)</f>
        <v/>
      </c>
      <c r="J87" s="342">
        <f>IF(AI87=301,"",AI87)</f>
        <v>203</v>
      </c>
      <c r="K87" s="342" t="str">
        <f>IF(AJ87=0,"",AJ87)</f>
        <v/>
      </c>
      <c r="L87" s="342">
        <f>IF(AK87=301,"",AK87)</f>
        <v>213</v>
      </c>
      <c r="M87" s="342" t="str">
        <f>IF(AL87=0,"",AL87)</f>
        <v/>
      </c>
      <c r="N87" s="342">
        <f>IF(AM87=301,"",AM87)</f>
        <v>154</v>
      </c>
      <c r="O87" s="342" t="str">
        <f>IF(AN87=0,"",AN87)</f>
        <v/>
      </c>
      <c r="P87" s="342">
        <f>IF(AO87=301,"",AO87)</f>
        <v>174</v>
      </c>
      <c r="Q87" s="342" t="str">
        <f>IF(AP87=0,"",AP87)</f>
        <v/>
      </c>
      <c r="R87" s="342">
        <f>IF(AQ87=301,"",AQ87)</f>
        <v>190</v>
      </c>
      <c r="S87" s="342" t="str">
        <f>IF(AR87=0,"",AR87)</f>
        <v/>
      </c>
      <c r="T87" s="342">
        <f>IF(AS87=301,"",AS87)</f>
        <v>170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192</v>
      </c>
      <c r="AD87" s="378"/>
      <c r="AE87" s="377">
        <f>ABS(INDEX(AE:AE,MATCH(AE82,$AA:$AA,0)+11)+INDEX(AE:AE,MATCH(AE82,$AA:$AA,0)+12)+INDEX(AE:AE,MATCH(AE82,$AA:$AA,0)+13))</f>
        <v>198</v>
      </c>
      <c r="AF87" s="378"/>
      <c r="AG87" s="377">
        <f>ABS(INDEX(AG:AG,MATCH(AG82,$AA:$AA,0)+11)+INDEX(AG:AG,MATCH(AG82,$AA:$AA,0)+12)+INDEX(AG:AG,MATCH(AG82,$AA:$AA,0)+13))</f>
        <v>218</v>
      </c>
      <c r="AH87" s="378"/>
      <c r="AI87" s="377">
        <f>ABS(INDEX(AI:AI,MATCH(AI82,$AA:$AA,0)+11)+INDEX(AI:AI,MATCH(AI82,$AA:$AA,0)+12)+INDEX(AI:AI,MATCH(AI82,$AA:$AA,0)+13))</f>
        <v>203</v>
      </c>
      <c r="AJ87" s="378"/>
      <c r="AK87" s="377">
        <f>ABS(INDEX(AK:AK,MATCH(AK82,$AA:$AA,0)+11)+INDEX(AK:AK,MATCH(AK82,$AA:$AA,0)+12)+INDEX(AK:AK,MATCH(AK82,$AA:$AA,0)+13))</f>
        <v>213</v>
      </c>
      <c r="AL87" s="378"/>
      <c r="AM87" s="377">
        <f>ABS(INDEX(AM:AM,MATCH(AM82,$AA:$AA,0)+11)+INDEX(AM:AM,MATCH(AM82,$AA:$AA,0)+12)+INDEX(AM:AM,MATCH(AM82,$AA:$AA,0)+13))</f>
        <v>154</v>
      </c>
      <c r="AN87" s="378"/>
      <c r="AO87" s="377">
        <f>ABS(INDEX(AO:AO,MATCH(AO82,$AA:$AA,0)+11)+INDEX(AO:AO,MATCH(AO82,$AA:$AA,0)+12)+INDEX(AO:AO,MATCH(AO82,$AA:$AA,0)+13))</f>
        <v>174</v>
      </c>
      <c r="AP87" s="378"/>
      <c r="AQ87" s="377">
        <f>ABS(INDEX(AQ:AQ,MATCH(AQ82,$AA:$AA,0)+11)+INDEX(AQ:AQ,MATCH(AQ82,$AA:$AA,0)+12)+INDEX(AQ:AQ,MATCH(AQ82,$AA:$AA,0)+13))</f>
        <v>190</v>
      </c>
      <c r="AR87" s="378"/>
      <c r="AS87" s="377">
        <f>ABS(INDEX(AS:AS,MATCH(AS82,$AA:$AA,0)+11)+INDEX(AS:AS,MATCH(AS82,$AA:$AA,0)+12)+INDEX(AS:AS,MATCH(AS82,$AA:$AA,0)+13))</f>
        <v>170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188</v>
      </c>
      <c r="E88" s="342" t="str">
        <f>IF(AD88=0,"",AD88)</f>
        <v/>
      </c>
      <c r="F88" s="342">
        <f>IF(AE88=301,"",AE88)</f>
        <v>173</v>
      </c>
      <c r="G88" s="342" t="str">
        <f>IF(AF88=0,"",AF88)</f>
        <v/>
      </c>
      <c r="H88" s="342">
        <f>IF(AG88=301,"",AG88)</f>
        <v>180</v>
      </c>
      <c r="I88" s="342" t="str">
        <f>IF(AH88=0,"",AH88)</f>
        <v/>
      </c>
      <c r="J88" s="342">
        <f>IF(AI88=301,"",AI88)</f>
        <v>201</v>
      </c>
      <c r="K88" s="342" t="str">
        <f>IF(AJ88=0,"",AJ88)</f>
        <v/>
      </c>
      <c r="L88" s="342">
        <f>IF(AK88=301,"",AK88)</f>
        <v>266</v>
      </c>
      <c r="M88" s="342" t="str">
        <f>IF(AL88=0,"",AL88)</f>
        <v/>
      </c>
      <c r="N88" s="342">
        <f>IF(AM88=301,"",AM88)</f>
        <v>212</v>
      </c>
      <c r="O88" s="342" t="str">
        <f>IF(AN88=0,"",AN88)</f>
        <v/>
      </c>
      <c r="P88" s="342">
        <f>IF(AO88=301,"",AO88)</f>
        <v>165</v>
      </c>
      <c r="Q88" s="342" t="str">
        <f>IF(AP88=0,"",AP88)</f>
        <v/>
      </c>
      <c r="R88" s="342">
        <f>IF(AQ88=301,"",AQ88)</f>
        <v>147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188</v>
      </c>
      <c r="AD88" s="378"/>
      <c r="AE88" s="377">
        <f>ABS(INDEX(AE:AE,MATCH(AE82,$AA:$AA,0)+14)+INDEX(AE:AE,MATCH(AE82,$AA:$AA,0)+15)+INDEX(AE:AE,MATCH(AE82,$AA:$AA,0)+16))</f>
        <v>173</v>
      </c>
      <c r="AF88" s="378"/>
      <c r="AG88" s="377">
        <f>ABS(INDEX(AG:AG,MATCH(AG82,$AA:$AA,0)+14)+INDEX(AG:AG,MATCH(AG82,$AA:$AA,0)+15)+INDEX(AG:AG,MATCH(AG82,$AA:$AA,0)+16))</f>
        <v>180</v>
      </c>
      <c r="AH88" s="378"/>
      <c r="AI88" s="377">
        <f>ABS(INDEX(AI:AI,MATCH(AI82,$AA:$AA,0)+14)+INDEX(AI:AI,MATCH(AI82,$AA:$AA,0)+15)+INDEX(AI:AI,MATCH(AI82,$AA:$AA,0)+16))</f>
        <v>201</v>
      </c>
      <c r="AJ88" s="378"/>
      <c r="AK88" s="377">
        <f>ABS(INDEX(AK:AK,MATCH(AK82,$AA:$AA,0)+14)+INDEX(AK:AK,MATCH(AK82,$AA:$AA,0)+15)+INDEX(AK:AK,MATCH(AK82,$AA:$AA,0)+16))</f>
        <v>266</v>
      </c>
      <c r="AL88" s="378"/>
      <c r="AM88" s="377">
        <f>ABS(INDEX(AM:AM,MATCH(AM82,$AA:$AA,0)+14)+INDEX(AM:AM,MATCH(AM82,$AA:$AA,0)+15)+INDEX(AM:AM,MATCH(AM82,$AA:$AA,0)+16))</f>
        <v>212</v>
      </c>
      <c r="AN88" s="378"/>
      <c r="AO88" s="377">
        <f>ABS(INDEX(AO:AO,MATCH(AO82,$AA:$AA,0)+14)+INDEX(AO:AO,MATCH(AO82,$AA:$AA,0)+15)+INDEX(AO:AO,MATCH(AO82,$AA:$AA,0)+16))</f>
        <v>165</v>
      </c>
      <c r="AP88" s="378"/>
      <c r="AQ88" s="377">
        <f>ABS(INDEX(AQ:AQ,MATCH(AQ82,$AA:$AA,0)+14)+INDEX(AQ:AQ,MATCH(AQ82,$AA:$AA,0)+15)+INDEX(AQ:AQ,MATCH(AQ82,$AA:$AA,0)+16))</f>
        <v>147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729</v>
      </c>
      <c r="E89" s="341" t="str">
        <f>IF(AD89=0,"",AD89)</f>
        <v/>
      </c>
      <c r="F89" s="341">
        <f>IF(AE89=1505,"",AE89)</f>
        <v>804</v>
      </c>
      <c r="G89" s="341" t="str">
        <f>IF(AF89=0,"",AF89)</f>
        <v/>
      </c>
      <c r="H89" s="341">
        <f>IF(AG89=1505,"",AG89)</f>
        <v>734</v>
      </c>
      <c r="I89" s="341" t="str">
        <f>IF(AH89=0,"",AH89)</f>
        <v/>
      </c>
      <c r="J89" s="341">
        <f>IF(AI89=1505,"",AI89)</f>
        <v>787</v>
      </c>
      <c r="K89" s="341" t="str">
        <f>IF(AJ89=0,"",AJ89)</f>
        <v/>
      </c>
      <c r="L89" s="341">
        <f>IF(AK89=1505,"",AK89)</f>
        <v>849</v>
      </c>
      <c r="M89" s="341" t="str">
        <f>IF(AL89=0,"",AL89)</f>
        <v/>
      </c>
      <c r="N89" s="341">
        <f>IF(AM89=1505,"",AM89)</f>
        <v>723</v>
      </c>
      <c r="O89" s="341" t="str">
        <f>IF(AN89=0,"",AN89)</f>
        <v/>
      </c>
      <c r="P89" s="341">
        <f>IF(AO89=1505,"",AO89)</f>
        <v>701</v>
      </c>
      <c r="Q89" s="341" t="str">
        <f>IF(AP89=0,"",AP89)</f>
        <v/>
      </c>
      <c r="R89" s="341">
        <f>IF(AQ89=1505,"",AQ89)</f>
        <v>729</v>
      </c>
      <c r="S89" s="341" t="str">
        <f>IF(AR89=0,"",AR89)</f>
        <v/>
      </c>
      <c r="T89" s="341">
        <f>IF(AS89=1505,"",AS89)</f>
        <v>728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729</v>
      </c>
      <c r="AD89" s="358"/>
      <c r="AE89" s="357">
        <f>SUM(AE85:AE88)</f>
        <v>804</v>
      </c>
      <c r="AF89" s="358"/>
      <c r="AG89" s="357">
        <f>SUM(AG85:AG88)</f>
        <v>734</v>
      </c>
      <c r="AH89" s="358"/>
      <c r="AI89" s="357">
        <f>SUM(AI85:AI88)</f>
        <v>787</v>
      </c>
      <c r="AJ89" s="358"/>
      <c r="AK89" s="357">
        <f>SUM(AK85:AK88)</f>
        <v>849</v>
      </c>
      <c r="AL89" s="358"/>
      <c r="AM89" s="357">
        <f>SUM(AM85:AM88)</f>
        <v>723</v>
      </c>
      <c r="AN89" s="358"/>
      <c r="AO89" s="357">
        <f>SUM(AO85:AO88)</f>
        <v>701</v>
      </c>
      <c r="AP89" s="358"/>
      <c r="AQ89" s="357">
        <f>SUM(AQ85:AQ88)</f>
        <v>729</v>
      </c>
      <c r="AR89" s="358"/>
      <c r="AS89" s="357">
        <f>SUM(AS85:AS88)</f>
        <v>728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02.11./03.11.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02.11./03.11.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Nürnberg West Bowling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51">
        <f>IF(AD97="","",AD97)</f>
        <v>1</v>
      </c>
      <c r="F97" s="75">
        <f t="shared" ref="F97:F110" si="104">IF(AE97=0,"",AE97)</f>
        <v>228</v>
      </c>
      <c r="G97" s="351">
        <f>IF(AF97="","",AF97)</f>
        <v>1</v>
      </c>
      <c r="H97" s="75">
        <f t="shared" ref="H97:H110" si="105">IF(AG97=0,"",AG97)</f>
        <v>180</v>
      </c>
      <c r="I97" s="351">
        <f>IF(AH97="","",AH97)</f>
        <v>0</v>
      </c>
      <c r="J97" s="75">
        <f t="shared" ref="J97:J110" si="106">IF(AI97=0,"",AI97)</f>
        <v>174</v>
      </c>
      <c r="K97" s="351">
        <f>IF(AJ97="","",AJ97)</f>
        <v>0</v>
      </c>
      <c r="L97" s="75">
        <f t="shared" ref="L97:L110" si="107">IF(AK97=0,"",AK97)</f>
        <v>187</v>
      </c>
      <c r="M97" s="351">
        <f>IF(AL97="","",AL97)</f>
        <v>1</v>
      </c>
      <c r="N97" s="75">
        <f>IF(AM97=0,"",AM97)</f>
        <v>207</v>
      </c>
      <c r="O97" s="351">
        <f>IF(AN97="","",AN97)</f>
        <v>1</v>
      </c>
      <c r="P97" s="75">
        <f t="shared" ref="P97:P110" si="108">IF(AO97=0,"",AO97)</f>
        <v>193</v>
      </c>
      <c r="Q97" s="351">
        <f>IF(AP97="","",AP97)</f>
        <v>0</v>
      </c>
      <c r="R97" s="75">
        <f t="shared" ref="R97:R110" si="109">IF(AQ97=0,"",AQ97)</f>
        <v>227</v>
      </c>
      <c r="S97" s="351">
        <f>IF(AR97="","",AR97)</f>
        <v>1</v>
      </c>
      <c r="T97" s="75">
        <f t="shared" ref="T97:T110" si="110">IF(AS97=0,"",AS97)</f>
        <v>202</v>
      </c>
      <c r="U97" s="351">
        <f>IF(AT97="","",AT97)</f>
        <v>1</v>
      </c>
      <c r="V97" s="75">
        <f t="shared" ref="V97:V110" si="111">IF(AU97=0,"",AU97)</f>
        <v>1856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51">
        <f>IF(AD100="","",AD100)</f>
        <v>1</v>
      </c>
      <c r="F100" s="75">
        <f t="shared" si="104"/>
        <v>205</v>
      </c>
      <c r="G100" s="351">
        <f>IF(AF100="","",AF100)</f>
        <v>1</v>
      </c>
      <c r="H100" s="75">
        <f t="shared" si="105"/>
        <v>223</v>
      </c>
      <c r="I100" s="351">
        <f>IF(AH100="","",AH100)</f>
        <v>0</v>
      </c>
      <c r="J100" s="75">
        <f t="shared" si="106"/>
        <v>192</v>
      </c>
      <c r="K100" s="351">
        <f>IF(AJ100="","",AJ100)</f>
        <v>0</v>
      </c>
      <c r="L100" s="75">
        <f t="shared" si="107"/>
        <v>197</v>
      </c>
      <c r="M100" s="351">
        <f>IF(AL100="","",AL100)</f>
        <v>1</v>
      </c>
      <c r="N100" s="75">
        <f t="shared" si="124"/>
        <v>231</v>
      </c>
      <c r="O100" s="351">
        <f>IF(AN100="","",AN100)</f>
        <v>1</v>
      </c>
      <c r="P100" s="75">
        <f t="shared" si="108"/>
        <v>180</v>
      </c>
      <c r="Q100" s="351">
        <f>IF(AP100="","",AP100)</f>
        <v>0.5</v>
      </c>
      <c r="R100" s="75">
        <f t="shared" si="109"/>
        <v>190</v>
      </c>
      <c r="S100" s="351">
        <f>IF(AR100="","",AR100)</f>
        <v>1</v>
      </c>
      <c r="T100" s="75">
        <f t="shared" si="110"/>
        <v>216</v>
      </c>
      <c r="U100" s="351">
        <f>IF(AT100="","",AT100)</f>
        <v>1</v>
      </c>
      <c r="V100" s="75">
        <f t="shared" si="111"/>
        <v>1824</v>
      </c>
      <c r="W100" s="351">
        <f>IF(AV100="","",AV100)</f>
        <v>6.5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51">
        <f>IF(AD103="","",AD103)</f>
        <v>0</v>
      </c>
      <c r="F103" s="75">
        <f t="shared" si="104"/>
        <v>198</v>
      </c>
      <c r="G103" s="351">
        <f>IF(AF103="","",AF103)</f>
        <v>0</v>
      </c>
      <c r="H103" s="75">
        <f t="shared" si="105"/>
        <v>225</v>
      </c>
      <c r="I103" s="351">
        <f>IF(AH103="","",AH103)</f>
        <v>1</v>
      </c>
      <c r="J103" s="75">
        <f t="shared" si="106"/>
        <v>184</v>
      </c>
      <c r="K103" s="351">
        <f>IF(AJ103="","",AJ103)</f>
        <v>0</v>
      </c>
      <c r="L103" s="75">
        <f t="shared" si="107"/>
        <v>145</v>
      </c>
      <c r="M103" s="351">
        <f>IF(AL103="","",AL103)</f>
        <v>0</v>
      </c>
      <c r="N103" s="75">
        <f t="shared" si="124"/>
        <v>258</v>
      </c>
      <c r="O103" s="351">
        <f>IF(AN103="","",AN103)</f>
        <v>1</v>
      </c>
      <c r="P103" s="75">
        <f t="shared" si="108"/>
        <v>215</v>
      </c>
      <c r="Q103" s="351">
        <f>IF(AP103="","",AP103)</f>
        <v>1</v>
      </c>
      <c r="R103" s="75">
        <f t="shared" si="109"/>
        <v>203</v>
      </c>
      <c r="S103" s="351">
        <f>IF(AR103="","",AR103)</f>
        <v>1</v>
      </c>
      <c r="T103" s="75">
        <f t="shared" si="110"/>
        <v>196</v>
      </c>
      <c r="U103" s="351">
        <f>IF(AT103="","",AT103)</f>
        <v>1</v>
      </c>
      <c r="V103" s="75">
        <f t="shared" si="111"/>
        <v>1808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 t="str">
        <f t="shared" si="108"/>
        <v/>
      </c>
      <c r="Q104" s="352"/>
      <c r="R104" s="78" t="str">
        <f t="shared" si="109"/>
        <v/>
      </c>
      <c r="S104" s="352"/>
      <c r="T104" s="78" t="str">
        <f t="shared" si="110"/>
        <v/>
      </c>
      <c r="U104" s="352"/>
      <c r="V104" s="78" t="str">
        <f t="shared" si="111"/>
        <v/>
      </c>
      <c r="W104" s="352"/>
      <c r="Z104" s="355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51">
        <f>IF(AD106="","",AD106)</f>
        <v>0</v>
      </c>
      <c r="F106" s="75">
        <f t="shared" si="104"/>
        <v>173</v>
      </c>
      <c r="G106" s="351">
        <f>IF(AF106="","",AF106)</f>
        <v>1</v>
      </c>
      <c r="H106" s="75">
        <f t="shared" si="105"/>
        <v>215</v>
      </c>
      <c r="I106" s="351">
        <f>IF(AH106="","",AH106)</f>
        <v>1</v>
      </c>
      <c r="J106" s="75">
        <f t="shared" si="106"/>
        <v>203</v>
      </c>
      <c r="K106" s="351">
        <f>IF(AJ106="","",AJ106)</f>
        <v>1</v>
      </c>
      <c r="L106" s="75">
        <f t="shared" si="107"/>
        <v>211</v>
      </c>
      <c r="M106" s="351">
        <f>IF(AL106="","",AL106)</f>
        <v>1</v>
      </c>
      <c r="N106" s="75">
        <f t="shared" si="124"/>
        <v>181</v>
      </c>
      <c r="O106" s="351">
        <f>IF(AN106="","",AN106)</f>
        <v>1</v>
      </c>
      <c r="P106" s="75">
        <f t="shared" si="108"/>
        <v>169</v>
      </c>
      <c r="Q106" s="351">
        <f>IF(AP106="","",AP106)</f>
        <v>0</v>
      </c>
      <c r="R106" s="75">
        <f t="shared" si="109"/>
        <v>226</v>
      </c>
      <c r="S106" s="351">
        <f>IF(AR106="","",AR106)</f>
        <v>1</v>
      </c>
      <c r="T106" s="75">
        <f t="shared" si="110"/>
        <v>258</v>
      </c>
      <c r="U106" s="351">
        <f>IF(AT106="","",AT106)</f>
        <v>1</v>
      </c>
      <c r="V106" s="75">
        <f t="shared" si="111"/>
        <v>1786</v>
      </c>
      <c r="W106" s="351">
        <f>IF(AV106="","",AV106)</f>
        <v>7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5</v>
      </c>
      <c r="E112" s="349" t="str">
        <f t="shared" si="135"/>
        <v/>
      </c>
      <c r="F112" s="349">
        <f t="shared" si="135"/>
        <v>3</v>
      </c>
      <c r="G112" s="349" t="str">
        <f t="shared" si="135"/>
        <v/>
      </c>
      <c r="H112" s="349">
        <f t="shared" si="135"/>
        <v>1</v>
      </c>
      <c r="I112" s="349" t="str">
        <f t="shared" si="135"/>
        <v/>
      </c>
      <c r="J112" s="349">
        <f t="shared" si="135"/>
        <v>8</v>
      </c>
      <c r="K112" s="349" t="str">
        <f t="shared" si="135"/>
        <v/>
      </c>
      <c r="L112" s="349">
        <f t="shared" si="135"/>
        <v>6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ref="N112:U114" si="136">IF(AQ112=0,"",AQ112)</f>
        <v>2</v>
      </c>
      <c r="S112" s="349" t="str">
        <f t="shared" si="136"/>
        <v/>
      </c>
      <c r="T112" s="349">
        <f t="shared" si="136"/>
        <v>7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VLOOKUP($AA92,Schlüssel!$A$5:$DG$14,23)</f>
        <v>5</v>
      </c>
      <c r="AD112" s="374"/>
      <c r="AE112" s="373">
        <f>VLOOKUP($AA92,Schlüssel!$A$5:$EK$14,24)</f>
        <v>3</v>
      </c>
      <c r="AF112" s="374"/>
      <c r="AG112" s="373">
        <f>VLOOKUP($AA92,Schlüssel!$A$5:$EK$14,25)</f>
        <v>1</v>
      </c>
      <c r="AH112" s="374"/>
      <c r="AI112" s="373">
        <f>VLOOKUP($AA92,Schlüssel!$A$5:$EK$14,26)</f>
        <v>8</v>
      </c>
      <c r="AJ112" s="374"/>
      <c r="AK112" s="373">
        <f>VLOOKUP($AA92,Schlüssel!$A$5:$EK$14,27)</f>
        <v>6</v>
      </c>
      <c r="AL112" s="374"/>
      <c r="AM112" s="373">
        <f>VLOOKUP($AA92,Schlüssel!$A$5:$EK$14,28)</f>
        <v>10</v>
      </c>
      <c r="AN112" s="374"/>
      <c r="AO112" s="373">
        <f>VLOOKUP($AA92,Schlüssel!$A$5:$EK$14,29)</f>
        <v>9</v>
      </c>
      <c r="AP112" s="374"/>
      <c r="AQ112" s="373">
        <f>VLOOKUP($AA92,Schlüssel!$A$5:$EK$14,30)</f>
        <v>2</v>
      </c>
      <c r="AR112" s="374"/>
      <c r="AS112" s="373">
        <f>VLOOKUP($AA92,Schlüssel!$A$5:$EK$14,31)</f>
        <v>7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6" t="str">
        <f t="shared" si="137"/>
        <v>RW Lichtenhof Stein 1</v>
      </c>
      <c r="E113" s="347" t="str">
        <f t="shared" si="137"/>
        <v/>
      </c>
      <c r="F113" s="346" t="str">
        <f t="shared" si="137"/>
        <v>BK München 3</v>
      </c>
      <c r="G113" s="347" t="str">
        <f t="shared" si="137"/>
        <v/>
      </c>
      <c r="H113" s="346" t="str">
        <f t="shared" si="137"/>
        <v>BC Comet Nürnberg</v>
      </c>
      <c r="I113" s="347" t="str">
        <f t="shared" si="137"/>
        <v/>
      </c>
      <c r="J113" s="346" t="str">
        <f t="shared" si="137"/>
        <v>BC EMAX Unterföhring 2</v>
      </c>
      <c r="K113" s="347" t="str">
        <f t="shared" si="137"/>
        <v/>
      </c>
      <c r="L113" s="346" t="str">
        <f t="shared" si="137"/>
        <v>SG Rottendorf 1</v>
      </c>
      <c r="M113" s="347" t="str">
        <f t="shared" si="137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Bowlinghaus Bamberg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Schanzer Ingolstadt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RW Lichtenhof Stein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BC Comet Nürnberg</v>
      </c>
      <c r="AH113" s="347"/>
      <c r="AI113" s="346" t="str">
        <f>VLOOKUP(AI112,Schlüssel!$A$5:$K$14,2)</f>
        <v>BC EMAX Unterföhring 2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Schanzer Ingolstadt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7"/>
        <v/>
      </c>
      <c r="M114" s="344" t="str">
        <f t="shared" si="137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207</v>
      </c>
      <c r="E115" s="342" t="str">
        <f>IF(AD115=0,"",AD115)</f>
        <v/>
      </c>
      <c r="F115" s="342">
        <f>IF(AE115=301,"",AE115)</f>
        <v>223</v>
      </c>
      <c r="G115" s="342" t="str">
        <f>IF(AF115=0,"",AF115)</f>
        <v/>
      </c>
      <c r="H115" s="342">
        <f>IF(AG115=301,"",AG115)</f>
        <v>191</v>
      </c>
      <c r="I115" s="342" t="str">
        <f>IF(AH115=0,"",AH115)</f>
        <v/>
      </c>
      <c r="J115" s="342">
        <f>IF(AI115=301,"",AI115)</f>
        <v>187</v>
      </c>
      <c r="K115" s="342" t="str">
        <f>IF(AJ115=0,"",AJ115)</f>
        <v/>
      </c>
      <c r="L115" s="342">
        <f>IF(AK115=301,"",AK115)</f>
        <v>162</v>
      </c>
      <c r="M115" s="342" t="str">
        <f>IF(AL115=0,"",AL115)</f>
        <v/>
      </c>
      <c r="N115" s="342">
        <f>IF(AM115=301,"",AM115)</f>
        <v>165</v>
      </c>
      <c r="O115" s="342" t="str">
        <f>IF(AN115=0,"",AN115)</f>
        <v/>
      </c>
      <c r="P115" s="342">
        <f>IF(AO115=301,"",AO115)</f>
        <v>215</v>
      </c>
      <c r="Q115" s="342" t="str">
        <f>IF(AP115=0,"",AP115)</f>
        <v/>
      </c>
      <c r="R115" s="342">
        <f>IF(AQ115=301,"",AQ115)</f>
        <v>179</v>
      </c>
      <c r="S115" s="342" t="str">
        <f>IF(AR115=0,"",AR115)</f>
        <v/>
      </c>
      <c r="T115" s="342">
        <f>IF(AS115=301,"",AS115)</f>
        <v>141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207</v>
      </c>
      <c r="AD115" s="376"/>
      <c r="AE115" s="375">
        <f>ABS(INDEX(AE:AE,MATCH(AE112,$AA:$AA,0)+5)+INDEX(AE:AE,MATCH(AE112,$AA:$AA,0)+6)+INDEX(AE:AE,MATCH(AE112,$AA:$AA,0)+7))</f>
        <v>223</v>
      </c>
      <c r="AF115" s="376"/>
      <c r="AG115" s="375">
        <f>ABS(INDEX(AG:AG,MATCH(AG112,$AA:$AA,0)+5)+INDEX(AG:AG,MATCH(AG112,$AA:$AA,0)+6)+INDEX(AG:AG,MATCH(AG112,$AA:$AA,0)+7))</f>
        <v>191</v>
      </c>
      <c r="AH115" s="376"/>
      <c r="AI115" s="375">
        <f>ABS(INDEX(AI:AI,MATCH(AI112,$AA:$AA,0)+5)+INDEX(AI:AI,MATCH(AI112,$AA:$AA,0)+6)+INDEX(AI:AI,MATCH(AI112,$AA:$AA,0)+7))</f>
        <v>187</v>
      </c>
      <c r="AJ115" s="376"/>
      <c r="AK115" s="375">
        <f>ABS(INDEX(AK:AK,MATCH(AK112,$AA:$AA,0)+5)+INDEX(AK:AK,MATCH(AK112,$AA:$AA,0)+6)+INDEX(AK:AK,MATCH(AK112,$AA:$AA,0)+7))</f>
        <v>162</v>
      </c>
      <c r="AL115" s="376"/>
      <c r="AM115" s="375">
        <f>ABS(INDEX(AM:AM,MATCH(AM112,$AA:$AA,0)+5)+INDEX(AM:AM,MATCH(AM112,$AA:$AA,0)+6)+INDEX(AM:AM,MATCH(AM112,$AA:$AA,0)+7))</f>
        <v>165</v>
      </c>
      <c r="AN115" s="376"/>
      <c r="AO115" s="375">
        <f>ABS(INDEX(AO:AO,MATCH(AO112,$AA:$AA,0)+5)+INDEX(AO:AO,MATCH(AO112,$AA:$AA,0)+6)+INDEX(AO:AO,MATCH(AO112,$AA:$AA,0)+7))</f>
        <v>215</v>
      </c>
      <c r="AP115" s="376"/>
      <c r="AQ115" s="375">
        <f>ABS(INDEX(AQ:AQ,MATCH(AQ112,$AA:$AA,0)+5)+INDEX(AQ:AQ,MATCH(AQ112,$AA:$AA,0)+6)+INDEX(AQ:AQ,MATCH(AQ112,$AA:$AA,0)+7))</f>
        <v>179</v>
      </c>
      <c r="AR115" s="376"/>
      <c r="AS115" s="375">
        <f>ABS(INDEX(AS:AS,MATCH(AS112,$AA:$AA,0)+5)+INDEX(AS:AS,MATCH(AS112,$AA:$AA,0)+6)+INDEX(AS:AS,MATCH(AS112,$AA:$AA,0)+7))</f>
        <v>141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144</v>
      </c>
      <c r="E116" s="342" t="str">
        <f>IF(AD116=0,"",AD116)</f>
        <v/>
      </c>
      <c r="F116" s="342">
        <f>IF(AE116=301,"",AE116)</f>
        <v>178</v>
      </c>
      <c r="G116" s="342" t="str">
        <f>IF(AF116=0,"",AF116)</f>
        <v/>
      </c>
      <c r="H116" s="342">
        <f>IF(AG116=301,"",AG116)</f>
        <v>225</v>
      </c>
      <c r="I116" s="342" t="str">
        <f>IF(AH116=0,"",AH116)</f>
        <v/>
      </c>
      <c r="J116" s="342">
        <f>IF(AI116=301,"",AI116)</f>
        <v>215</v>
      </c>
      <c r="K116" s="342" t="str">
        <f>IF(AJ116=0,"",AJ116)</f>
        <v/>
      </c>
      <c r="L116" s="342">
        <f>IF(AK116=301,"",AK116)</f>
        <v>181</v>
      </c>
      <c r="M116" s="342" t="str">
        <f>IF(AL116=0,"",AL116)</f>
        <v/>
      </c>
      <c r="N116" s="342">
        <f>IF(AM116=301,"",AM116)</f>
        <v>169</v>
      </c>
      <c r="O116" s="342" t="str">
        <f>IF(AN116=0,"",AN116)</f>
        <v/>
      </c>
      <c r="P116" s="342">
        <f>IF(AO116=301,"",AO116)</f>
        <v>180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135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144</v>
      </c>
      <c r="AD116" s="378"/>
      <c r="AE116" s="377">
        <f>ABS(INDEX(AE:AE,MATCH(AE112,$AA:$AA,0)+8)+INDEX(AE:AE,MATCH(AE112,$AA:$AA,0)+9)+INDEX(AE:AE,MATCH(AE112,$AA:$AA,0)+10))</f>
        <v>178</v>
      </c>
      <c r="AF116" s="378"/>
      <c r="AG116" s="377">
        <f>ABS(INDEX(AG:AG,MATCH(AG112,$AA:$AA,0)+8)+INDEX(AG:AG,MATCH(AG112,$AA:$AA,0)+9)+INDEX(AG:AG,MATCH(AG112,$AA:$AA,0)+10))</f>
        <v>225</v>
      </c>
      <c r="AH116" s="378"/>
      <c r="AI116" s="377">
        <f>ABS(INDEX(AI:AI,MATCH(AI112,$AA:$AA,0)+8)+INDEX(AI:AI,MATCH(AI112,$AA:$AA,0)+9)+INDEX(AI:AI,MATCH(AI112,$AA:$AA,0)+10))</f>
        <v>215</v>
      </c>
      <c r="AJ116" s="378"/>
      <c r="AK116" s="377">
        <f>ABS(INDEX(AK:AK,MATCH(AK112,$AA:$AA,0)+8)+INDEX(AK:AK,MATCH(AK112,$AA:$AA,0)+9)+INDEX(AK:AK,MATCH(AK112,$AA:$AA,0)+10))</f>
        <v>181</v>
      </c>
      <c r="AL116" s="378"/>
      <c r="AM116" s="377">
        <f>ABS(INDEX(AM:AM,MATCH(AM112,$AA:$AA,0)+8)+INDEX(AM:AM,MATCH(AM112,$AA:$AA,0)+9)+INDEX(AM:AM,MATCH(AM112,$AA:$AA,0)+10))</f>
        <v>169</v>
      </c>
      <c r="AN116" s="378"/>
      <c r="AO116" s="377">
        <f>ABS(INDEX(AO:AO,MATCH(AO112,$AA:$AA,0)+8)+INDEX(AO:AO,MATCH(AO112,$AA:$AA,0)+9)+INDEX(AO:AO,MATCH(AO112,$AA:$AA,0)+10))</f>
        <v>180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135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201</v>
      </c>
      <c r="E117" s="342" t="str">
        <f>IF(AD117=0,"",AD117)</f>
        <v/>
      </c>
      <c r="F117" s="342">
        <f>IF(AE117=301,"",AE117)</f>
        <v>201</v>
      </c>
      <c r="G117" s="342" t="str">
        <f>IF(AF117=0,"",AF117)</f>
        <v/>
      </c>
      <c r="H117" s="342">
        <f>IF(AG117=301,"",AG117)</f>
        <v>175</v>
      </c>
      <c r="I117" s="342" t="str">
        <f>IF(AH117=0,"",AH117)</f>
        <v/>
      </c>
      <c r="J117" s="342">
        <f>IF(AI117=301,"",AI117)</f>
        <v>213</v>
      </c>
      <c r="K117" s="342" t="str">
        <f>IF(AJ117=0,"",AJ117)</f>
        <v/>
      </c>
      <c r="L117" s="342">
        <f>IF(AK117=301,"",AK117)</f>
        <v>155</v>
      </c>
      <c r="M117" s="342" t="str">
        <f>IF(AL117=0,"",AL117)</f>
        <v/>
      </c>
      <c r="N117" s="342">
        <f>IF(AM117=301,"",AM117)</f>
        <v>159</v>
      </c>
      <c r="O117" s="342" t="str">
        <f>IF(AN117=0,"",AN117)</f>
        <v/>
      </c>
      <c r="P117" s="342">
        <f>IF(AO117=301,"",AO117)</f>
        <v>159</v>
      </c>
      <c r="Q117" s="342" t="str">
        <f>IF(AP117=0,"",AP117)</f>
        <v/>
      </c>
      <c r="R117" s="342">
        <f>IF(AQ117=301,"",AQ117)</f>
        <v>169</v>
      </c>
      <c r="S117" s="342" t="str">
        <f>IF(AR117=0,"",AR117)</f>
        <v/>
      </c>
      <c r="T117" s="342">
        <f>IF(AS117=301,"",AS117)</f>
        <v>178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201</v>
      </c>
      <c r="AD117" s="378"/>
      <c r="AE117" s="377">
        <f>ABS(INDEX(AE:AE,MATCH(AE112,$AA:$AA,0)+11)+INDEX(AE:AE,MATCH(AE112,$AA:$AA,0)+12)+INDEX(AE:AE,MATCH(AE112,$AA:$AA,0)+13))</f>
        <v>201</v>
      </c>
      <c r="AF117" s="378"/>
      <c r="AG117" s="377">
        <f>ABS(INDEX(AG:AG,MATCH(AG112,$AA:$AA,0)+11)+INDEX(AG:AG,MATCH(AG112,$AA:$AA,0)+12)+INDEX(AG:AG,MATCH(AG112,$AA:$AA,0)+13))</f>
        <v>175</v>
      </c>
      <c r="AH117" s="378"/>
      <c r="AI117" s="377">
        <f>ABS(INDEX(AI:AI,MATCH(AI112,$AA:$AA,0)+11)+INDEX(AI:AI,MATCH(AI112,$AA:$AA,0)+12)+INDEX(AI:AI,MATCH(AI112,$AA:$AA,0)+13))</f>
        <v>213</v>
      </c>
      <c r="AJ117" s="378"/>
      <c r="AK117" s="377">
        <f>ABS(INDEX(AK:AK,MATCH(AK112,$AA:$AA,0)+11)+INDEX(AK:AK,MATCH(AK112,$AA:$AA,0)+12)+INDEX(AK:AK,MATCH(AK112,$AA:$AA,0)+13))</f>
        <v>155</v>
      </c>
      <c r="AL117" s="378"/>
      <c r="AM117" s="377">
        <f>ABS(INDEX(AM:AM,MATCH(AM112,$AA:$AA,0)+11)+INDEX(AM:AM,MATCH(AM112,$AA:$AA,0)+12)+INDEX(AM:AM,MATCH(AM112,$AA:$AA,0)+13))</f>
        <v>159</v>
      </c>
      <c r="AN117" s="378"/>
      <c r="AO117" s="377">
        <f>ABS(INDEX(AO:AO,MATCH(AO112,$AA:$AA,0)+11)+INDEX(AO:AO,MATCH(AO112,$AA:$AA,0)+12)+INDEX(AO:AO,MATCH(AO112,$AA:$AA,0)+13))</f>
        <v>159</v>
      </c>
      <c r="AP117" s="378"/>
      <c r="AQ117" s="377">
        <f>ABS(INDEX(AQ:AQ,MATCH(AQ112,$AA:$AA,0)+11)+INDEX(AQ:AQ,MATCH(AQ112,$AA:$AA,0)+12)+INDEX(AQ:AQ,MATCH(AQ112,$AA:$AA,0)+13))</f>
        <v>169</v>
      </c>
      <c r="AR117" s="378"/>
      <c r="AS117" s="377">
        <f>ABS(INDEX(AS:AS,MATCH(AS112,$AA:$AA,0)+11)+INDEX(AS:AS,MATCH(AS112,$AA:$AA,0)+12)+INDEX(AS:AS,MATCH(AS112,$AA:$AA,0)+13))</f>
        <v>178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204</v>
      </c>
      <c r="E118" s="342" t="str">
        <f>IF(AD118=0,"",AD118)</f>
        <v/>
      </c>
      <c r="F118" s="342">
        <f>IF(AE118=301,"",AE118)</f>
        <v>149</v>
      </c>
      <c r="G118" s="342" t="str">
        <f>IF(AF118=0,"",AF118)</f>
        <v/>
      </c>
      <c r="H118" s="342">
        <f>IF(AG118=301,"",AG118)</f>
        <v>171</v>
      </c>
      <c r="I118" s="342" t="str">
        <f>IF(AH118=0,"",AH118)</f>
        <v/>
      </c>
      <c r="J118" s="342">
        <f>IF(AI118=301,"",AI118)</f>
        <v>178</v>
      </c>
      <c r="K118" s="342" t="str">
        <f>IF(AJ118=0,"",AJ118)</f>
        <v/>
      </c>
      <c r="L118" s="342">
        <f>IF(AK118=301,"",AK118)</f>
        <v>171</v>
      </c>
      <c r="M118" s="342" t="str">
        <f>IF(AL118=0,"",AL118)</f>
        <v/>
      </c>
      <c r="N118" s="342">
        <f>IF(AM118=301,"",AM118)</f>
        <v>179</v>
      </c>
      <c r="O118" s="342" t="str">
        <f>IF(AN118=0,"",AN118)</f>
        <v/>
      </c>
      <c r="P118" s="342">
        <f>IF(AO118=301,"",AO118)</f>
        <v>174</v>
      </c>
      <c r="Q118" s="342" t="str">
        <f>IF(AP118=0,"",AP118)</f>
        <v/>
      </c>
      <c r="R118" s="342">
        <f>IF(AQ118=301,"",AQ118)</f>
        <v>174</v>
      </c>
      <c r="S118" s="342" t="str">
        <f>IF(AR118=0,"",AR118)</f>
        <v/>
      </c>
      <c r="T118" s="342">
        <f>IF(AS118=301,"",AS118)</f>
        <v>177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204</v>
      </c>
      <c r="AD118" s="378"/>
      <c r="AE118" s="377">
        <f>ABS(INDEX(AE:AE,MATCH(AE112,$AA:$AA,0)+14)+INDEX(AE:AE,MATCH(AE112,$AA:$AA,0)+15)+INDEX(AE:AE,MATCH(AE112,$AA:$AA,0)+16))</f>
        <v>149</v>
      </c>
      <c r="AF118" s="378"/>
      <c r="AG118" s="377">
        <f>ABS(INDEX(AG:AG,MATCH(AG112,$AA:$AA,0)+14)+INDEX(AG:AG,MATCH(AG112,$AA:$AA,0)+15)+INDEX(AG:AG,MATCH(AG112,$AA:$AA,0)+16))</f>
        <v>171</v>
      </c>
      <c r="AH118" s="378"/>
      <c r="AI118" s="377">
        <f>ABS(INDEX(AI:AI,MATCH(AI112,$AA:$AA,0)+14)+INDEX(AI:AI,MATCH(AI112,$AA:$AA,0)+15)+INDEX(AI:AI,MATCH(AI112,$AA:$AA,0)+16))</f>
        <v>178</v>
      </c>
      <c r="AJ118" s="378"/>
      <c r="AK118" s="377">
        <f>ABS(INDEX(AK:AK,MATCH(AK112,$AA:$AA,0)+14)+INDEX(AK:AK,MATCH(AK112,$AA:$AA,0)+15)+INDEX(AK:AK,MATCH(AK112,$AA:$AA,0)+16))</f>
        <v>171</v>
      </c>
      <c r="AL118" s="378"/>
      <c r="AM118" s="377">
        <f>ABS(INDEX(AM:AM,MATCH(AM112,$AA:$AA,0)+14)+INDEX(AM:AM,MATCH(AM112,$AA:$AA,0)+15)+INDEX(AM:AM,MATCH(AM112,$AA:$AA,0)+16))</f>
        <v>179</v>
      </c>
      <c r="AN118" s="378"/>
      <c r="AO118" s="377">
        <f>ABS(INDEX(AO:AO,MATCH(AO112,$AA:$AA,0)+14)+INDEX(AO:AO,MATCH(AO112,$AA:$AA,0)+15)+INDEX(AO:AO,MATCH(AO112,$AA:$AA,0)+16))</f>
        <v>174</v>
      </c>
      <c r="AP118" s="378"/>
      <c r="AQ118" s="377">
        <f>ABS(INDEX(AQ:AQ,MATCH(AQ112,$AA:$AA,0)+14)+INDEX(AQ:AQ,MATCH(AQ112,$AA:$AA,0)+15)+INDEX(AQ:AQ,MATCH(AQ112,$AA:$AA,0)+16))</f>
        <v>174</v>
      </c>
      <c r="AR118" s="378"/>
      <c r="AS118" s="377">
        <f>ABS(INDEX(AS:AS,MATCH(AS112,$AA:$AA,0)+14)+INDEX(AS:AS,MATCH(AS112,$AA:$AA,0)+15)+INDEX(AS:AS,MATCH(AS112,$AA:$AA,0)+16))</f>
        <v>177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756</v>
      </c>
      <c r="E119" s="341" t="str">
        <f>IF(AD119=0,"",AD119)</f>
        <v/>
      </c>
      <c r="F119" s="341">
        <f>IF(AE119=1505,"",AE119)</f>
        <v>751</v>
      </c>
      <c r="G119" s="341" t="str">
        <f>IF(AF119=0,"",AF119)</f>
        <v/>
      </c>
      <c r="H119" s="341">
        <f>IF(AG119=1505,"",AG119)</f>
        <v>762</v>
      </c>
      <c r="I119" s="341" t="str">
        <f>IF(AH119=0,"",AH119)</f>
        <v/>
      </c>
      <c r="J119" s="341">
        <f>IF(AI119=1505,"",AI119)</f>
        <v>793</v>
      </c>
      <c r="K119" s="341" t="str">
        <f>IF(AJ119=0,"",AJ119)</f>
        <v/>
      </c>
      <c r="L119" s="341">
        <f>IF(AK119=1505,"",AK119)</f>
        <v>669</v>
      </c>
      <c r="M119" s="341" t="str">
        <f>IF(AL119=0,"",AL119)</f>
        <v/>
      </c>
      <c r="N119" s="341">
        <f>IF(AM119=1505,"",AM119)</f>
        <v>672</v>
      </c>
      <c r="O119" s="341" t="str">
        <f>IF(AN119=0,"",AN119)</f>
        <v/>
      </c>
      <c r="P119" s="341">
        <f>IF(AO119=1505,"",AO119)</f>
        <v>728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631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756</v>
      </c>
      <c r="AD119" s="358"/>
      <c r="AE119" s="357">
        <f>SUM(AE115:AE118)</f>
        <v>751</v>
      </c>
      <c r="AF119" s="358"/>
      <c r="AG119" s="357">
        <f>SUM(AG115:AG118)</f>
        <v>762</v>
      </c>
      <c r="AH119" s="358"/>
      <c r="AI119" s="357">
        <f>SUM(AI115:AI118)</f>
        <v>793</v>
      </c>
      <c r="AJ119" s="358"/>
      <c r="AK119" s="357">
        <f>SUM(AK115:AK118)</f>
        <v>669</v>
      </c>
      <c r="AL119" s="358"/>
      <c r="AM119" s="357">
        <f>SUM(AM115:AM118)</f>
        <v>672</v>
      </c>
      <c r="AN119" s="358"/>
      <c r="AO119" s="357">
        <f>SUM(AO115:AO118)</f>
        <v>728</v>
      </c>
      <c r="AP119" s="358"/>
      <c r="AQ119" s="357">
        <f>SUM(AQ115:AQ118)</f>
        <v>660</v>
      </c>
      <c r="AR119" s="358"/>
      <c r="AS119" s="357">
        <f>SUM(AS115:AS118)</f>
        <v>631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02.11./03.11.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02.11./03.11.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Nürnberg West Bowling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51">
        <f>IF(AD127="","",AD127)</f>
        <v>0</v>
      </c>
      <c r="F127" s="75">
        <f t="shared" ref="F127:F140" si="139">IF(AE127=0,"",AE127)</f>
        <v>153</v>
      </c>
      <c r="G127" s="351">
        <f>IF(AF127="","",AF127)</f>
        <v>0</v>
      </c>
      <c r="H127" s="75">
        <f t="shared" ref="H127:H140" si="140">IF(AG127=0,"",AG127)</f>
        <v>185</v>
      </c>
      <c r="I127" s="351">
        <f>IF(AH127="","",AH127)</f>
        <v>0</v>
      </c>
      <c r="J127" s="75">
        <f t="shared" ref="J127:J140" si="141">IF(AI127=0,"",AI127)</f>
        <v>181</v>
      </c>
      <c r="K127" s="351">
        <f>IF(AJ127="","",AJ127)</f>
        <v>1</v>
      </c>
      <c r="L127" s="75">
        <f t="shared" ref="L127:L140" si="142">IF(AK127=0,"",AK127)</f>
        <v>146</v>
      </c>
      <c r="M127" s="351">
        <f>IF(AL127="","",AL127)</f>
        <v>0</v>
      </c>
      <c r="N127" s="75">
        <f>IF(AM127=0,"",AM127)</f>
        <v>187</v>
      </c>
      <c r="O127" s="351">
        <f>IF(AN127="","",AN127)</f>
        <v>1</v>
      </c>
      <c r="P127" s="75">
        <f t="shared" ref="P127:P140" si="143">IF(AO127=0,"",AO127)</f>
        <v>203</v>
      </c>
      <c r="Q127" s="351">
        <f>IF(AP127="","",AP127)</f>
        <v>0</v>
      </c>
      <c r="R127" s="75">
        <f t="shared" ref="R127:R140" si="144">IF(AQ127=0,"",AQ127)</f>
        <v>190</v>
      </c>
      <c r="S127" s="351">
        <f>IF(AR127="","",AR127)</f>
        <v>1</v>
      </c>
      <c r="T127" s="75">
        <f t="shared" ref="T127:T140" si="145">IF(AS127=0,"",AS127)</f>
        <v>179</v>
      </c>
      <c r="U127" s="351">
        <f>IF(AT127="","",AT127)</f>
        <v>0</v>
      </c>
      <c r="V127" s="75">
        <f t="shared" ref="V127:V140" si="146">IF(AU127=0,"",AU127)</f>
        <v>1631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51">
        <f>IF(AD130="","",AD130)</f>
        <v>0</v>
      </c>
      <c r="F130" s="75">
        <f t="shared" si="139"/>
        <v>194</v>
      </c>
      <c r="G130" s="351">
        <f>IF(AF130="","",AF130)</f>
        <v>1</v>
      </c>
      <c r="H130" s="75">
        <f t="shared" si="140"/>
        <v>184</v>
      </c>
      <c r="I130" s="351">
        <f>IF(AH130="","",AH130)</f>
        <v>0</v>
      </c>
      <c r="J130" s="75">
        <f t="shared" si="141"/>
        <v>137</v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>
        <f t="shared" si="144"/>
        <v>163</v>
      </c>
      <c r="S130" s="351">
        <f>IF(AR130="","",AR130)</f>
        <v>1</v>
      </c>
      <c r="T130" s="75">
        <f t="shared" si="145"/>
        <v>191</v>
      </c>
      <c r="U130" s="351">
        <f>IF(AT130="","",AT130)</f>
        <v>1</v>
      </c>
      <c r="V130" s="75">
        <f t="shared" si="146"/>
        <v>1013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>
        <f t="shared" si="142"/>
        <v>143</v>
      </c>
      <c r="M131" s="352"/>
      <c r="N131" s="78">
        <f t="shared" si="159"/>
        <v>157</v>
      </c>
      <c r="O131" s="352"/>
      <c r="P131" s="78">
        <f t="shared" si="143"/>
        <v>159</v>
      </c>
      <c r="Q131" s="352"/>
      <c r="R131" s="78" t="str">
        <f t="shared" si="144"/>
        <v/>
      </c>
      <c r="S131" s="352"/>
      <c r="T131" s="78" t="str">
        <f t="shared" si="145"/>
        <v/>
      </c>
      <c r="U131" s="352"/>
      <c r="V131" s="78">
        <f t="shared" si="146"/>
        <v>459</v>
      </c>
      <c r="W131" s="352"/>
      <c r="Z131" s="355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51">
        <f>IF(AD133="","",AD133)</f>
        <v>1</v>
      </c>
      <c r="F133" s="75">
        <f t="shared" si="139"/>
        <v>183</v>
      </c>
      <c r="G133" s="351">
        <f>IF(AF133="","",AF133)</f>
        <v>0</v>
      </c>
      <c r="H133" s="75">
        <f t="shared" si="140"/>
        <v>206</v>
      </c>
      <c r="I133" s="351">
        <f>IF(AH133="","",AH133)</f>
        <v>1</v>
      </c>
      <c r="J133" s="75">
        <f t="shared" si="141"/>
        <v>141</v>
      </c>
      <c r="K133" s="351">
        <f>IF(AJ133="","",AJ133)</f>
        <v>0</v>
      </c>
      <c r="L133" s="75">
        <f t="shared" si="142"/>
        <v>213</v>
      </c>
      <c r="M133" s="351">
        <f>IF(AL133="","",AL133)</f>
        <v>1</v>
      </c>
      <c r="N133" s="75">
        <f t="shared" si="159"/>
        <v>180</v>
      </c>
      <c r="O133" s="351">
        <f>IF(AN133="","",AN133)</f>
        <v>1</v>
      </c>
      <c r="P133" s="75">
        <f t="shared" si="143"/>
        <v>174</v>
      </c>
      <c r="Q133" s="351">
        <f>IF(AP133="","",AP133)</f>
        <v>0</v>
      </c>
      <c r="R133" s="75">
        <f t="shared" si="144"/>
        <v>156</v>
      </c>
      <c r="S133" s="351">
        <f>IF(AR133="","",AR133)</f>
        <v>0</v>
      </c>
      <c r="T133" s="75">
        <f t="shared" si="145"/>
        <v>160</v>
      </c>
      <c r="U133" s="351">
        <f>IF(AT133="","",AT133)</f>
        <v>0</v>
      </c>
      <c r="V133" s="75">
        <f t="shared" si="146"/>
        <v>1614</v>
      </c>
      <c r="W133" s="351">
        <f>IF(AV133="","",AV133)</f>
        <v>4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51">
        <f>IF(AD136="","",AD136)</f>
        <v>1</v>
      </c>
      <c r="F136" s="75">
        <f t="shared" si="139"/>
        <v>191</v>
      </c>
      <c r="G136" s="351">
        <f>IF(AF136="","",AF136)</f>
        <v>0</v>
      </c>
      <c r="H136" s="75">
        <f t="shared" si="140"/>
        <v>199</v>
      </c>
      <c r="I136" s="351">
        <f>IF(AH136="","",AH136)</f>
        <v>1</v>
      </c>
      <c r="J136" s="75">
        <f t="shared" si="141"/>
        <v>186</v>
      </c>
      <c r="K136" s="351">
        <f>IF(AJ136="","",AJ136)</f>
        <v>1</v>
      </c>
      <c r="L136" s="75">
        <f t="shared" si="142"/>
        <v>219</v>
      </c>
      <c r="M136" s="351">
        <f>IF(AL136="","",AL136)</f>
        <v>1</v>
      </c>
      <c r="N136" s="75">
        <f t="shared" si="159"/>
        <v>195</v>
      </c>
      <c r="O136" s="351">
        <f>IF(AN136="","",AN136)</f>
        <v>0</v>
      </c>
      <c r="P136" s="75">
        <f t="shared" si="143"/>
        <v>165</v>
      </c>
      <c r="Q136" s="351">
        <f>IF(AP136="","",AP136)</f>
        <v>0</v>
      </c>
      <c r="R136" s="75">
        <f t="shared" si="144"/>
        <v>161</v>
      </c>
      <c r="S136" s="351">
        <f>IF(AR136="","",AR136)</f>
        <v>1</v>
      </c>
      <c r="T136" s="75">
        <f t="shared" si="145"/>
        <v>184</v>
      </c>
      <c r="U136" s="351">
        <f>IF(AT136="","",AT136)</f>
        <v>0</v>
      </c>
      <c r="V136" s="75">
        <f t="shared" si="146"/>
        <v>1704</v>
      </c>
      <c r="W136" s="351">
        <f>IF(AV136="","",AV136)</f>
        <v>5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4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6</v>
      </c>
      <c r="I142" s="349" t="str">
        <f t="shared" si="170"/>
        <v/>
      </c>
      <c r="J142" s="349">
        <f t="shared" si="170"/>
        <v>2</v>
      </c>
      <c r="K142" s="349" t="str">
        <f t="shared" si="170"/>
        <v/>
      </c>
      <c r="L142" s="349">
        <f t="shared" si="170"/>
        <v>7</v>
      </c>
      <c r="M142" s="349" t="str">
        <f t="shared" si="170"/>
        <v/>
      </c>
      <c r="N142" s="349">
        <f t="shared" si="170"/>
        <v>1</v>
      </c>
      <c r="O142" s="349" t="str">
        <f t="shared" si="170"/>
        <v/>
      </c>
      <c r="P142" s="349">
        <f t="shared" si="170"/>
        <v>3</v>
      </c>
      <c r="Q142" s="349" t="str">
        <f t="shared" si="170"/>
        <v/>
      </c>
      <c r="R142" s="349">
        <f t="shared" ref="N142:U144" si="171">IF(AQ142=0,"",AQ142)</f>
        <v>8</v>
      </c>
      <c r="S142" s="349" t="str">
        <f t="shared" si="171"/>
        <v/>
      </c>
      <c r="T142" s="349">
        <f t="shared" si="171"/>
        <v>9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VLOOKUP($AA122,Schlüssel!$A$5:$DG$14,23)</f>
        <v>4</v>
      </c>
      <c r="AD142" s="374"/>
      <c r="AE142" s="373">
        <f>VLOOKUP($AA122,Schlüssel!$A$5:$EK$14,24)</f>
        <v>10</v>
      </c>
      <c r="AF142" s="374"/>
      <c r="AG142" s="373">
        <f>VLOOKUP($AA122,Schlüssel!$A$5:$EK$14,25)</f>
        <v>6</v>
      </c>
      <c r="AH142" s="374"/>
      <c r="AI142" s="373">
        <f>VLOOKUP($AA122,Schlüssel!$A$5:$EK$14,26)</f>
        <v>2</v>
      </c>
      <c r="AJ142" s="374"/>
      <c r="AK142" s="373">
        <f>VLOOKUP($AA122,Schlüssel!$A$5:$EK$14,27)</f>
        <v>7</v>
      </c>
      <c r="AL142" s="374"/>
      <c r="AM142" s="373">
        <f>VLOOKUP($AA122,Schlüssel!$A$5:$EK$14,28)</f>
        <v>1</v>
      </c>
      <c r="AN142" s="374"/>
      <c r="AO142" s="373">
        <f>VLOOKUP($AA122,Schlüssel!$A$5:$EK$14,29)</f>
        <v>3</v>
      </c>
      <c r="AP142" s="374"/>
      <c r="AQ142" s="373">
        <f>VLOOKUP($AA122,Schlüssel!$A$5:$EK$14,30)</f>
        <v>8</v>
      </c>
      <c r="AR142" s="374"/>
      <c r="AS142" s="373">
        <f>VLOOKUP($AA122,Schlüssel!$A$5:$EK$14,31)</f>
        <v>9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6" t="str">
        <f t="shared" si="172"/>
        <v>SG DJK Rimpar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Rottendorf 1</v>
      </c>
      <c r="I143" s="347" t="str">
        <f t="shared" si="172"/>
        <v/>
      </c>
      <c r="J143" s="346" t="str">
        <f t="shared" si="172"/>
        <v>Bajuwaren München 1</v>
      </c>
      <c r="K143" s="347" t="str">
        <f t="shared" si="172"/>
        <v/>
      </c>
      <c r="L143" s="346" t="str">
        <f t="shared" si="172"/>
        <v>Schanzer Ingolstadt 1</v>
      </c>
      <c r="M143" s="347" t="str">
        <f t="shared" si="172"/>
        <v/>
      </c>
      <c r="N143" s="346" t="str">
        <f t="shared" si="171"/>
        <v>BC Comet Nürnberg</v>
      </c>
      <c r="O143" s="347" t="str">
        <f t="shared" si="171"/>
        <v/>
      </c>
      <c r="P143" s="346" t="str">
        <f t="shared" si="171"/>
        <v>BK München 3</v>
      </c>
      <c r="Q143" s="347" t="str">
        <f t="shared" si="171"/>
        <v/>
      </c>
      <c r="R143" s="346" t="str">
        <f t="shared" si="171"/>
        <v>BC EMAX Unterföhring 2</v>
      </c>
      <c r="S143" s="347" t="str">
        <f t="shared" si="171"/>
        <v/>
      </c>
      <c r="T143" s="346" t="str">
        <f t="shared" si="171"/>
        <v>Bowlinghaus Bamberg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DJK Rimpar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Bajuwaren München 1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BC Comet Nürnberg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BC EMAX Unterföhring 2</v>
      </c>
      <c r="AR143" s="347"/>
      <c r="AS143" s="346" t="str">
        <f>VLOOKUP(AS142,Schlüssel!$A$5:$K$14,2)</f>
        <v>Bowlinghaus Bamberg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2"/>
        <v/>
      </c>
      <c r="M144" s="344" t="str">
        <f t="shared" si="172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258</v>
      </c>
      <c r="E145" s="342" t="str">
        <f>IF(AD145=0,"",AD145)</f>
        <v/>
      </c>
      <c r="F145" s="342">
        <f>IF(AE145=301,"",AE145)</f>
        <v>214</v>
      </c>
      <c r="G145" s="342" t="str">
        <f>IF(AF145=0,"",AF145)</f>
        <v/>
      </c>
      <c r="H145" s="342">
        <f>IF(AG145=301,"",AG145)</f>
        <v>220</v>
      </c>
      <c r="I145" s="342" t="str">
        <f>IF(AH145=0,"",AH145)</f>
        <v/>
      </c>
      <c r="J145" s="342">
        <f>IF(AI145=301,"",AI145)</f>
        <v>166</v>
      </c>
      <c r="K145" s="342" t="str">
        <f>IF(AJ145=0,"",AJ145)</f>
        <v/>
      </c>
      <c r="L145" s="342">
        <f>IF(AK145=301,"",AK145)</f>
        <v>169</v>
      </c>
      <c r="M145" s="342" t="str">
        <f>IF(AL145=0,"",AL145)</f>
        <v/>
      </c>
      <c r="N145" s="342">
        <f>IF(AM145=301,"",AM145)</f>
        <v>184</v>
      </c>
      <c r="O145" s="342" t="str">
        <f>IF(AN145=0,"",AN145)</f>
        <v/>
      </c>
      <c r="P145" s="342">
        <f>IF(AO145=301,"",AO145)</f>
        <v>242</v>
      </c>
      <c r="Q145" s="342" t="str">
        <f>IF(AP145=0,"",AP145)</f>
        <v/>
      </c>
      <c r="R145" s="342">
        <f>IF(AQ145=301,"",AQ145)</f>
        <v>147</v>
      </c>
      <c r="S145" s="342" t="str">
        <f>IF(AR145=0,"",AR145)</f>
        <v/>
      </c>
      <c r="T145" s="342">
        <f>IF(AS145=301,"",AS145)</f>
        <v>187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258</v>
      </c>
      <c r="AD145" s="376"/>
      <c r="AE145" s="375">
        <f>ABS(INDEX(AE:AE,MATCH(AE142,$AA:$AA,0)+5)+INDEX(AE:AE,MATCH(AE142,$AA:$AA,0)+6)+INDEX(AE:AE,MATCH(AE142,$AA:$AA,0)+7))</f>
        <v>214</v>
      </c>
      <c r="AF145" s="376"/>
      <c r="AG145" s="375">
        <f>ABS(INDEX(AG:AG,MATCH(AG142,$AA:$AA,0)+5)+INDEX(AG:AG,MATCH(AG142,$AA:$AA,0)+6)+INDEX(AG:AG,MATCH(AG142,$AA:$AA,0)+7))</f>
        <v>220</v>
      </c>
      <c r="AH145" s="376"/>
      <c r="AI145" s="375">
        <f>ABS(INDEX(AI:AI,MATCH(AI142,$AA:$AA,0)+5)+INDEX(AI:AI,MATCH(AI142,$AA:$AA,0)+6)+INDEX(AI:AI,MATCH(AI142,$AA:$AA,0)+7))</f>
        <v>166</v>
      </c>
      <c r="AJ145" s="376"/>
      <c r="AK145" s="375">
        <f>ABS(INDEX(AK:AK,MATCH(AK142,$AA:$AA,0)+5)+INDEX(AK:AK,MATCH(AK142,$AA:$AA,0)+6)+INDEX(AK:AK,MATCH(AK142,$AA:$AA,0)+7))</f>
        <v>169</v>
      </c>
      <c r="AL145" s="376"/>
      <c r="AM145" s="375">
        <f>ABS(INDEX(AM:AM,MATCH(AM142,$AA:$AA,0)+5)+INDEX(AM:AM,MATCH(AM142,$AA:$AA,0)+6)+INDEX(AM:AM,MATCH(AM142,$AA:$AA,0)+7))</f>
        <v>184</v>
      </c>
      <c r="AN145" s="376"/>
      <c r="AO145" s="375">
        <f>ABS(INDEX(AO:AO,MATCH(AO142,$AA:$AA,0)+5)+INDEX(AO:AO,MATCH(AO142,$AA:$AA,0)+6)+INDEX(AO:AO,MATCH(AO142,$AA:$AA,0)+7))</f>
        <v>242</v>
      </c>
      <c r="AP145" s="376"/>
      <c r="AQ145" s="375">
        <f>ABS(INDEX(AQ:AQ,MATCH(AQ142,$AA:$AA,0)+5)+INDEX(AQ:AQ,MATCH(AQ142,$AA:$AA,0)+6)+INDEX(AQ:AQ,MATCH(AQ142,$AA:$AA,0)+7))</f>
        <v>147</v>
      </c>
      <c r="AR145" s="376"/>
      <c r="AS145" s="375">
        <f>ABS(INDEX(AS:AS,MATCH(AS142,$AA:$AA,0)+5)+INDEX(AS:AS,MATCH(AS142,$AA:$AA,0)+6)+INDEX(AS:AS,MATCH(AS142,$AA:$AA,0)+7))</f>
        <v>187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190</v>
      </c>
      <c r="E146" s="342" t="str">
        <f>IF(AD146=0,"",AD146)</f>
        <v/>
      </c>
      <c r="F146" s="342">
        <f>IF(AE146=301,"",AE146)</f>
        <v>187</v>
      </c>
      <c r="G146" s="342" t="str">
        <f>IF(AF146=0,"",AF146)</f>
        <v/>
      </c>
      <c r="H146" s="342">
        <f>IF(AG146=301,"",AG146)</f>
        <v>200</v>
      </c>
      <c r="I146" s="342" t="str">
        <f>IF(AH146=0,"",AH146)</f>
        <v/>
      </c>
      <c r="J146" s="342">
        <f>IF(AI146=301,"",AI146)</f>
        <v>150</v>
      </c>
      <c r="K146" s="342" t="str">
        <f>IF(AJ146=0,"",AJ146)</f>
        <v/>
      </c>
      <c r="L146" s="342">
        <f>IF(AK146=301,"",AK146)</f>
        <v>168</v>
      </c>
      <c r="M146" s="342" t="str">
        <f>IF(AL146=0,"",AL146)</f>
        <v/>
      </c>
      <c r="N146" s="342">
        <f>IF(AM146=301,"",AM146)</f>
        <v>211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156</v>
      </c>
      <c r="S146" s="342" t="str">
        <f>IF(AR146=0,"",AR146)</f>
        <v/>
      </c>
      <c r="T146" s="342">
        <f>IF(AS146=301,"",AS146)</f>
        <v>173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190</v>
      </c>
      <c r="AD146" s="378"/>
      <c r="AE146" s="377">
        <f>ABS(INDEX(AE:AE,MATCH(AE142,$AA:$AA,0)+8)+INDEX(AE:AE,MATCH(AE142,$AA:$AA,0)+9)+INDEX(AE:AE,MATCH(AE142,$AA:$AA,0)+10))</f>
        <v>187</v>
      </c>
      <c r="AF146" s="378"/>
      <c r="AG146" s="377">
        <f>ABS(INDEX(AG:AG,MATCH(AG142,$AA:$AA,0)+8)+INDEX(AG:AG,MATCH(AG142,$AA:$AA,0)+9)+INDEX(AG:AG,MATCH(AG142,$AA:$AA,0)+10))</f>
        <v>200</v>
      </c>
      <c r="AH146" s="378"/>
      <c r="AI146" s="377">
        <f>ABS(INDEX(AI:AI,MATCH(AI142,$AA:$AA,0)+8)+INDEX(AI:AI,MATCH(AI142,$AA:$AA,0)+9)+INDEX(AI:AI,MATCH(AI142,$AA:$AA,0)+10))</f>
        <v>150</v>
      </c>
      <c r="AJ146" s="378"/>
      <c r="AK146" s="377">
        <f>ABS(INDEX(AK:AK,MATCH(AK142,$AA:$AA,0)+8)+INDEX(AK:AK,MATCH(AK142,$AA:$AA,0)+9)+INDEX(AK:AK,MATCH(AK142,$AA:$AA,0)+10))</f>
        <v>168</v>
      </c>
      <c r="AL146" s="378"/>
      <c r="AM146" s="377">
        <f>ABS(INDEX(AM:AM,MATCH(AM142,$AA:$AA,0)+8)+INDEX(AM:AM,MATCH(AM142,$AA:$AA,0)+9)+INDEX(AM:AM,MATCH(AM142,$AA:$AA,0)+10))</f>
        <v>211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156</v>
      </c>
      <c r="AR146" s="378"/>
      <c r="AS146" s="377">
        <f>ABS(INDEX(AS:AS,MATCH(AS142,$AA:$AA,0)+8)+INDEX(AS:AS,MATCH(AS142,$AA:$AA,0)+9)+INDEX(AS:AS,MATCH(AS142,$AA:$AA,0)+10))</f>
        <v>173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184</v>
      </c>
      <c r="E147" s="342" t="str">
        <f>IF(AD147=0,"",AD147)</f>
        <v/>
      </c>
      <c r="F147" s="342">
        <f>IF(AE147=301,"",AE147)</f>
        <v>184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203</v>
      </c>
      <c r="K147" s="342" t="str">
        <f>IF(AJ147=0,"",AJ147)</f>
        <v/>
      </c>
      <c r="L147" s="342">
        <f>IF(AK147=301,"",AK147)</f>
        <v>139</v>
      </c>
      <c r="M147" s="342" t="str">
        <f>IF(AL147=0,"",AL147)</f>
        <v/>
      </c>
      <c r="N147" s="342">
        <f>IF(AM147=301,"",AM147)</f>
        <v>179</v>
      </c>
      <c r="O147" s="342" t="str">
        <f>IF(AN147=0,"",AN147)</f>
        <v/>
      </c>
      <c r="P147" s="342">
        <f>IF(AO147=301,"",AO147)</f>
        <v>217</v>
      </c>
      <c r="Q147" s="342" t="str">
        <f>IF(AP147=0,"",AP147)</f>
        <v/>
      </c>
      <c r="R147" s="342">
        <f>IF(AQ147=301,"",AQ147)</f>
        <v>206</v>
      </c>
      <c r="S147" s="342" t="str">
        <f>IF(AR147=0,"",AR147)</f>
        <v/>
      </c>
      <c r="T147" s="342">
        <f>IF(AS147=301,"",AS147)</f>
        <v>202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184</v>
      </c>
      <c r="AD147" s="378"/>
      <c r="AE147" s="377">
        <f>ABS(INDEX(AE:AE,MATCH(AE142,$AA:$AA,0)+11)+INDEX(AE:AE,MATCH(AE142,$AA:$AA,0)+12)+INDEX(AE:AE,MATCH(AE142,$AA:$AA,0)+13))</f>
        <v>184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203</v>
      </c>
      <c r="AJ147" s="378"/>
      <c r="AK147" s="377">
        <f>ABS(INDEX(AK:AK,MATCH(AK142,$AA:$AA,0)+11)+INDEX(AK:AK,MATCH(AK142,$AA:$AA,0)+12)+INDEX(AK:AK,MATCH(AK142,$AA:$AA,0)+13))</f>
        <v>139</v>
      </c>
      <c r="AL147" s="378"/>
      <c r="AM147" s="377">
        <f>ABS(INDEX(AM:AM,MATCH(AM142,$AA:$AA,0)+11)+INDEX(AM:AM,MATCH(AM142,$AA:$AA,0)+12)+INDEX(AM:AM,MATCH(AM142,$AA:$AA,0)+13))</f>
        <v>179</v>
      </c>
      <c r="AN147" s="378"/>
      <c r="AO147" s="377">
        <f>ABS(INDEX(AO:AO,MATCH(AO142,$AA:$AA,0)+11)+INDEX(AO:AO,MATCH(AO142,$AA:$AA,0)+12)+INDEX(AO:AO,MATCH(AO142,$AA:$AA,0)+13))</f>
        <v>217</v>
      </c>
      <c r="AP147" s="378"/>
      <c r="AQ147" s="377">
        <f>ABS(INDEX(AQ:AQ,MATCH(AQ142,$AA:$AA,0)+11)+INDEX(AQ:AQ,MATCH(AQ142,$AA:$AA,0)+12)+INDEX(AQ:AQ,MATCH(AQ142,$AA:$AA,0)+13))</f>
        <v>206</v>
      </c>
      <c r="AR147" s="378"/>
      <c r="AS147" s="377">
        <f>ABS(INDEX(AS:AS,MATCH(AS142,$AA:$AA,0)+11)+INDEX(AS:AS,MATCH(AS142,$AA:$AA,0)+12)+INDEX(AS:AS,MATCH(AS142,$AA:$AA,0)+13))</f>
        <v>202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150</v>
      </c>
      <c r="E148" s="342" t="str">
        <f>IF(AD148=0,"",AD148)</f>
        <v/>
      </c>
      <c r="F148" s="342">
        <f>IF(AE148=301,"",AE148)</f>
        <v>199</v>
      </c>
      <c r="G148" s="342" t="str">
        <f>IF(AF148=0,"",AF148)</f>
        <v/>
      </c>
      <c r="H148" s="342">
        <f>IF(AG148=301,"",AG148)</f>
        <v>171</v>
      </c>
      <c r="I148" s="342" t="str">
        <f>IF(AH148=0,"",AH148)</f>
        <v/>
      </c>
      <c r="J148" s="342">
        <f>IF(AI148=301,"",AI148)</f>
        <v>155</v>
      </c>
      <c r="K148" s="342" t="str">
        <f>IF(AJ148=0,"",AJ148)</f>
        <v/>
      </c>
      <c r="L148" s="342">
        <f>IF(AK148=301,"",AK148)</f>
        <v>189</v>
      </c>
      <c r="M148" s="342" t="str">
        <f>IF(AL148=0,"",AL148)</f>
        <v/>
      </c>
      <c r="N148" s="342">
        <f>IF(AM148=301,"",AM148)</f>
        <v>201</v>
      </c>
      <c r="O148" s="342" t="str">
        <f>IF(AN148=0,"",AN148)</f>
        <v/>
      </c>
      <c r="P148" s="342">
        <f>IF(AO148=301,"",AO148)</f>
        <v>180</v>
      </c>
      <c r="Q148" s="342" t="str">
        <f>IF(AP148=0,"",AP148)</f>
        <v/>
      </c>
      <c r="R148" s="342">
        <f>IF(AQ148=301,"",AQ148)</f>
        <v>152</v>
      </c>
      <c r="S148" s="342" t="str">
        <f>IF(AR148=0,"",AR148)</f>
        <v/>
      </c>
      <c r="T148" s="342">
        <f>IF(AS148=301,"",AS148)</f>
        <v>258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150</v>
      </c>
      <c r="AD148" s="378"/>
      <c r="AE148" s="377">
        <f>ABS(INDEX(AE:AE,MATCH(AE142,$AA:$AA,0)+14)+INDEX(AE:AE,MATCH(AE142,$AA:$AA,0)+15)+INDEX(AE:AE,MATCH(AE142,$AA:$AA,0)+16))</f>
        <v>199</v>
      </c>
      <c r="AF148" s="378"/>
      <c r="AG148" s="377">
        <f>ABS(INDEX(AG:AG,MATCH(AG142,$AA:$AA,0)+14)+INDEX(AG:AG,MATCH(AG142,$AA:$AA,0)+15)+INDEX(AG:AG,MATCH(AG142,$AA:$AA,0)+16))</f>
        <v>171</v>
      </c>
      <c r="AH148" s="378"/>
      <c r="AI148" s="377">
        <f>ABS(INDEX(AI:AI,MATCH(AI142,$AA:$AA,0)+14)+INDEX(AI:AI,MATCH(AI142,$AA:$AA,0)+15)+INDEX(AI:AI,MATCH(AI142,$AA:$AA,0)+16))</f>
        <v>155</v>
      </c>
      <c r="AJ148" s="378"/>
      <c r="AK148" s="377">
        <f>ABS(INDEX(AK:AK,MATCH(AK142,$AA:$AA,0)+14)+INDEX(AK:AK,MATCH(AK142,$AA:$AA,0)+15)+INDEX(AK:AK,MATCH(AK142,$AA:$AA,0)+16))</f>
        <v>189</v>
      </c>
      <c r="AL148" s="378"/>
      <c r="AM148" s="377">
        <f>ABS(INDEX(AM:AM,MATCH(AM142,$AA:$AA,0)+14)+INDEX(AM:AM,MATCH(AM142,$AA:$AA,0)+15)+INDEX(AM:AM,MATCH(AM142,$AA:$AA,0)+16))</f>
        <v>201</v>
      </c>
      <c r="AN148" s="378"/>
      <c r="AO148" s="377">
        <f>ABS(INDEX(AO:AO,MATCH(AO142,$AA:$AA,0)+14)+INDEX(AO:AO,MATCH(AO142,$AA:$AA,0)+15)+INDEX(AO:AO,MATCH(AO142,$AA:$AA,0)+16))</f>
        <v>180</v>
      </c>
      <c r="AP148" s="378"/>
      <c r="AQ148" s="377">
        <f>ABS(INDEX(AQ:AQ,MATCH(AQ142,$AA:$AA,0)+14)+INDEX(AQ:AQ,MATCH(AQ142,$AA:$AA,0)+15)+INDEX(AQ:AQ,MATCH(AQ142,$AA:$AA,0)+16))</f>
        <v>152</v>
      </c>
      <c r="AR148" s="378"/>
      <c r="AS148" s="377">
        <f>ABS(INDEX(AS:AS,MATCH(AS142,$AA:$AA,0)+14)+INDEX(AS:AS,MATCH(AS142,$AA:$AA,0)+15)+INDEX(AS:AS,MATCH(AS142,$AA:$AA,0)+16))</f>
        <v>258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782</v>
      </c>
      <c r="E149" s="341" t="str">
        <f>IF(AD149=0,"",AD149)</f>
        <v/>
      </c>
      <c r="F149" s="341">
        <f>IF(AE149=1505,"",AE149)</f>
        <v>784</v>
      </c>
      <c r="G149" s="341" t="str">
        <f>IF(AF149=0,"",AF149)</f>
        <v/>
      </c>
      <c r="H149" s="341">
        <f>IF(AG149=1505,"",AG149)</f>
        <v>774</v>
      </c>
      <c r="I149" s="341" t="str">
        <f>IF(AH149=0,"",AH149)</f>
        <v/>
      </c>
      <c r="J149" s="341">
        <f>IF(AI149=1505,"",AI149)</f>
        <v>674</v>
      </c>
      <c r="K149" s="341" t="str">
        <f>IF(AJ149=0,"",AJ149)</f>
        <v/>
      </c>
      <c r="L149" s="341">
        <f>IF(AK149=1505,"",AK149)</f>
        <v>665</v>
      </c>
      <c r="M149" s="341" t="str">
        <f>IF(AL149=0,"",AL149)</f>
        <v/>
      </c>
      <c r="N149" s="341">
        <f>IF(AM149=1505,"",AM149)</f>
        <v>775</v>
      </c>
      <c r="O149" s="341" t="str">
        <f>IF(AN149=0,"",AN149)</f>
        <v/>
      </c>
      <c r="P149" s="341">
        <f>IF(AO149=1505,"",AO149)</f>
        <v>819</v>
      </c>
      <c r="Q149" s="341" t="str">
        <f>IF(AP149=0,"",AP149)</f>
        <v/>
      </c>
      <c r="R149" s="341">
        <f>IF(AQ149=1505,"",AQ149)</f>
        <v>661</v>
      </c>
      <c r="S149" s="341" t="str">
        <f>IF(AR149=0,"",AR149)</f>
        <v/>
      </c>
      <c r="T149" s="341">
        <f>IF(AS149=1505,"",AS149)</f>
        <v>820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782</v>
      </c>
      <c r="AD149" s="358"/>
      <c r="AE149" s="357">
        <f>SUM(AE145:AE148)</f>
        <v>784</v>
      </c>
      <c r="AF149" s="358"/>
      <c r="AG149" s="357">
        <f>SUM(AG145:AG148)</f>
        <v>774</v>
      </c>
      <c r="AH149" s="358"/>
      <c r="AI149" s="357">
        <f>SUM(AI145:AI148)</f>
        <v>674</v>
      </c>
      <c r="AJ149" s="358"/>
      <c r="AK149" s="357">
        <f>SUM(AK145:AK148)</f>
        <v>665</v>
      </c>
      <c r="AL149" s="358"/>
      <c r="AM149" s="357">
        <f>SUM(AM145:AM148)</f>
        <v>775</v>
      </c>
      <c r="AN149" s="358"/>
      <c r="AO149" s="357">
        <f>SUM(AO145:AO148)</f>
        <v>819</v>
      </c>
      <c r="AP149" s="358"/>
      <c r="AQ149" s="357">
        <f>SUM(AQ145:AQ148)</f>
        <v>661</v>
      </c>
      <c r="AR149" s="358"/>
      <c r="AS149" s="357">
        <f>SUM(AS145:AS148)</f>
        <v>820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02.11./03.11.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02.11./03.11.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Nürnberg West Bowling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51">
        <f>IF(AD157="","",AD157)</f>
        <v>1</v>
      </c>
      <c r="F157" s="75">
        <f t="shared" ref="F157:F170" si="174">IF(AE157=0,"",AE157)</f>
        <v>146</v>
      </c>
      <c r="G157" s="351">
        <f>IF(AF157="","",AF157)</f>
        <v>0</v>
      </c>
      <c r="H157" s="75">
        <f t="shared" ref="H157:H170" si="175">IF(AG157=0,"",AG157)</f>
        <v>220</v>
      </c>
      <c r="I157" s="351">
        <f>IF(AH157="","",AH157)</f>
        <v>1</v>
      </c>
      <c r="J157" s="75">
        <f t="shared" ref="J157:J170" si="176">IF(AI157=0,"",AI157)</f>
        <v>175</v>
      </c>
      <c r="K157" s="351">
        <f>IF(AJ157="","",AJ157)</f>
        <v>0</v>
      </c>
      <c r="L157" s="75">
        <f t="shared" ref="L157:L170" si="177">IF(AK157=0,"",AK157)</f>
        <v>162</v>
      </c>
      <c r="M157" s="351">
        <f>IF(AL157="","",AL157)</f>
        <v>0</v>
      </c>
      <c r="N157" s="75">
        <f>IF(AM157=0,"",AM157)</f>
        <v>197</v>
      </c>
      <c r="O157" s="351">
        <f>IF(AN157="","",AN157)</f>
        <v>1</v>
      </c>
      <c r="P157" s="75">
        <f t="shared" ref="P157:P170" si="178">IF(AO157=0,"",AO157)</f>
        <v>149</v>
      </c>
      <c r="Q157" s="351">
        <f>IF(AP157="","",AP157)</f>
        <v>0</v>
      </c>
      <c r="R157" s="75" t="str">
        <f t="shared" ref="R157:R170" si="179">IF(AQ157=0,"",AQ157)</f>
        <v/>
      </c>
      <c r="S157" s="351">
        <f>IF(AR157="","",AR157)</f>
        <v>1</v>
      </c>
      <c r="T157" s="75" t="str">
        <f t="shared" ref="T157:T170" si="180">IF(AS157=0,"",AS157)</f>
        <v/>
      </c>
      <c r="U157" s="351">
        <f>IF(AT157="","",AT157)</f>
        <v>1</v>
      </c>
      <c r="V157" s="75">
        <f t="shared" ref="V157:V170" si="181">IF(AU157=0,"",AU157)</f>
        <v>1218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>
        <f t="shared" si="179"/>
        <v>200</v>
      </c>
      <c r="S158" s="352"/>
      <c r="T158" s="78">
        <f t="shared" si="180"/>
        <v>222</v>
      </c>
      <c r="U158" s="352"/>
      <c r="V158" s="78">
        <f t="shared" si="181"/>
        <v>422</v>
      </c>
      <c r="W158" s="352"/>
      <c r="Z158" s="355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51">
        <f>IF(AD160="","",AD160)</f>
        <v>1</v>
      </c>
      <c r="F160" s="75">
        <f t="shared" si="174"/>
        <v>203</v>
      </c>
      <c r="G160" s="351">
        <f>IF(AF160="","",AF160)</f>
        <v>0</v>
      </c>
      <c r="H160" s="75">
        <f t="shared" si="175"/>
        <v>200</v>
      </c>
      <c r="I160" s="351">
        <f>IF(AH160="","",AH160)</f>
        <v>1</v>
      </c>
      <c r="J160" s="75">
        <f t="shared" si="176"/>
        <v>208</v>
      </c>
      <c r="K160" s="351">
        <f>IF(AJ160="","",AJ160)</f>
        <v>1</v>
      </c>
      <c r="L160" s="75">
        <f t="shared" si="177"/>
        <v>181</v>
      </c>
      <c r="M160" s="351">
        <f>IF(AL160="","",AL160)</f>
        <v>0</v>
      </c>
      <c r="N160" s="75">
        <f t="shared" si="194"/>
        <v>157</v>
      </c>
      <c r="O160" s="351">
        <f>IF(AN160="","",AN160)</f>
        <v>0</v>
      </c>
      <c r="P160" s="75">
        <f t="shared" si="178"/>
        <v>235</v>
      </c>
      <c r="Q160" s="351">
        <f>IF(AP160="","",AP160)</f>
        <v>1</v>
      </c>
      <c r="R160" s="75">
        <f t="shared" si="179"/>
        <v>235</v>
      </c>
      <c r="S160" s="351">
        <f>IF(AR160="","",AR160)</f>
        <v>1</v>
      </c>
      <c r="T160" s="75">
        <f t="shared" si="180"/>
        <v>214</v>
      </c>
      <c r="U160" s="351">
        <f>IF(AT160="","",AT160)</f>
        <v>1</v>
      </c>
      <c r="V160" s="75">
        <f t="shared" si="181"/>
        <v>1802</v>
      </c>
      <c r="W160" s="351">
        <f>IF(AV160="","",AV160)</f>
        <v>6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51">
        <f>IF(AD163="","",AD163)</f>
        <v>1</v>
      </c>
      <c r="F163" s="75">
        <f t="shared" si="174"/>
        <v>213</v>
      </c>
      <c r="G163" s="351">
        <f>IF(AF163="","",AF163)</f>
        <v>1</v>
      </c>
      <c r="H163" s="75">
        <f t="shared" si="175"/>
        <v>183</v>
      </c>
      <c r="I163" s="351">
        <f>IF(AH163="","",AH163)</f>
        <v>0</v>
      </c>
      <c r="J163" s="75">
        <f t="shared" si="176"/>
        <v>203</v>
      </c>
      <c r="K163" s="351">
        <f>IF(AJ163="","",AJ163)</f>
        <v>1</v>
      </c>
      <c r="L163" s="75">
        <f t="shared" si="177"/>
        <v>155</v>
      </c>
      <c r="M163" s="351">
        <f>IF(AL163="","",AL163)</f>
        <v>1</v>
      </c>
      <c r="N163" s="75">
        <f t="shared" si="194"/>
        <v>172</v>
      </c>
      <c r="O163" s="351">
        <f>IF(AN163="","",AN163)</f>
        <v>0</v>
      </c>
      <c r="P163" s="75">
        <f t="shared" si="178"/>
        <v>175</v>
      </c>
      <c r="Q163" s="351">
        <f>IF(AP163="","",AP163)</f>
        <v>0</v>
      </c>
      <c r="R163" s="75">
        <f t="shared" si="179"/>
        <v>172</v>
      </c>
      <c r="S163" s="351">
        <f>IF(AR163="","",AR163)</f>
        <v>0</v>
      </c>
      <c r="T163" s="75">
        <f t="shared" si="180"/>
        <v>178</v>
      </c>
      <c r="U163" s="351">
        <f>IF(AT163="","",AT163)</f>
        <v>0</v>
      </c>
      <c r="V163" s="75">
        <f t="shared" si="181"/>
        <v>1660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51">
        <f>IF(AD166="","",AD166)</f>
        <v>1</v>
      </c>
      <c r="F166" s="75">
        <f t="shared" si="174"/>
        <v>138</v>
      </c>
      <c r="G166" s="351">
        <f>IF(AF166="","",AF166)</f>
        <v>0</v>
      </c>
      <c r="H166" s="75">
        <f t="shared" si="175"/>
        <v>171</v>
      </c>
      <c r="I166" s="351">
        <f>IF(AH166="","",AH166)</f>
        <v>0</v>
      </c>
      <c r="J166" s="75">
        <f t="shared" si="176"/>
        <v>201</v>
      </c>
      <c r="K166" s="351">
        <f>IF(AJ166="","",AJ166)</f>
        <v>0</v>
      </c>
      <c r="L166" s="75">
        <f t="shared" si="177"/>
        <v>171</v>
      </c>
      <c r="M166" s="351">
        <f>IF(AL166="","",AL166)</f>
        <v>0</v>
      </c>
      <c r="N166" s="75">
        <f t="shared" si="194"/>
        <v>227</v>
      </c>
      <c r="O166" s="351">
        <f>IF(AN166="","",AN166)</f>
        <v>1</v>
      </c>
      <c r="P166" s="75">
        <f t="shared" si="178"/>
        <v>219</v>
      </c>
      <c r="Q166" s="351">
        <f>IF(AP166="","",AP166)</f>
        <v>1</v>
      </c>
      <c r="R166" s="75">
        <f t="shared" si="179"/>
        <v>157</v>
      </c>
      <c r="S166" s="351">
        <f>IF(AR166="","",AR166)</f>
        <v>0</v>
      </c>
      <c r="T166" s="75">
        <f t="shared" si="180"/>
        <v>223</v>
      </c>
      <c r="U166" s="351">
        <f>IF(AT166="","",AT166)</f>
        <v>1</v>
      </c>
      <c r="V166" s="75">
        <f t="shared" si="181"/>
        <v>1686</v>
      </c>
      <c r="W166" s="351">
        <f>IF(AV166="","",AV166)</f>
        <v>4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10</v>
      </c>
      <c r="E172" s="349" t="str">
        <f t="shared" si="205"/>
        <v/>
      </c>
      <c r="F172" s="349">
        <f t="shared" si="205"/>
        <v>9</v>
      </c>
      <c r="G172" s="349" t="str">
        <f t="shared" si="205"/>
        <v/>
      </c>
      <c r="H172" s="349">
        <f t="shared" si="205"/>
        <v>5</v>
      </c>
      <c r="I172" s="349" t="str">
        <f t="shared" si="205"/>
        <v/>
      </c>
      <c r="J172" s="349">
        <f t="shared" si="205"/>
        <v>3</v>
      </c>
      <c r="K172" s="349" t="str">
        <f t="shared" si="205"/>
        <v/>
      </c>
      <c r="L172" s="349">
        <f t="shared" si="205"/>
        <v>4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1</v>
      </c>
      <c r="Q172" s="349" t="str">
        <f t="shared" si="205"/>
        <v/>
      </c>
      <c r="R172" s="349">
        <f t="shared" ref="N172:U174" si="206">IF(AQ172=0,"",AQ172)</f>
        <v>7</v>
      </c>
      <c r="S172" s="349" t="str">
        <f t="shared" si="206"/>
        <v/>
      </c>
      <c r="T172" s="349">
        <f t="shared" si="206"/>
        <v>2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VLOOKUP($AA152,Schlüssel!$A$5:$DG$14,23)</f>
        <v>10</v>
      </c>
      <c r="AD172" s="374"/>
      <c r="AE172" s="373">
        <f>VLOOKUP($AA152,Schlüssel!$A$5:$EK$14,24)</f>
        <v>9</v>
      </c>
      <c r="AF172" s="374"/>
      <c r="AG172" s="373">
        <f>VLOOKUP($AA152,Schlüssel!$A$5:$EK$14,25)</f>
        <v>5</v>
      </c>
      <c r="AH172" s="374"/>
      <c r="AI172" s="373">
        <f>VLOOKUP($AA152,Schlüssel!$A$5:$EK$14,26)</f>
        <v>3</v>
      </c>
      <c r="AJ172" s="374"/>
      <c r="AK172" s="373">
        <f>VLOOKUP($AA152,Schlüssel!$A$5:$EK$14,27)</f>
        <v>4</v>
      </c>
      <c r="AL172" s="374"/>
      <c r="AM172" s="373">
        <f>VLOOKUP($AA152,Schlüssel!$A$5:$EK$14,28)</f>
        <v>8</v>
      </c>
      <c r="AN172" s="374"/>
      <c r="AO172" s="373">
        <f>VLOOKUP($AA152,Schlüssel!$A$5:$EK$14,29)</f>
        <v>1</v>
      </c>
      <c r="AP172" s="374"/>
      <c r="AQ172" s="373">
        <f>VLOOKUP($AA152,Schlüssel!$A$5:$EK$14,30)</f>
        <v>7</v>
      </c>
      <c r="AR172" s="374"/>
      <c r="AS172" s="373">
        <f>VLOOKUP($AA152,Schlüssel!$A$5:$EK$14,31)</f>
        <v>2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6" t="str">
        <f t="shared" si="207"/>
        <v>High Roller Rosenheim 1</v>
      </c>
      <c r="E173" s="347" t="str">
        <f t="shared" si="207"/>
        <v/>
      </c>
      <c r="F173" s="346" t="str">
        <f t="shared" si="207"/>
        <v>Bowlinghaus Bamberg 1</v>
      </c>
      <c r="G173" s="347" t="str">
        <f t="shared" si="207"/>
        <v/>
      </c>
      <c r="H173" s="346" t="str">
        <f t="shared" si="207"/>
        <v>RW Lichtenhof Stein 1</v>
      </c>
      <c r="I173" s="347" t="str">
        <f t="shared" si="207"/>
        <v/>
      </c>
      <c r="J173" s="346" t="str">
        <f t="shared" si="207"/>
        <v>BK München 3</v>
      </c>
      <c r="K173" s="347" t="str">
        <f t="shared" si="207"/>
        <v/>
      </c>
      <c r="L173" s="346" t="str">
        <f t="shared" si="207"/>
        <v>SG DJK Rimpar</v>
      </c>
      <c r="M173" s="347" t="str">
        <f t="shared" si="207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BC Comet Nürnberg</v>
      </c>
      <c r="Q173" s="347" t="str">
        <f t="shared" si="206"/>
        <v/>
      </c>
      <c r="R173" s="346" t="str">
        <f t="shared" si="206"/>
        <v>Schanzer Ingolstadt 1</v>
      </c>
      <c r="S173" s="347" t="str">
        <f t="shared" si="206"/>
        <v/>
      </c>
      <c r="T173" s="346" t="str">
        <f t="shared" si="206"/>
        <v>Bajuwaren München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High Roller Rosenheim 1</v>
      </c>
      <c r="AD173" s="347"/>
      <c r="AE173" s="346" t="str">
        <f>VLOOKUP(AE172,Schlüssel!$A$5:$K$14,2)</f>
        <v>Bowlinghaus Bamberg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BC Comet Nürnberg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Bajuwaren München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7"/>
        <v/>
      </c>
      <c r="M174" s="344" t="str">
        <f t="shared" si="207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167</v>
      </c>
      <c r="E175" s="342" t="str">
        <f>IF(AD175=0,"",AD175)</f>
        <v/>
      </c>
      <c r="F175" s="342">
        <f>IF(AE175=301,"",AE175)</f>
        <v>194</v>
      </c>
      <c r="G175" s="342" t="str">
        <f>IF(AF175=0,"",AF175)</f>
        <v/>
      </c>
      <c r="H175" s="342">
        <f>IF(AG175=301,"",AG175)</f>
        <v>185</v>
      </c>
      <c r="I175" s="342" t="str">
        <f>IF(AH175=0,"",AH175)</f>
        <v/>
      </c>
      <c r="J175" s="342">
        <f>IF(AI175=301,"",AI175)</f>
        <v>202</v>
      </c>
      <c r="K175" s="342" t="str">
        <f>IF(AJ175=0,"",AJ175)</f>
        <v/>
      </c>
      <c r="L175" s="342">
        <f>IF(AK175=301,"",AK175)</f>
        <v>187</v>
      </c>
      <c r="M175" s="342" t="str">
        <f>IF(AL175=0,"",AL175)</f>
        <v/>
      </c>
      <c r="N175" s="342">
        <f>IF(AM175=301,"",AM175)</f>
        <v>179</v>
      </c>
      <c r="O175" s="342" t="str">
        <f>IF(AN175=0,"",AN175)</f>
        <v/>
      </c>
      <c r="P175" s="342">
        <f>IF(AO175=301,"",AO175)</f>
        <v>202</v>
      </c>
      <c r="Q175" s="342" t="str">
        <f>IF(AP175=0,"",AP175)</f>
        <v/>
      </c>
      <c r="R175" s="342">
        <f>IF(AQ175=301,"",AQ175)</f>
        <v>153</v>
      </c>
      <c r="S175" s="342" t="str">
        <f>IF(AR175=0,"",AR175)</f>
        <v/>
      </c>
      <c r="T175" s="342">
        <f>IF(AS175=301,"",AS175)</f>
        <v>171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167</v>
      </c>
      <c r="AD175" s="376"/>
      <c r="AE175" s="375">
        <f>ABS(INDEX(AE:AE,MATCH(AE172,$AA:$AA,0)+5)+INDEX(AE:AE,MATCH(AE172,$AA:$AA,0)+6)+INDEX(AE:AE,MATCH(AE172,$AA:$AA,0)+7))</f>
        <v>194</v>
      </c>
      <c r="AF175" s="376"/>
      <c r="AG175" s="375">
        <f>ABS(INDEX(AG:AG,MATCH(AG172,$AA:$AA,0)+5)+INDEX(AG:AG,MATCH(AG172,$AA:$AA,0)+6)+INDEX(AG:AG,MATCH(AG172,$AA:$AA,0)+7))</f>
        <v>185</v>
      </c>
      <c r="AH175" s="376"/>
      <c r="AI175" s="375">
        <f>ABS(INDEX(AI:AI,MATCH(AI172,$AA:$AA,0)+5)+INDEX(AI:AI,MATCH(AI172,$AA:$AA,0)+6)+INDEX(AI:AI,MATCH(AI172,$AA:$AA,0)+7))</f>
        <v>202</v>
      </c>
      <c r="AJ175" s="376"/>
      <c r="AK175" s="375">
        <f>ABS(INDEX(AK:AK,MATCH(AK172,$AA:$AA,0)+5)+INDEX(AK:AK,MATCH(AK172,$AA:$AA,0)+6)+INDEX(AK:AK,MATCH(AK172,$AA:$AA,0)+7))</f>
        <v>187</v>
      </c>
      <c r="AL175" s="376"/>
      <c r="AM175" s="375">
        <f>ABS(INDEX(AM:AM,MATCH(AM172,$AA:$AA,0)+5)+INDEX(AM:AM,MATCH(AM172,$AA:$AA,0)+6)+INDEX(AM:AM,MATCH(AM172,$AA:$AA,0)+7))</f>
        <v>179</v>
      </c>
      <c r="AN175" s="376"/>
      <c r="AO175" s="375">
        <f>ABS(INDEX(AO:AO,MATCH(AO172,$AA:$AA,0)+5)+INDEX(AO:AO,MATCH(AO172,$AA:$AA,0)+6)+INDEX(AO:AO,MATCH(AO172,$AA:$AA,0)+7))</f>
        <v>202</v>
      </c>
      <c r="AP175" s="376"/>
      <c r="AQ175" s="375">
        <f>ABS(INDEX(AQ:AQ,MATCH(AQ172,$AA:$AA,0)+5)+INDEX(AQ:AQ,MATCH(AQ172,$AA:$AA,0)+6)+INDEX(AQ:AQ,MATCH(AQ172,$AA:$AA,0)+7))</f>
        <v>153</v>
      </c>
      <c r="AR175" s="376"/>
      <c r="AS175" s="375">
        <f>ABS(INDEX(AS:AS,MATCH(AS172,$AA:$AA,0)+5)+INDEX(AS:AS,MATCH(AS172,$AA:$AA,0)+6)+INDEX(AS:AS,MATCH(AS172,$AA:$AA,0)+7))</f>
        <v>171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149</v>
      </c>
      <c r="E176" s="342" t="str">
        <f>IF(AD176=0,"",AD176)</f>
        <v/>
      </c>
      <c r="F176" s="342">
        <f>IF(AE176=301,"",AE176)</f>
        <v>217</v>
      </c>
      <c r="G176" s="342" t="str">
        <f>IF(AF176=0,"",AF176)</f>
        <v/>
      </c>
      <c r="H176" s="342">
        <f>IF(AG176=301,"",AG176)</f>
        <v>184</v>
      </c>
      <c r="I176" s="342" t="str">
        <f>IF(AH176=0,"",AH176)</f>
        <v/>
      </c>
      <c r="J176" s="342">
        <f>IF(AI176=301,"",AI176)</f>
        <v>181</v>
      </c>
      <c r="K176" s="342" t="str">
        <f>IF(AJ176=0,"",AJ176)</f>
        <v/>
      </c>
      <c r="L176" s="342">
        <f>IF(AK176=301,"",AK176)</f>
        <v>197</v>
      </c>
      <c r="M176" s="342" t="str">
        <f>IF(AL176=0,"",AL176)</f>
        <v/>
      </c>
      <c r="N176" s="342">
        <f>IF(AM176=301,"",AM176)</f>
        <v>188</v>
      </c>
      <c r="O176" s="342" t="str">
        <f>IF(AN176=0,"",AN176)</f>
        <v/>
      </c>
      <c r="P176" s="342">
        <f>IF(AO176=301,"",AO176)</f>
        <v>192</v>
      </c>
      <c r="Q176" s="342" t="str">
        <f>IF(AP176=0,"",AP176)</f>
        <v/>
      </c>
      <c r="R176" s="342">
        <f>IF(AQ176=301,"",AQ176)</f>
        <v>192</v>
      </c>
      <c r="S176" s="342" t="str">
        <f>IF(AR176=0,"",AR176)</f>
        <v/>
      </c>
      <c r="T176" s="342">
        <f>IF(AS176=301,"",AS176)</f>
        <v>199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149</v>
      </c>
      <c r="AD176" s="378"/>
      <c r="AE176" s="377">
        <f>ABS(INDEX(AE:AE,MATCH(AE172,$AA:$AA,0)+8)+INDEX(AE:AE,MATCH(AE172,$AA:$AA,0)+9)+INDEX(AE:AE,MATCH(AE172,$AA:$AA,0)+10))</f>
        <v>217</v>
      </c>
      <c r="AF176" s="378"/>
      <c r="AG176" s="377">
        <f>ABS(INDEX(AG:AG,MATCH(AG172,$AA:$AA,0)+8)+INDEX(AG:AG,MATCH(AG172,$AA:$AA,0)+9)+INDEX(AG:AG,MATCH(AG172,$AA:$AA,0)+10))</f>
        <v>184</v>
      </c>
      <c r="AH176" s="378"/>
      <c r="AI176" s="377">
        <f>ABS(INDEX(AI:AI,MATCH(AI172,$AA:$AA,0)+8)+INDEX(AI:AI,MATCH(AI172,$AA:$AA,0)+9)+INDEX(AI:AI,MATCH(AI172,$AA:$AA,0)+10))</f>
        <v>181</v>
      </c>
      <c r="AJ176" s="378"/>
      <c r="AK176" s="377">
        <f>ABS(INDEX(AK:AK,MATCH(AK172,$AA:$AA,0)+8)+INDEX(AK:AK,MATCH(AK172,$AA:$AA,0)+9)+INDEX(AK:AK,MATCH(AK172,$AA:$AA,0)+10))</f>
        <v>197</v>
      </c>
      <c r="AL176" s="378"/>
      <c r="AM176" s="377">
        <f>ABS(INDEX(AM:AM,MATCH(AM172,$AA:$AA,0)+8)+INDEX(AM:AM,MATCH(AM172,$AA:$AA,0)+9)+INDEX(AM:AM,MATCH(AM172,$AA:$AA,0)+10))</f>
        <v>188</v>
      </c>
      <c r="AN176" s="378"/>
      <c r="AO176" s="377">
        <f>ABS(INDEX(AO:AO,MATCH(AO172,$AA:$AA,0)+8)+INDEX(AO:AO,MATCH(AO172,$AA:$AA,0)+9)+INDEX(AO:AO,MATCH(AO172,$AA:$AA,0)+10))</f>
        <v>192</v>
      </c>
      <c r="AP176" s="378"/>
      <c r="AQ176" s="377">
        <f>ABS(INDEX(AQ:AQ,MATCH(AQ172,$AA:$AA,0)+8)+INDEX(AQ:AQ,MATCH(AQ172,$AA:$AA,0)+9)+INDEX(AQ:AQ,MATCH(AQ172,$AA:$AA,0)+10))</f>
        <v>192</v>
      </c>
      <c r="AR176" s="378"/>
      <c r="AS176" s="377">
        <f>ABS(INDEX(AS:AS,MATCH(AS172,$AA:$AA,0)+8)+INDEX(AS:AS,MATCH(AS172,$AA:$AA,0)+9)+INDEX(AS:AS,MATCH(AS172,$AA:$AA,0)+10))</f>
        <v>199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195</v>
      </c>
      <c r="E177" s="342" t="str">
        <f>IF(AD177=0,"",AD177)</f>
        <v/>
      </c>
      <c r="F177" s="342">
        <f>IF(AE177=301,"",AE177)</f>
        <v>188</v>
      </c>
      <c r="G177" s="342" t="str">
        <f>IF(AF177=0,"",AF177)</f>
        <v/>
      </c>
      <c r="H177" s="342">
        <f>IF(AG177=301,"",AG177)</f>
        <v>206</v>
      </c>
      <c r="I177" s="342" t="str">
        <f>IF(AH177=0,"",AH177)</f>
        <v/>
      </c>
      <c r="J177" s="342">
        <f>IF(AI177=301,"",AI177)</f>
        <v>128</v>
      </c>
      <c r="K177" s="342" t="str">
        <f>IF(AJ177=0,"",AJ177)</f>
        <v/>
      </c>
      <c r="L177" s="342">
        <f>IF(AK177=301,"",AK177)</f>
        <v>145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192</v>
      </c>
      <c r="Q177" s="342" t="str">
        <f>IF(AP177=0,"",AP177)</f>
        <v/>
      </c>
      <c r="R177" s="342">
        <f>IF(AQ177=301,"",AQ177)</f>
        <v>197</v>
      </c>
      <c r="S177" s="342" t="str">
        <f>IF(AR177=0,"",AR177)</f>
        <v/>
      </c>
      <c r="T177" s="342">
        <f>IF(AS177=301,"",AS177)</f>
        <v>209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195</v>
      </c>
      <c r="AD177" s="378"/>
      <c r="AE177" s="377">
        <f>ABS(INDEX(AE:AE,MATCH(AE172,$AA:$AA,0)+11)+INDEX(AE:AE,MATCH(AE172,$AA:$AA,0)+12)+INDEX(AE:AE,MATCH(AE172,$AA:$AA,0)+13))</f>
        <v>188</v>
      </c>
      <c r="AF177" s="378"/>
      <c r="AG177" s="377">
        <f>ABS(INDEX(AG:AG,MATCH(AG172,$AA:$AA,0)+11)+INDEX(AG:AG,MATCH(AG172,$AA:$AA,0)+12)+INDEX(AG:AG,MATCH(AG172,$AA:$AA,0)+13))</f>
        <v>206</v>
      </c>
      <c r="AH177" s="378"/>
      <c r="AI177" s="377">
        <f>ABS(INDEX(AI:AI,MATCH(AI172,$AA:$AA,0)+11)+INDEX(AI:AI,MATCH(AI172,$AA:$AA,0)+12)+INDEX(AI:AI,MATCH(AI172,$AA:$AA,0)+13))</f>
        <v>128</v>
      </c>
      <c r="AJ177" s="378"/>
      <c r="AK177" s="377">
        <f>ABS(INDEX(AK:AK,MATCH(AK172,$AA:$AA,0)+11)+INDEX(AK:AK,MATCH(AK172,$AA:$AA,0)+12)+INDEX(AK:AK,MATCH(AK172,$AA:$AA,0)+13))</f>
        <v>145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192</v>
      </c>
      <c r="AP177" s="378"/>
      <c r="AQ177" s="377">
        <f>ABS(INDEX(AQ:AQ,MATCH(AQ172,$AA:$AA,0)+11)+INDEX(AQ:AQ,MATCH(AQ172,$AA:$AA,0)+12)+INDEX(AQ:AQ,MATCH(AQ172,$AA:$AA,0)+13))</f>
        <v>197</v>
      </c>
      <c r="AR177" s="378"/>
      <c r="AS177" s="377">
        <f>ABS(INDEX(AS:AS,MATCH(AS172,$AA:$AA,0)+11)+INDEX(AS:AS,MATCH(AS172,$AA:$AA,0)+12)+INDEX(AS:AS,MATCH(AS172,$AA:$AA,0)+13))</f>
        <v>209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163</v>
      </c>
      <c r="E178" s="342" t="str">
        <f>IF(AD178=0,"",AD178)</f>
        <v/>
      </c>
      <c r="F178" s="342">
        <f>IF(AE178=301,"",AE178)</f>
        <v>190</v>
      </c>
      <c r="G178" s="342" t="str">
        <f>IF(AF178=0,"",AF178)</f>
        <v/>
      </c>
      <c r="H178" s="342">
        <f>IF(AG178=301,"",AG178)</f>
        <v>199</v>
      </c>
      <c r="I178" s="342" t="str">
        <f>IF(AH178=0,"",AH178)</f>
        <v/>
      </c>
      <c r="J178" s="342">
        <f>IF(AI178=301,"",AI178)</f>
        <v>244</v>
      </c>
      <c r="K178" s="342" t="str">
        <f>IF(AJ178=0,"",AJ178)</f>
        <v/>
      </c>
      <c r="L178" s="342">
        <f>IF(AK178=301,"",AK178)</f>
        <v>211</v>
      </c>
      <c r="M178" s="342" t="str">
        <f>IF(AL178=0,"",AL178)</f>
        <v/>
      </c>
      <c r="N178" s="342">
        <f>IF(AM178=301,"",AM178)</f>
        <v>190</v>
      </c>
      <c r="O178" s="342" t="str">
        <f>IF(AN178=0,"",AN178)</f>
        <v/>
      </c>
      <c r="P178" s="342">
        <f>IF(AO178=301,"",AO178)</f>
        <v>204</v>
      </c>
      <c r="Q178" s="342" t="str">
        <f>IF(AP178=0,"",AP178)</f>
        <v/>
      </c>
      <c r="R178" s="342">
        <f>IF(AQ178=301,"",AQ178)</f>
        <v>195</v>
      </c>
      <c r="S178" s="342" t="str">
        <f>IF(AR178=0,"",AR178)</f>
        <v/>
      </c>
      <c r="T178" s="342">
        <f>IF(AS178=301,"",AS178)</f>
        <v>146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163</v>
      </c>
      <c r="AD178" s="378"/>
      <c r="AE178" s="377">
        <f>ABS(INDEX(AE:AE,MATCH(AE172,$AA:$AA,0)+14)+INDEX(AE:AE,MATCH(AE172,$AA:$AA,0)+15)+INDEX(AE:AE,MATCH(AE172,$AA:$AA,0)+16))</f>
        <v>190</v>
      </c>
      <c r="AF178" s="378"/>
      <c r="AG178" s="377">
        <f>ABS(INDEX(AG:AG,MATCH(AG172,$AA:$AA,0)+14)+INDEX(AG:AG,MATCH(AG172,$AA:$AA,0)+15)+INDEX(AG:AG,MATCH(AG172,$AA:$AA,0)+16))</f>
        <v>199</v>
      </c>
      <c r="AH178" s="378"/>
      <c r="AI178" s="377">
        <f>ABS(INDEX(AI:AI,MATCH(AI172,$AA:$AA,0)+14)+INDEX(AI:AI,MATCH(AI172,$AA:$AA,0)+15)+INDEX(AI:AI,MATCH(AI172,$AA:$AA,0)+16))</f>
        <v>244</v>
      </c>
      <c r="AJ178" s="378"/>
      <c r="AK178" s="377">
        <f>ABS(INDEX(AK:AK,MATCH(AK172,$AA:$AA,0)+14)+INDEX(AK:AK,MATCH(AK172,$AA:$AA,0)+15)+INDEX(AK:AK,MATCH(AK172,$AA:$AA,0)+16))</f>
        <v>211</v>
      </c>
      <c r="AL178" s="378"/>
      <c r="AM178" s="377">
        <f>ABS(INDEX(AM:AM,MATCH(AM172,$AA:$AA,0)+14)+INDEX(AM:AM,MATCH(AM172,$AA:$AA,0)+15)+INDEX(AM:AM,MATCH(AM172,$AA:$AA,0)+16))</f>
        <v>190</v>
      </c>
      <c r="AN178" s="378"/>
      <c r="AO178" s="377">
        <f>ABS(INDEX(AO:AO,MATCH(AO172,$AA:$AA,0)+14)+INDEX(AO:AO,MATCH(AO172,$AA:$AA,0)+15)+INDEX(AO:AO,MATCH(AO172,$AA:$AA,0)+16))</f>
        <v>204</v>
      </c>
      <c r="AP178" s="378"/>
      <c r="AQ178" s="377">
        <f>ABS(INDEX(AQ:AQ,MATCH(AQ172,$AA:$AA,0)+14)+INDEX(AQ:AQ,MATCH(AQ172,$AA:$AA,0)+15)+INDEX(AQ:AQ,MATCH(AQ172,$AA:$AA,0)+16))</f>
        <v>195</v>
      </c>
      <c r="AR178" s="378"/>
      <c r="AS178" s="377">
        <f>ABS(INDEX(AS:AS,MATCH(AS172,$AA:$AA,0)+14)+INDEX(AS:AS,MATCH(AS172,$AA:$AA,0)+15)+INDEX(AS:AS,MATCH(AS172,$AA:$AA,0)+16))</f>
        <v>146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674</v>
      </c>
      <c r="E179" s="341" t="str">
        <f>IF(AD179=0,"",AD179)</f>
        <v/>
      </c>
      <c r="F179" s="341">
        <f>IF(AE179=1505,"",AE179)</f>
        <v>789</v>
      </c>
      <c r="G179" s="341" t="str">
        <f>IF(AF179=0,"",AF179)</f>
        <v/>
      </c>
      <c r="H179" s="341">
        <f>IF(AG179=1505,"",AG179)</f>
        <v>774</v>
      </c>
      <c r="I179" s="341" t="str">
        <f>IF(AH179=0,"",AH179)</f>
        <v/>
      </c>
      <c r="J179" s="341">
        <f>IF(AI179=1505,"",AI179)</f>
        <v>755</v>
      </c>
      <c r="K179" s="341" t="str">
        <f>IF(AJ179=0,"",AJ179)</f>
        <v/>
      </c>
      <c r="L179" s="341">
        <f>IF(AK179=1505,"",AK179)</f>
        <v>740</v>
      </c>
      <c r="M179" s="341" t="str">
        <f>IF(AL179=0,"",AL179)</f>
        <v/>
      </c>
      <c r="N179" s="341">
        <f>IF(AM179=1505,"",AM179)</f>
        <v>749</v>
      </c>
      <c r="O179" s="341" t="str">
        <f>IF(AN179=0,"",AN179)</f>
        <v/>
      </c>
      <c r="P179" s="341">
        <f>IF(AO179=1505,"",AO179)</f>
        <v>790</v>
      </c>
      <c r="Q179" s="341" t="str">
        <f>IF(AP179=0,"",AP179)</f>
        <v/>
      </c>
      <c r="R179" s="341">
        <f>IF(AQ179=1505,"",AQ179)</f>
        <v>737</v>
      </c>
      <c r="S179" s="341" t="str">
        <f>IF(AR179=0,"",AR179)</f>
        <v/>
      </c>
      <c r="T179" s="341">
        <f>IF(AS179=1505,"",AS179)</f>
        <v>725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674</v>
      </c>
      <c r="AD179" s="358"/>
      <c r="AE179" s="357">
        <f>SUM(AE175:AE178)</f>
        <v>789</v>
      </c>
      <c r="AF179" s="358"/>
      <c r="AG179" s="357">
        <f>SUM(AG175:AG178)</f>
        <v>774</v>
      </c>
      <c r="AH179" s="358"/>
      <c r="AI179" s="357">
        <f>SUM(AI175:AI178)</f>
        <v>755</v>
      </c>
      <c r="AJ179" s="358"/>
      <c r="AK179" s="357">
        <f>SUM(AK175:AK178)</f>
        <v>740</v>
      </c>
      <c r="AL179" s="358"/>
      <c r="AM179" s="357">
        <f>SUM(AM175:AM178)</f>
        <v>749</v>
      </c>
      <c r="AN179" s="358"/>
      <c r="AO179" s="357">
        <f>SUM(AO175:AO178)</f>
        <v>790</v>
      </c>
      <c r="AP179" s="358"/>
      <c r="AQ179" s="357">
        <f>SUM(AQ175:AQ178)</f>
        <v>737</v>
      </c>
      <c r="AR179" s="358"/>
      <c r="AS179" s="357">
        <f>SUM(AS175:AS178)</f>
        <v>725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02.11./03.11.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02.11./03.11.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Nürnberg West Bowling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51">
        <f>IF(AD187="","",AD187)</f>
        <v>0</v>
      </c>
      <c r="F187" s="75">
        <f t="shared" ref="F187:F200" si="209">IF(AE187=0,"",AE187)</f>
        <v>153</v>
      </c>
      <c r="G187" s="351">
        <f>IF(AF187="","",AF187)</f>
        <v>0</v>
      </c>
      <c r="H187" s="75">
        <f t="shared" ref="H187:H200" si="210">IF(AG187=0,"",AG187)</f>
        <v>189</v>
      </c>
      <c r="I187" s="351">
        <f>IF(AH187="","",AH187)</f>
        <v>1</v>
      </c>
      <c r="J187" s="75">
        <f t="shared" ref="J187:J200" si="211">IF(AI187=0,"",AI187)</f>
        <v>171</v>
      </c>
      <c r="K187" s="351">
        <f>IF(AJ187="","",AJ187)</f>
        <v>1</v>
      </c>
      <c r="L187" s="75">
        <f t="shared" ref="L187:L200" si="212">IF(AK187=0,"",AK187)</f>
        <v>169</v>
      </c>
      <c r="M187" s="351">
        <f>IF(AL187="","",AL187)</f>
        <v>1</v>
      </c>
      <c r="N187" s="75">
        <f>IF(AM187=0,"",AM187)</f>
        <v>220</v>
      </c>
      <c r="O187" s="351">
        <f>IF(AN187="","",AN187)</f>
        <v>1</v>
      </c>
      <c r="P187" s="75">
        <f t="shared" ref="P187:P200" si="213">IF(AO187=0,"",AO187)</f>
        <v>167</v>
      </c>
      <c r="Q187" s="351">
        <f>IF(AP187="","",AP187)</f>
        <v>0</v>
      </c>
      <c r="R187" s="75">
        <f t="shared" ref="R187:R200" si="214">IF(AQ187=0,"",AQ187)</f>
        <v>153</v>
      </c>
      <c r="S187" s="351">
        <f>IF(AR187="","",AR187)</f>
        <v>0</v>
      </c>
      <c r="T187" s="75">
        <f t="shared" ref="T187:T200" si="215">IF(AS187=0,"",AS187)</f>
        <v>141</v>
      </c>
      <c r="U187" s="351">
        <f>IF(AT187="","",AT187)</f>
        <v>0</v>
      </c>
      <c r="V187" s="75">
        <f t="shared" ref="V187:V200" si="216">IF(AU187=0,"",AU187)</f>
        <v>1507</v>
      </c>
      <c r="W187" s="351">
        <f>IF(AV187="","",AV187)</f>
        <v>4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51">
        <f>IF(AD190="","",AD190)</f>
        <v>1</v>
      </c>
      <c r="F190" s="75">
        <f t="shared" si="209"/>
        <v>184</v>
      </c>
      <c r="G190" s="351">
        <f>IF(AF190="","",AF190)</f>
        <v>0</v>
      </c>
      <c r="H190" s="75">
        <f t="shared" si="210"/>
        <v>168</v>
      </c>
      <c r="I190" s="351">
        <f>IF(AH190="","",AH190)</f>
        <v>0</v>
      </c>
      <c r="J190" s="75">
        <f t="shared" si="211"/>
        <v>176</v>
      </c>
      <c r="K190" s="351">
        <f>IF(AJ190="","",AJ190)</f>
        <v>1</v>
      </c>
      <c r="L190" s="75">
        <f t="shared" si="212"/>
        <v>168</v>
      </c>
      <c r="M190" s="351">
        <f>IF(AL190="","",AL190)</f>
        <v>1</v>
      </c>
      <c r="N190" s="75">
        <f t="shared" si="229"/>
        <v>154</v>
      </c>
      <c r="O190" s="351">
        <f>IF(AN190="","",AN190)</f>
        <v>0</v>
      </c>
      <c r="P190" s="75">
        <f t="shared" si="213"/>
        <v>168</v>
      </c>
      <c r="Q190" s="351">
        <f>IF(AP190="","",AP190)</f>
        <v>0</v>
      </c>
      <c r="R190" s="75">
        <f t="shared" si="214"/>
        <v>192</v>
      </c>
      <c r="S190" s="351">
        <f>IF(AR190="","",AR190)</f>
        <v>0</v>
      </c>
      <c r="T190" s="75">
        <f t="shared" si="215"/>
        <v>135</v>
      </c>
      <c r="U190" s="351">
        <f>IF(AT190="","",AT190)</f>
        <v>0</v>
      </c>
      <c r="V190" s="75">
        <f t="shared" si="216"/>
        <v>1550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51">
        <f>IF(AD193="","",AD193)</f>
        <v>1</v>
      </c>
      <c r="F193" s="75">
        <f t="shared" si="209"/>
        <v>188</v>
      </c>
      <c r="G193" s="351">
        <f>IF(AF193="","",AF193)</f>
        <v>0</v>
      </c>
      <c r="H193" s="75">
        <f t="shared" si="210"/>
        <v>173</v>
      </c>
      <c r="I193" s="351">
        <f>IF(AH193="","",AH193)</f>
        <v>0</v>
      </c>
      <c r="J193" s="75">
        <f t="shared" si="211"/>
        <v>224</v>
      </c>
      <c r="K193" s="351">
        <f>IF(AJ193="","",AJ193)</f>
        <v>1</v>
      </c>
      <c r="L193" s="75" t="str">
        <f t="shared" si="212"/>
        <v/>
      </c>
      <c r="M193" s="351">
        <f>IF(AL193="","",AL193)</f>
        <v>0</v>
      </c>
      <c r="N193" s="75" t="str">
        <f t="shared" si="229"/>
        <v/>
      </c>
      <c r="O193" s="351">
        <f>IF(AN193="","",AN193)</f>
        <v>1</v>
      </c>
      <c r="P193" s="75" t="str">
        <f t="shared" si="213"/>
        <v/>
      </c>
      <c r="Q193" s="351">
        <f>IF(AP193="","",AP193)</f>
        <v>0</v>
      </c>
      <c r="R193" s="75" t="str">
        <f t="shared" si="214"/>
        <v/>
      </c>
      <c r="S193" s="351">
        <f>IF(AR193="","",AR193)</f>
        <v>1</v>
      </c>
      <c r="T193" s="75" t="str">
        <f t="shared" si="215"/>
        <v/>
      </c>
      <c r="U193" s="351">
        <f>IF(AT193="","",AT193)</f>
        <v>0</v>
      </c>
      <c r="V193" s="75">
        <f t="shared" si="216"/>
        <v>777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>
        <f t="shared" si="212"/>
        <v>139</v>
      </c>
      <c r="M194" s="352"/>
      <c r="N194" s="78">
        <f t="shared" si="229"/>
        <v>181</v>
      </c>
      <c r="O194" s="352"/>
      <c r="P194" s="78">
        <f t="shared" si="213"/>
        <v>147</v>
      </c>
      <c r="Q194" s="352"/>
      <c r="R194" s="78">
        <f t="shared" si="214"/>
        <v>197</v>
      </c>
      <c r="S194" s="352"/>
      <c r="T194" s="78">
        <f t="shared" si="215"/>
        <v>178</v>
      </c>
      <c r="U194" s="352"/>
      <c r="V194" s="78">
        <f t="shared" si="216"/>
        <v>842</v>
      </c>
      <c r="W194" s="352"/>
      <c r="Z194" s="355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51">
        <f>IF(AD196="","",AD196)</f>
        <v>0</v>
      </c>
      <c r="F196" s="75">
        <f t="shared" si="209"/>
        <v>211</v>
      </c>
      <c r="G196" s="351">
        <f>IF(AF196="","",AF196)</f>
        <v>1</v>
      </c>
      <c r="H196" s="75">
        <f t="shared" si="210"/>
        <v>207</v>
      </c>
      <c r="I196" s="351">
        <f>IF(AH196="","",AH196)</f>
        <v>1</v>
      </c>
      <c r="J196" s="75">
        <f t="shared" si="211"/>
        <v>220</v>
      </c>
      <c r="K196" s="351">
        <f>IF(AJ196="","",AJ196)</f>
        <v>1</v>
      </c>
      <c r="L196" s="75">
        <f t="shared" si="212"/>
        <v>189</v>
      </c>
      <c r="M196" s="351">
        <f>IF(AL196="","",AL196)</f>
        <v>0</v>
      </c>
      <c r="N196" s="75">
        <f t="shared" si="229"/>
        <v>152</v>
      </c>
      <c r="O196" s="351">
        <f>IF(AN196="","",AN196)</f>
        <v>0</v>
      </c>
      <c r="P196" s="75">
        <f t="shared" si="213"/>
        <v>183</v>
      </c>
      <c r="Q196" s="351">
        <f>IF(AP196="","",AP196)</f>
        <v>1</v>
      </c>
      <c r="R196" s="75">
        <f t="shared" si="214"/>
        <v>195</v>
      </c>
      <c r="S196" s="351">
        <f>IF(AR196="","",AR196)</f>
        <v>1</v>
      </c>
      <c r="T196" s="75">
        <f t="shared" si="215"/>
        <v>177</v>
      </c>
      <c r="U196" s="351">
        <f>IF(AT196="","",AT196)</f>
        <v>0</v>
      </c>
      <c r="V196" s="75">
        <f t="shared" si="216"/>
        <v>1722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3</v>
      </c>
      <c r="E202" s="349" t="str">
        <f t="shared" si="240"/>
        <v/>
      </c>
      <c r="F202" s="349">
        <f t="shared" si="240"/>
        <v>8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1</v>
      </c>
      <c r="K202" s="349" t="str">
        <f t="shared" si="240"/>
        <v/>
      </c>
      <c r="L202" s="349">
        <f t="shared" si="240"/>
        <v>5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10</v>
      </c>
      <c r="Q202" s="349" t="str">
        <f t="shared" si="240"/>
        <v/>
      </c>
      <c r="R202" s="349">
        <f t="shared" ref="N202:U204" si="241">IF(AQ202=0,"",AQ202)</f>
        <v>6</v>
      </c>
      <c r="S202" s="349" t="str">
        <f t="shared" si="241"/>
        <v/>
      </c>
      <c r="T202" s="349">
        <f t="shared" si="241"/>
        <v>4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VLOOKUP($AA182,Schlüssel!$A$5:$DG$14,23)</f>
        <v>3</v>
      </c>
      <c r="AD202" s="374"/>
      <c r="AE202" s="373">
        <f>VLOOKUP($AA182,Schlüssel!$A$5:$EK$14,24)</f>
        <v>8</v>
      </c>
      <c r="AF202" s="374"/>
      <c r="AG202" s="373">
        <f>VLOOKUP($AA182,Schlüssel!$A$5:$EK$14,25)</f>
        <v>9</v>
      </c>
      <c r="AH202" s="374"/>
      <c r="AI202" s="373">
        <f>VLOOKUP($AA182,Schlüssel!$A$5:$EK$14,26)</f>
        <v>1</v>
      </c>
      <c r="AJ202" s="374"/>
      <c r="AK202" s="373">
        <f>VLOOKUP($AA182,Schlüssel!$A$5:$EK$14,27)</f>
        <v>5</v>
      </c>
      <c r="AL202" s="374"/>
      <c r="AM202" s="373">
        <f>VLOOKUP($AA182,Schlüssel!$A$5:$EK$14,28)</f>
        <v>2</v>
      </c>
      <c r="AN202" s="374"/>
      <c r="AO202" s="373">
        <f>VLOOKUP($AA182,Schlüssel!$A$5:$EK$14,29)</f>
        <v>10</v>
      </c>
      <c r="AP202" s="374"/>
      <c r="AQ202" s="373">
        <f>VLOOKUP($AA182,Schlüssel!$A$5:$EK$14,30)</f>
        <v>6</v>
      </c>
      <c r="AR202" s="374"/>
      <c r="AS202" s="373">
        <f>VLOOKUP($AA182,Schlüssel!$A$5:$EK$14,31)</f>
        <v>4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6" t="str">
        <f t="shared" si="242"/>
        <v>BK München 3</v>
      </c>
      <c r="E203" s="347" t="str">
        <f t="shared" si="242"/>
        <v/>
      </c>
      <c r="F203" s="346" t="str">
        <f t="shared" si="242"/>
        <v>BC EMAX Unterföhring 2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BC Comet Nürnberg</v>
      </c>
      <c r="K203" s="347" t="str">
        <f t="shared" si="242"/>
        <v/>
      </c>
      <c r="L203" s="346" t="str">
        <f t="shared" si="242"/>
        <v>RW Lichtenhof Stein 1</v>
      </c>
      <c r="M203" s="347" t="str">
        <f t="shared" si="242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High Roller Rosenheim 1</v>
      </c>
      <c r="Q203" s="347" t="str">
        <f t="shared" si="241"/>
        <v/>
      </c>
      <c r="R203" s="346" t="str">
        <f t="shared" si="241"/>
        <v>SG Rottendorf 1</v>
      </c>
      <c r="S203" s="347" t="str">
        <f t="shared" si="241"/>
        <v/>
      </c>
      <c r="T203" s="346" t="str">
        <f t="shared" si="241"/>
        <v>SG DJK Rimpar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BK München 3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BC Comet Nürnberg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SG DJK Rimpar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2"/>
        <v/>
      </c>
      <c r="M204" s="344" t="str">
        <f t="shared" si="242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181</v>
      </c>
      <c r="E205" s="342" t="str">
        <f>IF(AD205=0,"",AD205)</f>
        <v/>
      </c>
      <c r="F205" s="342">
        <f>IF(AE205=301,"",AE205)</f>
        <v>215</v>
      </c>
      <c r="G205" s="342" t="str">
        <f>IF(AF205=0,"",AF205)</f>
        <v/>
      </c>
      <c r="H205" s="342">
        <f>IF(AG205=301,"",AG205)</f>
        <v>136</v>
      </c>
      <c r="I205" s="342" t="str">
        <f>IF(AH205=0,"",AH205)</f>
        <v/>
      </c>
      <c r="J205" s="342">
        <f>IF(AI205=301,"",AI205)</f>
        <v>151</v>
      </c>
      <c r="K205" s="342" t="str">
        <f>IF(AJ205=0,"",AJ205)</f>
        <v/>
      </c>
      <c r="L205" s="342">
        <f>IF(AK205=301,"",AK205)</f>
        <v>146</v>
      </c>
      <c r="M205" s="342" t="str">
        <f>IF(AL205=0,"",AL205)</f>
        <v/>
      </c>
      <c r="N205" s="342">
        <f>IF(AM205=301,"",AM205)</f>
        <v>211</v>
      </c>
      <c r="O205" s="342" t="str">
        <f>IF(AN205=0,"",AN205)</f>
        <v/>
      </c>
      <c r="P205" s="342">
        <f>IF(AO205=301,"",AO205)</f>
        <v>244</v>
      </c>
      <c r="Q205" s="342" t="str">
        <f>IF(AP205=0,"",AP205)</f>
        <v/>
      </c>
      <c r="R205" s="342">
        <f>IF(AQ205=301,"",AQ205)</f>
        <v>200</v>
      </c>
      <c r="S205" s="342" t="str">
        <f>IF(AR205=0,"",AR205)</f>
        <v/>
      </c>
      <c r="T205" s="342">
        <f>IF(AS205=301,"",AS205)</f>
        <v>202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181</v>
      </c>
      <c r="AD205" s="376"/>
      <c r="AE205" s="375">
        <f>ABS(INDEX(AE:AE,MATCH(AE202,$AA:$AA,0)+5)+INDEX(AE:AE,MATCH(AE202,$AA:$AA,0)+6)+INDEX(AE:AE,MATCH(AE202,$AA:$AA,0)+7))</f>
        <v>215</v>
      </c>
      <c r="AF205" s="376"/>
      <c r="AG205" s="375">
        <f>ABS(INDEX(AG:AG,MATCH(AG202,$AA:$AA,0)+5)+INDEX(AG:AG,MATCH(AG202,$AA:$AA,0)+6)+INDEX(AG:AG,MATCH(AG202,$AA:$AA,0)+7))</f>
        <v>136</v>
      </c>
      <c r="AH205" s="376"/>
      <c r="AI205" s="375">
        <f>ABS(INDEX(AI:AI,MATCH(AI202,$AA:$AA,0)+5)+INDEX(AI:AI,MATCH(AI202,$AA:$AA,0)+6)+INDEX(AI:AI,MATCH(AI202,$AA:$AA,0)+7))</f>
        <v>151</v>
      </c>
      <c r="AJ205" s="376"/>
      <c r="AK205" s="375">
        <f>ABS(INDEX(AK:AK,MATCH(AK202,$AA:$AA,0)+5)+INDEX(AK:AK,MATCH(AK202,$AA:$AA,0)+6)+INDEX(AK:AK,MATCH(AK202,$AA:$AA,0)+7))</f>
        <v>146</v>
      </c>
      <c r="AL205" s="376"/>
      <c r="AM205" s="375">
        <f>ABS(INDEX(AM:AM,MATCH(AM202,$AA:$AA,0)+5)+INDEX(AM:AM,MATCH(AM202,$AA:$AA,0)+6)+INDEX(AM:AM,MATCH(AM202,$AA:$AA,0)+7))</f>
        <v>211</v>
      </c>
      <c r="AN205" s="376"/>
      <c r="AO205" s="375">
        <f>ABS(INDEX(AO:AO,MATCH(AO202,$AA:$AA,0)+5)+INDEX(AO:AO,MATCH(AO202,$AA:$AA,0)+6)+INDEX(AO:AO,MATCH(AO202,$AA:$AA,0)+7))</f>
        <v>244</v>
      </c>
      <c r="AP205" s="376"/>
      <c r="AQ205" s="375">
        <f>ABS(INDEX(AQ:AQ,MATCH(AQ202,$AA:$AA,0)+5)+INDEX(AQ:AQ,MATCH(AQ202,$AA:$AA,0)+6)+INDEX(AQ:AQ,MATCH(AQ202,$AA:$AA,0)+7))</f>
        <v>200</v>
      </c>
      <c r="AR205" s="376"/>
      <c r="AS205" s="375">
        <f>ABS(INDEX(AS:AS,MATCH(AS202,$AA:$AA,0)+5)+INDEX(AS:AS,MATCH(AS202,$AA:$AA,0)+6)+INDEX(AS:AS,MATCH(AS202,$AA:$AA,0)+7))</f>
        <v>202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187</v>
      </c>
      <c r="E206" s="342" t="str">
        <f>IF(AD206=0,"",AD206)</f>
        <v/>
      </c>
      <c r="F206" s="342">
        <f>IF(AE206=301,"",AE206)</f>
        <v>227</v>
      </c>
      <c r="G206" s="342" t="str">
        <f>IF(AF206=0,"",AF206)</f>
        <v/>
      </c>
      <c r="H206" s="342">
        <f>IF(AG206=301,"",AG206)</f>
        <v>179</v>
      </c>
      <c r="I206" s="342" t="str">
        <f>IF(AH206=0,"",AH206)</f>
        <v/>
      </c>
      <c r="J206" s="342">
        <f>IF(AI206=301,"",AI206)</f>
        <v>162</v>
      </c>
      <c r="K206" s="342" t="str">
        <f>IF(AJ206=0,"",AJ206)</f>
        <v/>
      </c>
      <c r="L206" s="342">
        <f>IF(AK206=301,"",AK206)</f>
        <v>143</v>
      </c>
      <c r="M206" s="342" t="str">
        <f>IF(AL206=0,"",AL206)</f>
        <v/>
      </c>
      <c r="N206" s="342">
        <f>IF(AM206=301,"",AM206)</f>
        <v>160</v>
      </c>
      <c r="O206" s="342" t="str">
        <f>IF(AN206=0,"",AN206)</f>
        <v/>
      </c>
      <c r="P206" s="342">
        <f>IF(AO206=301,"",AO206)</f>
        <v>169</v>
      </c>
      <c r="Q206" s="342" t="str">
        <f>IF(AP206=0,"",AP206)</f>
        <v/>
      </c>
      <c r="R206" s="342">
        <f>IF(AQ206=301,"",AQ206)</f>
        <v>235</v>
      </c>
      <c r="S206" s="342" t="str">
        <f>IF(AR206=0,"",AR206)</f>
        <v/>
      </c>
      <c r="T206" s="342">
        <f>IF(AS206=301,"",AS206)</f>
        <v>216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187</v>
      </c>
      <c r="AD206" s="378"/>
      <c r="AE206" s="377">
        <f>ABS(INDEX(AE:AE,MATCH(AE202,$AA:$AA,0)+8)+INDEX(AE:AE,MATCH(AE202,$AA:$AA,0)+9)+INDEX(AE:AE,MATCH(AE202,$AA:$AA,0)+10))</f>
        <v>227</v>
      </c>
      <c r="AF206" s="378"/>
      <c r="AG206" s="377">
        <f>ABS(INDEX(AG:AG,MATCH(AG202,$AA:$AA,0)+8)+INDEX(AG:AG,MATCH(AG202,$AA:$AA,0)+9)+INDEX(AG:AG,MATCH(AG202,$AA:$AA,0)+10))</f>
        <v>179</v>
      </c>
      <c r="AH206" s="378"/>
      <c r="AI206" s="377">
        <f>ABS(INDEX(AI:AI,MATCH(AI202,$AA:$AA,0)+8)+INDEX(AI:AI,MATCH(AI202,$AA:$AA,0)+9)+INDEX(AI:AI,MATCH(AI202,$AA:$AA,0)+10))</f>
        <v>162</v>
      </c>
      <c r="AJ206" s="378"/>
      <c r="AK206" s="377">
        <f>ABS(INDEX(AK:AK,MATCH(AK202,$AA:$AA,0)+8)+INDEX(AK:AK,MATCH(AK202,$AA:$AA,0)+9)+INDEX(AK:AK,MATCH(AK202,$AA:$AA,0)+10))</f>
        <v>143</v>
      </c>
      <c r="AL206" s="378"/>
      <c r="AM206" s="377">
        <f>ABS(INDEX(AM:AM,MATCH(AM202,$AA:$AA,0)+8)+INDEX(AM:AM,MATCH(AM202,$AA:$AA,0)+9)+INDEX(AM:AM,MATCH(AM202,$AA:$AA,0)+10))</f>
        <v>160</v>
      </c>
      <c r="AN206" s="378"/>
      <c r="AO206" s="377">
        <f>ABS(INDEX(AO:AO,MATCH(AO202,$AA:$AA,0)+8)+INDEX(AO:AO,MATCH(AO202,$AA:$AA,0)+9)+INDEX(AO:AO,MATCH(AO202,$AA:$AA,0)+10))</f>
        <v>169</v>
      </c>
      <c r="AP206" s="378"/>
      <c r="AQ206" s="377">
        <f>ABS(INDEX(AQ:AQ,MATCH(AQ202,$AA:$AA,0)+8)+INDEX(AQ:AQ,MATCH(AQ202,$AA:$AA,0)+9)+INDEX(AQ:AQ,MATCH(AQ202,$AA:$AA,0)+10))</f>
        <v>235</v>
      </c>
      <c r="AR206" s="378"/>
      <c r="AS206" s="377">
        <f>ABS(INDEX(AS:AS,MATCH(AS202,$AA:$AA,0)+8)+INDEX(AS:AS,MATCH(AS202,$AA:$AA,0)+9)+INDEX(AS:AS,MATCH(AS202,$AA:$AA,0)+10))</f>
        <v>216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173</v>
      </c>
      <c r="E207" s="342" t="str">
        <f>IF(AD207=0,"",AD207)</f>
        <v/>
      </c>
      <c r="F207" s="342">
        <f>IF(AE207=301,"",AE207)</f>
        <v>234</v>
      </c>
      <c r="G207" s="342" t="str">
        <f>IF(AF207=0,"",AF207)</f>
        <v/>
      </c>
      <c r="H207" s="342">
        <f>IF(AG207=301,"",AG207)</f>
        <v>179</v>
      </c>
      <c r="I207" s="342" t="str">
        <f>IF(AH207=0,"",AH207)</f>
        <v/>
      </c>
      <c r="J207" s="342">
        <f>IF(AI207=301,"",AI207)</f>
        <v>171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161</v>
      </c>
      <c r="O207" s="342" t="str">
        <f>IF(AN207=0,"",AN207)</f>
        <v/>
      </c>
      <c r="P207" s="342">
        <f>IF(AO207=301,"",AO207)</f>
        <v>149</v>
      </c>
      <c r="Q207" s="342" t="str">
        <f>IF(AP207=0,"",AP207)</f>
        <v/>
      </c>
      <c r="R207" s="342">
        <f>IF(AQ207=301,"",AQ207)</f>
        <v>172</v>
      </c>
      <c r="S207" s="342" t="str">
        <f>IF(AR207=0,"",AR207)</f>
        <v/>
      </c>
      <c r="T207" s="342">
        <f>IF(AS207=301,"",AS207)</f>
        <v>196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173</v>
      </c>
      <c r="AD207" s="378"/>
      <c r="AE207" s="377">
        <f>ABS(INDEX(AE:AE,MATCH(AE202,$AA:$AA,0)+11)+INDEX(AE:AE,MATCH(AE202,$AA:$AA,0)+12)+INDEX(AE:AE,MATCH(AE202,$AA:$AA,0)+13))</f>
        <v>234</v>
      </c>
      <c r="AF207" s="378"/>
      <c r="AG207" s="377">
        <f>ABS(INDEX(AG:AG,MATCH(AG202,$AA:$AA,0)+11)+INDEX(AG:AG,MATCH(AG202,$AA:$AA,0)+12)+INDEX(AG:AG,MATCH(AG202,$AA:$AA,0)+13))</f>
        <v>179</v>
      </c>
      <c r="AH207" s="378"/>
      <c r="AI207" s="377">
        <f>ABS(INDEX(AI:AI,MATCH(AI202,$AA:$AA,0)+11)+INDEX(AI:AI,MATCH(AI202,$AA:$AA,0)+12)+INDEX(AI:AI,MATCH(AI202,$AA:$AA,0)+13))</f>
        <v>171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161</v>
      </c>
      <c r="AN207" s="378"/>
      <c r="AO207" s="377">
        <f>ABS(INDEX(AO:AO,MATCH(AO202,$AA:$AA,0)+11)+INDEX(AO:AO,MATCH(AO202,$AA:$AA,0)+12)+INDEX(AO:AO,MATCH(AO202,$AA:$AA,0)+13))</f>
        <v>149</v>
      </c>
      <c r="AP207" s="378"/>
      <c r="AQ207" s="377">
        <f>ABS(INDEX(AQ:AQ,MATCH(AQ202,$AA:$AA,0)+11)+INDEX(AQ:AQ,MATCH(AQ202,$AA:$AA,0)+12)+INDEX(AQ:AQ,MATCH(AQ202,$AA:$AA,0)+13))</f>
        <v>172</v>
      </c>
      <c r="AR207" s="378"/>
      <c r="AS207" s="377">
        <f>ABS(INDEX(AS:AS,MATCH(AS202,$AA:$AA,0)+11)+INDEX(AS:AS,MATCH(AS202,$AA:$AA,0)+12)+INDEX(AS:AS,MATCH(AS202,$AA:$AA,0)+13))</f>
        <v>196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220</v>
      </c>
      <c r="E208" s="342" t="str">
        <f>IF(AD208=0,"",AD208)</f>
        <v/>
      </c>
      <c r="F208" s="342">
        <f>IF(AE208=301,"",AE208)</f>
        <v>170</v>
      </c>
      <c r="G208" s="342" t="str">
        <f>IF(AF208=0,"",AF208)</f>
        <v/>
      </c>
      <c r="H208" s="342">
        <f>IF(AG208=301,"",AG208)</f>
        <v>189</v>
      </c>
      <c r="I208" s="342" t="str">
        <f>IF(AH208=0,"",AH208)</f>
        <v/>
      </c>
      <c r="J208" s="342">
        <f>IF(AI208=301,"",AI208)</f>
        <v>181</v>
      </c>
      <c r="K208" s="342" t="str">
        <f>IF(AJ208=0,"",AJ208)</f>
        <v/>
      </c>
      <c r="L208" s="342">
        <f>IF(AK208=301,"",AK208)</f>
        <v>219</v>
      </c>
      <c r="M208" s="342" t="str">
        <f>IF(AL208=0,"",AL208)</f>
        <v/>
      </c>
      <c r="N208" s="342">
        <f>IF(AM208=301,"",AM208)</f>
        <v>213</v>
      </c>
      <c r="O208" s="342" t="str">
        <f>IF(AN208=0,"",AN208)</f>
        <v/>
      </c>
      <c r="P208" s="342">
        <f>IF(AO208=301,"",AO208)</f>
        <v>182</v>
      </c>
      <c r="Q208" s="342" t="str">
        <f>IF(AP208=0,"",AP208)</f>
        <v/>
      </c>
      <c r="R208" s="342">
        <f>IF(AQ208=301,"",AQ208)</f>
        <v>157</v>
      </c>
      <c r="S208" s="342" t="str">
        <f>IF(AR208=0,"",AR208)</f>
        <v/>
      </c>
      <c r="T208" s="342">
        <f>IF(AS208=301,"",AS208)</f>
        <v>258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220</v>
      </c>
      <c r="AD208" s="378"/>
      <c r="AE208" s="377">
        <f>ABS(INDEX(AE:AE,MATCH(AE202,$AA:$AA,0)+14)+INDEX(AE:AE,MATCH(AE202,$AA:$AA,0)+15)+INDEX(AE:AE,MATCH(AE202,$AA:$AA,0)+16))</f>
        <v>170</v>
      </c>
      <c r="AF208" s="378"/>
      <c r="AG208" s="377">
        <f>ABS(INDEX(AG:AG,MATCH(AG202,$AA:$AA,0)+14)+INDEX(AG:AG,MATCH(AG202,$AA:$AA,0)+15)+INDEX(AG:AG,MATCH(AG202,$AA:$AA,0)+16))</f>
        <v>189</v>
      </c>
      <c r="AH208" s="378"/>
      <c r="AI208" s="377">
        <f>ABS(INDEX(AI:AI,MATCH(AI202,$AA:$AA,0)+14)+INDEX(AI:AI,MATCH(AI202,$AA:$AA,0)+15)+INDEX(AI:AI,MATCH(AI202,$AA:$AA,0)+16))</f>
        <v>181</v>
      </c>
      <c r="AJ208" s="378"/>
      <c r="AK208" s="377">
        <f>ABS(INDEX(AK:AK,MATCH(AK202,$AA:$AA,0)+14)+INDEX(AK:AK,MATCH(AK202,$AA:$AA,0)+15)+INDEX(AK:AK,MATCH(AK202,$AA:$AA,0)+16))</f>
        <v>219</v>
      </c>
      <c r="AL208" s="378"/>
      <c r="AM208" s="377">
        <f>ABS(INDEX(AM:AM,MATCH(AM202,$AA:$AA,0)+14)+INDEX(AM:AM,MATCH(AM202,$AA:$AA,0)+15)+INDEX(AM:AM,MATCH(AM202,$AA:$AA,0)+16))</f>
        <v>213</v>
      </c>
      <c r="AN208" s="378"/>
      <c r="AO208" s="377">
        <f>ABS(INDEX(AO:AO,MATCH(AO202,$AA:$AA,0)+14)+INDEX(AO:AO,MATCH(AO202,$AA:$AA,0)+15)+INDEX(AO:AO,MATCH(AO202,$AA:$AA,0)+16))</f>
        <v>182</v>
      </c>
      <c r="AP208" s="378"/>
      <c r="AQ208" s="377">
        <f>ABS(INDEX(AQ:AQ,MATCH(AQ202,$AA:$AA,0)+14)+INDEX(AQ:AQ,MATCH(AQ202,$AA:$AA,0)+15)+INDEX(AQ:AQ,MATCH(AQ202,$AA:$AA,0)+16))</f>
        <v>157</v>
      </c>
      <c r="AR208" s="378"/>
      <c r="AS208" s="377">
        <f>ABS(INDEX(AS:AS,MATCH(AS202,$AA:$AA,0)+14)+INDEX(AS:AS,MATCH(AS202,$AA:$AA,0)+15)+INDEX(AS:AS,MATCH(AS202,$AA:$AA,0)+16))</f>
        <v>258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761</v>
      </c>
      <c r="E209" s="341" t="str">
        <f>IF(AD209=0,"",AD209)</f>
        <v/>
      </c>
      <c r="F209" s="341">
        <f>IF(AE209=1505,"",AE209)</f>
        <v>846</v>
      </c>
      <c r="G209" s="341" t="str">
        <f>IF(AF209=0,"",AF209)</f>
        <v/>
      </c>
      <c r="H209" s="341">
        <f>IF(AG209=1505,"",AG209)</f>
        <v>683</v>
      </c>
      <c r="I209" s="341" t="str">
        <f>IF(AH209=0,"",AH209)</f>
        <v/>
      </c>
      <c r="J209" s="341">
        <f>IF(AI209=1505,"",AI209)</f>
        <v>665</v>
      </c>
      <c r="K209" s="341" t="str">
        <f>IF(AJ209=0,"",AJ209)</f>
        <v/>
      </c>
      <c r="L209" s="341">
        <f>IF(AK209=1505,"",AK209)</f>
        <v>721</v>
      </c>
      <c r="M209" s="341" t="str">
        <f>IF(AL209=0,"",AL209)</f>
        <v/>
      </c>
      <c r="N209" s="341">
        <f>IF(AM209=1505,"",AM209)</f>
        <v>745</v>
      </c>
      <c r="O209" s="341" t="str">
        <f>IF(AN209=0,"",AN209)</f>
        <v/>
      </c>
      <c r="P209" s="341">
        <f>IF(AO209=1505,"",AO209)</f>
        <v>744</v>
      </c>
      <c r="Q209" s="341" t="str">
        <f>IF(AP209=0,"",AP209)</f>
        <v/>
      </c>
      <c r="R209" s="341">
        <f>IF(AQ209=1505,"",AQ209)</f>
        <v>764</v>
      </c>
      <c r="S209" s="341" t="str">
        <f>IF(AR209=0,"",AR209)</f>
        <v/>
      </c>
      <c r="T209" s="341">
        <f>IF(AS209=1505,"",AS209)</f>
        <v>872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761</v>
      </c>
      <c r="AD209" s="358"/>
      <c r="AE209" s="357">
        <f>SUM(AE205:AE208)</f>
        <v>846</v>
      </c>
      <c r="AF209" s="358"/>
      <c r="AG209" s="357">
        <f>SUM(AG205:AG208)</f>
        <v>683</v>
      </c>
      <c r="AH209" s="358"/>
      <c r="AI209" s="357">
        <f>SUM(AI205:AI208)</f>
        <v>665</v>
      </c>
      <c r="AJ209" s="358"/>
      <c r="AK209" s="357">
        <f>SUM(AK205:AK208)</f>
        <v>721</v>
      </c>
      <c r="AL209" s="358"/>
      <c r="AM209" s="357">
        <f>SUM(AM205:AM208)</f>
        <v>745</v>
      </c>
      <c r="AN209" s="358"/>
      <c r="AO209" s="357">
        <f>SUM(AO205:AO208)</f>
        <v>744</v>
      </c>
      <c r="AP209" s="358"/>
      <c r="AQ209" s="357">
        <f>SUM(AQ205:AQ208)</f>
        <v>764</v>
      </c>
      <c r="AR209" s="358"/>
      <c r="AS209" s="357">
        <f>SUM(AS205:AS208)</f>
        <v>872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02.11./03.11.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02.11./03.11.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Nürnberg West Bowling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51">
        <f>IF(AD217="","",AD217)</f>
        <v>0</v>
      </c>
      <c r="F217" s="75">
        <f t="shared" ref="F217:F230" si="244">IF(AE217=0,"",AE217)</f>
        <v>215</v>
      </c>
      <c r="G217" s="351">
        <f>IF(AF217="","",AF217)</f>
        <v>1</v>
      </c>
      <c r="H217" s="75">
        <f t="shared" ref="H217:H230" si="245">IF(AG217=0,"",AG217)</f>
        <v>164</v>
      </c>
      <c r="I217" s="351">
        <f>IF(AH217="","",AH217)</f>
        <v>1</v>
      </c>
      <c r="J217" s="75">
        <f t="shared" ref="J217:J230" si="246">IF(AI217=0,"",AI217)</f>
        <v>187</v>
      </c>
      <c r="K217" s="351">
        <f>IF(AJ217="","",AJ217)</f>
        <v>1</v>
      </c>
      <c r="L217" s="75">
        <f t="shared" ref="L217:L230" si="247">IF(AK217=0,"",AK217)</f>
        <v>201</v>
      </c>
      <c r="M217" s="351">
        <f>IF(AL217="","",AL217)</f>
        <v>0</v>
      </c>
      <c r="N217" s="75">
        <f>IF(AM217=0,"",AM217)</f>
        <v>179</v>
      </c>
      <c r="O217" s="351">
        <f>IF(AN217="","",AN217)</f>
        <v>0</v>
      </c>
      <c r="P217" s="75">
        <f t="shared" ref="P217:P230" si="248">IF(AO217=0,"",AO217)</f>
        <v>198</v>
      </c>
      <c r="Q217" s="351">
        <f>IF(AP217="","",AP217)</f>
        <v>1</v>
      </c>
      <c r="R217" s="75">
        <f t="shared" ref="R217:R230" si="249">IF(AQ217=0,"",AQ217)</f>
        <v>147</v>
      </c>
      <c r="S217" s="351">
        <f>IF(AR217="","",AR217)</f>
        <v>0</v>
      </c>
      <c r="T217" s="75" t="str">
        <f t="shared" ref="T217:T230" si="250">IF(AS217=0,"",AS217)</f>
        <v/>
      </c>
      <c r="U217" s="351">
        <f>IF(AT217="","",AT217)</f>
        <v>0</v>
      </c>
      <c r="V217" s="75">
        <f t="shared" ref="V217:V230" si="251">IF(AU217=0,"",AU217)</f>
        <v>1444</v>
      </c>
      <c r="W217" s="351">
        <f>IF(AV217="","",AV217)</f>
        <v>4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>
        <f t="shared" si="250"/>
        <v>182</v>
      </c>
      <c r="U218" s="352"/>
      <c r="V218" s="78">
        <f t="shared" si="251"/>
        <v>182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51">
        <f>IF(AD220="","",AD220)</f>
        <v>0</v>
      </c>
      <c r="F220" s="75">
        <f t="shared" si="244"/>
        <v>227</v>
      </c>
      <c r="G220" s="351">
        <f>IF(AF220="","",AF220)</f>
        <v>1</v>
      </c>
      <c r="H220" s="75">
        <f t="shared" si="245"/>
        <v>172</v>
      </c>
      <c r="I220" s="351">
        <f>IF(AH220="","",AH220)</f>
        <v>1</v>
      </c>
      <c r="J220" s="75">
        <f t="shared" si="246"/>
        <v>215</v>
      </c>
      <c r="K220" s="351">
        <f>IF(AJ220="","",AJ220)</f>
        <v>1</v>
      </c>
      <c r="L220" s="75">
        <f t="shared" si="247"/>
        <v>162</v>
      </c>
      <c r="M220" s="351">
        <f>IF(AL220="","",AL220)</f>
        <v>0</v>
      </c>
      <c r="N220" s="75" t="str">
        <f t="shared" si="264"/>
        <v/>
      </c>
      <c r="O220" s="351">
        <f>IF(AN220="","",AN220)</f>
        <v>1</v>
      </c>
      <c r="P220" s="75" t="str">
        <f t="shared" si="248"/>
        <v/>
      </c>
      <c r="Q220" s="351">
        <f>IF(AP220="","",AP220)</f>
        <v>0</v>
      </c>
      <c r="R220" s="75">
        <f t="shared" si="249"/>
        <v>156</v>
      </c>
      <c r="S220" s="351">
        <f>IF(AR220="","",AR220)</f>
        <v>0</v>
      </c>
      <c r="T220" s="75">
        <f t="shared" si="250"/>
        <v>207</v>
      </c>
      <c r="U220" s="351">
        <f>IF(AT220="","",AT220)</f>
        <v>1</v>
      </c>
      <c r="V220" s="75">
        <f t="shared" si="251"/>
        <v>1308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>
        <f t="shared" si="264"/>
        <v>188</v>
      </c>
      <c r="O221" s="352"/>
      <c r="P221" s="78">
        <f t="shared" si="248"/>
        <v>146</v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>
        <f t="shared" si="251"/>
        <v>334</v>
      </c>
      <c r="W221" s="352"/>
      <c r="Z221" s="355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51">
        <f>IF(AD223="","",AD223)</f>
        <v>0</v>
      </c>
      <c r="F223" s="75">
        <f t="shared" si="244"/>
        <v>234</v>
      </c>
      <c r="G223" s="351">
        <f>IF(AF223="","",AF223)</f>
        <v>1</v>
      </c>
      <c r="H223" s="75">
        <f t="shared" si="245"/>
        <v>218</v>
      </c>
      <c r="I223" s="351">
        <f>IF(AH223="","",AH223)</f>
        <v>1</v>
      </c>
      <c r="J223" s="75">
        <f t="shared" si="246"/>
        <v>213</v>
      </c>
      <c r="K223" s="351">
        <f>IF(AJ223="","",AJ223)</f>
        <v>1</v>
      </c>
      <c r="L223" s="75">
        <f t="shared" si="247"/>
        <v>218</v>
      </c>
      <c r="M223" s="351">
        <f>IF(AL223="","",AL223)</f>
        <v>1</v>
      </c>
      <c r="N223" s="75">
        <f t="shared" si="264"/>
        <v>192</v>
      </c>
      <c r="O223" s="351">
        <f>IF(AN223="","",AN223)</f>
        <v>1</v>
      </c>
      <c r="P223" s="75">
        <f t="shared" si="248"/>
        <v>172</v>
      </c>
      <c r="Q223" s="351">
        <f>IF(AP223="","",AP223)</f>
        <v>0</v>
      </c>
      <c r="R223" s="75">
        <f t="shared" si="249"/>
        <v>206</v>
      </c>
      <c r="S223" s="351">
        <f>IF(AR223="","",AR223)</f>
        <v>1</v>
      </c>
      <c r="T223" s="75">
        <f t="shared" si="250"/>
        <v>184</v>
      </c>
      <c r="U223" s="351">
        <f>IF(AT223="","",AT223)</f>
        <v>0</v>
      </c>
      <c r="V223" s="75">
        <f t="shared" si="251"/>
        <v>1873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 t="str">
        <f t="shared" si="250"/>
        <v/>
      </c>
      <c r="U224" s="352"/>
      <c r="V224" s="78" t="str">
        <f t="shared" si="251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51">
        <f>IF(AD226="","",AD226)</f>
        <v>0</v>
      </c>
      <c r="F226" s="75">
        <f t="shared" si="244"/>
        <v>170</v>
      </c>
      <c r="G226" s="351">
        <f>IF(AF226="","",AF226)</f>
        <v>0</v>
      </c>
      <c r="H226" s="75" t="str">
        <f t="shared" si="245"/>
        <v/>
      </c>
      <c r="I226" s="351">
        <f>IF(AH226="","",AH226)</f>
        <v>0</v>
      </c>
      <c r="J226" s="75" t="str">
        <f t="shared" si="246"/>
        <v/>
      </c>
      <c r="K226" s="351">
        <f>IF(AJ226="","",AJ226)</f>
        <v>0</v>
      </c>
      <c r="L226" s="75">
        <f t="shared" si="247"/>
        <v>166</v>
      </c>
      <c r="M226" s="351">
        <f>IF(AL226="","",AL226)</f>
        <v>0</v>
      </c>
      <c r="N226" s="75">
        <f t="shared" si="264"/>
        <v>190</v>
      </c>
      <c r="O226" s="351">
        <f>IF(AN226="","",AN226)</f>
        <v>0</v>
      </c>
      <c r="P226" s="75">
        <f t="shared" si="248"/>
        <v>158</v>
      </c>
      <c r="Q226" s="351">
        <f>IF(AP226="","",AP226)</f>
        <v>0</v>
      </c>
      <c r="R226" s="75">
        <f t="shared" si="249"/>
        <v>152</v>
      </c>
      <c r="S226" s="351">
        <f>IF(AR226="","",AR226)</f>
        <v>0</v>
      </c>
      <c r="T226" s="75">
        <f t="shared" si="250"/>
        <v>151</v>
      </c>
      <c r="U226" s="351">
        <f>IF(AT226="","",AT226)</f>
        <v>1</v>
      </c>
      <c r="V226" s="75">
        <f t="shared" si="251"/>
        <v>1157</v>
      </c>
      <c r="W226" s="351">
        <f>IF(AV226="","",AV226)</f>
        <v>1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52"/>
      <c r="F227" s="78" t="str">
        <f t="shared" si="244"/>
        <v/>
      </c>
      <c r="G227" s="352"/>
      <c r="H227" s="78">
        <f t="shared" si="245"/>
        <v>180</v>
      </c>
      <c r="I227" s="352"/>
      <c r="J227" s="78">
        <f t="shared" si="246"/>
        <v>178</v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>
        <f t="shared" si="251"/>
        <v>358</v>
      </c>
      <c r="W227" s="352"/>
      <c r="Z227" s="355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</v>
      </c>
      <c r="E232" s="349" t="str">
        <f t="shared" si="275"/>
        <v/>
      </c>
      <c r="F232" s="349">
        <f t="shared" si="275"/>
        <v>7</v>
      </c>
      <c r="G232" s="349" t="str">
        <f t="shared" si="275"/>
        <v/>
      </c>
      <c r="H232" s="349">
        <f t="shared" si="275"/>
        <v>3</v>
      </c>
      <c r="I232" s="349" t="str">
        <f t="shared" si="275"/>
        <v/>
      </c>
      <c r="J232" s="349">
        <f t="shared" si="275"/>
        <v>4</v>
      </c>
      <c r="K232" s="349" t="str">
        <f t="shared" si="275"/>
        <v/>
      </c>
      <c r="L232" s="349">
        <f t="shared" si="275"/>
        <v>9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N232:U234" si="276">IF(AQ232=0,"",AQ232)</f>
        <v>5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VLOOKUP($AA212,Schlüssel!$A$5:$DG$14,23)</f>
        <v>1</v>
      </c>
      <c r="AD232" s="374"/>
      <c r="AE232" s="373">
        <f>VLOOKUP($AA212,Schlüssel!$A$5:$EK$14,24)</f>
        <v>7</v>
      </c>
      <c r="AF232" s="374"/>
      <c r="AG232" s="373">
        <f>VLOOKUP($AA212,Schlüssel!$A$5:$EK$14,25)</f>
        <v>3</v>
      </c>
      <c r="AH232" s="374"/>
      <c r="AI232" s="373">
        <f>VLOOKUP($AA212,Schlüssel!$A$5:$EK$14,26)</f>
        <v>4</v>
      </c>
      <c r="AJ232" s="374"/>
      <c r="AK232" s="373">
        <f>VLOOKUP($AA212,Schlüssel!$A$5:$EK$14,27)</f>
        <v>9</v>
      </c>
      <c r="AL232" s="374"/>
      <c r="AM232" s="373">
        <f>VLOOKUP($AA212,Schlüssel!$A$5:$EK$14,28)</f>
        <v>6</v>
      </c>
      <c r="AN232" s="374"/>
      <c r="AO232" s="373">
        <f>VLOOKUP($AA212,Schlüssel!$A$5:$EK$14,29)</f>
        <v>2</v>
      </c>
      <c r="AP232" s="374"/>
      <c r="AQ232" s="373">
        <f>VLOOKUP($AA212,Schlüssel!$A$5:$EK$14,30)</f>
        <v>5</v>
      </c>
      <c r="AR232" s="374"/>
      <c r="AS232" s="373">
        <f>VLOOKUP($AA212,Schlüssel!$A$5:$EK$14,31)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6" t="str">
        <f t="shared" si="277"/>
        <v>BC Comet Nürnberg</v>
      </c>
      <c r="E233" s="347" t="str">
        <f t="shared" si="277"/>
        <v/>
      </c>
      <c r="F233" s="346" t="str">
        <f t="shared" si="277"/>
        <v>Schanzer Ingolstadt 1</v>
      </c>
      <c r="G233" s="347" t="str">
        <f t="shared" si="277"/>
        <v/>
      </c>
      <c r="H233" s="346" t="str">
        <f t="shared" si="277"/>
        <v>BK München 3</v>
      </c>
      <c r="I233" s="347" t="str">
        <f t="shared" si="277"/>
        <v/>
      </c>
      <c r="J233" s="346" t="str">
        <f t="shared" si="277"/>
        <v>SG DJK Rimpar</v>
      </c>
      <c r="K233" s="347" t="str">
        <f t="shared" si="277"/>
        <v/>
      </c>
      <c r="L233" s="346" t="str">
        <f t="shared" si="277"/>
        <v>Bowlinghaus Bamberg 1</v>
      </c>
      <c r="M233" s="347" t="str">
        <f t="shared" si="277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RW Lichtenhof Stein 1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BC Comet Nürnberg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BK München 3</v>
      </c>
      <c r="AH233" s="347"/>
      <c r="AI233" s="346" t="str">
        <f>VLOOKUP(AI232,Schlüssel!$A$5:$K$14,2)</f>
        <v>SG DJK Rimpar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RW Lichtenhof Stein 1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7"/>
        <v/>
      </c>
      <c r="M234" s="344" t="str">
        <f t="shared" si="277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224</v>
      </c>
      <c r="E235" s="342" t="str">
        <f>IF(AD235=0,"",AD235)</f>
        <v/>
      </c>
      <c r="F235" s="342">
        <f>IF(AE235=301,"",AE235)</f>
        <v>153</v>
      </c>
      <c r="G235" s="342" t="str">
        <f>IF(AF235=0,"",AF235)</f>
        <v/>
      </c>
      <c r="H235" s="342">
        <f>IF(AG235=301,"",AG235)</f>
        <v>163</v>
      </c>
      <c r="I235" s="342" t="str">
        <f>IF(AH235=0,"",AH235)</f>
        <v/>
      </c>
      <c r="J235" s="342">
        <f>IF(AI235=301,"",AI235)</f>
        <v>174</v>
      </c>
      <c r="K235" s="342" t="str">
        <f>IF(AJ235=0,"",AJ235)</f>
        <v/>
      </c>
      <c r="L235" s="342">
        <f>IF(AK235=301,"",AK235)</f>
        <v>202</v>
      </c>
      <c r="M235" s="342" t="str">
        <f>IF(AL235=0,"",AL235)</f>
        <v/>
      </c>
      <c r="N235" s="342">
        <f>IF(AM235=301,"",AM235)</f>
        <v>197</v>
      </c>
      <c r="O235" s="342" t="str">
        <f>IF(AN235=0,"",AN235)</f>
        <v/>
      </c>
      <c r="P235" s="342">
        <f>IF(AO235=301,"",AO235)</f>
        <v>140</v>
      </c>
      <c r="Q235" s="342" t="str">
        <f>IF(AP235=0,"",AP235)</f>
        <v/>
      </c>
      <c r="R235" s="342">
        <f>IF(AQ235=301,"",AQ235)</f>
        <v>190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224</v>
      </c>
      <c r="AD235" s="376"/>
      <c r="AE235" s="375">
        <f>ABS(INDEX(AE:AE,MATCH(AE232,$AA:$AA,0)+5)+INDEX(AE:AE,MATCH(AE232,$AA:$AA,0)+6)+INDEX(AE:AE,MATCH(AE232,$AA:$AA,0)+7))</f>
        <v>153</v>
      </c>
      <c r="AF235" s="376"/>
      <c r="AG235" s="375">
        <f>ABS(INDEX(AG:AG,MATCH(AG232,$AA:$AA,0)+5)+INDEX(AG:AG,MATCH(AG232,$AA:$AA,0)+6)+INDEX(AG:AG,MATCH(AG232,$AA:$AA,0)+7))</f>
        <v>163</v>
      </c>
      <c r="AH235" s="376"/>
      <c r="AI235" s="375">
        <f>ABS(INDEX(AI:AI,MATCH(AI232,$AA:$AA,0)+5)+INDEX(AI:AI,MATCH(AI232,$AA:$AA,0)+6)+INDEX(AI:AI,MATCH(AI232,$AA:$AA,0)+7))</f>
        <v>174</v>
      </c>
      <c r="AJ235" s="376"/>
      <c r="AK235" s="375">
        <f>ABS(INDEX(AK:AK,MATCH(AK232,$AA:$AA,0)+5)+INDEX(AK:AK,MATCH(AK232,$AA:$AA,0)+6)+INDEX(AK:AK,MATCH(AK232,$AA:$AA,0)+7))</f>
        <v>202</v>
      </c>
      <c r="AL235" s="376"/>
      <c r="AM235" s="375">
        <f>ABS(INDEX(AM:AM,MATCH(AM232,$AA:$AA,0)+5)+INDEX(AM:AM,MATCH(AM232,$AA:$AA,0)+6)+INDEX(AM:AM,MATCH(AM232,$AA:$AA,0)+7))</f>
        <v>197</v>
      </c>
      <c r="AN235" s="376"/>
      <c r="AO235" s="375">
        <f>ABS(INDEX(AO:AO,MATCH(AO232,$AA:$AA,0)+5)+INDEX(AO:AO,MATCH(AO232,$AA:$AA,0)+6)+INDEX(AO:AO,MATCH(AO232,$AA:$AA,0)+7))</f>
        <v>140</v>
      </c>
      <c r="AP235" s="376"/>
      <c r="AQ235" s="375">
        <f>ABS(INDEX(AQ:AQ,MATCH(AQ232,$AA:$AA,0)+5)+INDEX(AQ:AQ,MATCH(AQ232,$AA:$AA,0)+6)+INDEX(AQ:AQ,MATCH(AQ232,$AA:$AA,0)+7))</f>
        <v>190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212</v>
      </c>
      <c r="E236" s="342" t="str">
        <f>IF(AD236=0,"",AD236)</f>
        <v/>
      </c>
      <c r="F236" s="342">
        <f>IF(AE236=301,"",AE236)</f>
        <v>184</v>
      </c>
      <c r="G236" s="342" t="str">
        <f>IF(AF236=0,"",AF236)</f>
        <v/>
      </c>
      <c r="H236" s="342">
        <f>IF(AG236=301,"",AG236)</f>
        <v>153</v>
      </c>
      <c r="I236" s="342" t="str">
        <f>IF(AH236=0,"",AH236)</f>
        <v/>
      </c>
      <c r="J236" s="342">
        <f>IF(AI236=301,"",AI236)</f>
        <v>192</v>
      </c>
      <c r="K236" s="342" t="str">
        <f>IF(AJ236=0,"",AJ236)</f>
        <v/>
      </c>
      <c r="L236" s="342">
        <f>IF(AK236=301,"",AK236)</f>
        <v>211</v>
      </c>
      <c r="M236" s="342" t="str">
        <f>IF(AL236=0,"",AL236)</f>
        <v/>
      </c>
      <c r="N236" s="342">
        <f>IF(AM236=301,"",AM236)</f>
        <v>157</v>
      </c>
      <c r="O236" s="342" t="str">
        <f>IF(AN236=0,"",AN236)</f>
        <v/>
      </c>
      <c r="P236" s="342">
        <f>IF(AO236=301,"",AO236)</f>
        <v>150</v>
      </c>
      <c r="Q236" s="342" t="str">
        <f>IF(AP236=0,"",AP236)</f>
        <v/>
      </c>
      <c r="R236" s="342">
        <f>IF(AQ236=301,"",AQ236)</f>
        <v>163</v>
      </c>
      <c r="S236" s="342" t="str">
        <f>IF(AR236=0,"",AR236)</f>
        <v/>
      </c>
      <c r="T236" s="342">
        <f>IF(AS236=301,"",AS236)</f>
        <v>202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212</v>
      </c>
      <c r="AD236" s="378"/>
      <c r="AE236" s="377">
        <f>ABS(INDEX(AE:AE,MATCH(AE232,$AA:$AA,0)+8)+INDEX(AE:AE,MATCH(AE232,$AA:$AA,0)+9)+INDEX(AE:AE,MATCH(AE232,$AA:$AA,0)+10))</f>
        <v>184</v>
      </c>
      <c r="AF236" s="378"/>
      <c r="AG236" s="377">
        <f>ABS(INDEX(AG:AG,MATCH(AG232,$AA:$AA,0)+8)+INDEX(AG:AG,MATCH(AG232,$AA:$AA,0)+9)+INDEX(AG:AG,MATCH(AG232,$AA:$AA,0)+10))</f>
        <v>153</v>
      </c>
      <c r="AH236" s="378"/>
      <c r="AI236" s="377">
        <f>ABS(INDEX(AI:AI,MATCH(AI232,$AA:$AA,0)+8)+INDEX(AI:AI,MATCH(AI232,$AA:$AA,0)+9)+INDEX(AI:AI,MATCH(AI232,$AA:$AA,0)+10))</f>
        <v>192</v>
      </c>
      <c r="AJ236" s="378"/>
      <c r="AK236" s="377">
        <f>ABS(INDEX(AK:AK,MATCH(AK232,$AA:$AA,0)+8)+INDEX(AK:AK,MATCH(AK232,$AA:$AA,0)+9)+INDEX(AK:AK,MATCH(AK232,$AA:$AA,0)+10))</f>
        <v>211</v>
      </c>
      <c r="AL236" s="378"/>
      <c r="AM236" s="377">
        <f>ABS(INDEX(AM:AM,MATCH(AM232,$AA:$AA,0)+8)+INDEX(AM:AM,MATCH(AM232,$AA:$AA,0)+9)+INDEX(AM:AM,MATCH(AM232,$AA:$AA,0)+10))</f>
        <v>157</v>
      </c>
      <c r="AN236" s="378"/>
      <c r="AO236" s="377">
        <f>ABS(INDEX(AO:AO,MATCH(AO232,$AA:$AA,0)+8)+INDEX(AO:AO,MATCH(AO232,$AA:$AA,0)+9)+INDEX(AO:AO,MATCH(AO232,$AA:$AA,0)+10))</f>
        <v>150</v>
      </c>
      <c r="AP236" s="378"/>
      <c r="AQ236" s="377">
        <f>ABS(INDEX(AQ:AQ,MATCH(AQ232,$AA:$AA,0)+8)+INDEX(AQ:AQ,MATCH(AQ232,$AA:$AA,0)+9)+INDEX(AQ:AQ,MATCH(AQ232,$AA:$AA,0)+10))</f>
        <v>163</v>
      </c>
      <c r="AR236" s="378"/>
      <c r="AS236" s="377">
        <f>ABS(INDEX(AS:AS,MATCH(AS232,$AA:$AA,0)+8)+INDEX(AS:AS,MATCH(AS232,$AA:$AA,0)+9)+INDEX(AS:AS,MATCH(AS232,$AA:$AA,0)+10))</f>
        <v>202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244</v>
      </c>
      <c r="E237" s="342" t="str">
        <f>IF(AD237=0,"",AD237)</f>
        <v/>
      </c>
      <c r="F237" s="342">
        <f>IF(AE237=301,"",AE237)</f>
        <v>188</v>
      </c>
      <c r="G237" s="342" t="str">
        <f>IF(AF237=0,"",AF237)</f>
        <v/>
      </c>
      <c r="H237" s="342">
        <f>IF(AG237=301,"",AG237)</f>
        <v>167</v>
      </c>
      <c r="I237" s="342" t="str">
        <f>IF(AH237=0,"",AH237)</f>
        <v/>
      </c>
      <c r="J237" s="342">
        <f>IF(AI237=301,"",AI237)</f>
        <v>184</v>
      </c>
      <c r="K237" s="342" t="str">
        <f>IF(AJ237=0,"",AJ237)</f>
        <v/>
      </c>
      <c r="L237" s="342">
        <f>IF(AK237=301,"",AK237)</f>
        <v>190</v>
      </c>
      <c r="M237" s="342" t="str">
        <f>IF(AL237=0,"",AL237)</f>
        <v/>
      </c>
      <c r="N237" s="342">
        <f>IF(AM237=301,"",AM237)</f>
        <v>172</v>
      </c>
      <c r="O237" s="342" t="str">
        <f>IF(AN237=0,"",AN237)</f>
        <v/>
      </c>
      <c r="P237" s="342">
        <f>IF(AO237=301,"",AO237)</f>
        <v>237</v>
      </c>
      <c r="Q237" s="342" t="str">
        <f>IF(AP237=0,"",AP237)</f>
        <v/>
      </c>
      <c r="R237" s="342">
        <f>IF(AQ237=301,"",AQ237)</f>
        <v>156</v>
      </c>
      <c r="S237" s="342" t="str">
        <f>IF(AR237=0,"",AR237)</f>
        <v/>
      </c>
      <c r="T237" s="342">
        <f>IF(AS237=301,"",AS237)</f>
        <v>233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244</v>
      </c>
      <c r="AD237" s="378"/>
      <c r="AE237" s="377">
        <f>ABS(INDEX(AE:AE,MATCH(AE232,$AA:$AA,0)+11)+INDEX(AE:AE,MATCH(AE232,$AA:$AA,0)+12)+INDEX(AE:AE,MATCH(AE232,$AA:$AA,0)+13))</f>
        <v>188</v>
      </c>
      <c r="AF237" s="378"/>
      <c r="AG237" s="377">
        <f>ABS(INDEX(AG:AG,MATCH(AG232,$AA:$AA,0)+11)+INDEX(AG:AG,MATCH(AG232,$AA:$AA,0)+12)+INDEX(AG:AG,MATCH(AG232,$AA:$AA,0)+13))</f>
        <v>167</v>
      </c>
      <c r="AH237" s="378"/>
      <c r="AI237" s="377">
        <f>ABS(INDEX(AI:AI,MATCH(AI232,$AA:$AA,0)+11)+INDEX(AI:AI,MATCH(AI232,$AA:$AA,0)+12)+INDEX(AI:AI,MATCH(AI232,$AA:$AA,0)+13))</f>
        <v>184</v>
      </c>
      <c r="AJ237" s="378"/>
      <c r="AK237" s="377">
        <f>ABS(INDEX(AK:AK,MATCH(AK232,$AA:$AA,0)+11)+INDEX(AK:AK,MATCH(AK232,$AA:$AA,0)+12)+INDEX(AK:AK,MATCH(AK232,$AA:$AA,0)+13))</f>
        <v>190</v>
      </c>
      <c r="AL237" s="378"/>
      <c r="AM237" s="377">
        <f>ABS(INDEX(AM:AM,MATCH(AM232,$AA:$AA,0)+11)+INDEX(AM:AM,MATCH(AM232,$AA:$AA,0)+12)+INDEX(AM:AM,MATCH(AM232,$AA:$AA,0)+13))</f>
        <v>172</v>
      </c>
      <c r="AN237" s="378"/>
      <c r="AO237" s="377">
        <f>ABS(INDEX(AO:AO,MATCH(AO232,$AA:$AA,0)+11)+INDEX(AO:AO,MATCH(AO232,$AA:$AA,0)+12)+INDEX(AO:AO,MATCH(AO232,$AA:$AA,0)+13))</f>
        <v>237</v>
      </c>
      <c r="AP237" s="378"/>
      <c r="AQ237" s="377">
        <f>ABS(INDEX(AQ:AQ,MATCH(AQ232,$AA:$AA,0)+11)+INDEX(AQ:AQ,MATCH(AQ232,$AA:$AA,0)+12)+INDEX(AQ:AQ,MATCH(AQ232,$AA:$AA,0)+13))</f>
        <v>156</v>
      </c>
      <c r="AR237" s="378"/>
      <c r="AS237" s="377">
        <f>ABS(INDEX(AS:AS,MATCH(AS232,$AA:$AA,0)+11)+INDEX(AS:AS,MATCH(AS232,$AA:$AA,0)+12)+INDEX(AS:AS,MATCH(AS232,$AA:$AA,0)+13))</f>
        <v>233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228</v>
      </c>
      <c r="E238" s="342" t="str">
        <f>IF(AD238=0,"",AD238)</f>
        <v/>
      </c>
      <c r="F238" s="342">
        <f>IF(AE238=301,"",AE238)</f>
        <v>211</v>
      </c>
      <c r="G238" s="342" t="str">
        <f>IF(AF238=0,"",AF238)</f>
        <v/>
      </c>
      <c r="H238" s="342">
        <f>IF(AG238=301,"",AG238)</f>
        <v>237</v>
      </c>
      <c r="I238" s="342" t="str">
        <f>IF(AH238=0,"",AH238)</f>
        <v/>
      </c>
      <c r="J238" s="342">
        <f>IF(AI238=301,"",AI238)</f>
        <v>203</v>
      </c>
      <c r="K238" s="342" t="str">
        <f>IF(AJ238=0,"",AJ238)</f>
        <v/>
      </c>
      <c r="L238" s="342">
        <f>IF(AK238=301,"",AK238)</f>
        <v>265</v>
      </c>
      <c r="M238" s="342" t="str">
        <f>IF(AL238=0,"",AL238)</f>
        <v/>
      </c>
      <c r="N238" s="342">
        <f>IF(AM238=301,"",AM238)</f>
        <v>227</v>
      </c>
      <c r="O238" s="342" t="str">
        <f>IF(AN238=0,"",AN238)</f>
        <v/>
      </c>
      <c r="P238" s="342">
        <f>IF(AO238=301,"",AO238)</f>
        <v>165</v>
      </c>
      <c r="Q238" s="342" t="str">
        <f>IF(AP238=0,"",AP238)</f>
        <v/>
      </c>
      <c r="R238" s="342">
        <f>IF(AQ238=301,"",AQ238)</f>
        <v>161</v>
      </c>
      <c r="S238" s="342" t="str">
        <f>IF(AR238=0,"",AR238)</f>
        <v/>
      </c>
      <c r="T238" s="342">
        <f>IF(AS238=301,"",AS238)</f>
        <v>143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228</v>
      </c>
      <c r="AD238" s="378"/>
      <c r="AE238" s="377">
        <f>ABS(INDEX(AE:AE,MATCH(AE232,$AA:$AA,0)+14)+INDEX(AE:AE,MATCH(AE232,$AA:$AA,0)+15)+INDEX(AE:AE,MATCH(AE232,$AA:$AA,0)+16))</f>
        <v>211</v>
      </c>
      <c r="AF238" s="378"/>
      <c r="AG238" s="377">
        <f>ABS(INDEX(AG:AG,MATCH(AG232,$AA:$AA,0)+14)+INDEX(AG:AG,MATCH(AG232,$AA:$AA,0)+15)+INDEX(AG:AG,MATCH(AG232,$AA:$AA,0)+16))</f>
        <v>237</v>
      </c>
      <c r="AH238" s="378"/>
      <c r="AI238" s="377">
        <f>ABS(INDEX(AI:AI,MATCH(AI232,$AA:$AA,0)+14)+INDEX(AI:AI,MATCH(AI232,$AA:$AA,0)+15)+INDEX(AI:AI,MATCH(AI232,$AA:$AA,0)+16))</f>
        <v>203</v>
      </c>
      <c r="AJ238" s="378"/>
      <c r="AK238" s="377">
        <f>ABS(INDEX(AK:AK,MATCH(AK232,$AA:$AA,0)+14)+INDEX(AK:AK,MATCH(AK232,$AA:$AA,0)+15)+INDEX(AK:AK,MATCH(AK232,$AA:$AA,0)+16))</f>
        <v>265</v>
      </c>
      <c r="AL238" s="378"/>
      <c r="AM238" s="377">
        <f>ABS(INDEX(AM:AM,MATCH(AM232,$AA:$AA,0)+14)+INDEX(AM:AM,MATCH(AM232,$AA:$AA,0)+15)+INDEX(AM:AM,MATCH(AM232,$AA:$AA,0)+16))</f>
        <v>227</v>
      </c>
      <c r="AN238" s="378"/>
      <c r="AO238" s="377">
        <f>ABS(INDEX(AO:AO,MATCH(AO232,$AA:$AA,0)+14)+INDEX(AO:AO,MATCH(AO232,$AA:$AA,0)+15)+INDEX(AO:AO,MATCH(AO232,$AA:$AA,0)+16))</f>
        <v>165</v>
      </c>
      <c r="AP238" s="378"/>
      <c r="AQ238" s="377">
        <f>ABS(INDEX(AQ:AQ,MATCH(AQ232,$AA:$AA,0)+14)+INDEX(AQ:AQ,MATCH(AQ232,$AA:$AA,0)+15)+INDEX(AQ:AQ,MATCH(AQ232,$AA:$AA,0)+16))</f>
        <v>161</v>
      </c>
      <c r="AR238" s="378"/>
      <c r="AS238" s="377">
        <f>ABS(INDEX(AS:AS,MATCH(AS232,$AA:$AA,0)+14)+INDEX(AS:AS,MATCH(AS232,$AA:$AA,0)+15)+INDEX(AS:AS,MATCH(AS232,$AA:$AA,0)+16))</f>
        <v>143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908</v>
      </c>
      <c r="E239" s="341" t="str">
        <f>IF(AD239=0,"",AD239)</f>
        <v/>
      </c>
      <c r="F239" s="341">
        <f>IF(AE239=1505,"",AE239)</f>
        <v>736</v>
      </c>
      <c r="G239" s="341" t="str">
        <f>IF(AF239=0,"",AF239)</f>
        <v/>
      </c>
      <c r="H239" s="341">
        <f>IF(AG239=1505,"",AG239)</f>
        <v>720</v>
      </c>
      <c r="I239" s="341" t="str">
        <f>IF(AH239=0,"",AH239)</f>
        <v/>
      </c>
      <c r="J239" s="341">
        <f>IF(AI239=1505,"",AI239)</f>
        <v>753</v>
      </c>
      <c r="K239" s="341" t="str">
        <f>IF(AJ239=0,"",AJ239)</f>
        <v/>
      </c>
      <c r="L239" s="341">
        <f>IF(AK239=1505,"",AK239)</f>
        <v>868</v>
      </c>
      <c r="M239" s="341" t="str">
        <f>IF(AL239=0,"",AL239)</f>
        <v/>
      </c>
      <c r="N239" s="341">
        <f>IF(AM239=1505,"",AM239)</f>
        <v>753</v>
      </c>
      <c r="O239" s="341" t="str">
        <f>IF(AN239=0,"",AN239)</f>
        <v/>
      </c>
      <c r="P239" s="341">
        <f>IF(AO239=1505,"",AO239)</f>
        <v>692</v>
      </c>
      <c r="Q239" s="341" t="str">
        <f>IF(AP239=0,"",AP239)</f>
        <v/>
      </c>
      <c r="R239" s="341">
        <f>IF(AQ239=1505,"",AQ239)</f>
        <v>670</v>
      </c>
      <c r="S239" s="341" t="str">
        <f>IF(AR239=0,"",AR239)</f>
        <v/>
      </c>
      <c r="T239" s="341">
        <f>IF(AS239=1505,"",AS239)</f>
        <v>769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908</v>
      </c>
      <c r="AD239" s="358"/>
      <c r="AE239" s="357">
        <f>SUM(AE235:AE238)</f>
        <v>736</v>
      </c>
      <c r="AF239" s="358"/>
      <c r="AG239" s="357">
        <f>SUM(AG235:AG238)</f>
        <v>720</v>
      </c>
      <c r="AH239" s="358"/>
      <c r="AI239" s="357">
        <f>SUM(AI235:AI238)</f>
        <v>753</v>
      </c>
      <c r="AJ239" s="358"/>
      <c r="AK239" s="357">
        <f>SUM(AK235:AK238)</f>
        <v>868</v>
      </c>
      <c r="AL239" s="358"/>
      <c r="AM239" s="357">
        <f>SUM(AM235:AM238)</f>
        <v>753</v>
      </c>
      <c r="AN239" s="358"/>
      <c r="AO239" s="357">
        <f>SUM(AO235:AO238)</f>
        <v>692</v>
      </c>
      <c r="AP239" s="358"/>
      <c r="AQ239" s="357">
        <f>SUM(AQ235:AQ238)</f>
        <v>670</v>
      </c>
      <c r="AR239" s="358"/>
      <c r="AS239" s="357">
        <f>SUM(AS235:AS238)</f>
        <v>769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02.11./03.11.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02.11./03.11.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Nürnberg West Bowling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51">
        <f>IF(AD247="","",AD247)</f>
        <v>1</v>
      </c>
      <c r="F247" s="75">
        <f t="shared" ref="F247:F260" si="279">IF(AE247=0,"",AE247)</f>
        <v>194</v>
      </c>
      <c r="G247" s="351">
        <f>IF(AF247="","",AF247)</f>
        <v>1</v>
      </c>
      <c r="H247" s="75">
        <f t="shared" ref="H247:H260" si="280">IF(AG247=0,"",AG247)</f>
        <v>-136</v>
      </c>
      <c r="I247" s="351">
        <f>IF(AH247="","",AH247)</f>
        <v>0</v>
      </c>
      <c r="J247" s="75" t="str">
        <f t="shared" ref="J247:J260" si="281">IF(AI247=0,"",AI247)</f>
        <v/>
      </c>
      <c r="K247" s="351">
        <f>IF(AJ247="","",AJ247)</f>
        <v>0</v>
      </c>
      <c r="L247" s="75">
        <f t="shared" ref="L247:L260" si="282">IF(AK247=0,"",AK247)</f>
        <v>202</v>
      </c>
      <c r="M247" s="351">
        <f>IF(AL247="","",AL247)</f>
        <v>1</v>
      </c>
      <c r="N247" s="75">
        <f>IF(AM247=0,"",AM247)</f>
        <v>154</v>
      </c>
      <c r="O247" s="351">
        <f>IF(AN247="","",AN247)</f>
        <v>0</v>
      </c>
      <c r="P247" s="75" t="str">
        <f t="shared" ref="P247:P260" si="283">IF(AO247=0,"",AO247)</f>
        <v/>
      </c>
      <c r="Q247" s="351">
        <f>IF(AP247="","",AP247)</f>
        <v>1</v>
      </c>
      <c r="R247" s="75" t="str">
        <f t="shared" ref="R247:R260" si="284">IF(AQ247=0,"",AQ247)</f>
        <v/>
      </c>
      <c r="S247" s="351">
        <f>IF(AR247="","",AR247)</f>
        <v>1</v>
      </c>
      <c r="T247" s="75" t="str">
        <f t="shared" ref="T247:T260" si="285">IF(AS247=0,"",AS247)</f>
        <v/>
      </c>
      <c r="U247" s="351">
        <f>IF(AT247="","",AT247)</f>
        <v>1</v>
      </c>
      <c r="V247" s="75">
        <f t="shared" ref="V247:V260" si="286">IF(AU247=0,"",AU247)</f>
        <v>907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>
        <f t="shared" si="281"/>
        <v>160</v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>
        <f t="shared" si="286"/>
        <v>160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>
        <f t="shared" si="283"/>
        <v>215</v>
      </c>
      <c r="Q249" s="353"/>
      <c r="R249" s="69">
        <f t="shared" si="284"/>
        <v>184</v>
      </c>
      <c r="S249" s="353"/>
      <c r="T249" s="69">
        <f t="shared" si="285"/>
        <v>187</v>
      </c>
      <c r="U249" s="353"/>
      <c r="V249" s="69">
        <f t="shared" si="286"/>
        <v>586</v>
      </c>
      <c r="W249" s="353"/>
      <c r="Z249" s="356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51">
        <f>IF(AD250="","",AD250)</f>
        <v>1</v>
      </c>
      <c r="F250" s="75">
        <f t="shared" si="279"/>
        <v>217</v>
      </c>
      <c r="G250" s="351">
        <f>IF(AF250="","",AF250)</f>
        <v>1</v>
      </c>
      <c r="H250" s="75">
        <f t="shared" si="280"/>
        <v>179</v>
      </c>
      <c r="I250" s="351">
        <f>IF(AH250="","",AH250)</f>
        <v>1</v>
      </c>
      <c r="J250" s="75">
        <f t="shared" si="281"/>
        <v>206</v>
      </c>
      <c r="K250" s="351">
        <f>IF(AJ250="","",AJ250)</f>
        <v>1</v>
      </c>
      <c r="L250" s="75">
        <f t="shared" si="282"/>
        <v>211</v>
      </c>
      <c r="M250" s="351">
        <f>IF(AL250="","",AL250)</f>
        <v>1</v>
      </c>
      <c r="N250" s="75">
        <f t="shared" si="299"/>
        <v>203</v>
      </c>
      <c r="O250" s="351">
        <f>IF(AN250="","",AN250)</f>
        <v>1</v>
      </c>
      <c r="P250" s="75">
        <f t="shared" si="283"/>
        <v>180</v>
      </c>
      <c r="Q250" s="351">
        <f>IF(AP250="","",AP250)</f>
        <v>0.5</v>
      </c>
      <c r="R250" s="75">
        <f t="shared" si="284"/>
        <v>178</v>
      </c>
      <c r="S250" s="351">
        <f>IF(AR250="","",AR250)</f>
        <v>0</v>
      </c>
      <c r="T250" s="75">
        <f t="shared" si="285"/>
        <v>173</v>
      </c>
      <c r="U250" s="351">
        <f>IF(AT250="","",AT250)</f>
        <v>0</v>
      </c>
      <c r="V250" s="75">
        <f t="shared" si="286"/>
        <v>1761</v>
      </c>
      <c r="W250" s="351">
        <f>IF(AV250="","",AV250)</f>
        <v>6.5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51">
        <f>IF(AD253="","",AD253)</f>
        <v>0</v>
      </c>
      <c r="F253" s="75">
        <f t="shared" si="279"/>
        <v>188</v>
      </c>
      <c r="G253" s="351">
        <f>IF(AF253="","",AF253)</f>
        <v>0</v>
      </c>
      <c r="H253" s="75">
        <f t="shared" si="280"/>
        <v>179</v>
      </c>
      <c r="I253" s="351">
        <f>IF(AH253="","",AH253)</f>
        <v>1</v>
      </c>
      <c r="J253" s="75">
        <f t="shared" si="281"/>
        <v>174</v>
      </c>
      <c r="K253" s="351">
        <f>IF(AJ253="","",AJ253)</f>
        <v>1</v>
      </c>
      <c r="L253" s="75">
        <f t="shared" si="282"/>
        <v>190</v>
      </c>
      <c r="M253" s="351">
        <f>IF(AL253="","",AL253)</f>
        <v>0</v>
      </c>
      <c r="N253" s="75">
        <f t="shared" si="299"/>
        <v>154</v>
      </c>
      <c r="O253" s="351">
        <f>IF(AN253="","",AN253)</f>
        <v>0</v>
      </c>
      <c r="P253" s="75">
        <f t="shared" si="283"/>
        <v>159</v>
      </c>
      <c r="Q253" s="351">
        <f>IF(AP253="","",AP253)</f>
        <v>0</v>
      </c>
      <c r="R253" s="75" t="str">
        <f t="shared" si="284"/>
        <v/>
      </c>
      <c r="S253" s="351">
        <f>IF(AR253="","",AR253)</f>
        <v>0</v>
      </c>
      <c r="T253" s="75" t="str">
        <f t="shared" si="285"/>
        <v/>
      </c>
      <c r="U253" s="351">
        <f>IF(AT253="","",AT253)</f>
        <v>1</v>
      </c>
      <c r="V253" s="75">
        <f t="shared" si="286"/>
        <v>1248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>
        <f t="shared" si="284"/>
        <v>170</v>
      </c>
      <c r="S254" s="352"/>
      <c r="T254" s="78">
        <f t="shared" si="285"/>
        <v>202</v>
      </c>
      <c r="U254" s="352"/>
      <c r="V254" s="78">
        <f t="shared" si="286"/>
        <v>372</v>
      </c>
      <c r="W254" s="352"/>
      <c r="Z254" s="355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51">
        <f>IF(AD256="","",AD256)</f>
        <v>0</v>
      </c>
      <c r="F256" s="75">
        <f t="shared" si="279"/>
        <v>190</v>
      </c>
      <c r="G256" s="351">
        <f>IF(AF256="","",AF256)</f>
        <v>1</v>
      </c>
      <c r="H256" s="75">
        <f t="shared" si="280"/>
        <v>189</v>
      </c>
      <c r="I256" s="351">
        <f>IF(AH256="","",AH256)</f>
        <v>0</v>
      </c>
      <c r="J256" s="75">
        <f t="shared" si="281"/>
        <v>190</v>
      </c>
      <c r="K256" s="351">
        <f>IF(AJ256="","",AJ256)</f>
        <v>0</v>
      </c>
      <c r="L256" s="75">
        <f t="shared" si="282"/>
        <v>265</v>
      </c>
      <c r="M256" s="351">
        <f>IF(AL256="","",AL256)</f>
        <v>1</v>
      </c>
      <c r="N256" s="75">
        <f t="shared" si="299"/>
        <v>212</v>
      </c>
      <c r="O256" s="351">
        <f>IF(AN256="","",AN256)</f>
        <v>1</v>
      </c>
      <c r="P256" s="75">
        <f t="shared" si="283"/>
        <v>174</v>
      </c>
      <c r="Q256" s="351">
        <f>IF(AP256="","",AP256)</f>
        <v>1</v>
      </c>
      <c r="R256" s="75">
        <f t="shared" si="284"/>
        <v>268</v>
      </c>
      <c r="S256" s="351">
        <f>IF(AR256="","",AR256)</f>
        <v>1</v>
      </c>
      <c r="T256" s="75">
        <f t="shared" si="285"/>
        <v>258</v>
      </c>
      <c r="U256" s="351">
        <f>IF(AT256="","",AT256)</f>
        <v>1</v>
      </c>
      <c r="V256" s="75">
        <f t="shared" si="286"/>
        <v>1910</v>
      </c>
      <c r="W256" s="351">
        <f>IF(AV256="","",AV256)</f>
        <v>6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2</v>
      </c>
      <c r="E262" s="349" t="str">
        <f t="shared" si="310"/>
        <v/>
      </c>
      <c r="F262" s="349">
        <f t="shared" si="310"/>
        <v>6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10</v>
      </c>
      <c r="K262" s="349" t="str">
        <f t="shared" si="310"/>
        <v/>
      </c>
      <c r="L262" s="349">
        <f t="shared" si="310"/>
        <v>8</v>
      </c>
      <c r="M262" s="349" t="str">
        <f t="shared" si="310"/>
        <v/>
      </c>
      <c r="N262" s="349">
        <f t="shared" si="310"/>
        <v>3</v>
      </c>
      <c r="O262" s="349" t="str">
        <f t="shared" si="310"/>
        <v/>
      </c>
      <c r="P262" s="349">
        <f t="shared" si="310"/>
        <v>4</v>
      </c>
      <c r="Q262" s="349" t="str">
        <f t="shared" si="310"/>
        <v/>
      </c>
      <c r="R262" s="349">
        <f t="shared" ref="N262:U264" si="311">IF(AQ262=0,"",AQ262)</f>
        <v>1</v>
      </c>
      <c r="S262" s="349" t="str">
        <f t="shared" si="311"/>
        <v/>
      </c>
      <c r="T262" s="349">
        <f t="shared" si="311"/>
        <v>5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VLOOKUP($AA242,Schlüssel!$A$5:$DG$14,23)</f>
        <v>2</v>
      </c>
      <c r="AD262" s="374"/>
      <c r="AE262" s="373">
        <f>VLOOKUP($AA242,Schlüssel!$A$5:$EK$14,24)</f>
        <v>6</v>
      </c>
      <c r="AF262" s="374"/>
      <c r="AG262" s="373">
        <f>VLOOKUP($AA242,Schlüssel!$A$5:$EK$14,25)</f>
        <v>7</v>
      </c>
      <c r="AH262" s="374"/>
      <c r="AI262" s="373">
        <f>VLOOKUP($AA242,Schlüssel!$A$5:$EK$14,26)</f>
        <v>10</v>
      </c>
      <c r="AJ262" s="374"/>
      <c r="AK262" s="373">
        <f>VLOOKUP($AA242,Schlüssel!$A$5:$EK$14,27)</f>
        <v>8</v>
      </c>
      <c r="AL262" s="374"/>
      <c r="AM262" s="373">
        <f>VLOOKUP($AA242,Schlüssel!$A$5:$EK$14,28)</f>
        <v>3</v>
      </c>
      <c r="AN262" s="374"/>
      <c r="AO262" s="373">
        <f>VLOOKUP($AA242,Schlüssel!$A$5:$EK$14,29)</f>
        <v>4</v>
      </c>
      <c r="AP262" s="374"/>
      <c r="AQ262" s="373">
        <f>VLOOKUP($AA242,Schlüssel!$A$5:$EK$14,30)</f>
        <v>1</v>
      </c>
      <c r="AR262" s="374"/>
      <c r="AS262" s="373">
        <f>VLOOKUP($AA242,Schlüssel!$A$5:$EK$14,31)</f>
        <v>5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6" t="str">
        <f t="shared" si="312"/>
        <v>Bajuwaren München 1</v>
      </c>
      <c r="E263" s="347" t="str">
        <f t="shared" si="312"/>
        <v/>
      </c>
      <c r="F263" s="346" t="str">
        <f t="shared" si="312"/>
        <v>SG Rottendorf 1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High Roller Rosenheim 1</v>
      </c>
      <c r="K263" s="347" t="str">
        <f t="shared" si="312"/>
        <v/>
      </c>
      <c r="L263" s="346" t="str">
        <f t="shared" si="312"/>
        <v>BC EMAX Unterföhring 2</v>
      </c>
      <c r="M263" s="347" t="str">
        <f t="shared" si="312"/>
        <v/>
      </c>
      <c r="N263" s="346" t="str">
        <f t="shared" si="311"/>
        <v>BK München 3</v>
      </c>
      <c r="O263" s="347" t="str">
        <f t="shared" si="311"/>
        <v/>
      </c>
      <c r="P263" s="346" t="str">
        <f t="shared" si="311"/>
        <v>SG DJK Rimpar</v>
      </c>
      <c r="Q263" s="347" t="str">
        <f t="shared" si="311"/>
        <v/>
      </c>
      <c r="R263" s="346" t="str">
        <f t="shared" si="311"/>
        <v>BC Comet Nürnberg</v>
      </c>
      <c r="S263" s="347" t="str">
        <f t="shared" si="311"/>
        <v/>
      </c>
      <c r="T263" s="346" t="str">
        <f t="shared" si="311"/>
        <v>RW Lichtenhof Stein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Bajuwaren München 1</v>
      </c>
      <c r="AD263" s="347"/>
      <c r="AE263" s="346" t="str">
        <f>VLOOKUP(AE262,Schlüssel!$A$5:$K$14,2)</f>
        <v>SG Rottendorf 1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BK München 3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RW Lichtenhof Stein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2"/>
        <v/>
      </c>
      <c r="M264" s="344" t="str">
        <f t="shared" si="312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220</v>
      </c>
      <c r="E265" s="342" t="str">
        <f>IF(AD265=0,"",AD265)</f>
        <v/>
      </c>
      <c r="F265" s="342">
        <f>IF(AE265=301,"",AE265)</f>
        <v>146</v>
      </c>
      <c r="G265" s="342" t="str">
        <f>IF(AF265=0,"",AF265)</f>
        <v/>
      </c>
      <c r="H265" s="342">
        <f>IF(AG265=301,"",AG265)</f>
        <v>189</v>
      </c>
      <c r="I265" s="342" t="str">
        <f>IF(AH265=0,"",AH265)</f>
        <v/>
      </c>
      <c r="J265" s="342">
        <f>IF(AI265=301,"",AI265)</f>
        <v>225</v>
      </c>
      <c r="K265" s="342" t="str">
        <f>IF(AJ265=0,"",AJ265)</f>
        <v/>
      </c>
      <c r="L265" s="342">
        <f>IF(AK265=301,"",AK265)</f>
        <v>201</v>
      </c>
      <c r="M265" s="342" t="str">
        <f>IF(AL265=0,"",AL265)</f>
        <v/>
      </c>
      <c r="N265" s="342">
        <f>IF(AM265=301,"",AM265)</f>
        <v>228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156</v>
      </c>
      <c r="S265" s="342" t="str">
        <f>IF(AR265=0,"",AR265)</f>
        <v/>
      </c>
      <c r="T265" s="342">
        <f>IF(AS265=301,"",AS265)</f>
        <v>179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220</v>
      </c>
      <c r="AD265" s="376"/>
      <c r="AE265" s="375">
        <f>ABS(INDEX(AE:AE,MATCH(AE262,$AA:$AA,0)+5)+INDEX(AE:AE,MATCH(AE262,$AA:$AA,0)+6)+INDEX(AE:AE,MATCH(AE262,$AA:$AA,0)+7))</f>
        <v>146</v>
      </c>
      <c r="AF265" s="376"/>
      <c r="AG265" s="375">
        <f>ABS(INDEX(AG:AG,MATCH(AG262,$AA:$AA,0)+5)+INDEX(AG:AG,MATCH(AG262,$AA:$AA,0)+6)+INDEX(AG:AG,MATCH(AG262,$AA:$AA,0)+7))</f>
        <v>189</v>
      </c>
      <c r="AH265" s="376"/>
      <c r="AI265" s="375">
        <f>ABS(INDEX(AI:AI,MATCH(AI262,$AA:$AA,0)+5)+INDEX(AI:AI,MATCH(AI262,$AA:$AA,0)+6)+INDEX(AI:AI,MATCH(AI262,$AA:$AA,0)+7))</f>
        <v>225</v>
      </c>
      <c r="AJ265" s="376"/>
      <c r="AK265" s="375">
        <f>ABS(INDEX(AK:AK,MATCH(AK262,$AA:$AA,0)+5)+INDEX(AK:AK,MATCH(AK262,$AA:$AA,0)+6)+INDEX(AK:AK,MATCH(AK262,$AA:$AA,0)+7))</f>
        <v>201</v>
      </c>
      <c r="AL265" s="376"/>
      <c r="AM265" s="375">
        <f>ABS(INDEX(AM:AM,MATCH(AM262,$AA:$AA,0)+5)+INDEX(AM:AM,MATCH(AM262,$AA:$AA,0)+6)+INDEX(AM:AM,MATCH(AM262,$AA:$AA,0)+7))</f>
        <v>228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156</v>
      </c>
      <c r="AR265" s="376"/>
      <c r="AS265" s="375">
        <f>ABS(INDEX(AS:AS,MATCH(AS262,$AA:$AA,0)+5)+INDEX(AS:AS,MATCH(AS262,$AA:$AA,0)+6)+INDEX(AS:AS,MATCH(AS262,$AA:$AA,0)+7))</f>
        <v>179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121</v>
      </c>
      <c r="E266" s="342" t="str">
        <f>IF(AD266=0,"",AD266)</f>
        <v/>
      </c>
      <c r="F266" s="342">
        <f>IF(AE266=301,"",AE266)</f>
        <v>203</v>
      </c>
      <c r="G266" s="342" t="str">
        <f>IF(AF266=0,"",AF266)</f>
        <v/>
      </c>
      <c r="H266" s="342">
        <f>IF(AG266=301,"",AG266)</f>
        <v>168</v>
      </c>
      <c r="I266" s="342" t="str">
        <f>IF(AH266=0,"",AH266)</f>
        <v/>
      </c>
      <c r="J266" s="342">
        <f>IF(AI266=301,"",AI266)</f>
        <v>170</v>
      </c>
      <c r="K266" s="342" t="str">
        <f>IF(AJ266=0,"",AJ266)</f>
        <v/>
      </c>
      <c r="L266" s="342">
        <f>IF(AK266=301,"",AK266)</f>
        <v>162</v>
      </c>
      <c r="M266" s="342" t="str">
        <f>IF(AL266=0,"",AL266)</f>
        <v/>
      </c>
      <c r="N266" s="342">
        <f>IF(AM266=301,"",AM266)</f>
        <v>184</v>
      </c>
      <c r="O266" s="342" t="str">
        <f>IF(AN266=0,"",AN266)</f>
        <v/>
      </c>
      <c r="P266" s="342">
        <f>IF(AO266=301,"",AO266)</f>
        <v>180</v>
      </c>
      <c r="Q266" s="342" t="str">
        <f>IF(AP266=0,"",AP266)</f>
        <v/>
      </c>
      <c r="R266" s="342">
        <f>IF(AQ266=301,"",AQ266)</f>
        <v>180</v>
      </c>
      <c r="S266" s="342" t="str">
        <f>IF(AR266=0,"",AR266)</f>
        <v/>
      </c>
      <c r="T266" s="342">
        <f>IF(AS266=301,"",AS266)</f>
        <v>191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121</v>
      </c>
      <c r="AD266" s="378"/>
      <c r="AE266" s="377">
        <f>ABS(INDEX(AE:AE,MATCH(AE262,$AA:$AA,0)+8)+INDEX(AE:AE,MATCH(AE262,$AA:$AA,0)+9)+INDEX(AE:AE,MATCH(AE262,$AA:$AA,0)+10))</f>
        <v>203</v>
      </c>
      <c r="AF266" s="378"/>
      <c r="AG266" s="377">
        <f>ABS(INDEX(AG:AG,MATCH(AG262,$AA:$AA,0)+8)+INDEX(AG:AG,MATCH(AG262,$AA:$AA,0)+9)+INDEX(AG:AG,MATCH(AG262,$AA:$AA,0)+10))</f>
        <v>168</v>
      </c>
      <c r="AH266" s="378"/>
      <c r="AI266" s="377">
        <f>ABS(INDEX(AI:AI,MATCH(AI262,$AA:$AA,0)+8)+INDEX(AI:AI,MATCH(AI262,$AA:$AA,0)+9)+INDEX(AI:AI,MATCH(AI262,$AA:$AA,0)+10))</f>
        <v>170</v>
      </c>
      <c r="AJ266" s="378"/>
      <c r="AK266" s="377">
        <f>ABS(INDEX(AK:AK,MATCH(AK262,$AA:$AA,0)+8)+INDEX(AK:AK,MATCH(AK262,$AA:$AA,0)+9)+INDEX(AK:AK,MATCH(AK262,$AA:$AA,0)+10))</f>
        <v>162</v>
      </c>
      <c r="AL266" s="378"/>
      <c r="AM266" s="377">
        <f>ABS(INDEX(AM:AM,MATCH(AM262,$AA:$AA,0)+8)+INDEX(AM:AM,MATCH(AM262,$AA:$AA,0)+9)+INDEX(AM:AM,MATCH(AM262,$AA:$AA,0)+10))</f>
        <v>184</v>
      </c>
      <c r="AN266" s="378"/>
      <c r="AO266" s="377">
        <f>ABS(INDEX(AO:AO,MATCH(AO262,$AA:$AA,0)+8)+INDEX(AO:AO,MATCH(AO262,$AA:$AA,0)+9)+INDEX(AO:AO,MATCH(AO262,$AA:$AA,0)+10))</f>
        <v>180</v>
      </c>
      <c r="AP266" s="378"/>
      <c r="AQ266" s="377">
        <f>ABS(INDEX(AQ:AQ,MATCH(AQ262,$AA:$AA,0)+8)+INDEX(AQ:AQ,MATCH(AQ262,$AA:$AA,0)+9)+INDEX(AQ:AQ,MATCH(AQ262,$AA:$AA,0)+10))</f>
        <v>180</v>
      </c>
      <c r="AR266" s="378"/>
      <c r="AS266" s="377">
        <f>ABS(INDEX(AS:AS,MATCH(AS262,$AA:$AA,0)+8)+INDEX(AS:AS,MATCH(AS262,$AA:$AA,0)+9)+INDEX(AS:AS,MATCH(AS262,$AA:$AA,0)+10))</f>
        <v>191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242</v>
      </c>
      <c r="E267" s="342" t="str">
        <f>IF(AD267=0,"",AD267)</f>
        <v/>
      </c>
      <c r="F267" s="342">
        <f>IF(AE267=301,"",AE267)</f>
        <v>213</v>
      </c>
      <c r="G267" s="342" t="str">
        <f>IF(AF267=0,"",AF267)</f>
        <v/>
      </c>
      <c r="H267" s="342">
        <f>IF(AG267=301,"",AG267)</f>
        <v>173</v>
      </c>
      <c r="I267" s="342" t="str">
        <f>IF(AH267=0,"",AH267)</f>
        <v/>
      </c>
      <c r="J267" s="342">
        <f>IF(AI267=301,"",AI267)</f>
        <v>162</v>
      </c>
      <c r="K267" s="342" t="str">
        <f>IF(AJ267=0,"",AJ267)</f>
        <v/>
      </c>
      <c r="L267" s="342">
        <f>IF(AK267=301,"",AK267)</f>
        <v>218</v>
      </c>
      <c r="M267" s="342" t="str">
        <f>IF(AL267=0,"",AL267)</f>
        <v/>
      </c>
      <c r="N267" s="342">
        <f>IF(AM267=301,"",AM267)</f>
        <v>188</v>
      </c>
      <c r="O267" s="342" t="str">
        <f>IF(AN267=0,"",AN267)</f>
        <v/>
      </c>
      <c r="P267" s="342">
        <f>IF(AO267=301,"",AO267)</f>
        <v>215</v>
      </c>
      <c r="Q267" s="342" t="str">
        <f>IF(AP267=0,"",AP267)</f>
        <v/>
      </c>
      <c r="R267" s="342">
        <f>IF(AQ267=301,"",AQ267)</f>
        <v>244</v>
      </c>
      <c r="S267" s="342" t="str">
        <f>IF(AR267=0,"",AR267)</f>
        <v/>
      </c>
      <c r="T267" s="342">
        <f>IF(AS267=301,"",AS267)</f>
        <v>160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242</v>
      </c>
      <c r="AD267" s="378"/>
      <c r="AE267" s="377">
        <f>ABS(INDEX(AE:AE,MATCH(AE262,$AA:$AA,0)+11)+INDEX(AE:AE,MATCH(AE262,$AA:$AA,0)+12)+INDEX(AE:AE,MATCH(AE262,$AA:$AA,0)+13))</f>
        <v>213</v>
      </c>
      <c r="AF267" s="378"/>
      <c r="AG267" s="377">
        <f>ABS(INDEX(AG:AG,MATCH(AG262,$AA:$AA,0)+11)+INDEX(AG:AG,MATCH(AG262,$AA:$AA,0)+12)+INDEX(AG:AG,MATCH(AG262,$AA:$AA,0)+13))</f>
        <v>173</v>
      </c>
      <c r="AH267" s="378"/>
      <c r="AI267" s="377">
        <f>ABS(INDEX(AI:AI,MATCH(AI262,$AA:$AA,0)+11)+INDEX(AI:AI,MATCH(AI262,$AA:$AA,0)+12)+INDEX(AI:AI,MATCH(AI262,$AA:$AA,0)+13))</f>
        <v>162</v>
      </c>
      <c r="AJ267" s="378"/>
      <c r="AK267" s="377">
        <f>ABS(INDEX(AK:AK,MATCH(AK262,$AA:$AA,0)+11)+INDEX(AK:AK,MATCH(AK262,$AA:$AA,0)+12)+INDEX(AK:AK,MATCH(AK262,$AA:$AA,0)+13))</f>
        <v>218</v>
      </c>
      <c r="AL267" s="378"/>
      <c r="AM267" s="377">
        <f>ABS(INDEX(AM:AM,MATCH(AM262,$AA:$AA,0)+11)+INDEX(AM:AM,MATCH(AM262,$AA:$AA,0)+12)+INDEX(AM:AM,MATCH(AM262,$AA:$AA,0)+13))</f>
        <v>188</v>
      </c>
      <c r="AN267" s="378"/>
      <c r="AO267" s="377">
        <f>ABS(INDEX(AO:AO,MATCH(AO262,$AA:$AA,0)+11)+INDEX(AO:AO,MATCH(AO262,$AA:$AA,0)+12)+INDEX(AO:AO,MATCH(AO262,$AA:$AA,0)+13))</f>
        <v>215</v>
      </c>
      <c r="AP267" s="378"/>
      <c r="AQ267" s="377">
        <f>ABS(INDEX(AQ:AQ,MATCH(AQ262,$AA:$AA,0)+11)+INDEX(AQ:AQ,MATCH(AQ262,$AA:$AA,0)+12)+INDEX(AQ:AQ,MATCH(AQ262,$AA:$AA,0)+13))</f>
        <v>244</v>
      </c>
      <c r="AR267" s="378"/>
      <c r="AS267" s="377">
        <f>ABS(INDEX(AS:AS,MATCH(AS262,$AA:$AA,0)+11)+INDEX(AS:AS,MATCH(AS262,$AA:$AA,0)+12)+INDEX(AS:AS,MATCH(AS262,$AA:$AA,0)+13))</f>
        <v>160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196</v>
      </c>
      <c r="E268" s="342" t="str">
        <f>IF(AD268=0,"",AD268)</f>
        <v/>
      </c>
      <c r="F268" s="342">
        <f>IF(AE268=301,"",AE268)</f>
        <v>138</v>
      </c>
      <c r="G268" s="342" t="str">
        <f>IF(AF268=0,"",AF268)</f>
        <v/>
      </c>
      <c r="H268" s="342">
        <f>IF(AG268=301,"",AG268)</f>
        <v>207</v>
      </c>
      <c r="I268" s="342" t="str">
        <f>IF(AH268=0,"",AH268)</f>
        <v/>
      </c>
      <c r="J268" s="342">
        <f>IF(AI268=301,"",AI268)</f>
        <v>212</v>
      </c>
      <c r="K268" s="342" t="str">
        <f>IF(AJ268=0,"",AJ268)</f>
        <v/>
      </c>
      <c r="L268" s="342">
        <f>IF(AK268=301,"",AK268)</f>
        <v>166</v>
      </c>
      <c r="M268" s="342" t="str">
        <f>IF(AL268=0,"",AL268)</f>
        <v/>
      </c>
      <c r="N268" s="342">
        <f>IF(AM268=301,"",AM268)</f>
        <v>166</v>
      </c>
      <c r="O268" s="342" t="str">
        <f>IF(AN268=0,"",AN268)</f>
        <v/>
      </c>
      <c r="P268" s="342">
        <f>IF(AO268=301,"",AO268)</f>
        <v>169</v>
      </c>
      <c r="Q268" s="342" t="str">
        <f>IF(AP268=0,"",AP268)</f>
        <v/>
      </c>
      <c r="R268" s="342">
        <f>IF(AQ268=301,"",AQ268)</f>
        <v>207</v>
      </c>
      <c r="S268" s="342" t="str">
        <f>IF(AR268=0,"",AR268)</f>
        <v/>
      </c>
      <c r="T268" s="342">
        <f>IF(AS268=301,"",AS268)</f>
        <v>184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196</v>
      </c>
      <c r="AD268" s="378"/>
      <c r="AE268" s="377">
        <f>ABS(INDEX(AE:AE,MATCH(AE262,$AA:$AA,0)+14)+INDEX(AE:AE,MATCH(AE262,$AA:$AA,0)+15)+INDEX(AE:AE,MATCH(AE262,$AA:$AA,0)+16))</f>
        <v>138</v>
      </c>
      <c r="AF268" s="378"/>
      <c r="AG268" s="377">
        <f>ABS(INDEX(AG:AG,MATCH(AG262,$AA:$AA,0)+14)+INDEX(AG:AG,MATCH(AG262,$AA:$AA,0)+15)+INDEX(AG:AG,MATCH(AG262,$AA:$AA,0)+16))</f>
        <v>207</v>
      </c>
      <c r="AH268" s="378"/>
      <c r="AI268" s="377">
        <f>ABS(INDEX(AI:AI,MATCH(AI262,$AA:$AA,0)+14)+INDEX(AI:AI,MATCH(AI262,$AA:$AA,0)+15)+INDEX(AI:AI,MATCH(AI262,$AA:$AA,0)+16))</f>
        <v>212</v>
      </c>
      <c r="AJ268" s="378"/>
      <c r="AK268" s="377">
        <f>ABS(INDEX(AK:AK,MATCH(AK262,$AA:$AA,0)+14)+INDEX(AK:AK,MATCH(AK262,$AA:$AA,0)+15)+INDEX(AK:AK,MATCH(AK262,$AA:$AA,0)+16))</f>
        <v>166</v>
      </c>
      <c r="AL268" s="378"/>
      <c r="AM268" s="377">
        <f>ABS(INDEX(AM:AM,MATCH(AM262,$AA:$AA,0)+14)+INDEX(AM:AM,MATCH(AM262,$AA:$AA,0)+15)+INDEX(AM:AM,MATCH(AM262,$AA:$AA,0)+16))</f>
        <v>166</v>
      </c>
      <c r="AN268" s="378"/>
      <c r="AO268" s="377">
        <f>ABS(INDEX(AO:AO,MATCH(AO262,$AA:$AA,0)+14)+INDEX(AO:AO,MATCH(AO262,$AA:$AA,0)+15)+INDEX(AO:AO,MATCH(AO262,$AA:$AA,0)+16))</f>
        <v>169</v>
      </c>
      <c r="AP268" s="378"/>
      <c r="AQ268" s="377">
        <f>ABS(INDEX(AQ:AQ,MATCH(AQ262,$AA:$AA,0)+14)+INDEX(AQ:AQ,MATCH(AQ262,$AA:$AA,0)+15)+INDEX(AQ:AQ,MATCH(AQ262,$AA:$AA,0)+16))</f>
        <v>207</v>
      </c>
      <c r="AR268" s="378"/>
      <c r="AS268" s="377">
        <f>ABS(INDEX(AS:AS,MATCH(AS262,$AA:$AA,0)+14)+INDEX(AS:AS,MATCH(AS262,$AA:$AA,0)+15)+INDEX(AS:AS,MATCH(AS262,$AA:$AA,0)+16))</f>
        <v>184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779</v>
      </c>
      <c r="E269" s="341" t="str">
        <f>IF(AD269=0,"",AD269)</f>
        <v/>
      </c>
      <c r="F269" s="341">
        <f>IF(AE269=1505,"",AE269)</f>
        <v>700</v>
      </c>
      <c r="G269" s="341" t="str">
        <f>IF(AF269=0,"",AF269)</f>
        <v/>
      </c>
      <c r="H269" s="341">
        <f>IF(AG269=1505,"",AG269)</f>
        <v>737</v>
      </c>
      <c r="I269" s="341" t="str">
        <f>IF(AH269=0,"",AH269)</f>
        <v/>
      </c>
      <c r="J269" s="341">
        <f>IF(AI269=1505,"",AI269)</f>
        <v>769</v>
      </c>
      <c r="K269" s="341" t="str">
        <f>IF(AJ269=0,"",AJ269)</f>
        <v/>
      </c>
      <c r="L269" s="341">
        <f>IF(AK269=1505,"",AK269)</f>
        <v>747</v>
      </c>
      <c r="M269" s="341" t="str">
        <f>IF(AL269=0,"",AL269)</f>
        <v/>
      </c>
      <c r="N269" s="341">
        <f>IF(AM269=1505,"",AM269)</f>
        <v>766</v>
      </c>
      <c r="O269" s="341" t="str">
        <f>IF(AN269=0,"",AN269)</f>
        <v/>
      </c>
      <c r="P269" s="341">
        <f>IF(AO269=1505,"",AO269)</f>
        <v>757</v>
      </c>
      <c r="Q269" s="341" t="str">
        <f>IF(AP269=0,"",AP269)</f>
        <v/>
      </c>
      <c r="R269" s="341">
        <f>IF(AQ269=1505,"",AQ269)</f>
        <v>787</v>
      </c>
      <c r="S269" s="341" t="str">
        <f>IF(AR269=0,"",AR269)</f>
        <v/>
      </c>
      <c r="T269" s="341">
        <f>IF(AS269=1505,"",AS269)</f>
        <v>714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779</v>
      </c>
      <c r="AD269" s="358"/>
      <c r="AE269" s="357">
        <f>SUM(AE265:AE268)</f>
        <v>700</v>
      </c>
      <c r="AF269" s="358"/>
      <c r="AG269" s="357">
        <f>SUM(AG265:AG268)</f>
        <v>737</v>
      </c>
      <c r="AH269" s="358"/>
      <c r="AI269" s="357">
        <f>SUM(AI265:AI268)</f>
        <v>769</v>
      </c>
      <c r="AJ269" s="358"/>
      <c r="AK269" s="357">
        <f>SUM(AK265:AK268)</f>
        <v>747</v>
      </c>
      <c r="AL269" s="358"/>
      <c r="AM269" s="357">
        <f>SUM(AM265:AM268)</f>
        <v>766</v>
      </c>
      <c r="AN269" s="358"/>
      <c r="AO269" s="357">
        <f>SUM(AO265:AO268)</f>
        <v>757</v>
      </c>
      <c r="AP269" s="358"/>
      <c r="AQ269" s="357">
        <f>SUM(AQ265:AQ268)</f>
        <v>787</v>
      </c>
      <c r="AR269" s="358"/>
      <c r="AS269" s="357">
        <f>SUM(AS265:AS268)</f>
        <v>714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02.11./03.11.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02.11./03.11.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Nürnberg West Bowling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51">
        <f>IF(AD277="","",AD277)</f>
        <v>0</v>
      </c>
      <c r="F277" s="75">
        <f t="shared" ref="F277:F290" si="314">IF(AE277=0,"",AE277)</f>
        <v>214</v>
      </c>
      <c r="G277" s="351">
        <f>IF(AF277="","",AF277)</f>
        <v>1</v>
      </c>
      <c r="H277" s="75">
        <f t="shared" ref="H277:H290" si="315">IF(AG277=0,"",AG277)</f>
        <v>220</v>
      </c>
      <c r="I277" s="351">
        <f>IF(AH277="","",AH277)</f>
        <v>1</v>
      </c>
      <c r="J277" s="75">
        <f t="shared" ref="J277:J290" si="316">IF(AI277=0,"",AI277)</f>
        <v>225</v>
      </c>
      <c r="K277" s="351">
        <f>IF(AJ277="","",AJ277)</f>
        <v>1</v>
      </c>
      <c r="L277" s="75">
        <f t="shared" ref="L277:L290" si="317">IF(AK277=0,"",AK277)</f>
        <v>192</v>
      </c>
      <c r="M277" s="351">
        <f>IF(AL277="","",AL277)</f>
        <v>0</v>
      </c>
      <c r="N277" s="75">
        <f>IF(AM277=0,"",AM277)</f>
        <v>165</v>
      </c>
      <c r="O277" s="351">
        <f>IF(AN277="","",AN277)</f>
        <v>0</v>
      </c>
      <c r="P277" s="75">
        <f t="shared" ref="P277:P290" si="318">IF(AO277=0,"",AO277)</f>
        <v>244</v>
      </c>
      <c r="Q277" s="351">
        <f>IF(AP277="","",AP277)</f>
        <v>1</v>
      </c>
      <c r="R277" s="75">
        <f t="shared" ref="R277:R290" si="319">IF(AQ277=0,"",AQ277)</f>
        <v>217</v>
      </c>
      <c r="S277" s="351">
        <f>IF(AR277="","",AR277)</f>
        <v>1</v>
      </c>
      <c r="T277" s="75">
        <f t="shared" ref="T277:T290" si="320">IF(AS277=0,"",AS277)</f>
        <v>191</v>
      </c>
      <c r="U277" s="351">
        <f>IF(AT277="","",AT277)</f>
        <v>1</v>
      </c>
      <c r="V277" s="75">
        <f t="shared" ref="V277:V290" si="321">IF(AU277=0,"",AU277)</f>
        <v>1835</v>
      </c>
      <c r="W277" s="351">
        <f>IF(AV277="","",AV277)</f>
        <v>6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51">
        <f>IF(AD280="","",AD280)</f>
        <v>0</v>
      </c>
      <c r="F280" s="75">
        <f t="shared" si="314"/>
        <v>187</v>
      </c>
      <c r="G280" s="351">
        <f>IF(AF280="","",AF280)</f>
        <v>0</v>
      </c>
      <c r="H280" s="75">
        <f t="shared" si="315"/>
        <v>178</v>
      </c>
      <c r="I280" s="351">
        <f>IF(AH280="","",AH280)</f>
        <v>1</v>
      </c>
      <c r="J280" s="75">
        <f t="shared" si="316"/>
        <v>170</v>
      </c>
      <c r="K280" s="351">
        <f>IF(AJ280="","",AJ280)</f>
        <v>0</v>
      </c>
      <c r="L280" s="75">
        <f t="shared" si="317"/>
        <v>154</v>
      </c>
      <c r="M280" s="351">
        <f>IF(AL280="","",AL280)</f>
        <v>0</v>
      </c>
      <c r="N280" s="75" t="str">
        <f t="shared" si="334"/>
        <v/>
      </c>
      <c r="O280" s="351">
        <f>IF(AN280="","",AN280)</f>
        <v>0</v>
      </c>
      <c r="P280" s="75" t="str">
        <f t="shared" si="318"/>
        <v/>
      </c>
      <c r="Q280" s="351">
        <f>IF(AP280="","",AP280)</f>
        <v>1</v>
      </c>
      <c r="R280" s="75" t="str">
        <f t="shared" si="319"/>
        <v/>
      </c>
      <c r="S280" s="351">
        <f>IF(AR280="","",AR280)</f>
        <v>1</v>
      </c>
      <c r="T280" s="75" t="str">
        <f t="shared" si="320"/>
        <v/>
      </c>
      <c r="U280" s="351">
        <f>IF(AT280="","",AT280)</f>
        <v>0</v>
      </c>
      <c r="V280" s="75">
        <f t="shared" si="321"/>
        <v>838</v>
      </c>
      <c r="W280" s="351">
        <f>IF(AV280="","",AV280)</f>
        <v>3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>
        <f t="shared" si="334"/>
        <v>169</v>
      </c>
      <c r="O281" s="352"/>
      <c r="P281" s="78">
        <f t="shared" si="318"/>
        <v>169</v>
      </c>
      <c r="Q281" s="352"/>
      <c r="R281" s="78">
        <f t="shared" si="319"/>
        <v>175</v>
      </c>
      <c r="S281" s="352"/>
      <c r="T281" s="78">
        <f t="shared" si="320"/>
        <v>202</v>
      </c>
      <c r="U281" s="352"/>
      <c r="V281" s="78">
        <f t="shared" si="321"/>
        <v>715</v>
      </c>
      <c r="W281" s="352"/>
      <c r="Z281" s="355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51">
        <f>IF(AD283="","",AD283)</f>
        <v>0</v>
      </c>
      <c r="F283" s="75">
        <f t="shared" si="314"/>
        <v>184</v>
      </c>
      <c r="G283" s="351">
        <f>IF(AF283="","",AF283)</f>
        <v>1</v>
      </c>
      <c r="H283" s="75">
        <f t="shared" si="315"/>
        <v>171</v>
      </c>
      <c r="I283" s="351">
        <f>IF(AH283="","",AH283)</f>
        <v>0</v>
      </c>
      <c r="J283" s="75">
        <f t="shared" si="316"/>
        <v>162</v>
      </c>
      <c r="K283" s="351">
        <f>IF(AJ283="","",AJ283)</f>
        <v>0</v>
      </c>
      <c r="L283" s="75">
        <f t="shared" si="317"/>
        <v>173</v>
      </c>
      <c r="M283" s="351">
        <f>IF(AL283="","",AL283)</f>
        <v>0</v>
      </c>
      <c r="N283" s="75">
        <f t="shared" si="334"/>
        <v>159</v>
      </c>
      <c r="O283" s="351">
        <f>IF(AN283="","",AN283)</f>
        <v>0</v>
      </c>
      <c r="P283" s="75">
        <f t="shared" si="318"/>
        <v>149</v>
      </c>
      <c r="Q283" s="351">
        <f>IF(AP283="","",AP283)</f>
        <v>1</v>
      </c>
      <c r="R283" s="75" t="str">
        <f t="shared" si="319"/>
        <v/>
      </c>
      <c r="S283" s="351">
        <f>IF(AR283="","",AR283)</f>
        <v>0</v>
      </c>
      <c r="T283" s="75" t="str">
        <f t="shared" si="320"/>
        <v/>
      </c>
      <c r="U283" s="351">
        <f>IF(AT283="","",AT283)</f>
        <v>1</v>
      </c>
      <c r="V283" s="75">
        <f t="shared" si="321"/>
        <v>1193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 t="str">
        <f t="shared" si="318"/>
        <v/>
      </c>
      <c r="Q284" s="352"/>
      <c r="R284" s="78">
        <f t="shared" si="319"/>
        <v>190</v>
      </c>
      <c r="S284" s="352"/>
      <c r="T284" s="78">
        <f t="shared" si="320"/>
        <v>233</v>
      </c>
      <c r="U284" s="352"/>
      <c r="V284" s="78">
        <f t="shared" si="321"/>
        <v>423</v>
      </c>
      <c r="W284" s="352"/>
      <c r="Z284" s="355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51">
        <f>IF(AD286="","",AD286)</f>
        <v>0</v>
      </c>
      <c r="F286" s="75">
        <f t="shared" si="314"/>
        <v>199</v>
      </c>
      <c r="G286" s="351">
        <f>IF(AF286="","",AF286)</f>
        <v>1</v>
      </c>
      <c r="H286" s="75">
        <f t="shared" si="315"/>
        <v>191</v>
      </c>
      <c r="I286" s="351">
        <f>IF(AH286="","",AH286)</f>
        <v>1</v>
      </c>
      <c r="J286" s="75">
        <f t="shared" si="316"/>
        <v>212</v>
      </c>
      <c r="K286" s="351">
        <f>IF(AJ286="","",AJ286)</f>
        <v>1</v>
      </c>
      <c r="L286" s="75">
        <f t="shared" si="317"/>
        <v>221</v>
      </c>
      <c r="M286" s="351">
        <f>IF(AL286="","",AL286)</f>
        <v>0</v>
      </c>
      <c r="N286" s="75">
        <f t="shared" si="334"/>
        <v>179</v>
      </c>
      <c r="O286" s="351">
        <f>IF(AN286="","",AN286)</f>
        <v>0</v>
      </c>
      <c r="P286" s="75">
        <f t="shared" si="318"/>
        <v>182</v>
      </c>
      <c r="Q286" s="351">
        <f>IF(AP286="","",AP286)</f>
        <v>0</v>
      </c>
      <c r="R286" s="75">
        <f t="shared" si="319"/>
        <v>147</v>
      </c>
      <c r="S286" s="351">
        <f>IF(AR286="","",AR286)</f>
        <v>0</v>
      </c>
      <c r="T286" s="75">
        <f t="shared" si="320"/>
        <v>143</v>
      </c>
      <c r="U286" s="351">
        <f>IF(AT286="","",AT286)</f>
        <v>0</v>
      </c>
      <c r="V286" s="75">
        <f t="shared" si="321"/>
        <v>1637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6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2</v>
      </c>
      <c r="I292" s="349" t="str">
        <f t="shared" si="345"/>
        <v/>
      </c>
      <c r="J292" s="349">
        <f t="shared" si="345"/>
        <v>9</v>
      </c>
      <c r="K292" s="349" t="str">
        <f t="shared" si="345"/>
        <v/>
      </c>
      <c r="L292" s="349">
        <f t="shared" si="345"/>
        <v>1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7</v>
      </c>
      <c r="Q292" s="349" t="str">
        <f t="shared" si="345"/>
        <v/>
      </c>
      <c r="R292" s="349">
        <f t="shared" ref="N292:U294" si="346">IF(AQ292=0,"",AQ292)</f>
        <v>3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VLOOKUP($AA272,Schlüssel!$A$5:$DG$14,23)</f>
        <v>6</v>
      </c>
      <c r="AD292" s="374"/>
      <c r="AE292" s="373">
        <f>VLOOKUP($AA272,Schlüssel!$A$5:$EK$14,24)</f>
        <v>5</v>
      </c>
      <c r="AF292" s="374"/>
      <c r="AG292" s="373">
        <f>VLOOKUP($AA272,Schlüssel!$A$5:$EK$14,25)</f>
        <v>2</v>
      </c>
      <c r="AH292" s="374"/>
      <c r="AI292" s="373">
        <f>VLOOKUP($AA272,Schlüssel!$A$5:$EK$14,26)</f>
        <v>9</v>
      </c>
      <c r="AJ292" s="374"/>
      <c r="AK292" s="373">
        <f>VLOOKUP($AA272,Schlüssel!$A$5:$EK$14,27)</f>
        <v>1</v>
      </c>
      <c r="AL292" s="374"/>
      <c r="AM292" s="373">
        <f>VLOOKUP($AA272,Schlüssel!$A$5:$EK$14,28)</f>
        <v>4</v>
      </c>
      <c r="AN292" s="374"/>
      <c r="AO292" s="373">
        <f>VLOOKUP($AA272,Schlüssel!$A$5:$EK$14,29)</f>
        <v>7</v>
      </c>
      <c r="AP292" s="374"/>
      <c r="AQ292" s="373">
        <f>VLOOKUP($AA272,Schlüssel!$A$5:$EK$14,30)</f>
        <v>3</v>
      </c>
      <c r="AR292" s="374"/>
      <c r="AS292" s="373">
        <f>VLOOKUP($AA272,Schlüssel!$A$5:$EK$14,31)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6" t="str">
        <f t="shared" si="347"/>
        <v>SG Rottendorf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Bajuwaren München 1</v>
      </c>
      <c r="I293" s="347" t="str">
        <f t="shared" si="347"/>
        <v/>
      </c>
      <c r="J293" s="346" t="str">
        <f t="shared" si="347"/>
        <v>Bowlinghaus Bamberg 1</v>
      </c>
      <c r="K293" s="347" t="str">
        <f t="shared" si="347"/>
        <v/>
      </c>
      <c r="L293" s="346" t="str">
        <f t="shared" si="347"/>
        <v>BC Comet Nürnberg</v>
      </c>
      <c r="M293" s="347" t="str">
        <f t="shared" si="347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Schanzer Ingolstadt 1</v>
      </c>
      <c r="Q293" s="347" t="str">
        <f t="shared" si="346"/>
        <v/>
      </c>
      <c r="R293" s="346" t="str">
        <f t="shared" si="346"/>
        <v>BK München 3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SG Rottendorf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Bajuwaren München 1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BK München 3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7"/>
        <v/>
      </c>
      <c r="M294" s="344" t="str">
        <f t="shared" si="347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169</v>
      </c>
      <c r="E295" s="342" t="str">
        <f>IF(AD295=0,"",AD295)</f>
        <v/>
      </c>
      <c r="F295" s="342">
        <f>IF(AE295=301,"",AE295)</f>
        <v>153</v>
      </c>
      <c r="G295" s="342" t="str">
        <f>IF(AF295=0,"",AF295)</f>
        <v/>
      </c>
      <c r="H295" s="342">
        <f>IF(AG295=301,"",AG295)</f>
        <v>215</v>
      </c>
      <c r="I295" s="342" t="str">
        <f>IF(AH295=0,"",AH295)</f>
        <v/>
      </c>
      <c r="J295" s="342">
        <f>IF(AI295=301,"",AI295)</f>
        <v>160</v>
      </c>
      <c r="K295" s="342" t="str">
        <f>IF(AJ295=0,"",AJ295)</f>
        <v/>
      </c>
      <c r="L295" s="342">
        <f>IF(AK295=301,"",AK295)</f>
        <v>203</v>
      </c>
      <c r="M295" s="342" t="str">
        <f>IF(AL295=0,"",AL295)</f>
        <v/>
      </c>
      <c r="N295" s="342">
        <f>IF(AM295=301,"",AM295)</f>
        <v>207</v>
      </c>
      <c r="O295" s="342" t="str">
        <f>IF(AN295=0,"",AN295)</f>
        <v/>
      </c>
      <c r="P295" s="342">
        <f>IF(AO295=301,"",AO295)</f>
        <v>167</v>
      </c>
      <c r="Q295" s="342" t="str">
        <f>IF(AP295=0,"",AP295)</f>
        <v/>
      </c>
      <c r="R295" s="342">
        <f>IF(AQ295=301,"",AQ295)</f>
        <v>173</v>
      </c>
      <c r="S295" s="342" t="str">
        <f>IF(AR295=0,"",AR295)</f>
        <v/>
      </c>
      <c r="T295" s="342">
        <f>IF(AS295=301,"",AS295)</f>
        <v>182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169</v>
      </c>
      <c r="AD295" s="376"/>
      <c r="AE295" s="375">
        <f>ABS(INDEX(AE:AE,MATCH(AE292,$AA:$AA,0)+5)+INDEX(AE:AE,MATCH(AE292,$AA:$AA,0)+6)+INDEX(AE:AE,MATCH(AE292,$AA:$AA,0)+7))</f>
        <v>153</v>
      </c>
      <c r="AF295" s="376"/>
      <c r="AG295" s="375">
        <f>ABS(INDEX(AG:AG,MATCH(AG292,$AA:$AA,0)+5)+INDEX(AG:AG,MATCH(AG292,$AA:$AA,0)+6)+INDEX(AG:AG,MATCH(AG292,$AA:$AA,0)+7))</f>
        <v>215</v>
      </c>
      <c r="AH295" s="376"/>
      <c r="AI295" s="375">
        <f>ABS(INDEX(AI:AI,MATCH(AI292,$AA:$AA,0)+5)+INDEX(AI:AI,MATCH(AI292,$AA:$AA,0)+6)+INDEX(AI:AI,MATCH(AI292,$AA:$AA,0)+7))</f>
        <v>160</v>
      </c>
      <c r="AJ295" s="376"/>
      <c r="AK295" s="375">
        <f>ABS(INDEX(AK:AK,MATCH(AK292,$AA:$AA,0)+5)+INDEX(AK:AK,MATCH(AK292,$AA:$AA,0)+6)+INDEX(AK:AK,MATCH(AK292,$AA:$AA,0)+7))</f>
        <v>203</v>
      </c>
      <c r="AL295" s="376"/>
      <c r="AM295" s="375">
        <f>ABS(INDEX(AM:AM,MATCH(AM292,$AA:$AA,0)+5)+INDEX(AM:AM,MATCH(AM292,$AA:$AA,0)+6)+INDEX(AM:AM,MATCH(AM292,$AA:$AA,0)+7))</f>
        <v>207</v>
      </c>
      <c r="AN295" s="376"/>
      <c r="AO295" s="375">
        <f>ABS(INDEX(AO:AO,MATCH(AO292,$AA:$AA,0)+5)+INDEX(AO:AO,MATCH(AO292,$AA:$AA,0)+6)+INDEX(AO:AO,MATCH(AO292,$AA:$AA,0)+7))</f>
        <v>167</v>
      </c>
      <c r="AP295" s="376"/>
      <c r="AQ295" s="375">
        <f>ABS(INDEX(AQ:AQ,MATCH(AQ292,$AA:$AA,0)+5)+INDEX(AQ:AQ,MATCH(AQ292,$AA:$AA,0)+6)+INDEX(AQ:AQ,MATCH(AQ292,$AA:$AA,0)+7))</f>
        <v>173</v>
      </c>
      <c r="AR295" s="376"/>
      <c r="AS295" s="375">
        <f>ABS(INDEX(AS:AS,MATCH(AS292,$AA:$AA,0)+5)+INDEX(AS:AS,MATCH(AS292,$AA:$AA,0)+6)+INDEX(AS:AS,MATCH(AS292,$AA:$AA,0)+7))</f>
        <v>182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169</v>
      </c>
      <c r="E296" s="342" t="str">
        <f>IF(AD296=0,"",AD296)</f>
        <v/>
      </c>
      <c r="F296" s="342">
        <f>IF(AE296=301,"",AE296)</f>
        <v>194</v>
      </c>
      <c r="G296" s="342" t="str">
        <f>IF(AF296=0,"",AF296)</f>
        <v/>
      </c>
      <c r="H296" s="342">
        <f>IF(AG296=301,"",AG296)</f>
        <v>171</v>
      </c>
      <c r="I296" s="342" t="str">
        <f>IF(AH296=0,"",AH296)</f>
        <v/>
      </c>
      <c r="J296" s="342">
        <f>IF(AI296=301,"",AI296)</f>
        <v>206</v>
      </c>
      <c r="K296" s="342" t="str">
        <f>IF(AJ296=0,"",AJ296)</f>
        <v/>
      </c>
      <c r="L296" s="342">
        <f>IF(AK296=301,"",AK296)</f>
        <v>215</v>
      </c>
      <c r="M296" s="342" t="str">
        <f>IF(AL296=0,"",AL296)</f>
        <v/>
      </c>
      <c r="N296" s="342">
        <f>IF(AM296=301,"",AM296)</f>
        <v>231</v>
      </c>
      <c r="O296" s="342" t="str">
        <f>IF(AN296=0,"",AN296)</f>
        <v/>
      </c>
      <c r="P296" s="342">
        <f>IF(AO296=301,"",AO296)</f>
        <v>168</v>
      </c>
      <c r="Q296" s="342" t="str">
        <f>IF(AP296=0,"",AP296)</f>
        <v/>
      </c>
      <c r="R296" s="342">
        <f>IF(AQ296=301,"",AQ296)</f>
        <v>150</v>
      </c>
      <c r="S296" s="342" t="str">
        <f>IF(AR296=0,"",AR296)</f>
        <v/>
      </c>
      <c r="T296" s="342">
        <f>IF(AS296=301,"",AS296)</f>
        <v>207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169</v>
      </c>
      <c r="AD296" s="378"/>
      <c r="AE296" s="377">
        <f>ABS(INDEX(AE:AE,MATCH(AE292,$AA:$AA,0)+8)+INDEX(AE:AE,MATCH(AE292,$AA:$AA,0)+9)+INDEX(AE:AE,MATCH(AE292,$AA:$AA,0)+10))</f>
        <v>194</v>
      </c>
      <c r="AF296" s="378"/>
      <c r="AG296" s="377">
        <f>ABS(INDEX(AG:AG,MATCH(AG292,$AA:$AA,0)+8)+INDEX(AG:AG,MATCH(AG292,$AA:$AA,0)+9)+INDEX(AG:AG,MATCH(AG292,$AA:$AA,0)+10))</f>
        <v>171</v>
      </c>
      <c r="AH296" s="378"/>
      <c r="AI296" s="377">
        <f>ABS(INDEX(AI:AI,MATCH(AI292,$AA:$AA,0)+8)+INDEX(AI:AI,MATCH(AI292,$AA:$AA,0)+9)+INDEX(AI:AI,MATCH(AI292,$AA:$AA,0)+10))</f>
        <v>206</v>
      </c>
      <c r="AJ296" s="378"/>
      <c r="AK296" s="377">
        <f>ABS(INDEX(AK:AK,MATCH(AK292,$AA:$AA,0)+8)+INDEX(AK:AK,MATCH(AK292,$AA:$AA,0)+9)+INDEX(AK:AK,MATCH(AK292,$AA:$AA,0)+10))</f>
        <v>215</v>
      </c>
      <c r="AL296" s="378"/>
      <c r="AM296" s="377">
        <f>ABS(INDEX(AM:AM,MATCH(AM292,$AA:$AA,0)+8)+INDEX(AM:AM,MATCH(AM292,$AA:$AA,0)+9)+INDEX(AM:AM,MATCH(AM292,$AA:$AA,0)+10))</f>
        <v>231</v>
      </c>
      <c r="AN296" s="378"/>
      <c r="AO296" s="377">
        <f>ABS(INDEX(AO:AO,MATCH(AO292,$AA:$AA,0)+8)+INDEX(AO:AO,MATCH(AO292,$AA:$AA,0)+9)+INDEX(AO:AO,MATCH(AO292,$AA:$AA,0)+10))</f>
        <v>168</v>
      </c>
      <c r="AP296" s="378"/>
      <c r="AQ296" s="377">
        <f>ABS(INDEX(AQ:AQ,MATCH(AQ292,$AA:$AA,0)+8)+INDEX(AQ:AQ,MATCH(AQ292,$AA:$AA,0)+9)+INDEX(AQ:AQ,MATCH(AQ292,$AA:$AA,0)+10))</f>
        <v>150</v>
      </c>
      <c r="AR296" s="378"/>
      <c r="AS296" s="377">
        <f>ABS(INDEX(AS:AS,MATCH(AS292,$AA:$AA,0)+8)+INDEX(AS:AS,MATCH(AS292,$AA:$AA,0)+9)+INDEX(AS:AS,MATCH(AS292,$AA:$AA,0)+10))</f>
        <v>207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209</v>
      </c>
      <c r="E297" s="342" t="str">
        <f>IF(AD297=0,"",AD297)</f>
        <v/>
      </c>
      <c r="F297" s="342">
        <f>IF(AE297=301,"",AE297)</f>
        <v>183</v>
      </c>
      <c r="G297" s="342" t="str">
        <f>IF(AF297=0,"",AF297)</f>
        <v/>
      </c>
      <c r="H297" s="342">
        <f>IF(AG297=301,"",AG297)</f>
        <v>235</v>
      </c>
      <c r="I297" s="342" t="str">
        <f>IF(AH297=0,"",AH297)</f>
        <v/>
      </c>
      <c r="J297" s="342">
        <f>IF(AI297=301,"",AI297)</f>
        <v>174</v>
      </c>
      <c r="K297" s="342" t="str">
        <f>IF(AJ297=0,"",AJ297)</f>
        <v/>
      </c>
      <c r="L297" s="342">
        <f>IF(AK297=301,"",AK297)</f>
        <v>176</v>
      </c>
      <c r="M297" s="342" t="str">
        <f>IF(AL297=0,"",AL297)</f>
        <v/>
      </c>
      <c r="N297" s="342">
        <f>IF(AM297=301,"",AM297)</f>
        <v>258</v>
      </c>
      <c r="O297" s="342" t="str">
        <f>IF(AN297=0,"",AN297)</f>
        <v/>
      </c>
      <c r="P297" s="342">
        <f>IF(AO297=301,"",AO297)</f>
        <v>147</v>
      </c>
      <c r="Q297" s="342" t="str">
        <f>IF(AP297=0,"",AP297)</f>
        <v/>
      </c>
      <c r="R297" s="342">
        <f>IF(AQ297=301,"",AQ297)</f>
        <v>213</v>
      </c>
      <c r="S297" s="342" t="str">
        <f>IF(AR297=0,"",AR297)</f>
        <v/>
      </c>
      <c r="T297" s="342">
        <f>IF(AS297=301,"",AS297)</f>
        <v>184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209</v>
      </c>
      <c r="AD297" s="378"/>
      <c r="AE297" s="377">
        <f>ABS(INDEX(AE:AE,MATCH(AE292,$AA:$AA,0)+11)+INDEX(AE:AE,MATCH(AE292,$AA:$AA,0)+12)+INDEX(AE:AE,MATCH(AE292,$AA:$AA,0)+13))</f>
        <v>183</v>
      </c>
      <c r="AF297" s="378"/>
      <c r="AG297" s="377">
        <f>ABS(INDEX(AG:AG,MATCH(AG292,$AA:$AA,0)+11)+INDEX(AG:AG,MATCH(AG292,$AA:$AA,0)+12)+INDEX(AG:AG,MATCH(AG292,$AA:$AA,0)+13))</f>
        <v>235</v>
      </c>
      <c r="AH297" s="378"/>
      <c r="AI297" s="377">
        <f>ABS(INDEX(AI:AI,MATCH(AI292,$AA:$AA,0)+11)+INDEX(AI:AI,MATCH(AI292,$AA:$AA,0)+12)+INDEX(AI:AI,MATCH(AI292,$AA:$AA,0)+13))</f>
        <v>174</v>
      </c>
      <c r="AJ297" s="378"/>
      <c r="AK297" s="377">
        <f>ABS(INDEX(AK:AK,MATCH(AK292,$AA:$AA,0)+11)+INDEX(AK:AK,MATCH(AK292,$AA:$AA,0)+12)+INDEX(AK:AK,MATCH(AK292,$AA:$AA,0)+13))</f>
        <v>176</v>
      </c>
      <c r="AL297" s="378"/>
      <c r="AM297" s="377">
        <f>ABS(INDEX(AM:AM,MATCH(AM292,$AA:$AA,0)+11)+INDEX(AM:AM,MATCH(AM292,$AA:$AA,0)+12)+INDEX(AM:AM,MATCH(AM292,$AA:$AA,0)+13))</f>
        <v>258</v>
      </c>
      <c r="AN297" s="378"/>
      <c r="AO297" s="377">
        <f>ABS(INDEX(AO:AO,MATCH(AO292,$AA:$AA,0)+11)+INDEX(AO:AO,MATCH(AO292,$AA:$AA,0)+12)+INDEX(AO:AO,MATCH(AO292,$AA:$AA,0)+13))</f>
        <v>147</v>
      </c>
      <c r="AP297" s="378"/>
      <c r="AQ297" s="377">
        <f>ABS(INDEX(AQ:AQ,MATCH(AQ292,$AA:$AA,0)+11)+INDEX(AQ:AQ,MATCH(AQ292,$AA:$AA,0)+12)+INDEX(AQ:AQ,MATCH(AQ292,$AA:$AA,0)+13))</f>
        <v>213</v>
      </c>
      <c r="AR297" s="378"/>
      <c r="AS297" s="377">
        <f>ABS(INDEX(AS:AS,MATCH(AS292,$AA:$AA,0)+11)+INDEX(AS:AS,MATCH(AS292,$AA:$AA,0)+12)+INDEX(AS:AS,MATCH(AS292,$AA:$AA,0)+13))</f>
        <v>184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179</v>
      </c>
      <c r="E298" s="342" t="str">
        <f>IF(AD298=0,"",AD298)</f>
        <v/>
      </c>
      <c r="F298" s="342">
        <f>IF(AE298=301,"",AE298)</f>
        <v>191</v>
      </c>
      <c r="G298" s="342" t="str">
        <f>IF(AF298=0,"",AF298)</f>
        <v/>
      </c>
      <c r="H298" s="342">
        <f>IF(AG298=301,"",AG298)</f>
        <v>175</v>
      </c>
      <c r="I298" s="342" t="str">
        <f>IF(AH298=0,"",AH298)</f>
        <v/>
      </c>
      <c r="J298" s="342">
        <f>IF(AI298=301,"",AI298)</f>
        <v>190</v>
      </c>
      <c r="K298" s="342" t="str">
        <f>IF(AJ298=0,"",AJ298)</f>
        <v/>
      </c>
      <c r="L298" s="342">
        <f>IF(AK298=301,"",AK298)</f>
        <v>244</v>
      </c>
      <c r="M298" s="342" t="str">
        <f>IF(AL298=0,"",AL298)</f>
        <v/>
      </c>
      <c r="N298" s="342">
        <f>IF(AM298=301,"",AM298)</f>
        <v>181</v>
      </c>
      <c r="O298" s="342" t="str">
        <f>IF(AN298=0,"",AN298)</f>
        <v/>
      </c>
      <c r="P298" s="342">
        <f>IF(AO298=301,"",AO298)</f>
        <v>183</v>
      </c>
      <c r="Q298" s="342" t="str">
        <f>IF(AP298=0,"",AP298)</f>
        <v/>
      </c>
      <c r="R298" s="342">
        <f>IF(AQ298=301,"",AQ298)</f>
        <v>263</v>
      </c>
      <c r="S298" s="342" t="str">
        <f>IF(AR298=0,"",AR298)</f>
        <v/>
      </c>
      <c r="T298" s="342">
        <f>IF(AS298=301,"",AS298)</f>
        <v>151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179</v>
      </c>
      <c r="AD298" s="378"/>
      <c r="AE298" s="377">
        <f>ABS(INDEX(AE:AE,MATCH(AE292,$AA:$AA,0)+14)+INDEX(AE:AE,MATCH(AE292,$AA:$AA,0)+15)+INDEX(AE:AE,MATCH(AE292,$AA:$AA,0)+16))</f>
        <v>191</v>
      </c>
      <c r="AF298" s="378"/>
      <c r="AG298" s="377">
        <f>ABS(INDEX(AG:AG,MATCH(AG292,$AA:$AA,0)+14)+INDEX(AG:AG,MATCH(AG292,$AA:$AA,0)+15)+INDEX(AG:AG,MATCH(AG292,$AA:$AA,0)+16))</f>
        <v>175</v>
      </c>
      <c r="AH298" s="378"/>
      <c r="AI298" s="377">
        <f>ABS(INDEX(AI:AI,MATCH(AI292,$AA:$AA,0)+14)+INDEX(AI:AI,MATCH(AI292,$AA:$AA,0)+15)+INDEX(AI:AI,MATCH(AI292,$AA:$AA,0)+16))</f>
        <v>190</v>
      </c>
      <c r="AJ298" s="378"/>
      <c r="AK298" s="377">
        <f>ABS(INDEX(AK:AK,MATCH(AK292,$AA:$AA,0)+14)+INDEX(AK:AK,MATCH(AK292,$AA:$AA,0)+15)+INDEX(AK:AK,MATCH(AK292,$AA:$AA,0)+16))</f>
        <v>244</v>
      </c>
      <c r="AL298" s="378"/>
      <c r="AM298" s="377">
        <f>ABS(INDEX(AM:AM,MATCH(AM292,$AA:$AA,0)+14)+INDEX(AM:AM,MATCH(AM292,$AA:$AA,0)+15)+INDEX(AM:AM,MATCH(AM292,$AA:$AA,0)+16))</f>
        <v>181</v>
      </c>
      <c r="AN298" s="378"/>
      <c r="AO298" s="377">
        <f>ABS(INDEX(AO:AO,MATCH(AO292,$AA:$AA,0)+14)+INDEX(AO:AO,MATCH(AO292,$AA:$AA,0)+15)+INDEX(AO:AO,MATCH(AO292,$AA:$AA,0)+16))</f>
        <v>183</v>
      </c>
      <c r="AP298" s="378"/>
      <c r="AQ298" s="377">
        <f>ABS(INDEX(AQ:AQ,MATCH(AQ292,$AA:$AA,0)+14)+INDEX(AQ:AQ,MATCH(AQ292,$AA:$AA,0)+15)+INDEX(AQ:AQ,MATCH(AQ292,$AA:$AA,0)+16))</f>
        <v>263</v>
      </c>
      <c r="AR298" s="378"/>
      <c r="AS298" s="377">
        <f>ABS(INDEX(AS:AS,MATCH(AS292,$AA:$AA,0)+14)+INDEX(AS:AS,MATCH(AS292,$AA:$AA,0)+15)+INDEX(AS:AS,MATCH(AS292,$AA:$AA,0)+16))</f>
        <v>151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726</v>
      </c>
      <c r="E299" s="341" t="str">
        <f>IF(AD299=0,"",AD299)</f>
        <v/>
      </c>
      <c r="F299" s="341">
        <f>IF(AE299=1505,"",AE299)</f>
        <v>721</v>
      </c>
      <c r="G299" s="341" t="str">
        <f>IF(AF299=0,"",AF299)</f>
        <v/>
      </c>
      <c r="H299" s="341">
        <f>IF(AG299=1505,"",AG299)</f>
        <v>796</v>
      </c>
      <c r="I299" s="341" t="str">
        <f>IF(AH299=0,"",AH299)</f>
        <v/>
      </c>
      <c r="J299" s="341">
        <f>IF(AI299=1505,"",AI299)</f>
        <v>730</v>
      </c>
      <c r="K299" s="341" t="str">
        <f>IF(AJ299=0,"",AJ299)</f>
        <v/>
      </c>
      <c r="L299" s="341">
        <f>IF(AK299=1505,"",AK299)</f>
        <v>838</v>
      </c>
      <c r="M299" s="341" t="str">
        <f>IF(AL299=0,"",AL299)</f>
        <v/>
      </c>
      <c r="N299" s="341">
        <f>IF(AM299=1505,"",AM299)</f>
        <v>877</v>
      </c>
      <c r="O299" s="341" t="str">
        <f>IF(AN299=0,"",AN299)</f>
        <v/>
      </c>
      <c r="P299" s="341">
        <f>IF(AO299=1505,"",AO299)</f>
        <v>665</v>
      </c>
      <c r="Q299" s="341" t="str">
        <f>IF(AP299=0,"",AP299)</f>
        <v/>
      </c>
      <c r="R299" s="341">
        <f>IF(AQ299=1505,"",AQ299)</f>
        <v>799</v>
      </c>
      <c r="S299" s="341" t="str">
        <f>IF(AR299=0,"",AR299)</f>
        <v/>
      </c>
      <c r="T299" s="341">
        <f>IF(AS299=1505,"",AS299)</f>
        <v>724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726</v>
      </c>
      <c r="AD299" s="358"/>
      <c r="AE299" s="357">
        <f>SUM(AE295:AE298)</f>
        <v>721</v>
      </c>
      <c r="AF299" s="358"/>
      <c r="AG299" s="357">
        <f>SUM(AG295:AG298)</f>
        <v>796</v>
      </c>
      <c r="AH299" s="358"/>
      <c r="AI299" s="357">
        <f>SUM(AI295:AI298)</f>
        <v>730</v>
      </c>
      <c r="AJ299" s="358"/>
      <c r="AK299" s="357">
        <f>SUM(AK295:AK298)</f>
        <v>838</v>
      </c>
      <c r="AL299" s="358"/>
      <c r="AM299" s="357">
        <f>SUM(AM295:AM298)</f>
        <v>877</v>
      </c>
      <c r="AN299" s="358"/>
      <c r="AO299" s="357">
        <f>SUM(AO295:AO298)</f>
        <v>665</v>
      </c>
      <c r="AP299" s="358"/>
      <c r="AQ299" s="357">
        <f>SUM(AQ295:AQ298)</f>
        <v>799</v>
      </c>
      <c r="AR299" s="358"/>
      <c r="AS299" s="357">
        <f>SUM(AS295:AS298)</f>
        <v>724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"&amp;Erfassung2!AS2&amp;"     -     "&amp;Erfassung2!AT1</f>
        <v>Saison 2024/2025     -     Spieltag 2     -     02.11./03.11.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+Erfassung2!AE2</f>
        <v>Nürnberg West Bowling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79" t="str">
        <f>IFERROR(ROUND(INDEX(Erfassung2!BW:BW,MATCH(1,Erfassung2!BZ:BZ,0)),0),"")&amp;"  /  "&amp;ROUND(IFERROR(ROUND(INDEX(Erfassung2!BW:BW,MATCH(1,Erfassung2!BZ:BZ,0)),0),"")/9,2)</f>
        <v>1910  /  212,22</v>
      </c>
      <c r="O24" s="379"/>
      <c r="P24" s="379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"&amp;Erfassung2!AS2&amp;"     -     "&amp;Erfassung2!AT1</f>
        <v>Saison 2024/2025     -     Spieltag 2     -     02.11./03.11.</v>
      </c>
      <c r="B2" s="381"/>
      <c r="C2" s="381"/>
      <c r="D2" s="381"/>
      <c r="E2" s="381"/>
      <c r="F2" s="381"/>
      <c r="G2" s="381"/>
      <c r="H2" s="381"/>
      <c r="I2" s="38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1799</v>
      </c>
      <c r="H5" s="383"/>
      <c r="I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5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+Spielzettel3!T2</f>
        <v>3</v>
      </c>
      <c r="F6" s="320"/>
      <c r="P6" s="140" t="s">
        <v>1838</v>
      </c>
      <c r="Q6" s="321" t="str">
        <f>+Spielzettel3!U1</f>
        <v>01.02./02.02.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+Spielzettel3!F2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+Spielzettel3!F1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2364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1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2565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2365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2566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2567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2568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Schlüssel!$BA$1</f>
        <v>01.02./02.02.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Schlüssel!$AQ$2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3">
        <f>VLOOKUP(B2,Schlüssel!$A$5:$DZ$14,43)</f>
        <v>5</v>
      </c>
      <c r="E22" s="374"/>
      <c r="F22" s="373">
        <f>VLOOKUP(B2,Schlüssel!$A$5:$DZ$14,44)</f>
        <v>3</v>
      </c>
      <c r="G22" s="374"/>
      <c r="H22" s="373">
        <f>VLOOKUP(B2,Schlüssel!$A$5:$DZ$14,45)</f>
        <v>8</v>
      </c>
      <c r="I22" s="374"/>
      <c r="J22" s="373">
        <f>VLOOKUP(B2,Schlüssel!$A$5:$DZ$14,46)</f>
        <v>2</v>
      </c>
      <c r="K22" s="374"/>
      <c r="L22" s="373">
        <f>VLOOKUP(B2,Schlüssel!$A$5:$DZ$14,47)</f>
        <v>6</v>
      </c>
      <c r="M22" s="374"/>
      <c r="N22" s="373">
        <f>VLOOKUP(B2,Schlüssel!$A$5:$DZ$14,48)</f>
        <v>4</v>
      </c>
      <c r="O22" s="374"/>
      <c r="P22" s="373">
        <f>VLOOKUP(B2,Schlüssel!$A$5:$DZ$14,49)</f>
        <v>7</v>
      </c>
      <c r="Q22" s="374"/>
      <c r="R22" s="373">
        <f>VLOOKUP(B2,Schlüssel!$A$5:$DZ$14,50)</f>
        <v>9</v>
      </c>
      <c r="S22" s="374"/>
      <c r="T22" s="373">
        <f>VLOOKUP(B2,Schlüssel!$A$5:$DZ$14,51)</f>
        <v>10</v>
      </c>
      <c r="U22" s="374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RW Lichtenhof Stein 1</v>
      </c>
      <c r="E23" s="347"/>
      <c r="F23" s="346" t="str">
        <f>VLOOKUP(F22,Schlüssel!$A$5:$K$14,2)</f>
        <v>BK München 3</v>
      </c>
      <c r="G23" s="347"/>
      <c r="H23" s="346" t="str">
        <f>VLOOKUP(H22,Schlüssel!$A$5:$K$14,2)</f>
        <v>BC EMAX Unterföhring 2</v>
      </c>
      <c r="I23" s="347"/>
      <c r="J23" s="346" t="str">
        <f>VLOOKUP(J22,Schlüssel!$A$5:$K$14,2)</f>
        <v>Bajuwaren München 1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SG DJK Rimpar</v>
      </c>
      <c r="O23" s="347"/>
      <c r="P23" s="346" t="str">
        <f>VLOOKUP(P22,Schlüssel!$A$5:$K$14,2)</f>
        <v>Schanzer Ingolstadt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High Roller Rosenheim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Schlüssel!$BA$1</f>
        <v>01.02./02.02.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Schlüssel!$AQ$2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3">
        <f>VLOOKUP(B31,Schlüssel!$A$5:$DZ$14,43)</f>
        <v>8</v>
      </c>
      <c r="E51" s="374"/>
      <c r="F51" s="373">
        <f>VLOOKUP(B31,Schlüssel!$A$5:$DZ$14,44)</f>
        <v>10</v>
      </c>
      <c r="G51" s="374"/>
      <c r="H51" s="373">
        <f>VLOOKUP(B31,Schlüssel!$A$5:$DZ$14,45)</f>
        <v>3</v>
      </c>
      <c r="I51" s="374"/>
      <c r="J51" s="373">
        <f>VLOOKUP(B31,Schlüssel!$A$5:$DZ$14,46)</f>
        <v>1</v>
      </c>
      <c r="K51" s="374"/>
      <c r="L51" s="373">
        <f>VLOOKUP(B31,Schlüssel!$A$5:$DZ$14,47)</f>
        <v>7</v>
      </c>
      <c r="M51" s="374"/>
      <c r="N51" s="373">
        <f>VLOOKUP(B31,Schlüssel!$A$5:$DZ$14,48)</f>
        <v>6</v>
      </c>
      <c r="O51" s="374"/>
      <c r="P51" s="373">
        <f>VLOOKUP(B31,Schlüssel!$A$5:$DZ$14,49)</f>
        <v>9</v>
      </c>
      <c r="Q51" s="374"/>
      <c r="R51" s="373">
        <f>VLOOKUP(B31,Schlüssel!$A$5:$DZ$14,50)</f>
        <v>5</v>
      </c>
      <c r="S51" s="374"/>
      <c r="T51" s="373">
        <f>VLOOKUP(B31,Schlüssel!$A$5:$DZ$14,51)</f>
        <v>4</v>
      </c>
      <c r="U51" s="374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EMAX Unterföhring 2</v>
      </c>
      <c r="E52" s="347"/>
      <c r="F52" s="346" t="str">
        <f>VLOOKUP(F51,Schlüssel!$A$5:$K$14,2)</f>
        <v>High Roller Rosenheim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BC Comet Nürnberg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SG Rottendorf 1</v>
      </c>
      <c r="O52" s="347"/>
      <c r="P52" s="346" t="str">
        <f>VLOOKUP(P51,Schlüssel!$A$5:$K$14,2)</f>
        <v>Bowlinghaus Bamberg 1</v>
      </c>
      <c r="Q52" s="347"/>
      <c r="R52" s="346" t="str">
        <f>VLOOKUP(R51,Schlüssel!$A$5:$K$14,2)</f>
        <v>RW Lichtenhof Stein 1</v>
      </c>
      <c r="S52" s="347"/>
      <c r="T52" s="346" t="str">
        <f>VLOOKUP(T51,Schlüssel!$A$5:$K$14,2)</f>
        <v>SG DJK Rimpar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Schlüssel!$BA$1</f>
        <v>01.02./02.02.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Schlüssel!$AQ$2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3">
        <f>VLOOKUP(B60,Schlüssel!$A$5:$DZ$14,43)</f>
        <v>10</v>
      </c>
      <c r="E80" s="374"/>
      <c r="F80" s="373">
        <f>VLOOKUP(B60,Schlüssel!$A$5:$DZ$14,44)</f>
        <v>1</v>
      </c>
      <c r="G80" s="374"/>
      <c r="H80" s="373">
        <f>VLOOKUP(B60,Schlüssel!$A$5:$DZ$14,45)</f>
        <v>2</v>
      </c>
      <c r="I80" s="374"/>
      <c r="J80" s="373">
        <f>VLOOKUP(B60,Schlüssel!$A$5:$DZ$14,46)</f>
        <v>6</v>
      </c>
      <c r="K80" s="374"/>
      <c r="L80" s="373">
        <f>VLOOKUP(B60,Schlüssel!$A$5:$DZ$14,47)</f>
        <v>9</v>
      </c>
      <c r="M80" s="374"/>
      <c r="N80" s="373">
        <f>VLOOKUP(B60,Schlüssel!$A$5:$DZ$14,48)</f>
        <v>7</v>
      </c>
      <c r="O80" s="374"/>
      <c r="P80" s="373">
        <f>VLOOKUP(B60,Schlüssel!$A$5:$DZ$14,49)</f>
        <v>5</v>
      </c>
      <c r="Q80" s="374"/>
      <c r="R80" s="373">
        <f>VLOOKUP(B60,Schlüssel!$A$5:$DZ$14,50)</f>
        <v>4</v>
      </c>
      <c r="S80" s="374"/>
      <c r="T80" s="373">
        <f>VLOOKUP(B60,Schlüssel!$A$5:$DZ$14,51)</f>
        <v>8</v>
      </c>
      <c r="U80" s="374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High Roller Rosenheim 1</v>
      </c>
      <c r="E81" s="347"/>
      <c r="F81" s="346" t="str">
        <f>VLOOKUP(F80,Schlüssel!$A$5:$K$14,2)</f>
        <v>BC Comet Nürnberg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Schanzer Ingolstadt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BC EMAX Unterföhring 2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Schlüssel!$BA$1</f>
        <v>01.02./02.02.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Schlüssel!$AQ$2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3">
        <f>VLOOKUP(B89,Schlüssel!$A$5:$DZ$14,43)</f>
        <v>6</v>
      </c>
      <c r="E109" s="374"/>
      <c r="F109" s="373">
        <f>VLOOKUP(B89,Schlüssel!$A$5:$DZ$14,44)</f>
        <v>5</v>
      </c>
      <c r="G109" s="374"/>
      <c r="H109" s="373">
        <f>VLOOKUP(B89,Schlüssel!$A$5:$DZ$14,45)</f>
        <v>9</v>
      </c>
      <c r="I109" s="374"/>
      <c r="J109" s="373">
        <f>VLOOKUP(B89,Schlüssel!$A$5:$DZ$14,46)</f>
        <v>7</v>
      </c>
      <c r="K109" s="374"/>
      <c r="L109" s="373">
        <f>VLOOKUP(B89,Schlüssel!$A$5:$DZ$14,47)</f>
        <v>8</v>
      </c>
      <c r="M109" s="374"/>
      <c r="N109" s="373">
        <f>VLOOKUP(B89,Schlüssel!$A$5:$DZ$14,48)</f>
        <v>1</v>
      </c>
      <c r="O109" s="374"/>
      <c r="P109" s="373">
        <f>VLOOKUP(B89,Schlüssel!$A$5:$DZ$14,49)</f>
        <v>10</v>
      </c>
      <c r="Q109" s="374"/>
      <c r="R109" s="373">
        <f>VLOOKUP(B89,Schlüssel!$A$5:$DZ$14,50)</f>
        <v>3</v>
      </c>
      <c r="S109" s="374"/>
      <c r="T109" s="373">
        <f>VLOOKUP(B89,Schlüssel!$A$5:$DZ$14,51)</f>
        <v>2</v>
      </c>
      <c r="U109" s="374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SG Rottendorf 1</v>
      </c>
      <c r="E110" s="347"/>
      <c r="F110" s="346" t="str">
        <f>VLOOKUP(F109,Schlüssel!$A$5:$K$14,2)</f>
        <v>RW Lichtenhof Stein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BC Comet Nürnberg</v>
      </c>
      <c r="O110" s="347"/>
      <c r="P110" s="346" t="str">
        <f>VLOOKUP(P109,Schlüssel!$A$5:$K$14,2)</f>
        <v>High Roller Rosenheim 1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Bajuwaren München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Schlüssel!$BA$1</f>
        <v>01.02./02.02.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Schlüssel!$AQ$2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3">
        <f>VLOOKUP(B118,Schlüssel!$A$5:$DZ$14,43)</f>
        <v>1</v>
      </c>
      <c r="E138" s="374"/>
      <c r="F138" s="373">
        <f>VLOOKUP(B118,Schlüssel!$A$5:$DZ$14,44)</f>
        <v>4</v>
      </c>
      <c r="G138" s="374"/>
      <c r="H138" s="373">
        <f>VLOOKUP(B118,Schlüssel!$A$5:$DZ$14,45)</f>
        <v>6</v>
      </c>
      <c r="I138" s="374"/>
      <c r="J138" s="373">
        <f>VLOOKUP(B118,Schlüssel!$A$5:$DZ$14,46)</f>
        <v>9</v>
      </c>
      <c r="K138" s="374"/>
      <c r="L138" s="373">
        <f>VLOOKUP(B118,Schlüssel!$A$5:$DZ$14,47)</f>
        <v>10</v>
      </c>
      <c r="M138" s="374"/>
      <c r="N138" s="373">
        <f>VLOOKUP(B118,Schlüssel!$A$5:$DZ$14,48)</f>
        <v>8</v>
      </c>
      <c r="O138" s="374"/>
      <c r="P138" s="373">
        <f>VLOOKUP(B118,Schlüssel!$A$5:$DZ$14,49)</f>
        <v>3</v>
      </c>
      <c r="Q138" s="374"/>
      <c r="R138" s="373">
        <f>VLOOKUP(B118,Schlüssel!$A$5:$DZ$14,50)</f>
        <v>2</v>
      </c>
      <c r="S138" s="374"/>
      <c r="T138" s="373">
        <f>VLOOKUP(B118,Schlüssel!$A$5:$DZ$14,51)</f>
        <v>7</v>
      </c>
      <c r="U138" s="374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BC Comet Nürnberg</v>
      </c>
      <c r="E139" s="347"/>
      <c r="F139" s="346" t="str">
        <f>VLOOKUP(F138,Schlüssel!$A$5:$K$14,2)</f>
        <v>SG DJK Rimpar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Bowlinghaus Bamberg 1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Bajuwaren München 1</v>
      </c>
      <c r="S139" s="347"/>
      <c r="T139" s="346" t="str">
        <f>VLOOKUP(T138,Schlüssel!$A$5:$K$14,2)</f>
        <v>Schanzer Ingolstadt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Schlüssel!$BA$1</f>
        <v>01.02./02.02.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Schlüssel!$AQ$2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3">
        <f>VLOOKUP(B147,Schlüssel!$A$5:$DZ$14,43)</f>
        <v>4</v>
      </c>
      <c r="E167" s="374"/>
      <c r="F167" s="373">
        <f>VLOOKUP(B147,Schlüssel!$A$5:$DZ$14,44)</f>
        <v>7</v>
      </c>
      <c r="G167" s="374"/>
      <c r="H167" s="373">
        <f>VLOOKUP(B147,Schlüssel!$A$5:$DZ$14,45)</f>
        <v>5</v>
      </c>
      <c r="I167" s="374"/>
      <c r="J167" s="373">
        <f>VLOOKUP(B147,Schlüssel!$A$5:$DZ$14,46)</f>
        <v>3</v>
      </c>
      <c r="K167" s="374"/>
      <c r="L167" s="373">
        <f>VLOOKUP(B147,Schlüssel!$A$5:$DZ$14,47)</f>
        <v>1</v>
      </c>
      <c r="M167" s="374"/>
      <c r="N167" s="373">
        <f>VLOOKUP(B147,Schlüssel!$A$5:$DZ$14,48)</f>
        <v>2</v>
      </c>
      <c r="O167" s="374"/>
      <c r="P167" s="373">
        <f>VLOOKUP(B147,Schlüssel!$A$5:$DZ$14,49)</f>
        <v>8</v>
      </c>
      <c r="Q167" s="374"/>
      <c r="R167" s="373">
        <f>VLOOKUP(B147,Schlüssel!$A$5:$DZ$14,50)</f>
        <v>10</v>
      </c>
      <c r="S167" s="374"/>
      <c r="T167" s="373">
        <f>VLOOKUP(B147,Schlüssel!$A$5:$DZ$14,51)</f>
        <v>9</v>
      </c>
      <c r="U167" s="374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SG DJK Rimpar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Bajuwaren München 1</v>
      </c>
      <c r="O168" s="347"/>
      <c r="P168" s="346" t="str">
        <f>VLOOKUP(P167,Schlüssel!$A$5:$K$14,2)</f>
        <v>BC EMAX Unterföhring 2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Bowlinghaus Bamberg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Schlüssel!$BA$1</f>
        <v>01.02./02.02.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Schlüssel!$AQ$2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3">
        <f>VLOOKUP(B176,Schlüssel!$A$5:$DZ$14,43)</f>
        <v>9</v>
      </c>
      <c r="E196" s="374"/>
      <c r="F196" s="373">
        <f>VLOOKUP(B176,Schlüssel!$A$5:$DZ$14,44)</f>
        <v>6</v>
      </c>
      <c r="G196" s="374"/>
      <c r="H196" s="373">
        <f>VLOOKUP(B176,Schlüssel!$A$5:$DZ$14,45)</f>
        <v>10</v>
      </c>
      <c r="I196" s="374"/>
      <c r="J196" s="373">
        <f>VLOOKUP(B176,Schlüssel!$A$5:$DZ$14,46)</f>
        <v>4</v>
      </c>
      <c r="K196" s="374"/>
      <c r="L196" s="373">
        <f>VLOOKUP(B176,Schlüssel!$A$5:$DZ$14,47)</f>
        <v>2</v>
      </c>
      <c r="M196" s="374"/>
      <c r="N196" s="373">
        <f>VLOOKUP(B176,Schlüssel!$A$5:$DZ$14,48)</f>
        <v>3</v>
      </c>
      <c r="O196" s="374"/>
      <c r="P196" s="373">
        <f>VLOOKUP(B176,Schlüssel!$A$5:$DZ$14,49)</f>
        <v>1</v>
      </c>
      <c r="Q196" s="374"/>
      <c r="R196" s="373">
        <f>VLOOKUP(B176,Schlüssel!$A$5:$DZ$14,50)</f>
        <v>8</v>
      </c>
      <c r="S196" s="374"/>
      <c r="T196" s="373">
        <f>VLOOKUP(B176,Schlüssel!$A$5:$DZ$14,51)</f>
        <v>5</v>
      </c>
      <c r="U196" s="374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Bowlinghaus Bamberg 1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BK München 3</v>
      </c>
      <c r="O197" s="347"/>
      <c r="P197" s="346" t="str">
        <f>VLOOKUP(P196,Schlüssel!$A$5:$K$14,2)</f>
        <v>BC Comet Nürnberg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RW Lichtenhof Stein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Schlüssel!$BA$1</f>
        <v>01.02./02.02.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Schlüssel!$AQ$2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3">
        <f>VLOOKUP(B205,Schlüssel!$A$5:$DZ$14,43)</f>
        <v>2</v>
      </c>
      <c r="E225" s="374"/>
      <c r="F225" s="373">
        <f>VLOOKUP(B205,Schlüssel!$A$5:$DZ$14,44)</f>
        <v>9</v>
      </c>
      <c r="G225" s="374"/>
      <c r="H225" s="373">
        <f>VLOOKUP(B205,Schlüssel!$A$5:$DZ$14,45)</f>
        <v>1</v>
      </c>
      <c r="I225" s="374"/>
      <c r="J225" s="373">
        <f>VLOOKUP(B205,Schlüssel!$A$5:$DZ$14,46)</f>
        <v>10</v>
      </c>
      <c r="K225" s="374"/>
      <c r="L225" s="373">
        <f>VLOOKUP(B205,Schlüssel!$A$5:$DZ$14,47)</f>
        <v>4</v>
      </c>
      <c r="M225" s="374"/>
      <c r="N225" s="373">
        <f>VLOOKUP(B205,Schlüssel!$A$5:$DZ$14,48)</f>
        <v>5</v>
      </c>
      <c r="O225" s="374"/>
      <c r="P225" s="373">
        <f>VLOOKUP(B205,Schlüssel!$A$5:$DZ$14,49)</f>
        <v>6</v>
      </c>
      <c r="Q225" s="374"/>
      <c r="R225" s="373">
        <f>VLOOKUP(B205,Schlüssel!$A$5:$DZ$14,50)</f>
        <v>7</v>
      </c>
      <c r="S225" s="374"/>
      <c r="T225" s="373">
        <f>VLOOKUP(B205,Schlüssel!$A$5:$DZ$14,51)</f>
        <v>3</v>
      </c>
      <c r="U225" s="374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Bajuwaren München 1</v>
      </c>
      <c r="E226" s="347"/>
      <c r="F226" s="346" t="str">
        <f>VLOOKUP(F225,Schlüssel!$A$5:$K$14,2)</f>
        <v>Bowlinghaus Bamberg 1</v>
      </c>
      <c r="G226" s="347"/>
      <c r="H226" s="346" t="str">
        <f>VLOOKUP(H225,Schlüssel!$A$5:$K$14,2)</f>
        <v>BC Comet Nürnberg</v>
      </c>
      <c r="I226" s="347"/>
      <c r="J226" s="346" t="str">
        <f>VLOOKUP(J225,Schlüssel!$A$5:$K$14,2)</f>
        <v>High Roller Rosenheim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SG Rottendorf 1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BK München 3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Schlüssel!$BA$1</f>
        <v>01.02./02.02.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Schlüssel!$AQ$2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3">
        <f>VLOOKUP(B234,Schlüssel!$A$5:$DZ$14,43)</f>
        <v>7</v>
      </c>
      <c r="E254" s="374"/>
      <c r="F254" s="373">
        <f>VLOOKUP(B234,Schlüssel!$A$5:$DZ$14,44)</f>
        <v>8</v>
      </c>
      <c r="G254" s="374"/>
      <c r="H254" s="373">
        <f>VLOOKUP(B234,Schlüssel!$A$5:$DZ$14,45)</f>
        <v>4</v>
      </c>
      <c r="I254" s="374"/>
      <c r="J254" s="373">
        <f>VLOOKUP(B234,Schlüssel!$A$5:$DZ$14,46)</f>
        <v>5</v>
      </c>
      <c r="K254" s="374"/>
      <c r="L254" s="373">
        <f>VLOOKUP(B234,Schlüssel!$A$5:$DZ$14,47)</f>
        <v>3</v>
      </c>
      <c r="M254" s="374"/>
      <c r="N254" s="373">
        <f>VLOOKUP(B234,Schlüssel!$A$5:$DZ$14,48)</f>
        <v>10</v>
      </c>
      <c r="O254" s="374"/>
      <c r="P254" s="373">
        <f>VLOOKUP(B234,Schlüssel!$A$5:$DZ$14,49)</f>
        <v>2</v>
      </c>
      <c r="Q254" s="374"/>
      <c r="R254" s="373">
        <f>VLOOKUP(B234,Schlüssel!$A$5:$DZ$14,50)</f>
        <v>1</v>
      </c>
      <c r="S254" s="374"/>
      <c r="T254" s="373">
        <f>VLOOKUP(B234,Schlüssel!$A$5:$DZ$14,51)</f>
        <v>6</v>
      </c>
      <c r="U254" s="374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Schanzer Ingolstadt 1</v>
      </c>
      <c r="E255" s="347"/>
      <c r="F255" s="346" t="str">
        <f>VLOOKUP(F254,Schlüssel!$A$5:$K$14,2)</f>
        <v>BC EMAX Unterföhring 2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RW Lichtenhof Stein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Bajuwaren München 1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SG Rottendorf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Schlüssel!$BA$1</f>
        <v>01.02./02.02.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Schlüssel!$AQ$2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3">
        <f>VLOOKUP(B263,Schlüssel!$A$5:$DZ$14,43)</f>
        <v>3</v>
      </c>
      <c r="E283" s="374"/>
      <c r="F283" s="373">
        <f>VLOOKUP(B263,Schlüssel!$A$5:$DZ$14,44)</f>
        <v>2</v>
      </c>
      <c r="G283" s="374"/>
      <c r="H283" s="373">
        <f>VLOOKUP(B263,Schlüssel!$A$5:$DZ$14,45)</f>
        <v>7</v>
      </c>
      <c r="I283" s="374"/>
      <c r="J283" s="373">
        <f>VLOOKUP(B263,Schlüssel!$A$5:$DZ$14,46)</f>
        <v>8</v>
      </c>
      <c r="K283" s="374"/>
      <c r="L283" s="373">
        <f>VLOOKUP(B263,Schlüssel!$A$5:$DZ$14,47)</f>
        <v>5</v>
      </c>
      <c r="M283" s="374"/>
      <c r="N283" s="373">
        <f>VLOOKUP(B263,Schlüssel!$A$5:$DZ$14,48)</f>
        <v>9</v>
      </c>
      <c r="O283" s="374"/>
      <c r="P283" s="373">
        <f>VLOOKUP(B263,Schlüssel!$A$5:$DZ$14,49)</f>
        <v>4</v>
      </c>
      <c r="Q283" s="374"/>
      <c r="R283" s="373">
        <f>VLOOKUP(B263,Schlüssel!$A$5:$DZ$14,50)</f>
        <v>6</v>
      </c>
      <c r="S283" s="374"/>
      <c r="T283" s="373">
        <f>VLOOKUP(B263,Schlüssel!$A$5:$DZ$14,51)</f>
        <v>1</v>
      </c>
      <c r="U283" s="374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BK München 3</v>
      </c>
      <c r="E284" s="347"/>
      <c r="F284" s="346" t="str">
        <f>VLOOKUP(F283,Schlüssel!$A$5:$K$14,2)</f>
        <v>Bajuwaren München 1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BC EMAX Unterföhring 2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SG DJK Rimpar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Comet Nürnberg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01.02./02.02.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01.02./02.02.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51">
        <f>IF(AD7="","",AD7)</f>
        <v>0</v>
      </c>
      <c r="F7" s="75">
        <f t="shared" ref="F7:F20" si="0">IF(AE7=0,"",AE7)</f>
        <v>172</v>
      </c>
      <c r="G7" s="351">
        <f>IF(AF7="","",AF7)</f>
        <v>0</v>
      </c>
      <c r="H7" s="75" t="str">
        <f t="shared" ref="H7:H20" si="1">IF(AG7=0,"",AG7)</f>
        <v/>
      </c>
      <c r="I7" s="351">
        <f>IF(AH7="","",AH7)</f>
        <v>1</v>
      </c>
      <c r="J7" s="75" t="str">
        <f t="shared" ref="J7:J20" si="2">IF(AI7=0,"",AI7)</f>
        <v/>
      </c>
      <c r="K7" s="351">
        <f>IF(AJ7="","",AJ7)</f>
        <v>0</v>
      </c>
      <c r="L7" s="75" t="str">
        <f t="shared" ref="L7:L20" si="3">IF(AK7=0,"",AK7)</f>
        <v/>
      </c>
      <c r="M7" s="351">
        <f>IF(AL7="","",AL7)</f>
        <v>1</v>
      </c>
      <c r="N7" s="75" t="str">
        <f>IF(AM7=0,"",AM7)</f>
        <v/>
      </c>
      <c r="O7" s="351">
        <f>IF(AN7="","",AN7)</f>
        <v>1</v>
      </c>
      <c r="P7" s="75" t="str">
        <f t="shared" ref="P7:P20" si="4">IF(AO7=0,"",AO7)</f>
        <v/>
      </c>
      <c r="Q7" s="351">
        <f>IF(AP7="","",AP7)</f>
        <v>0</v>
      </c>
      <c r="R7" s="75">
        <f t="shared" ref="R7:R20" si="5">IF(AQ7=0,"",AQ7)</f>
        <v>226</v>
      </c>
      <c r="S7" s="351">
        <f>IF(AR7="","",AR7)</f>
        <v>1</v>
      </c>
      <c r="T7" s="75">
        <f t="shared" ref="T7:T20" si="6">IF(AS7=0,"",AS7)</f>
        <v>209</v>
      </c>
      <c r="U7" s="351">
        <f>IF(AT7="","",AT7)</f>
        <v>1</v>
      </c>
      <c r="V7" s="75">
        <f t="shared" ref="V7:V20" si="7">IF(AU7=0,"",AU7)</f>
        <v>771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52"/>
      <c r="F8" s="78" t="str">
        <f t="shared" si="0"/>
        <v/>
      </c>
      <c r="G8" s="352"/>
      <c r="H8" s="78">
        <f t="shared" si="1"/>
        <v>160</v>
      </c>
      <c r="I8" s="352"/>
      <c r="J8" s="78">
        <f t="shared" si="2"/>
        <v>141</v>
      </c>
      <c r="K8" s="352"/>
      <c r="L8" s="78">
        <f t="shared" si="3"/>
        <v>166</v>
      </c>
      <c r="M8" s="352"/>
      <c r="N8" s="78">
        <f t="shared" ref="N8:N20" si="20">IF(AM8=0,"",AM8)</f>
        <v>199</v>
      </c>
      <c r="O8" s="352"/>
      <c r="P8" s="78">
        <f t="shared" si="4"/>
        <v>164</v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>
        <f t="shared" si="7"/>
        <v>830</v>
      </c>
      <c r="W8" s="352"/>
      <c r="Z8" s="355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51">
        <f>IF(AD10="","",AD10)</f>
        <v>1</v>
      </c>
      <c r="F10" s="75">
        <f t="shared" si="0"/>
        <v>158</v>
      </c>
      <c r="G10" s="351">
        <f>IF(AF10="","",AF10)</f>
        <v>0</v>
      </c>
      <c r="H10" s="75">
        <f t="shared" si="1"/>
        <v>266</v>
      </c>
      <c r="I10" s="351">
        <f>IF(AH10="","",AH10)</f>
        <v>1</v>
      </c>
      <c r="J10" s="75">
        <f t="shared" si="2"/>
        <v>220</v>
      </c>
      <c r="K10" s="351">
        <f>IF(AJ10="","",AJ10)</f>
        <v>1</v>
      </c>
      <c r="L10" s="75">
        <f t="shared" si="3"/>
        <v>243</v>
      </c>
      <c r="M10" s="351">
        <f>IF(AL10="","",AL10)</f>
        <v>1</v>
      </c>
      <c r="N10" s="75">
        <f t="shared" si="20"/>
        <v>171</v>
      </c>
      <c r="O10" s="351">
        <f>IF(AN10="","",AN10)</f>
        <v>0</v>
      </c>
      <c r="P10" s="75">
        <f t="shared" si="4"/>
        <v>201</v>
      </c>
      <c r="Q10" s="351">
        <f>IF(AP10="","",AP10)</f>
        <v>1</v>
      </c>
      <c r="R10" s="75">
        <f t="shared" si="5"/>
        <v>160</v>
      </c>
      <c r="S10" s="351">
        <f>IF(AR10="","",AR10)</f>
        <v>0</v>
      </c>
      <c r="T10" s="75">
        <f t="shared" si="6"/>
        <v>174</v>
      </c>
      <c r="U10" s="351">
        <f>IF(AT10="","",AT10)</f>
        <v>1</v>
      </c>
      <c r="V10" s="75">
        <f t="shared" si="7"/>
        <v>1776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51">
        <f>IF(AD13="","",AD13)</f>
        <v>1</v>
      </c>
      <c r="F13" s="75">
        <f t="shared" si="0"/>
        <v>179</v>
      </c>
      <c r="G13" s="351">
        <f>IF(AF13="","",AF13)</f>
        <v>0</v>
      </c>
      <c r="H13" s="75">
        <f t="shared" si="1"/>
        <v>215</v>
      </c>
      <c r="I13" s="351">
        <f>IF(AH13="","",AH13)</f>
        <v>1</v>
      </c>
      <c r="J13" s="75">
        <f t="shared" si="2"/>
        <v>184</v>
      </c>
      <c r="K13" s="351">
        <f>IF(AJ13="","",AJ13)</f>
        <v>0</v>
      </c>
      <c r="L13" s="75">
        <f t="shared" si="3"/>
        <v>199</v>
      </c>
      <c r="M13" s="351">
        <f>IF(AL13="","",AL13)</f>
        <v>1</v>
      </c>
      <c r="N13" s="75">
        <f t="shared" si="20"/>
        <v>234</v>
      </c>
      <c r="O13" s="351">
        <f>IF(AN13="","",AN13)</f>
        <v>1</v>
      </c>
      <c r="P13" s="75">
        <f t="shared" si="4"/>
        <v>218</v>
      </c>
      <c r="Q13" s="351">
        <f>IF(AP13="","",AP13)</f>
        <v>0</v>
      </c>
      <c r="R13" s="75">
        <f t="shared" si="5"/>
        <v>196</v>
      </c>
      <c r="S13" s="351">
        <f>IF(AR13="","",AR13)</f>
        <v>0</v>
      </c>
      <c r="T13" s="75">
        <f t="shared" si="6"/>
        <v>206</v>
      </c>
      <c r="U13" s="351">
        <f>IF(AT13="","",AT13)</f>
        <v>1</v>
      </c>
      <c r="V13" s="75">
        <f t="shared" si="7"/>
        <v>1852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51">
        <f>IF(AD16="","",AD16)</f>
        <v>1</v>
      </c>
      <c r="F16" s="75">
        <f t="shared" si="0"/>
        <v>267</v>
      </c>
      <c r="G16" s="351">
        <f>IF(AF16="","",AF16)</f>
        <v>1</v>
      </c>
      <c r="H16" s="75">
        <f t="shared" si="1"/>
        <v>252</v>
      </c>
      <c r="I16" s="351">
        <f>IF(AH16="","",AH16)</f>
        <v>1</v>
      </c>
      <c r="J16" s="75">
        <f t="shared" si="2"/>
        <v>221</v>
      </c>
      <c r="K16" s="351">
        <f>IF(AJ16="","",AJ16)</f>
        <v>1</v>
      </c>
      <c r="L16" s="75">
        <f t="shared" si="3"/>
        <v>195</v>
      </c>
      <c r="M16" s="351">
        <f>IF(AL16="","",AL16)</f>
        <v>1</v>
      </c>
      <c r="N16" s="75">
        <f t="shared" si="20"/>
        <v>209</v>
      </c>
      <c r="O16" s="351">
        <f>IF(AN16="","",AN16)</f>
        <v>1</v>
      </c>
      <c r="P16" s="75">
        <f t="shared" si="4"/>
        <v>202</v>
      </c>
      <c r="Q16" s="351">
        <f>IF(AP16="","",AP16)</f>
        <v>1</v>
      </c>
      <c r="R16" s="75">
        <f t="shared" si="5"/>
        <v>206</v>
      </c>
      <c r="S16" s="351">
        <f>IF(AR16="","",AR16)</f>
        <v>1</v>
      </c>
      <c r="T16" s="75">
        <f t="shared" si="6"/>
        <v>219</v>
      </c>
      <c r="U16" s="351">
        <f>IF(AT16="","",AT16)</f>
        <v>1</v>
      </c>
      <c r="V16" s="75">
        <f t="shared" si="7"/>
        <v>1986</v>
      </c>
      <c r="W16" s="351">
        <f>IF(AV16="","",AV16)</f>
        <v>9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5</v>
      </c>
      <c r="E22" s="349" t="str">
        <f t="shared" si="31"/>
        <v/>
      </c>
      <c r="F22" s="349">
        <f t="shared" si="31"/>
        <v>3</v>
      </c>
      <c r="G22" s="349" t="str">
        <f t="shared" si="31"/>
        <v/>
      </c>
      <c r="H22" s="349">
        <f t="shared" si="31"/>
        <v>8</v>
      </c>
      <c r="I22" s="349" t="str">
        <f t="shared" si="31"/>
        <v/>
      </c>
      <c r="J22" s="349">
        <f t="shared" si="31"/>
        <v>2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4</v>
      </c>
      <c r="O22" s="349" t="str">
        <f t="shared" si="31"/>
        <v/>
      </c>
      <c r="P22" s="349">
        <f t="shared" si="31"/>
        <v>7</v>
      </c>
      <c r="Q22" s="349" t="str">
        <f t="shared" si="31"/>
        <v/>
      </c>
      <c r="R22" s="349">
        <f t="shared" ref="L22:U24" si="32">IF(AQ22=0,"",AQ22)</f>
        <v>9</v>
      </c>
      <c r="S22" s="349" t="str">
        <f t="shared" si="32"/>
        <v/>
      </c>
      <c r="T22" s="349">
        <f t="shared" si="32"/>
        <v>10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VLOOKUP($AA2,Schlüssel!$A$5:$DG$14,43)</f>
        <v>5</v>
      </c>
      <c r="AD22" s="374"/>
      <c r="AE22" s="373">
        <f>VLOOKUP($AA2,Schlüssel!$A$5:$EK$14,44)</f>
        <v>3</v>
      </c>
      <c r="AF22" s="374"/>
      <c r="AG22" s="373">
        <f>VLOOKUP($AA2,Schlüssel!$A$5:$EK$14,45)</f>
        <v>8</v>
      </c>
      <c r="AH22" s="374"/>
      <c r="AI22" s="373">
        <f>VLOOKUP($AA2,Schlüssel!$A$5:$EK$14,46)</f>
        <v>2</v>
      </c>
      <c r="AJ22" s="374"/>
      <c r="AK22" s="373">
        <f>VLOOKUP($AA2,Schlüssel!$A$5:$EK$14,47)</f>
        <v>6</v>
      </c>
      <c r="AL22" s="374"/>
      <c r="AM22" s="373">
        <f>VLOOKUP($AA2,Schlüssel!$A$5:$EK$14,48)</f>
        <v>4</v>
      </c>
      <c r="AN22" s="374"/>
      <c r="AO22" s="373">
        <f>VLOOKUP($AA2,Schlüssel!$A$5:$EK$14,49)</f>
        <v>7</v>
      </c>
      <c r="AP22" s="374"/>
      <c r="AQ22" s="373">
        <f>VLOOKUP($AA2,Schlüssel!$A$5:$EK$14,50)</f>
        <v>9</v>
      </c>
      <c r="AR22" s="374"/>
      <c r="AS22" s="373">
        <f>VLOOKUP($AA2,Schlüssel!$A$5:$EK$14,51)</f>
        <v>10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RW Lichtenhof Stein 1</v>
      </c>
      <c r="E23" s="347" t="str">
        <f t="shared" si="33"/>
        <v/>
      </c>
      <c r="F23" s="346" t="str">
        <f t="shared" si="33"/>
        <v>BK München 3</v>
      </c>
      <c r="G23" s="347" t="str">
        <f t="shared" si="33"/>
        <v/>
      </c>
      <c r="H23" s="346" t="str">
        <f t="shared" si="33"/>
        <v>BC EMAX Unterföhring 2</v>
      </c>
      <c r="I23" s="347" t="str">
        <f t="shared" si="33"/>
        <v/>
      </c>
      <c r="J23" s="346" t="str">
        <f t="shared" si="33"/>
        <v>Bajuwaren München 1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SG DJK Rimpar</v>
      </c>
      <c r="O23" s="347" t="str">
        <f t="shared" si="32"/>
        <v/>
      </c>
      <c r="P23" s="346" t="str">
        <f t="shared" si="32"/>
        <v>Schanzer Ingolstadt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High Roller Rosenheim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RW Lichtenhof Stein 1</v>
      </c>
      <c r="AD23" s="347"/>
      <c r="AE23" s="346" t="str">
        <f>VLOOKUP(AE22,Schlüssel!$A$5:$K$14,2)</f>
        <v>BK München 3</v>
      </c>
      <c r="AF23" s="347"/>
      <c r="AG23" s="346" t="str">
        <f>VLOOKUP(AG22,Schlüssel!$A$5:$K$14,2)</f>
        <v>BC EMAX Unterföhring 2</v>
      </c>
      <c r="AH23" s="347"/>
      <c r="AI23" s="346" t="str">
        <f>VLOOKUP(AI22,Schlüssel!$A$5:$K$14,2)</f>
        <v>Bajuwaren München 1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SG DJK Rimpar</v>
      </c>
      <c r="AN23" s="347"/>
      <c r="AO23" s="346" t="str">
        <f>VLOOKUP(AO22,Schlüssel!$A$5:$K$14,2)</f>
        <v>Schanzer Ingolstadt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High Roller Rosenheim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180</v>
      </c>
      <c r="E25" s="342" t="str">
        <f>IF(AD25=0,"",AD25)</f>
        <v/>
      </c>
      <c r="F25" s="342">
        <f>IF(AE25=301,"",AE25)</f>
        <v>231</v>
      </c>
      <c r="G25" s="342" t="str">
        <f>IF(AF25=0,"",AF25)</f>
        <v/>
      </c>
      <c r="H25" s="342">
        <f>IF(AG25=301,"",AG25)</f>
        <v>148</v>
      </c>
      <c r="I25" s="342" t="str">
        <f>IF(AH25=0,"",AH25)</f>
        <v/>
      </c>
      <c r="J25" s="342">
        <f>IF(AI25=301,"",AI25)</f>
        <v>210</v>
      </c>
      <c r="K25" s="342" t="str">
        <f>IF(AJ25=0,"",AJ25)</f>
        <v/>
      </c>
      <c r="L25" s="342">
        <f>IF(AK25=301,"",AK25)</f>
        <v>158</v>
      </c>
      <c r="M25" s="342" t="str">
        <f>IF(AL25=0,"",AL25)</f>
        <v/>
      </c>
      <c r="N25" s="342">
        <f>IF(AM25=301,"",AM25)</f>
        <v>135</v>
      </c>
      <c r="O25" s="342" t="str">
        <f>IF(AN25=0,"",AN25)</f>
        <v/>
      </c>
      <c r="P25" s="342">
        <f>IF(AO25=301,"",AO25)</f>
        <v>184</v>
      </c>
      <c r="Q25" s="342" t="str">
        <f>IF(AP25=0,"",AP25)</f>
        <v/>
      </c>
      <c r="R25" s="342">
        <f>IF(AQ25=301,"",AQ25)</f>
        <v>222</v>
      </c>
      <c r="S25" s="342" t="str">
        <f>IF(AR25=0,"",AR25)</f>
        <v/>
      </c>
      <c r="T25" s="342">
        <f>IF(AS25=301,"",AS25)</f>
        <v>125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180</v>
      </c>
      <c r="AD25" s="376"/>
      <c r="AE25" s="375">
        <f>ABS(INDEX(AE:AE,MATCH(AE22,$AA:$AA,0)+5)+INDEX(AE:AE,MATCH(AE22,$AA:$AA,0)+6)+INDEX(AE:AE,MATCH(AE22,$AA:$AA,0)+7))</f>
        <v>231</v>
      </c>
      <c r="AF25" s="376"/>
      <c r="AG25" s="375">
        <f>ABS(INDEX(AG:AG,MATCH(AG22,$AA:$AA,0)+5)+INDEX(AG:AG,MATCH(AG22,$AA:$AA,0)+6)+INDEX(AG:AG,MATCH(AG22,$AA:$AA,0)+7))</f>
        <v>148</v>
      </c>
      <c r="AH25" s="376"/>
      <c r="AI25" s="375">
        <f>ABS(INDEX(AI:AI,MATCH(AI22,$AA:$AA,0)+5)+INDEX(AI:AI,MATCH(AI22,$AA:$AA,0)+6)+INDEX(AI:AI,MATCH(AI22,$AA:$AA,0)+7))</f>
        <v>210</v>
      </c>
      <c r="AJ25" s="376"/>
      <c r="AK25" s="375">
        <f>ABS(INDEX(AK:AK,MATCH(AK22,$AA:$AA,0)+5)+INDEX(AK:AK,MATCH(AK22,$AA:$AA,0)+6)+INDEX(AK:AK,MATCH(AK22,$AA:$AA,0)+7))</f>
        <v>158</v>
      </c>
      <c r="AL25" s="376"/>
      <c r="AM25" s="375">
        <f>ABS(INDEX(AM:AM,MATCH(AM22,$AA:$AA,0)+5)+INDEX(AM:AM,MATCH(AM22,$AA:$AA,0)+6)+INDEX(AM:AM,MATCH(AM22,$AA:$AA,0)+7))</f>
        <v>135</v>
      </c>
      <c r="AN25" s="376"/>
      <c r="AO25" s="375">
        <f>ABS(INDEX(AO:AO,MATCH(AO22,$AA:$AA,0)+5)+INDEX(AO:AO,MATCH(AO22,$AA:$AA,0)+6)+INDEX(AO:AO,MATCH(AO22,$AA:$AA,0)+7))</f>
        <v>184</v>
      </c>
      <c r="AP25" s="376"/>
      <c r="AQ25" s="375">
        <f>ABS(INDEX(AQ:AQ,MATCH(AQ22,$AA:$AA,0)+5)+INDEX(AQ:AQ,MATCH(AQ22,$AA:$AA,0)+6)+INDEX(AQ:AQ,MATCH(AQ22,$AA:$AA,0)+7))</f>
        <v>222</v>
      </c>
      <c r="AR25" s="376"/>
      <c r="AS25" s="375">
        <f>ABS(INDEX(AS:AS,MATCH(AS22,$AA:$AA,0)+5)+INDEX(AS:AS,MATCH(AS22,$AA:$AA,0)+6)+INDEX(AS:AS,MATCH(AS22,$AA:$AA,0)+7))</f>
        <v>125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167</v>
      </c>
      <c r="E26" s="342" t="str">
        <f>IF(AD26=0,"",AD26)</f>
        <v/>
      </c>
      <c r="F26" s="342">
        <f>IF(AE26=301,"",AE26)</f>
        <v>222</v>
      </c>
      <c r="G26" s="342" t="str">
        <f>IF(AF26=0,"",AF26)</f>
        <v/>
      </c>
      <c r="H26" s="342">
        <f>IF(AG26=301,"",AG26)</f>
        <v>155</v>
      </c>
      <c r="I26" s="342" t="str">
        <f>IF(AH26=0,"",AH26)</f>
        <v/>
      </c>
      <c r="J26" s="342">
        <f>IF(AI26=301,"",AI26)</f>
        <v>175</v>
      </c>
      <c r="K26" s="342" t="str">
        <f>IF(AJ26=0,"",AJ26)</f>
        <v/>
      </c>
      <c r="L26" s="342">
        <f>IF(AK26=301,"",AK26)</f>
        <v>210</v>
      </c>
      <c r="M26" s="342" t="str">
        <f>IF(AL26=0,"",AL26)</f>
        <v/>
      </c>
      <c r="N26" s="342">
        <f>IF(AM26=301,"",AM26)</f>
        <v>184</v>
      </c>
      <c r="O26" s="342" t="str">
        <f>IF(AN26=0,"",AN26)</f>
        <v/>
      </c>
      <c r="P26" s="342">
        <f>IF(AO26=301,"",AO26)</f>
        <v>154</v>
      </c>
      <c r="Q26" s="342" t="str">
        <f>IF(AP26=0,"",AP26)</f>
        <v/>
      </c>
      <c r="R26" s="342">
        <f>IF(AQ26=301,"",AQ26)</f>
        <v>166</v>
      </c>
      <c r="S26" s="342" t="str">
        <f>IF(AR26=0,"",AR26)</f>
        <v/>
      </c>
      <c r="T26" s="342">
        <f>IF(AS26=301,"",AS26)</f>
        <v>167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167</v>
      </c>
      <c r="AD26" s="378"/>
      <c r="AE26" s="377">
        <f>ABS(INDEX(AE:AE,MATCH(AE22,$AA:$AA,0)+8)+INDEX(AE:AE,MATCH(AE22,$AA:$AA,0)+9)+INDEX(AE:AE,MATCH(AE22,$AA:$AA,0)+10))</f>
        <v>222</v>
      </c>
      <c r="AF26" s="378"/>
      <c r="AG26" s="377">
        <f>ABS(INDEX(AG:AG,MATCH(AG22,$AA:$AA,0)+8)+INDEX(AG:AG,MATCH(AG22,$AA:$AA,0)+9)+INDEX(AG:AG,MATCH(AG22,$AA:$AA,0)+10))</f>
        <v>155</v>
      </c>
      <c r="AH26" s="378"/>
      <c r="AI26" s="377">
        <f>ABS(INDEX(AI:AI,MATCH(AI22,$AA:$AA,0)+8)+INDEX(AI:AI,MATCH(AI22,$AA:$AA,0)+9)+INDEX(AI:AI,MATCH(AI22,$AA:$AA,0)+10))</f>
        <v>175</v>
      </c>
      <c r="AJ26" s="378"/>
      <c r="AK26" s="377">
        <f>ABS(INDEX(AK:AK,MATCH(AK22,$AA:$AA,0)+8)+INDEX(AK:AK,MATCH(AK22,$AA:$AA,0)+9)+INDEX(AK:AK,MATCH(AK22,$AA:$AA,0)+10))</f>
        <v>210</v>
      </c>
      <c r="AL26" s="378"/>
      <c r="AM26" s="377">
        <f>ABS(INDEX(AM:AM,MATCH(AM22,$AA:$AA,0)+8)+INDEX(AM:AM,MATCH(AM22,$AA:$AA,0)+9)+INDEX(AM:AM,MATCH(AM22,$AA:$AA,0)+10))</f>
        <v>184</v>
      </c>
      <c r="AN26" s="378"/>
      <c r="AO26" s="377">
        <f>ABS(INDEX(AO:AO,MATCH(AO22,$AA:$AA,0)+8)+INDEX(AO:AO,MATCH(AO22,$AA:$AA,0)+9)+INDEX(AO:AO,MATCH(AO22,$AA:$AA,0)+10))</f>
        <v>154</v>
      </c>
      <c r="AP26" s="378"/>
      <c r="AQ26" s="377">
        <f>ABS(INDEX(AQ:AQ,MATCH(AQ22,$AA:$AA,0)+8)+INDEX(AQ:AQ,MATCH(AQ22,$AA:$AA,0)+9)+INDEX(AQ:AQ,MATCH(AQ22,$AA:$AA,0)+10))</f>
        <v>166</v>
      </c>
      <c r="AR26" s="378"/>
      <c r="AS26" s="377">
        <f>ABS(INDEX(AS:AS,MATCH(AS22,$AA:$AA,0)+8)+INDEX(AS:AS,MATCH(AS22,$AA:$AA,0)+9)+INDEX(AS:AS,MATCH(AS22,$AA:$AA,0)+10))</f>
        <v>167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154</v>
      </c>
      <c r="E27" s="342" t="str">
        <f>IF(AD27=0,"",AD27)</f>
        <v/>
      </c>
      <c r="F27" s="342">
        <f>IF(AE27=301,"",AE27)</f>
        <v>194</v>
      </c>
      <c r="G27" s="342" t="str">
        <f>IF(AF27=0,"",AF27)</f>
        <v/>
      </c>
      <c r="H27" s="342">
        <f>IF(AG27=301,"",AG27)</f>
        <v>179</v>
      </c>
      <c r="I27" s="342" t="str">
        <f>IF(AH27=0,"",AH27)</f>
        <v/>
      </c>
      <c r="J27" s="342">
        <f>IF(AI27=301,"",AI27)</f>
        <v>207</v>
      </c>
      <c r="K27" s="342" t="str">
        <f>IF(AJ27=0,"",AJ27)</f>
        <v/>
      </c>
      <c r="L27" s="342">
        <f>IF(AK27=301,"",AK27)</f>
        <v>150</v>
      </c>
      <c r="M27" s="342" t="str">
        <f>IF(AL27=0,"",AL27)</f>
        <v/>
      </c>
      <c r="N27" s="342">
        <f>IF(AM27=301,"",AM27)</f>
        <v>163</v>
      </c>
      <c r="O27" s="342" t="str">
        <f>IF(AN27=0,"",AN27)</f>
        <v/>
      </c>
      <c r="P27" s="342">
        <f>IF(AO27=301,"",AO27)</f>
        <v>219</v>
      </c>
      <c r="Q27" s="342" t="str">
        <f>IF(AP27=0,"",AP27)</f>
        <v/>
      </c>
      <c r="R27" s="342">
        <f>IF(AQ27=301,"",AQ27)</f>
        <v>234</v>
      </c>
      <c r="S27" s="342" t="str">
        <f>IF(AR27=0,"",AR27)</f>
        <v/>
      </c>
      <c r="T27" s="342">
        <f>IF(AS27=301,"",AS27)</f>
        <v>150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154</v>
      </c>
      <c r="AD27" s="378"/>
      <c r="AE27" s="377">
        <f>ABS(INDEX(AE:AE,MATCH(AE22,$AA:$AA,0)+11)+INDEX(AE:AE,MATCH(AE22,$AA:$AA,0)+12)+INDEX(AE:AE,MATCH(AE22,$AA:$AA,0)+13))</f>
        <v>194</v>
      </c>
      <c r="AF27" s="378"/>
      <c r="AG27" s="377">
        <f>ABS(INDEX(AG:AG,MATCH(AG22,$AA:$AA,0)+11)+INDEX(AG:AG,MATCH(AG22,$AA:$AA,0)+12)+INDEX(AG:AG,MATCH(AG22,$AA:$AA,0)+13))</f>
        <v>179</v>
      </c>
      <c r="AH27" s="378"/>
      <c r="AI27" s="377">
        <f>ABS(INDEX(AI:AI,MATCH(AI22,$AA:$AA,0)+11)+INDEX(AI:AI,MATCH(AI22,$AA:$AA,0)+12)+INDEX(AI:AI,MATCH(AI22,$AA:$AA,0)+13))</f>
        <v>207</v>
      </c>
      <c r="AJ27" s="378"/>
      <c r="AK27" s="377">
        <f>ABS(INDEX(AK:AK,MATCH(AK22,$AA:$AA,0)+11)+INDEX(AK:AK,MATCH(AK22,$AA:$AA,0)+12)+INDEX(AK:AK,MATCH(AK22,$AA:$AA,0)+13))</f>
        <v>150</v>
      </c>
      <c r="AL27" s="378"/>
      <c r="AM27" s="377">
        <f>ABS(INDEX(AM:AM,MATCH(AM22,$AA:$AA,0)+11)+INDEX(AM:AM,MATCH(AM22,$AA:$AA,0)+12)+INDEX(AM:AM,MATCH(AM22,$AA:$AA,0)+13))</f>
        <v>163</v>
      </c>
      <c r="AN27" s="378"/>
      <c r="AO27" s="377">
        <f>ABS(INDEX(AO:AO,MATCH(AO22,$AA:$AA,0)+11)+INDEX(AO:AO,MATCH(AO22,$AA:$AA,0)+12)+INDEX(AO:AO,MATCH(AO22,$AA:$AA,0)+13))</f>
        <v>219</v>
      </c>
      <c r="AP27" s="378"/>
      <c r="AQ27" s="377">
        <f>ABS(INDEX(AQ:AQ,MATCH(AQ22,$AA:$AA,0)+11)+INDEX(AQ:AQ,MATCH(AQ22,$AA:$AA,0)+12)+INDEX(AQ:AQ,MATCH(AQ22,$AA:$AA,0)+13))</f>
        <v>234</v>
      </c>
      <c r="AR27" s="378"/>
      <c r="AS27" s="377">
        <f>ABS(INDEX(AS:AS,MATCH(AS22,$AA:$AA,0)+11)+INDEX(AS:AS,MATCH(AS22,$AA:$AA,0)+12)+INDEX(AS:AS,MATCH(AS22,$AA:$AA,0)+13))</f>
        <v>150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194</v>
      </c>
      <c r="E28" s="342" t="str">
        <f>IF(AD28=0,"",AD28)</f>
        <v/>
      </c>
      <c r="F28" s="342">
        <f>IF(AE28=301,"",AE28)</f>
        <v>212</v>
      </c>
      <c r="G28" s="342" t="str">
        <f>IF(AF28=0,"",AF28)</f>
        <v/>
      </c>
      <c r="H28" s="342">
        <f>IF(AG28=301,"",AG28)</f>
        <v>176</v>
      </c>
      <c r="I28" s="342" t="str">
        <f>IF(AH28=0,"",AH28)</f>
        <v/>
      </c>
      <c r="J28" s="342">
        <f>IF(AI28=301,"",AI28)</f>
        <v>143</v>
      </c>
      <c r="K28" s="342" t="str">
        <f>IF(AJ28=0,"",AJ28)</f>
        <v/>
      </c>
      <c r="L28" s="342">
        <f>IF(AK28=301,"",AK28)</f>
        <v>159</v>
      </c>
      <c r="M28" s="342" t="str">
        <f>IF(AL28=0,"",AL28)</f>
        <v/>
      </c>
      <c r="N28" s="342">
        <f>IF(AM28=301,"",AM28)</f>
        <v>177</v>
      </c>
      <c r="O28" s="342" t="str">
        <f>IF(AN28=0,"",AN28)</f>
        <v/>
      </c>
      <c r="P28" s="342">
        <f>IF(AO28=301,"",AO28)</f>
        <v>188</v>
      </c>
      <c r="Q28" s="342" t="str">
        <f>IF(AP28=0,"",AP28)</f>
        <v/>
      </c>
      <c r="R28" s="342">
        <f>IF(AQ28=301,"",AQ28)</f>
        <v>188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194</v>
      </c>
      <c r="AD28" s="378"/>
      <c r="AE28" s="377">
        <f>ABS(INDEX(AE:AE,MATCH(AE22,$AA:$AA,0)+14)+INDEX(AE:AE,MATCH(AE22,$AA:$AA,0)+15)+INDEX(AE:AE,MATCH(AE22,$AA:$AA,0)+16))</f>
        <v>212</v>
      </c>
      <c r="AF28" s="378"/>
      <c r="AG28" s="377">
        <f>ABS(INDEX(AG:AG,MATCH(AG22,$AA:$AA,0)+14)+INDEX(AG:AG,MATCH(AG22,$AA:$AA,0)+15)+INDEX(AG:AG,MATCH(AG22,$AA:$AA,0)+16))</f>
        <v>176</v>
      </c>
      <c r="AH28" s="378"/>
      <c r="AI28" s="377">
        <f>ABS(INDEX(AI:AI,MATCH(AI22,$AA:$AA,0)+14)+INDEX(AI:AI,MATCH(AI22,$AA:$AA,0)+15)+INDEX(AI:AI,MATCH(AI22,$AA:$AA,0)+16))</f>
        <v>143</v>
      </c>
      <c r="AJ28" s="378"/>
      <c r="AK28" s="377">
        <f>ABS(INDEX(AK:AK,MATCH(AK22,$AA:$AA,0)+14)+INDEX(AK:AK,MATCH(AK22,$AA:$AA,0)+15)+INDEX(AK:AK,MATCH(AK22,$AA:$AA,0)+16))</f>
        <v>159</v>
      </c>
      <c r="AL28" s="378"/>
      <c r="AM28" s="377">
        <f>ABS(INDEX(AM:AM,MATCH(AM22,$AA:$AA,0)+14)+INDEX(AM:AM,MATCH(AM22,$AA:$AA,0)+15)+INDEX(AM:AM,MATCH(AM22,$AA:$AA,0)+16))</f>
        <v>177</v>
      </c>
      <c r="AN28" s="378"/>
      <c r="AO28" s="377">
        <f>ABS(INDEX(AO:AO,MATCH(AO22,$AA:$AA,0)+14)+INDEX(AO:AO,MATCH(AO22,$AA:$AA,0)+15)+INDEX(AO:AO,MATCH(AO22,$AA:$AA,0)+16))</f>
        <v>188</v>
      </c>
      <c r="AP28" s="378"/>
      <c r="AQ28" s="377">
        <f>ABS(INDEX(AQ:AQ,MATCH(AQ22,$AA:$AA,0)+14)+INDEX(AQ:AQ,MATCH(AQ22,$AA:$AA,0)+15)+INDEX(AQ:AQ,MATCH(AQ22,$AA:$AA,0)+16))</f>
        <v>188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695</v>
      </c>
      <c r="E29" s="341" t="str">
        <f>IF(AD29=0,"",AD29)</f>
        <v/>
      </c>
      <c r="F29" s="341">
        <f>IF(AE29=1505,"",AE29)</f>
        <v>859</v>
      </c>
      <c r="G29" s="341" t="str">
        <f>IF(AF29=0,"",AF29)</f>
        <v/>
      </c>
      <c r="H29" s="341">
        <f>IF(AG29=1505,"",AG29)</f>
        <v>658</v>
      </c>
      <c r="I29" s="341" t="str">
        <f>IF(AH29=0,"",AH29)</f>
        <v/>
      </c>
      <c r="J29" s="341">
        <f>IF(AI29=1505,"",AI29)</f>
        <v>735</v>
      </c>
      <c r="K29" s="341" t="str">
        <f>IF(AJ29=0,"",AJ29)</f>
        <v/>
      </c>
      <c r="L29" s="341">
        <f>IF(AK29=1505,"",AK29)</f>
        <v>677</v>
      </c>
      <c r="M29" s="341" t="str">
        <f>IF(AL29=0,"",AL29)</f>
        <v/>
      </c>
      <c r="N29" s="341">
        <f>IF(AM29=1505,"",AM29)</f>
        <v>659</v>
      </c>
      <c r="O29" s="341" t="str">
        <f>IF(AN29=0,"",AN29)</f>
        <v/>
      </c>
      <c r="P29" s="341">
        <f>IF(AO29=1505,"",AO29)</f>
        <v>745</v>
      </c>
      <c r="Q29" s="341" t="str">
        <f>IF(AP29=0,"",AP29)</f>
        <v/>
      </c>
      <c r="R29" s="341">
        <f>IF(AQ29=1505,"",AQ29)</f>
        <v>810</v>
      </c>
      <c r="S29" s="341" t="str">
        <f>IF(AR29=0,"",AR29)</f>
        <v/>
      </c>
      <c r="T29" s="341">
        <f>IF(AS29=1505,"",AS29)</f>
        <v>651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695</v>
      </c>
      <c r="AD29" s="358"/>
      <c r="AE29" s="357">
        <f>SUM(AE25:AE28)</f>
        <v>859</v>
      </c>
      <c r="AF29" s="358"/>
      <c r="AG29" s="357">
        <f>SUM(AG25:AG28)</f>
        <v>658</v>
      </c>
      <c r="AH29" s="358"/>
      <c r="AI29" s="357">
        <f>SUM(AI25:AI28)</f>
        <v>735</v>
      </c>
      <c r="AJ29" s="358"/>
      <c r="AK29" s="357">
        <f>SUM(AK25:AK28)</f>
        <v>677</v>
      </c>
      <c r="AL29" s="358"/>
      <c r="AM29" s="357">
        <f>SUM(AM25:AM28)</f>
        <v>659</v>
      </c>
      <c r="AN29" s="358"/>
      <c r="AO29" s="357">
        <f>SUM(AO25:AO28)</f>
        <v>745</v>
      </c>
      <c r="AP29" s="358"/>
      <c r="AQ29" s="357">
        <f>SUM(AQ25:AQ28)</f>
        <v>810</v>
      </c>
      <c r="AR29" s="358"/>
      <c r="AS29" s="357">
        <f>SUM(AS25:AS28)</f>
        <v>651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01.02./02.02.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01.02./02.02.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51">
        <f>IF(AD37="","",AD37)</f>
        <v>0</v>
      </c>
      <c r="F37" s="75">
        <f t="shared" ref="F37:F50" si="35">IF(AE37=0,"",AE37)</f>
        <v>247</v>
      </c>
      <c r="G37" s="351">
        <f>IF(AF37="","",AF37)</f>
        <v>1</v>
      </c>
      <c r="H37" s="75">
        <f t="shared" ref="H37:H50" si="36">IF(AG37=0,"",AG37)</f>
        <v>225</v>
      </c>
      <c r="I37" s="351">
        <f>IF(AH37="","",AH37)</f>
        <v>1</v>
      </c>
      <c r="J37" s="75">
        <f t="shared" ref="J37:J50" si="37">IF(AI37=0,"",AI37)</f>
        <v>210</v>
      </c>
      <c r="K37" s="351">
        <f>IF(AJ37="","",AJ37)</f>
        <v>1</v>
      </c>
      <c r="L37" s="75">
        <f t="shared" ref="L37:L50" si="38">IF(AK37=0,"",AK37)</f>
        <v>171</v>
      </c>
      <c r="M37" s="351">
        <f>IF(AL37="","",AL37)</f>
        <v>0</v>
      </c>
      <c r="N37" s="75">
        <f>IF(AM37=0,"",AM37)</f>
        <v>230</v>
      </c>
      <c r="O37" s="351">
        <f>IF(AN37="","",AN37)</f>
        <v>1</v>
      </c>
      <c r="P37" s="75">
        <f t="shared" ref="P37:P50" si="39">IF(AO37=0,"",AO37)</f>
        <v>186</v>
      </c>
      <c r="Q37" s="351">
        <f>IF(AP37="","",AP37)</f>
        <v>0</v>
      </c>
      <c r="R37" s="75">
        <f t="shared" ref="R37:R50" si="40">IF(AQ37=0,"",AQ37)</f>
        <v>200</v>
      </c>
      <c r="S37" s="351">
        <f>IF(AR37="","",AR37)</f>
        <v>1</v>
      </c>
      <c r="T37" s="75">
        <f t="shared" ref="T37:T50" si="41">IF(AS37=0,"",AS37)</f>
        <v>224</v>
      </c>
      <c r="U37" s="351">
        <f>IF(AT37="","",AT37)</f>
        <v>1</v>
      </c>
      <c r="V37" s="75">
        <f t="shared" ref="V37:V50" si="42">IF(AU37=0,"",AU37)</f>
        <v>1869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51">
        <f>IF(AD40="","",AD40)</f>
        <v>0</v>
      </c>
      <c r="F40" s="75">
        <f t="shared" si="35"/>
        <v>178</v>
      </c>
      <c r="G40" s="351">
        <f>IF(AF40="","",AF40)</f>
        <v>1</v>
      </c>
      <c r="H40" s="75">
        <f t="shared" si="36"/>
        <v>157</v>
      </c>
      <c r="I40" s="351">
        <f>IF(AH40="","",AH40)</f>
        <v>0</v>
      </c>
      <c r="J40" s="75">
        <f t="shared" si="37"/>
        <v>175</v>
      </c>
      <c r="K40" s="351">
        <f>IF(AJ40="","",AJ40)</f>
        <v>0</v>
      </c>
      <c r="L40" s="75">
        <f t="shared" si="38"/>
        <v>175</v>
      </c>
      <c r="M40" s="351">
        <f>IF(AL40="","",AL40)</f>
        <v>0</v>
      </c>
      <c r="N40" s="75">
        <f t="shared" si="55"/>
        <v>242</v>
      </c>
      <c r="O40" s="351">
        <f>IF(AN40="","",AN40)</f>
        <v>1</v>
      </c>
      <c r="P40" s="75">
        <f t="shared" si="39"/>
        <v>238</v>
      </c>
      <c r="Q40" s="351">
        <f>IF(AP40="","",AP40)</f>
        <v>1</v>
      </c>
      <c r="R40" s="75">
        <f t="shared" si="40"/>
        <v>212</v>
      </c>
      <c r="S40" s="351">
        <f>IF(AR40="","",AR40)</f>
        <v>1</v>
      </c>
      <c r="T40" s="75">
        <f t="shared" si="41"/>
        <v>203</v>
      </c>
      <c r="U40" s="351">
        <f>IF(AT40="","",AT40)</f>
        <v>0</v>
      </c>
      <c r="V40" s="75">
        <f t="shared" si="42"/>
        <v>1726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5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51">
        <f>IF(AD43="","",AD43)</f>
        <v>0</v>
      </c>
      <c r="F43" s="75">
        <f t="shared" si="35"/>
        <v>212</v>
      </c>
      <c r="G43" s="351">
        <f>IF(AF43="","",AF43)</f>
        <v>1</v>
      </c>
      <c r="H43" s="75">
        <f t="shared" si="36"/>
        <v>190</v>
      </c>
      <c r="I43" s="351">
        <f>IF(AH43="","",AH43)</f>
        <v>1</v>
      </c>
      <c r="J43" s="75">
        <f t="shared" si="37"/>
        <v>207</v>
      </c>
      <c r="K43" s="351">
        <f>IF(AJ43="","",AJ43)</f>
        <v>1</v>
      </c>
      <c r="L43" s="75">
        <f t="shared" si="38"/>
        <v>213</v>
      </c>
      <c r="M43" s="351">
        <f>IF(AL43="","",AL43)</f>
        <v>1</v>
      </c>
      <c r="N43" s="75">
        <f t="shared" si="55"/>
        <v>201</v>
      </c>
      <c r="O43" s="351">
        <f>IF(AN43="","",AN43)</f>
        <v>1</v>
      </c>
      <c r="P43" s="75">
        <f t="shared" si="39"/>
        <v>186</v>
      </c>
      <c r="Q43" s="351">
        <f>IF(AP43="","",AP43)</f>
        <v>0</v>
      </c>
      <c r="R43" s="75">
        <f t="shared" si="40"/>
        <v>174</v>
      </c>
      <c r="S43" s="351">
        <f>IF(AR43="","",AR43)</f>
        <v>1</v>
      </c>
      <c r="T43" s="75">
        <f t="shared" si="41"/>
        <v>182</v>
      </c>
      <c r="U43" s="351">
        <f>IF(AT43="","",AT43)</f>
        <v>1</v>
      </c>
      <c r="V43" s="75">
        <f t="shared" si="42"/>
        <v>1704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51">
        <f>IF(AD46="","",AD46)</f>
        <v>0</v>
      </c>
      <c r="F46" s="75">
        <f t="shared" si="35"/>
        <v>187</v>
      </c>
      <c r="G46" s="351">
        <f>IF(AF46="","",AF46)</f>
        <v>1</v>
      </c>
      <c r="H46" s="75">
        <f t="shared" si="36"/>
        <v>187</v>
      </c>
      <c r="I46" s="351">
        <f>IF(AH46="","",AH46)</f>
        <v>1</v>
      </c>
      <c r="J46" s="75">
        <f t="shared" si="37"/>
        <v>143</v>
      </c>
      <c r="K46" s="351">
        <f>IF(AJ46="","",AJ46)</f>
        <v>0</v>
      </c>
      <c r="L46" s="75" t="str">
        <f t="shared" si="38"/>
        <v/>
      </c>
      <c r="M46" s="351">
        <f>IF(AL46="","",AL46)</f>
        <v>0</v>
      </c>
      <c r="N46" s="75" t="str">
        <f t="shared" si="55"/>
        <v/>
      </c>
      <c r="O46" s="351">
        <f>IF(AN46="","",AN46)</f>
        <v>1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662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>
        <f t="shared" si="38"/>
        <v>164</v>
      </c>
      <c r="M47" s="352"/>
      <c r="N47" s="78">
        <f t="shared" si="55"/>
        <v>188</v>
      </c>
      <c r="O47" s="352"/>
      <c r="P47" s="78">
        <f t="shared" si="39"/>
        <v>160</v>
      </c>
      <c r="Q47" s="352"/>
      <c r="R47" s="78">
        <f t="shared" si="40"/>
        <v>167</v>
      </c>
      <c r="S47" s="352"/>
      <c r="T47" s="78">
        <f t="shared" si="41"/>
        <v>159</v>
      </c>
      <c r="U47" s="352"/>
      <c r="V47" s="78">
        <f t="shared" si="42"/>
        <v>838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8</v>
      </c>
      <c r="E52" s="349" t="str">
        <f t="shared" si="66"/>
        <v/>
      </c>
      <c r="F52" s="349">
        <f t="shared" si="66"/>
        <v>10</v>
      </c>
      <c r="G52" s="349" t="str">
        <f t="shared" si="66"/>
        <v/>
      </c>
      <c r="H52" s="349">
        <f t="shared" si="66"/>
        <v>3</v>
      </c>
      <c r="I52" s="349" t="str">
        <f t="shared" si="66"/>
        <v/>
      </c>
      <c r="J52" s="349">
        <f t="shared" si="66"/>
        <v>1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6</v>
      </c>
      <c r="O52" s="349" t="str">
        <f t="shared" si="67"/>
        <v/>
      </c>
      <c r="P52" s="349">
        <f t="shared" si="67"/>
        <v>9</v>
      </c>
      <c r="Q52" s="349" t="str">
        <f t="shared" si="67"/>
        <v/>
      </c>
      <c r="R52" s="349">
        <f t="shared" si="67"/>
        <v>5</v>
      </c>
      <c r="S52" s="349" t="str">
        <f t="shared" si="67"/>
        <v/>
      </c>
      <c r="T52" s="349">
        <f t="shared" si="67"/>
        <v>4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VLOOKUP($AA32,Schlüssel!$A$5:$DG$14,43)</f>
        <v>8</v>
      </c>
      <c r="AD52" s="374"/>
      <c r="AE52" s="373">
        <f>VLOOKUP($AA32,Schlüssel!$A$5:$EK$14,44)</f>
        <v>10</v>
      </c>
      <c r="AF52" s="374"/>
      <c r="AG52" s="373">
        <f>VLOOKUP($AA32,Schlüssel!$A$5:$EK$14,45)</f>
        <v>3</v>
      </c>
      <c r="AH52" s="374"/>
      <c r="AI52" s="373">
        <f>VLOOKUP($AA32,Schlüssel!$A$5:$EK$14,46)</f>
        <v>1</v>
      </c>
      <c r="AJ52" s="374"/>
      <c r="AK52" s="373">
        <f>VLOOKUP($AA32,Schlüssel!$A$5:$EK$14,47)</f>
        <v>7</v>
      </c>
      <c r="AL52" s="374"/>
      <c r="AM52" s="373">
        <f>VLOOKUP($AA32,Schlüssel!$A$5:$EK$14,48)</f>
        <v>6</v>
      </c>
      <c r="AN52" s="374"/>
      <c r="AO52" s="373">
        <f>VLOOKUP($AA32,Schlüssel!$A$5:$EK$14,49)</f>
        <v>9</v>
      </c>
      <c r="AP52" s="374"/>
      <c r="AQ52" s="373">
        <f>VLOOKUP($AA32,Schlüssel!$A$5:$EK$14,50)</f>
        <v>5</v>
      </c>
      <c r="AR52" s="374"/>
      <c r="AS52" s="373">
        <f>VLOOKUP($AA32,Schlüssel!$A$5:$EK$14,51)</f>
        <v>4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BC EMAX Unterföhring 2</v>
      </c>
      <c r="E53" s="347" t="str">
        <f t="shared" si="66"/>
        <v/>
      </c>
      <c r="F53" s="346" t="str">
        <f t="shared" si="66"/>
        <v>High Roller Rosenheim 1</v>
      </c>
      <c r="G53" s="347" t="str">
        <f t="shared" si="66"/>
        <v/>
      </c>
      <c r="H53" s="346" t="str">
        <f t="shared" si="66"/>
        <v>BK München 3</v>
      </c>
      <c r="I53" s="347" t="str">
        <f t="shared" si="66"/>
        <v/>
      </c>
      <c r="J53" s="346" t="str">
        <f t="shared" si="66"/>
        <v>BC Comet Nürnberg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SG Rottendorf 1</v>
      </c>
      <c r="O53" s="347" t="str">
        <f t="shared" si="67"/>
        <v/>
      </c>
      <c r="P53" s="346" t="str">
        <f t="shared" si="67"/>
        <v>Bowlinghaus Bamberg 1</v>
      </c>
      <c r="Q53" s="347" t="str">
        <f t="shared" si="67"/>
        <v/>
      </c>
      <c r="R53" s="346" t="str">
        <f t="shared" si="67"/>
        <v>RW Lichtenhof Stein 1</v>
      </c>
      <c r="S53" s="347" t="str">
        <f t="shared" si="67"/>
        <v/>
      </c>
      <c r="T53" s="346" t="str">
        <f t="shared" si="67"/>
        <v>SG DJK Rimpar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BC EMAX Unterföhring 2</v>
      </c>
      <c r="AD53" s="347"/>
      <c r="AE53" s="346" t="str">
        <f>VLOOKUP(AE52,Schlüssel!$A$5:$K$14,2)</f>
        <v>High Roller Rosenheim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BC Comet Nürnberg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SG Rottendorf 1</v>
      </c>
      <c r="AN53" s="347"/>
      <c r="AO53" s="346" t="str">
        <f>VLOOKUP(AO52,Schlüssel!$A$5:$K$14,2)</f>
        <v>Bowlinghaus Bamberg 1</v>
      </c>
      <c r="AP53" s="347"/>
      <c r="AQ53" s="346" t="str">
        <f>VLOOKUP(AQ52,Schlüssel!$A$5:$K$14,2)</f>
        <v>RW Lichtenhof Stein 1</v>
      </c>
      <c r="AR53" s="347"/>
      <c r="AS53" s="346" t="str">
        <f>VLOOKUP(AS52,Schlüssel!$A$5:$K$14,2)</f>
        <v>SG DJK Rimpar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190</v>
      </c>
      <c r="E55" s="342" t="str">
        <f>IF(AD55=0,"",AD55)</f>
        <v/>
      </c>
      <c r="F55" s="342">
        <f>IF(AE55=301,"",AE55)</f>
        <v>163</v>
      </c>
      <c r="G55" s="342" t="str">
        <f>IF(AF55=0,"",AF55)</f>
        <v/>
      </c>
      <c r="H55" s="342">
        <f>IF(AG55=301,"",AG55)</f>
        <v>196</v>
      </c>
      <c r="I55" s="342" t="str">
        <f>IF(AH55=0,"",AH55)</f>
        <v/>
      </c>
      <c r="J55" s="342">
        <f>IF(AI55=301,"",AI55)</f>
        <v>141</v>
      </c>
      <c r="K55" s="342" t="str">
        <f>IF(AJ55=0,"",AJ55)</f>
        <v/>
      </c>
      <c r="L55" s="342">
        <f>IF(AK55=301,"",AK55)</f>
        <v>197</v>
      </c>
      <c r="M55" s="342" t="str">
        <f>IF(AL55=0,"",AL55)</f>
        <v/>
      </c>
      <c r="N55" s="342">
        <f>IF(AM55=301,"",AM55)</f>
        <v>151</v>
      </c>
      <c r="O55" s="342" t="str">
        <f>IF(AN55=0,"",AN55)</f>
        <v/>
      </c>
      <c r="P55" s="342">
        <f>IF(AO55=301,"",AO55)</f>
        <v>190</v>
      </c>
      <c r="Q55" s="342" t="str">
        <f>IF(AP55=0,"",AP55)</f>
        <v/>
      </c>
      <c r="R55" s="342">
        <f>IF(AQ55=301,"",AQ55)</f>
        <v>188</v>
      </c>
      <c r="S55" s="342" t="str">
        <f>IF(AR55=0,"",AR55)</f>
        <v/>
      </c>
      <c r="T55" s="342">
        <f>IF(AS55=301,"",AS55)</f>
        <v>193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190</v>
      </c>
      <c r="AD55" s="376"/>
      <c r="AE55" s="375">
        <f>ABS(INDEX(AE:AE,MATCH(AE52,$AA:$AA,0)+5)+INDEX(AE:AE,MATCH(AE52,$AA:$AA,0)+6)+INDEX(AE:AE,MATCH(AE52,$AA:$AA,0)+7))</f>
        <v>163</v>
      </c>
      <c r="AF55" s="376"/>
      <c r="AG55" s="375">
        <f>ABS(INDEX(AG:AG,MATCH(AG52,$AA:$AA,0)+5)+INDEX(AG:AG,MATCH(AG52,$AA:$AA,0)+6)+INDEX(AG:AG,MATCH(AG52,$AA:$AA,0)+7))</f>
        <v>196</v>
      </c>
      <c r="AH55" s="376"/>
      <c r="AI55" s="375">
        <f>ABS(INDEX(AI:AI,MATCH(AI52,$AA:$AA,0)+5)+INDEX(AI:AI,MATCH(AI52,$AA:$AA,0)+6)+INDEX(AI:AI,MATCH(AI52,$AA:$AA,0)+7))</f>
        <v>141</v>
      </c>
      <c r="AJ55" s="376"/>
      <c r="AK55" s="375">
        <f>ABS(INDEX(AK:AK,MATCH(AK52,$AA:$AA,0)+5)+INDEX(AK:AK,MATCH(AK52,$AA:$AA,0)+6)+INDEX(AK:AK,MATCH(AK52,$AA:$AA,0)+7))</f>
        <v>197</v>
      </c>
      <c r="AL55" s="376"/>
      <c r="AM55" s="375">
        <f>ABS(INDEX(AM:AM,MATCH(AM52,$AA:$AA,0)+5)+INDEX(AM:AM,MATCH(AM52,$AA:$AA,0)+6)+INDEX(AM:AM,MATCH(AM52,$AA:$AA,0)+7))</f>
        <v>151</v>
      </c>
      <c r="AN55" s="376"/>
      <c r="AO55" s="375">
        <f>ABS(INDEX(AO:AO,MATCH(AO52,$AA:$AA,0)+5)+INDEX(AO:AO,MATCH(AO52,$AA:$AA,0)+6)+INDEX(AO:AO,MATCH(AO52,$AA:$AA,0)+7))</f>
        <v>190</v>
      </c>
      <c r="AP55" s="376"/>
      <c r="AQ55" s="375">
        <f>ABS(INDEX(AQ:AQ,MATCH(AQ52,$AA:$AA,0)+5)+INDEX(AQ:AQ,MATCH(AQ52,$AA:$AA,0)+6)+INDEX(AQ:AQ,MATCH(AQ52,$AA:$AA,0)+7))</f>
        <v>188</v>
      </c>
      <c r="AR55" s="376"/>
      <c r="AS55" s="375">
        <f>ABS(INDEX(AS:AS,MATCH(AS52,$AA:$AA,0)+5)+INDEX(AS:AS,MATCH(AS52,$AA:$AA,0)+6)+INDEX(AS:AS,MATCH(AS52,$AA:$AA,0)+7))</f>
        <v>193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194</v>
      </c>
      <c r="E56" s="342" t="str">
        <f>IF(AD56=0,"",AD56)</f>
        <v/>
      </c>
      <c r="F56" s="342">
        <f>IF(AE56=301,"",AE56)</f>
        <v>173</v>
      </c>
      <c r="G56" s="342" t="str">
        <f>IF(AF56=0,"",AF56)</f>
        <v/>
      </c>
      <c r="H56" s="342">
        <f>IF(AG56=301,"",AG56)</f>
        <v>228</v>
      </c>
      <c r="I56" s="342" t="str">
        <f>IF(AH56=0,"",AH56)</f>
        <v/>
      </c>
      <c r="J56" s="342">
        <f>IF(AI56=301,"",AI56)</f>
        <v>220</v>
      </c>
      <c r="K56" s="342" t="str">
        <f>IF(AJ56=0,"",AJ56)</f>
        <v/>
      </c>
      <c r="L56" s="342">
        <f>IF(AK56=301,"",AK56)</f>
        <v>216</v>
      </c>
      <c r="M56" s="342" t="str">
        <f>IF(AL56=0,"",AL56)</f>
        <v/>
      </c>
      <c r="N56" s="342">
        <f>IF(AM56=301,"",AM56)</f>
        <v>225</v>
      </c>
      <c r="O56" s="342" t="str">
        <f>IF(AN56=0,"",AN56)</f>
        <v/>
      </c>
      <c r="P56" s="342">
        <f>IF(AO56=301,"",AO56)</f>
        <v>203</v>
      </c>
      <c r="Q56" s="342" t="str">
        <f>IF(AP56=0,"",AP56)</f>
        <v/>
      </c>
      <c r="R56" s="342">
        <f>IF(AQ56=301,"",AQ56)</f>
        <v>200</v>
      </c>
      <c r="S56" s="342" t="str">
        <f>IF(AR56=0,"",AR56)</f>
        <v/>
      </c>
      <c r="T56" s="342">
        <f>IF(AS56=301,"",AS56)</f>
        <v>209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194</v>
      </c>
      <c r="AD56" s="378"/>
      <c r="AE56" s="377">
        <f>ABS(INDEX(AE:AE,MATCH(AE52,$AA:$AA,0)+8)+INDEX(AE:AE,MATCH(AE52,$AA:$AA,0)+9)+INDEX(AE:AE,MATCH(AE52,$AA:$AA,0)+10))</f>
        <v>173</v>
      </c>
      <c r="AF56" s="378"/>
      <c r="AG56" s="377">
        <f>ABS(INDEX(AG:AG,MATCH(AG52,$AA:$AA,0)+8)+INDEX(AG:AG,MATCH(AG52,$AA:$AA,0)+9)+INDEX(AG:AG,MATCH(AG52,$AA:$AA,0)+10))</f>
        <v>228</v>
      </c>
      <c r="AH56" s="378"/>
      <c r="AI56" s="377">
        <f>ABS(INDEX(AI:AI,MATCH(AI52,$AA:$AA,0)+8)+INDEX(AI:AI,MATCH(AI52,$AA:$AA,0)+9)+INDEX(AI:AI,MATCH(AI52,$AA:$AA,0)+10))</f>
        <v>220</v>
      </c>
      <c r="AJ56" s="378"/>
      <c r="AK56" s="377">
        <f>ABS(INDEX(AK:AK,MATCH(AK52,$AA:$AA,0)+8)+INDEX(AK:AK,MATCH(AK52,$AA:$AA,0)+9)+INDEX(AK:AK,MATCH(AK52,$AA:$AA,0)+10))</f>
        <v>216</v>
      </c>
      <c r="AL56" s="378"/>
      <c r="AM56" s="377">
        <f>ABS(INDEX(AM:AM,MATCH(AM52,$AA:$AA,0)+8)+INDEX(AM:AM,MATCH(AM52,$AA:$AA,0)+9)+INDEX(AM:AM,MATCH(AM52,$AA:$AA,0)+10))</f>
        <v>225</v>
      </c>
      <c r="AN56" s="378"/>
      <c r="AO56" s="377">
        <f>ABS(INDEX(AO:AO,MATCH(AO52,$AA:$AA,0)+8)+INDEX(AO:AO,MATCH(AO52,$AA:$AA,0)+9)+INDEX(AO:AO,MATCH(AO52,$AA:$AA,0)+10))</f>
        <v>203</v>
      </c>
      <c r="AP56" s="378"/>
      <c r="AQ56" s="377">
        <f>ABS(INDEX(AQ:AQ,MATCH(AQ52,$AA:$AA,0)+8)+INDEX(AQ:AQ,MATCH(AQ52,$AA:$AA,0)+9)+INDEX(AQ:AQ,MATCH(AQ52,$AA:$AA,0)+10))</f>
        <v>200</v>
      </c>
      <c r="AR56" s="378"/>
      <c r="AS56" s="377">
        <f>ABS(INDEX(AS:AS,MATCH(AS52,$AA:$AA,0)+8)+INDEX(AS:AS,MATCH(AS52,$AA:$AA,0)+9)+INDEX(AS:AS,MATCH(AS52,$AA:$AA,0)+10))</f>
        <v>209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182</v>
      </c>
      <c r="E57" s="342" t="str">
        <f>IF(AD57=0,"",AD57)</f>
        <v/>
      </c>
      <c r="F57" s="342">
        <f>IF(AE57=301,"",AE57)</f>
        <v>190</v>
      </c>
      <c r="G57" s="342" t="str">
        <f>IF(AF57=0,"",AF57)</f>
        <v/>
      </c>
      <c r="H57" s="342">
        <f>IF(AG57=301,"",AG57)</f>
        <v>176</v>
      </c>
      <c r="I57" s="342" t="str">
        <f>IF(AH57=0,"",AH57)</f>
        <v/>
      </c>
      <c r="J57" s="342">
        <f>IF(AI57=301,"",AI57)</f>
        <v>184</v>
      </c>
      <c r="K57" s="342" t="str">
        <f>IF(AJ57=0,"",AJ57)</f>
        <v/>
      </c>
      <c r="L57" s="342">
        <f>IF(AK57=301,"",AK57)</f>
        <v>168</v>
      </c>
      <c r="M57" s="342" t="str">
        <f>IF(AL57=0,"",AL57)</f>
        <v/>
      </c>
      <c r="N57" s="342">
        <f>IF(AM57=301,"",AM57)</f>
        <v>171</v>
      </c>
      <c r="O57" s="342" t="str">
        <f>IF(AN57=0,"",AN57)</f>
        <v/>
      </c>
      <c r="P57" s="342">
        <f>IF(AO57=301,"",AO57)</f>
        <v>199</v>
      </c>
      <c r="Q57" s="342" t="str">
        <f>IF(AP57=0,"",AP57)</f>
        <v/>
      </c>
      <c r="R57" s="342">
        <f>IF(AQ57=301,"",AQ57)</f>
        <v>171</v>
      </c>
      <c r="S57" s="342" t="str">
        <f>IF(AR57=0,"",AR57)</f>
        <v/>
      </c>
      <c r="T57" s="342">
        <f>IF(AS57=301,"",AS57)</f>
        <v>166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182</v>
      </c>
      <c r="AD57" s="378"/>
      <c r="AE57" s="377">
        <f>ABS(INDEX(AE:AE,MATCH(AE52,$AA:$AA,0)+11)+INDEX(AE:AE,MATCH(AE52,$AA:$AA,0)+12)+INDEX(AE:AE,MATCH(AE52,$AA:$AA,0)+13))</f>
        <v>190</v>
      </c>
      <c r="AF57" s="378"/>
      <c r="AG57" s="377">
        <f>ABS(INDEX(AG:AG,MATCH(AG52,$AA:$AA,0)+11)+INDEX(AG:AG,MATCH(AG52,$AA:$AA,0)+12)+INDEX(AG:AG,MATCH(AG52,$AA:$AA,0)+13))</f>
        <v>176</v>
      </c>
      <c r="AH57" s="378"/>
      <c r="AI57" s="377">
        <f>ABS(INDEX(AI:AI,MATCH(AI52,$AA:$AA,0)+11)+INDEX(AI:AI,MATCH(AI52,$AA:$AA,0)+12)+INDEX(AI:AI,MATCH(AI52,$AA:$AA,0)+13))</f>
        <v>184</v>
      </c>
      <c r="AJ57" s="378"/>
      <c r="AK57" s="377">
        <f>ABS(INDEX(AK:AK,MATCH(AK52,$AA:$AA,0)+11)+INDEX(AK:AK,MATCH(AK52,$AA:$AA,0)+12)+INDEX(AK:AK,MATCH(AK52,$AA:$AA,0)+13))</f>
        <v>168</v>
      </c>
      <c r="AL57" s="378"/>
      <c r="AM57" s="377">
        <f>ABS(INDEX(AM:AM,MATCH(AM52,$AA:$AA,0)+11)+INDEX(AM:AM,MATCH(AM52,$AA:$AA,0)+12)+INDEX(AM:AM,MATCH(AM52,$AA:$AA,0)+13))</f>
        <v>171</v>
      </c>
      <c r="AN57" s="378"/>
      <c r="AO57" s="377">
        <f>ABS(INDEX(AO:AO,MATCH(AO52,$AA:$AA,0)+11)+INDEX(AO:AO,MATCH(AO52,$AA:$AA,0)+12)+INDEX(AO:AO,MATCH(AO52,$AA:$AA,0)+13))</f>
        <v>199</v>
      </c>
      <c r="AP57" s="378"/>
      <c r="AQ57" s="377">
        <f>ABS(INDEX(AQ:AQ,MATCH(AQ52,$AA:$AA,0)+11)+INDEX(AQ:AQ,MATCH(AQ52,$AA:$AA,0)+12)+INDEX(AQ:AQ,MATCH(AQ52,$AA:$AA,0)+13))</f>
        <v>171</v>
      </c>
      <c r="AR57" s="378"/>
      <c r="AS57" s="377">
        <f>ABS(INDEX(AS:AS,MATCH(AS52,$AA:$AA,0)+11)+INDEX(AS:AS,MATCH(AS52,$AA:$AA,0)+12)+INDEX(AS:AS,MATCH(AS52,$AA:$AA,0)+13))</f>
        <v>166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181</v>
      </c>
      <c r="E58" s="342" t="str">
        <f>IF(AD58=0,"",AD58)</f>
        <v/>
      </c>
      <c r="F58" s="342">
        <f>IF(AE58=301,"",AE58)</f>
        <v>128</v>
      </c>
      <c r="G58" s="342" t="str">
        <f>IF(AF58=0,"",AF58)</f>
        <v/>
      </c>
      <c r="H58" s="342">
        <f>IF(AG58=301,"",AG58)</f>
        <v>181</v>
      </c>
      <c r="I58" s="342" t="str">
        <f>IF(AH58=0,"",AH58)</f>
        <v/>
      </c>
      <c r="J58" s="342">
        <f>IF(AI58=301,"",AI58)</f>
        <v>221</v>
      </c>
      <c r="K58" s="342" t="str">
        <f>IF(AJ58=0,"",AJ58)</f>
        <v/>
      </c>
      <c r="L58" s="342">
        <f>IF(AK58=301,"",AK58)</f>
        <v>209</v>
      </c>
      <c r="M58" s="342" t="str">
        <f>IF(AL58=0,"",AL58)</f>
        <v/>
      </c>
      <c r="N58" s="342">
        <f>IF(AM58=301,"",AM58)</f>
        <v>126</v>
      </c>
      <c r="O58" s="342" t="str">
        <f>IF(AN58=0,"",AN58)</f>
        <v/>
      </c>
      <c r="P58" s="342">
        <f>IF(AO58=301,"",AO58)</f>
        <v>236</v>
      </c>
      <c r="Q58" s="342" t="str">
        <f>IF(AP58=0,"",AP58)</f>
        <v/>
      </c>
      <c r="R58" s="342">
        <f>IF(AQ58=301,"",AQ58)</f>
        <v>180</v>
      </c>
      <c r="S58" s="342" t="str">
        <f>IF(AR58=0,"",AR58)</f>
        <v/>
      </c>
      <c r="T58" s="342">
        <f>IF(AS58=301,"",AS58)</f>
        <v>158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181</v>
      </c>
      <c r="AD58" s="378"/>
      <c r="AE58" s="377">
        <f>ABS(INDEX(AE:AE,MATCH(AE52,$AA:$AA,0)+14)+INDEX(AE:AE,MATCH(AE52,$AA:$AA,0)+15)+INDEX(AE:AE,MATCH(AE52,$AA:$AA,0)+16))</f>
        <v>128</v>
      </c>
      <c r="AF58" s="378"/>
      <c r="AG58" s="377">
        <f>ABS(INDEX(AG:AG,MATCH(AG52,$AA:$AA,0)+14)+INDEX(AG:AG,MATCH(AG52,$AA:$AA,0)+15)+INDEX(AG:AG,MATCH(AG52,$AA:$AA,0)+16))</f>
        <v>181</v>
      </c>
      <c r="AH58" s="378"/>
      <c r="AI58" s="377">
        <f>ABS(INDEX(AI:AI,MATCH(AI52,$AA:$AA,0)+14)+INDEX(AI:AI,MATCH(AI52,$AA:$AA,0)+15)+INDEX(AI:AI,MATCH(AI52,$AA:$AA,0)+16))</f>
        <v>221</v>
      </c>
      <c r="AJ58" s="378"/>
      <c r="AK58" s="377">
        <f>ABS(INDEX(AK:AK,MATCH(AK52,$AA:$AA,0)+14)+INDEX(AK:AK,MATCH(AK52,$AA:$AA,0)+15)+INDEX(AK:AK,MATCH(AK52,$AA:$AA,0)+16))</f>
        <v>209</v>
      </c>
      <c r="AL58" s="378"/>
      <c r="AM58" s="377">
        <f>ABS(INDEX(AM:AM,MATCH(AM52,$AA:$AA,0)+14)+INDEX(AM:AM,MATCH(AM52,$AA:$AA,0)+15)+INDEX(AM:AM,MATCH(AM52,$AA:$AA,0)+16))</f>
        <v>126</v>
      </c>
      <c r="AN58" s="378"/>
      <c r="AO58" s="377">
        <f>ABS(INDEX(AO:AO,MATCH(AO52,$AA:$AA,0)+14)+INDEX(AO:AO,MATCH(AO52,$AA:$AA,0)+15)+INDEX(AO:AO,MATCH(AO52,$AA:$AA,0)+16))</f>
        <v>236</v>
      </c>
      <c r="AP58" s="378"/>
      <c r="AQ58" s="377">
        <f>ABS(INDEX(AQ:AQ,MATCH(AQ52,$AA:$AA,0)+14)+INDEX(AQ:AQ,MATCH(AQ52,$AA:$AA,0)+15)+INDEX(AQ:AQ,MATCH(AQ52,$AA:$AA,0)+16))</f>
        <v>180</v>
      </c>
      <c r="AR58" s="378"/>
      <c r="AS58" s="377">
        <f>ABS(INDEX(AS:AS,MATCH(AS52,$AA:$AA,0)+14)+INDEX(AS:AS,MATCH(AS52,$AA:$AA,0)+15)+INDEX(AS:AS,MATCH(AS52,$AA:$AA,0)+16))</f>
        <v>158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747</v>
      </c>
      <c r="E59" s="341" t="str">
        <f>IF(AD59=0,"",AD59)</f>
        <v/>
      </c>
      <c r="F59" s="341">
        <f>IF(AE59=1505,"",AE59)</f>
        <v>654</v>
      </c>
      <c r="G59" s="341" t="str">
        <f>IF(AF59=0,"",AF59)</f>
        <v/>
      </c>
      <c r="H59" s="341">
        <f>IF(AG59=1505,"",AG59)</f>
        <v>781</v>
      </c>
      <c r="I59" s="341" t="str">
        <f>IF(AH59=0,"",AH59)</f>
        <v/>
      </c>
      <c r="J59" s="341">
        <f>IF(AI59=1505,"",AI59)</f>
        <v>766</v>
      </c>
      <c r="K59" s="341" t="str">
        <f>IF(AJ59=0,"",AJ59)</f>
        <v/>
      </c>
      <c r="L59" s="341">
        <f>IF(AK59=1505,"",AK59)</f>
        <v>790</v>
      </c>
      <c r="M59" s="341" t="str">
        <f>IF(AL59=0,"",AL59)</f>
        <v/>
      </c>
      <c r="N59" s="341">
        <f>IF(AM59=1505,"",AM59)</f>
        <v>673</v>
      </c>
      <c r="O59" s="341" t="str">
        <f>IF(AN59=0,"",AN59)</f>
        <v/>
      </c>
      <c r="P59" s="341">
        <f>IF(AO59=1505,"",AO59)</f>
        <v>828</v>
      </c>
      <c r="Q59" s="341" t="str">
        <f>IF(AP59=0,"",AP59)</f>
        <v/>
      </c>
      <c r="R59" s="341">
        <f>IF(AQ59=1505,"",AQ59)</f>
        <v>739</v>
      </c>
      <c r="S59" s="341" t="str">
        <f>IF(AR59=0,"",AR59)</f>
        <v/>
      </c>
      <c r="T59" s="341">
        <f>IF(AS59=1505,"",AS59)</f>
        <v>726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747</v>
      </c>
      <c r="AD59" s="358"/>
      <c r="AE59" s="357">
        <f>SUM(AE55:AE58)</f>
        <v>654</v>
      </c>
      <c r="AF59" s="358"/>
      <c r="AG59" s="357">
        <f>SUM(AG55:AG58)</f>
        <v>781</v>
      </c>
      <c r="AH59" s="358"/>
      <c r="AI59" s="357">
        <f>SUM(AI55:AI58)</f>
        <v>766</v>
      </c>
      <c r="AJ59" s="358"/>
      <c r="AK59" s="357">
        <f>SUM(AK55:AK58)</f>
        <v>790</v>
      </c>
      <c r="AL59" s="358"/>
      <c r="AM59" s="357">
        <f>SUM(AM55:AM58)</f>
        <v>673</v>
      </c>
      <c r="AN59" s="358"/>
      <c r="AO59" s="357">
        <f>SUM(AO55:AO58)</f>
        <v>828</v>
      </c>
      <c r="AP59" s="358"/>
      <c r="AQ59" s="357">
        <f>SUM(AQ55:AQ58)</f>
        <v>739</v>
      </c>
      <c r="AR59" s="358"/>
      <c r="AS59" s="357">
        <f>SUM(AS55:AS58)</f>
        <v>726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01.02./02.02.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01.02./02.02.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51">
        <f>IF(AD67="","",AD67)</f>
        <v>1</v>
      </c>
      <c r="F67" s="75">
        <f t="shared" ref="F67:F80" si="69">IF(AE67=0,"",AE67)</f>
        <v>231</v>
      </c>
      <c r="G67" s="351">
        <f>IF(AF67="","",AF67)</f>
        <v>1</v>
      </c>
      <c r="H67" s="75">
        <f t="shared" ref="H67:H80" si="70">IF(AG67=0,"",AG67)</f>
        <v>196</v>
      </c>
      <c r="I67" s="351">
        <f>IF(AH67="","",AH67)</f>
        <v>0</v>
      </c>
      <c r="J67" s="75">
        <f t="shared" ref="J67:J80" si="71">IF(AI67=0,"",AI67)</f>
        <v>212</v>
      </c>
      <c r="K67" s="351">
        <f>IF(AJ67="","",AJ67)</f>
        <v>0</v>
      </c>
      <c r="L67" s="75">
        <f t="shared" ref="L67:L80" si="72">IF(AK67=0,"",AK67)</f>
        <v>119</v>
      </c>
      <c r="M67" s="351">
        <f>IF(AL67="","",AL67)</f>
        <v>0</v>
      </c>
      <c r="N67" s="75">
        <f>IF(AM67=0,"",AM67)</f>
        <v>182</v>
      </c>
      <c r="O67" s="351">
        <f>IF(AN67="","",AN67)</f>
        <v>1</v>
      </c>
      <c r="P67" s="75">
        <f t="shared" ref="P67:P80" si="73">IF(AO67=0,"",AO67)</f>
        <v>184</v>
      </c>
      <c r="Q67" s="351">
        <f>IF(AP67="","",AP67)</f>
        <v>1</v>
      </c>
      <c r="R67" s="75">
        <f t="shared" ref="R67:R80" si="74">IF(AQ67=0,"",AQ67)</f>
        <v>164</v>
      </c>
      <c r="S67" s="351">
        <f>IF(AR67="","",AR67)</f>
        <v>0</v>
      </c>
      <c r="T67" s="75">
        <f t="shared" ref="T67:T80" si="75">IF(AS67=0,"",AS67)</f>
        <v>191</v>
      </c>
      <c r="U67" s="351">
        <f>IF(AT67="","",AT67)</f>
        <v>1</v>
      </c>
      <c r="V67" s="75">
        <f t="shared" ref="V67:V80" si="76">IF(AU67=0,"",AU67)</f>
        <v>1692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51">
        <f>IF(AD70="","",AD70)</f>
        <v>0</v>
      </c>
      <c r="F70" s="75">
        <f t="shared" si="69"/>
        <v>222</v>
      </c>
      <c r="G70" s="351">
        <f>IF(AF70="","",AF70)</f>
        <v>1</v>
      </c>
      <c r="H70" s="75">
        <f t="shared" si="70"/>
        <v>228</v>
      </c>
      <c r="I70" s="351">
        <f>IF(AH70="","",AH70)</f>
        <v>1</v>
      </c>
      <c r="J70" s="75">
        <f t="shared" si="71"/>
        <v>234</v>
      </c>
      <c r="K70" s="351">
        <f>IF(AJ70="","",AJ70)</f>
        <v>1</v>
      </c>
      <c r="L70" s="75">
        <f t="shared" si="72"/>
        <v>202</v>
      </c>
      <c r="M70" s="351">
        <f>IF(AL70="","",AL70)</f>
        <v>1</v>
      </c>
      <c r="N70" s="75">
        <f t="shared" si="89"/>
        <v>182</v>
      </c>
      <c r="O70" s="351">
        <f>IF(AN70="","",AN70)</f>
        <v>0</v>
      </c>
      <c r="P70" s="75">
        <f t="shared" si="73"/>
        <v>180</v>
      </c>
      <c r="Q70" s="351">
        <f>IF(AP70="","",AP70)</f>
        <v>0</v>
      </c>
      <c r="R70" s="75">
        <f t="shared" si="74"/>
        <v>192</v>
      </c>
      <c r="S70" s="351">
        <f>IF(AR70="","",AR70)</f>
        <v>1</v>
      </c>
      <c r="T70" s="75">
        <f t="shared" si="75"/>
        <v>178</v>
      </c>
      <c r="U70" s="351">
        <f>IF(AT70="","",AT70)</f>
        <v>1</v>
      </c>
      <c r="V70" s="75">
        <f t="shared" si="76"/>
        <v>1843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51">
        <f>IF(AD73="","",AD73)</f>
        <v>1</v>
      </c>
      <c r="F73" s="75">
        <f t="shared" si="69"/>
        <v>194</v>
      </c>
      <c r="G73" s="351">
        <f>IF(AF73="","",AF73)</f>
        <v>1</v>
      </c>
      <c r="H73" s="75" t="str">
        <f t="shared" si="70"/>
        <v/>
      </c>
      <c r="I73" s="351">
        <f>IF(AH73="","",AH73)</f>
        <v>0</v>
      </c>
      <c r="J73" s="75" t="str">
        <f t="shared" si="71"/>
        <v/>
      </c>
      <c r="K73" s="351">
        <f>IF(AJ73="","",AJ73)</f>
        <v>0</v>
      </c>
      <c r="L73" s="75" t="str">
        <f t="shared" si="72"/>
        <v/>
      </c>
      <c r="M73" s="351">
        <f>IF(AL73="","",AL73)</f>
        <v>0</v>
      </c>
      <c r="N73" s="75" t="str">
        <f t="shared" si="89"/>
        <v/>
      </c>
      <c r="O73" s="351">
        <f>IF(AN73="","",AN73)</f>
        <v>0</v>
      </c>
      <c r="P73" s="75">
        <f t="shared" si="73"/>
        <v>244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167</v>
      </c>
      <c r="U73" s="351">
        <f>IF(AT73="","",AT73)</f>
        <v>0</v>
      </c>
      <c r="V73" s="75">
        <f t="shared" si="76"/>
        <v>996</v>
      </c>
      <c r="W73" s="351">
        <f>IF(AV73="","",AV73)</f>
        <v>4</v>
      </c>
      <c r="Z73" s="354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52"/>
      <c r="F74" s="78" t="str">
        <f t="shared" si="69"/>
        <v/>
      </c>
      <c r="G74" s="352"/>
      <c r="H74" s="78">
        <f t="shared" si="70"/>
        <v>176</v>
      </c>
      <c r="I74" s="352"/>
      <c r="J74" s="78">
        <f t="shared" si="71"/>
        <v>182</v>
      </c>
      <c r="K74" s="352"/>
      <c r="L74" s="78">
        <f t="shared" si="72"/>
        <v>166</v>
      </c>
      <c r="M74" s="352"/>
      <c r="N74" s="78">
        <f t="shared" si="89"/>
        <v>146</v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>
        <f t="shared" si="76"/>
        <v>670</v>
      </c>
      <c r="W74" s="352"/>
      <c r="Z74" s="355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51">
        <f>IF(AD76="","",AD76)</f>
        <v>1</v>
      </c>
      <c r="F76" s="75">
        <f t="shared" si="69"/>
        <v>212</v>
      </c>
      <c r="G76" s="351">
        <f>IF(AF76="","",AF76)</f>
        <v>0</v>
      </c>
      <c r="H76" s="75">
        <f t="shared" si="70"/>
        <v>181</v>
      </c>
      <c r="I76" s="351">
        <f>IF(AH76="","",AH76)</f>
        <v>0</v>
      </c>
      <c r="J76" s="75">
        <f t="shared" si="71"/>
        <v>174</v>
      </c>
      <c r="K76" s="351">
        <f>IF(AJ76="","",AJ76)</f>
        <v>1</v>
      </c>
      <c r="L76" s="75" t="str">
        <f t="shared" si="72"/>
        <v/>
      </c>
      <c r="M76" s="351">
        <f>IF(AL76="","",AL76)</f>
        <v>1</v>
      </c>
      <c r="N76" s="75" t="str">
        <f t="shared" si="89"/>
        <v/>
      </c>
      <c r="O76" s="351">
        <f>IF(AN76="","",AN76)</f>
        <v>0</v>
      </c>
      <c r="P76" s="75" t="str">
        <f t="shared" si="73"/>
        <v/>
      </c>
      <c r="Q76" s="351">
        <f>IF(AP76="","",AP76)</f>
        <v>0</v>
      </c>
      <c r="R76" s="75" t="str">
        <f t="shared" si="74"/>
        <v/>
      </c>
      <c r="S76" s="351">
        <f>IF(AR76="","",AR76)</f>
        <v>0</v>
      </c>
      <c r="T76" s="75" t="str">
        <f t="shared" si="75"/>
        <v/>
      </c>
      <c r="U76" s="351">
        <f>IF(AT76="","",AT76)</f>
        <v>0</v>
      </c>
      <c r="V76" s="75">
        <f t="shared" si="76"/>
        <v>757</v>
      </c>
      <c r="W76" s="351">
        <f>IF(AV76="","",AV76)</f>
        <v>3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>
        <f t="shared" si="72"/>
        <v>233</v>
      </c>
      <c r="M77" s="352"/>
      <c r="N77" s="78">
        <f t="shared" si="89"/>
        <v>175</v>
      </c>
      <c r="O77" s="352"/>
      <c r="P77" s="78">
        <f t="shared" si="73"/>
        <v>195</v>
      </c>
      <c r="Q77" s="352"/>
      <c r="R77" s="78">
        <f t="shared" si="74"/>
        <v>160</v>
      </c>
      <c r="S77" s="352"/>
      <c r="T77" s="78">
        <f t="shared" si="75"/>
        <v>177</v>
      </c>
      <c r="U77" s="352"/>
      <c r="V77" s="78">
        <f t="shared" si="76"/>
        <v>940</v>
      </c>
      <c r="W77" s="352"/>
      <c r="Z77" s="355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10</v>
      </c>
      <c r="E82" s="349" t="str">
        <f t="shared" si="100"/>
        <v/>
      </c>
      <c r="F82" s="349">
        <f t="shared" si="100"/>
        <v>1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7</v>
      </c>
      <c r="O82" s="349" t="str">
        <f t="shared" si="101"/>
        <v/>
      </c>
      <c r="P82" s="349">
        <f t="shared" si="101"/>
        <v>5</v>
      </c>
      <c r="Q82" s="349" t="str">
        <f t="shared" si="101"/>
        <v/>
      </c>
      <c r="R82" s="349">
        <f t="shared" si="101"/>
        <v>4</v>
      </c>
      <c r="S82" s="349" t="str">
        <f t="shared" si="101"/>
        <v/>
      </c>
      <c r="T82" s="349">
        <f t="shared" si="101"/>
        <v>8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VLOOKUP($AA62,Schlüssel!$A$5:$DG$14,43)</f>
        <v>10</v>
      </c>
      <c r="AD82" s="374"/>
      <c r="AE82" s="373">
        <f>VLOOKUP($AA62,Schlüssel!$A$5:$EK$14,44)</f>
        <v>1</v>
      </c>
      <c r="AF82" s="374"/>
      <c r="AG82" s="373">
        <f>VLOOKUP($AA62,Schlüssel!$A$5:$EK$14,45)</f>
        <v>2</v>
      </c>
      <c r="AH82" s="374"/>
      <c r="AI82" s="373">
        <f>VLOOKUP($AA62,Schlüssel!$A$5:$EK$14,46)</f>
        <v>6</v>
      </c>
      <c r="AJ82" s="374"/>
      <c r="AK82" s="373">
        <f>VLOOKUP($AA62,Schlüssel!$A$5:$EK$14,47)</f>
        <v>9</v>
      </c>
      <c r="AL82" s="374"/>
      <c r="AM82" s="373">
        <f>VLOOKUP($AA62,Schlüssel!$A$5:$EK$14,48)</f>
        <v>7</v>
      </c>
      <c r="AN82" s="374"/>
      <c r="AO82" s="373">
        <f>VLOOKUP($AA62,Schlüssel!$A$5:$EK$14,49)</f>
        <v>5</v>
      </c>
      <c r="AP82" s="374"/>
      <c r="AQ82" s="373">
        <f>VLOOKUP($AA62,Schlüssel!$A$5:$EK$14,50)</f>
        <v>4</v>
      </c>
      <c r="AR82" s="374"/>
      <c r="AS82" s="373">
        <f>VLOOKUP($AA62,Schlüssel!$A$5:$EK$14,51)</f>
        <v>8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High Roller Rosenheim 1</v>
      </c>
      <c r="E83" s="347" t="str">
        <f t="shared" si="100"/>
        <v/>
      </c>
      <c r="F83" s="346" t="str">
        <f t="shared" si="100"/>
        <v>BC Comet Nürnberg</v>
      </c>
      <c r="G83" s="347" t="str">
        <f t="shared" si="100"/>
        <v/>
      </c>
      <c r="H83" s="346" t="str">
        <f t="shared" si="100"/>
        <v>Bajuwaren München 1</v>
      </c>
      <c r="I83" s="347" t="str">
        <f t="shared" si="100"/>
        <v/>
      </c>
      <c r="J83" s="346" t="str">
        <f t="shared" si="100"/>
        <v>SG Rottendorf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Schanzer Ingolstadt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SG DJK Rimpar</v>
      </c>
      <c r="S83" s="347" t="str">
        <f t="shared" si="101"/>
        <v/>
      </c>
      <c r="T83" s="346" t="str">
        <f t="shared" si="101"/>
        <v>BC EMAX Unterföhring 2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High Roller Rosenheim 1</v>
      </c>
      <c r="AD83" s="347"/>
      <c r="AE83" s="346" t="str">
        <f>VLOOKUP(AE82,Schlüssel!$A$5:$K$14,2)</f>
        <v>BC Comet Nürnberg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Schanzer Ingolstadt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BC EMAX Unterföhring 2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180</v>
      </c>
      <c r="E85" s="342" t="str">
        <f>IF(AD85=0,"",AD85)</f>
        <v/>
      </c>
      <c r="F85" s="342">
        <f>IF(AE85=301,"",AE85)</f>
        <v>172</v>
      </c>
      <c r="G85" s="342" t="str">
        <f>IF(AF85=0,"",AF85)</f>
        <v/>
      </c>
      <c r="H85" s="342">
        <f>IF(AG85=301,"",AG85)</f>
        <v>225</v>
      </c>
      <c r="I85" s="342" t="str">
        <f>IF(AH85=0,"",AH85)</f>
        <v/>
      </c>
      <c r="J85" s="342">
        <f>IF(AI85=301,"",AI85)</f>
        <v>213</v>
      </c>
      <c r="K85" s="342" t="str">
        <f>IF(AJ85=0,"",AJ85)</f>
        <v/>
      </c>
      <c r="L85" s="342">
        <f>IF(AK85=301,"",AK85)</f>
        <v>177</v>
      </c>
      <c r="M85" s="342" t="str">
        <f>IF(AL85=0,"",AL85)</f>
        <v/>
      </c>
      <c r="N85" s="342">
        <f>IF(AM85=301,"",AM85)</f>
        <v>159</v>
      </c>
      <c r="O85" s="342" t="str">
        <f>IF(AN85=0,"",AN85)</f>
        <v/>
      </c>
      <c r="P85" s="342">
        <f>IF(AO85=301,"",AO85)</f>
        <v>179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136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180</v>
      </c>
      <c r="AD85" s="376"/>
      <c r="AE85" s="375">
        <f>ABS(INDEX(AE:AE,MATCH(AE82,$AA:$AA,0)+5)+INDEX(AE:AE,MATCH(AE82,$AA:$AA,0)+6)+INDEX(AE:AE,MATCH(AE82,$AA:$AA,0)+7))</f>
        <v>172</v>
      </c>
      <c r="AF85" s="376"/>
      <c r="AG85" s="375">
        <f>ABS(INDEX(AG:AG,MATCH(AG82,$AA:$AA,0)+5)+INDEX(AG:AG,MATCH(AG82,$AA:$AA,0)+6)+INDEX(AG:AG,MATCH(AG82,$AA:$AA,0)+7))</f>
        <v>225</v>
      </c>
      <c r="AH85" s="376"/>
      <c r="AI85" s="375">
        <f>ABS(INDEX(AI:AI,MATCH(AI82,$AA:$AA,0)+5)+INDEX(AI:AI,MATCH(AI82,$AA:$AA,0)+6)+INDEX(AI:AI,MATCH(AI82,$AA:$AA,0)+7))</f>
        <v>213</v>
      </c>
      <c r="AJ85" s="376"/>
      <c r="AK85" s="375">
        <f>ABS(INDEX(AK:AK,MATCH(AK82,$AA:$AA,0)+5)+INDEX(AK:AK,MATCH(AK82,$AA:$AA,0)+6)+INDEX(AK:AK,MATCH(AK82,$AA:$AA,0)+7))</f>
        <v>177</v>
      </c>
      <c r="AL85" s="376"/>
      <c r="AM85" s="375">
        <f>ABS(INDEX(AM:AM,MATCH(AM82,$AA:$AA,0)+5)+INDEX(AM:AM,MATCH(AM82,$AA:$AA,0)+6)+INDEX(AM:AM,MATCH(AM82,$AA:$AA,0)+7))</f>
        <v>159</v>
      </c>
      <c r="AN85" s="376"/>
      <c r="AO85" s="375">
        <f>ABS(INDEX(AO:AO,MATCH(AO82,$AA:$AA,0)+5)+INDEX(AO:AO,MATCH(AO82,$AA:$AA,0)+6)+INDEX(AO:AO,MATCH(AO82,$AA:$AA,0)+7))</f>
        <v>179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136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234</v>
      </c>
      <c r="E86" s="342" t="str">
        <f>IF(AD86=0,"",AD86)</f>
        <v/>
      </c>
      <c r="F86" s="342">
        <f>IF(AE86=301,"",AE86)</f>
        <v>158</v>
      </c>
      <c r="G86" s="342" t="str">
        <f>IF(AF86=0,"",AF86)</f>
        <v/>
      </c>
      <c r="H86" s="342">
        <f>IF(AG86=301,"",AG86)</f>
        <v>157</v>
      </c>
      <c r="I86" s="342" t="str">
        <f>IF(AH86=0,"",AH86)</f>
        <v/>
      </c>
      <c r="J86" s="342">
        <f>IF(AI86=301,"",AI86)</f>
        <v>182</v>
      </c>
      <c r="K86" s="342" t="str">
        <f>IF(AJ86=0,"",AJ86)</f>
        <v/>
      </c>
      <c r="L86" s="342">
        <f>IF(AK86=301,"",AK86)</f>
        <v>170</v>
      </c>
      <c r="M86" s="342" t="str">
        <f>IF(AL86=0,"",AL86)</f>
        <v/>
      </c>
      <c r="N86" s="342">
        <f>IF(AM86=301,"",AM86)</f>
        <v>200</v>
      </c>
      <c r="O86" s="342" t="str">
        <f>IF(AN86=0,"",AN86)</f>
        <v/>
      </c>
      <c r="P86" s="342">
        <f>IF(AO86=301,"",AO86)</f>
        <v>212</v>
      </c>
      <c r="Q86" s="342" t="str">
        <f>IF(AP86=0,"",AP86)</f>
        <v/>
      </c>
      <c r="R86" s="342">
        <f>IF(AQ86=301,"",AQ86)</f>
        <v>168</v>
      </c>
      <c r="S86" s="342" t="str">
        <f>IF(AR86=0,"",AR86)</f>
        <v/>
      </c>
      <c r="T86" s="342">
        <f>IF(AS86=301,"",AS86)</f>
        <v>177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234</v>
      </c>
      <c r="AD86" s="378"/>
      <c r="AE86" s="377">
        <f>ABS(INDEX(AE:AE,MATCH(AE82,$AA:$AA,0)+8)+INDEX(AE:AE,MATCH(AE82,$AA:$AA,0)+9)+INDEX(AE:AE,MATCH(AE82,$AA:$AA,0)+10))</f>
        <v>158</v>
      </c>
      <c r="AF86" s="378"/>
      <c r="AG86" s="377">
        <f>ABS(INDEX(AG:AG,MATCH(AG82,$AA:$AA,0)+8)+INDEX(AG:AG,MATCH(AG82,$AA:$AA,0)+9)+INDEX(AG:AG,MATCH(AG82,$AA:$AA,0)+10))</f>
        <v>157</v>
      </c>
      <c r="AH86" s="378"/>
      <c r="AI86" s="377">
        <f>ABS(INDEX(AI:AI,MATCH(AI82,$AA:$AA,0)+8)+INDEX(AI:AI,MATCH(AI82,$AA:$AA,0)+9)+INDEX(AI:AI,MATCH(AI82,$AA:$AA,0)+10))</f>
        <v>182</v>
      </c>
      <c r="AJ86" s="378"/>
      <c r="AK86" s="377">
        <f>ABS(INDEX(AK:AK,MATCH(AK82,$AA:$AA,0)+8)+INDEX(AK:AK,MATCH(AK82,$AA:$AA,0)+9)+INDEX(AK:AK,MATCH(AK82,$AA:$AA,0)+10))</f>
        <v>170</v>
      </c>
      <c r="AL86" s="378"/>
      <c r="AM86" s="377">
        <f>ABS(INDEX(AM:AM,MATCH(AM82,$AA:$AA,0)+8)+INDEX(AM:AM,MATCH(AM82,$AA:$AA,0)+9)+INDEX(AM:AM,MATCH(AM82,$AA:$AA,0)+10))</f>
        <v>200</v>
      </c>
      <c r="AN86" s="378"/>
      <c r="AO86" s="377">
        <f>ABS(INDEX(AO:AO,MATCH(AO82,$AA:$AA,0)+8)+INDEX(AO:AO,MATCH(AO82,$AA:$AA,0)+9)+INDEX(AO:AO,MATCH(AO82,$AA:$AA,0)+10))</f>
        <v>212</v>
      </c>
      <c r="AP86" s="378"/>
      <c r="AQ86" s="377">
        <f>ABS(INDEX(AQ:AQ,MATCH(AQ82,$AA:$AA,0)+8)+INDEX(AQ:AQ,MATCH(AQ82,$AA:$AA,0)+9)+INDEX(AQ:AQ,MATCH(AQ82,$AA:$AA,0)+10))</f>
        <v>168</v>
      </c>
      <c r="AR86" s="378"/>
      <c r="AS86" s="377">
        <f>ABS(INDEX(AS:AS,MATCH(AS82,$AA:$AA,0)+8)+INDEX(AS:AS,MATCH(AS82,$AA:$AA,0)+9)+INDEX(AS:AS,MATCH(AS82,$AA:$AA,0)+10))</f>
        <v>177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177</v>
      </c>
      <c r="E87" s="342" t="str">
        <f>IF(AD87=0,"",AD87)</f>
        <v/>
      </c>
      <c r="F87" s="342">
        <f>IF(AE87=301,"",AE87)</f>
        <v>179</v>
      </c>
      <c r="G87" s="342" t="str">
        <f>IF(AF87=0,"",AF87)</f>
        <v/>
      </c>
      <c r="H87" s="342">
        <f>IF(AG87=301,"",AG87)</f>
        <v>190</v>
      </c>
      <c r="I87" s="342" t="str">
        <f>IF(AH87=0,"",AH87)</f>
        <v/>
      </c>
      <c r="J87" s="342">
        <f>IF(AI87=301,"",AI87)</f>
        <v>190</v>
      </c>
      <c r="K87" s="342" t="str">
        <f>IF(AJ87=0,"",AJ87)</f>
        <v/>
      </c>
      <c r="L87" s="342">
        <f>IF(AK87=301,"",AK87)</f>
        <v>217</v>
      </c>
      <c r="M87" s="342" t="str">
        <f>IF(AL87=0,"",AL87)</f>
        <v/>
      </c>
      <c r="N87" s="342">
        <f>IF(AM87=301,"",AM87)</f>
        <v>180</v>
      </c>
      <c r="O87" s="342" t="str">
        <f>IF(AN87=0,"",AN87)</f>
        <v/>
      </c>
      <c r="P87" s="342">
        <f>IF(AO87=301,"",AO87)</f>
        <v>187</v>
      </c>
      <c r="Q87" s="342" t="str">
        <f>IF(AP87=0,"",AP87)</f>
        <v/>
      </c>
      <c r="R87" s="342">
        <f>IF(AQ87=301,"",AQ87)</f>
        <v>163</v>
      </c>
      <c r="S87" s="342" t="str">
        <f>IF(AR87=0,"",AR87)</f>
        <v/>
      </c>
      <c r="T87" s="342">
        <f>IF(AS87=301,"",AS87)</f>
        <v>258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177</v>
      </c>
      <c r="AD87" s="378"/>
      <c r="AE87" s="377">
        <f>ABS(INDEX(AE:AE,MATCH(AE82,$AA:$AA,0)+11)+INDEX(AE:AE,MATCH(AE82,$AA:$AA,0)+12)+INDEX(AE:AE,MATCH(AE82,$AA:$AA,0)+13))</f>
        <v>179</v>
      </c>
      <c r="AF87" s="378"/>
      <c r="AG87" s="377">
        <f>ABS(INDEX(AG:AG,MATCH(AG82,$AA:$AA,0)+11)+INDEX(AG:AG,MATCH(AG82,$AA:$AA,0)+12)+INDEX(AG:AG,MATCH(AG82,$AA:$AA,0)+13))</f>
        <v>190</v>
      </c>
      <c r="AH87" s="378"/>
      <c r="AI87" s="377">
        <f>ABS(INDEX(AI:AI,MATCH(AI82,$AA:$AA,0)+11)+INDEX(AI:AI,MATCH(AI82,$AA:$AA,0)+12)+INDEX(AI:AI,MATCH(AI82,$AA:$AA,0)+13))</f>
        <v>190</v>
      </c>
      <c r="AJ87" s="378"/>
      <c r="AK87" s="377">
        <f>ABS(INDEX(AK:AK,MATCH(AK82,$AA:$AA,0)+11)+INDEX(AK:AK,MATCH(AK82,$AA:$AA,0)+12)+INDEX(AK:AK,MATCH(AK82,$AA:$AA,0)+13))</f>
        <v>217</v>
      </c>
      <c r="AL87" s="378"/>
      <c r="AM87" s="377">
        <f>ABS(INDEX(AM:AM,MATCH(AM82,$AA:$AA,0)+11)+INDEX(AM:AM,MATCH(AM82,$AA:$AA,0)+12)+INDEX(AM:AM,MATCH(AM82,$AA:$AA,0)+13))</f>
        <v>180</v>
      </c>
      <c r="AN87" s="378"/>
      <c r="AO87" s="377">
        <f>ABS(INDEX(AO:AO,MATCH(AO82,$AA:$AA,0)+11)+INDEX(AO:AO,MATCH(AO82,$AA:$AA,0)+12)+INDEX(AO:AO,MATCH(AO82,$AA:$AA,0)+13))</f>
        <v>187</v>
      </c>
      <c r="AP87" s="378"/>
      <c r="AQ87" s="377">
        <f>ABS(INDEX(AQ:AQ,MATCH(AQ82,$AA:$AA,0)+11)+INDEX(AQ:AQ,MATCH(AQ82,$AA:$AA,0)+12)+INDEX(AQ:AQ,MATCH(AQ82,$AA:$AA,0)+13))</f>
        <v>163</v>
      </c>
      <c r="AR87" s="378"/>
      <c r="AS87" s="377">
        <f>ABS(INDEX(AS:AS,MATCH(AS82,$AA:$AA,0)+11)+INDEX(AS:AS,MATCH(AS82,$AA:$AA,0)+12)+INDEX(AS:AS,MATCH(AS82,$AA:$AA,0)+13))</f>
        <v>258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155</v>
      </c>
      <c r="E88" s="342" t="str">
        <f>IF(AD88=0,"",AD88)</f>
        <v/>
      </c>
      <c r="F88" s="342">
        <f>IF(AE88=301,"",AE88)</f>
        <v>267</v>
      </c>
      <c r="G88" s="342" t="str">
        <f>IF(AF88=0,"",AF88)</f>
        <v/>
      </c>
      <c r="H88" s="342">
        <f>IF(AG88=301,"",AG88)</f>
        <v>187</v>
      </c>
      <c r="I88" s="342" t="str">
        <f>IF(AH88=0,"",AH88)</f>
        <v/>
      </c>
      <c r="J88" s="342">
        <f>IF(AI88=301,"",AI88)</f>
        <v>173</v>
      </c>
      <c r="K88" s="342" t="str">
        <f>IF(AJ88=0,"",AJ88)</f>
        <v/>
      </c>
      <c r="L88" s="342">
        <f>IF(AK88=301,"",AK88)</f>
        <v>217</v>
      </c>
      <c r="M88" s="342" t="str">
        <f>IF(AL88=0,"",AL88)</f>
        <v/>
      </c>
      <c r="N88" s="342">
        <f>IF(AM88=301,"",AM88)</f>
        <v>236</v>
      </c>
      <c r="O88" s="342" t="str">
        <f>IF(AN88=0,"",AN88)</f>
        <v/>
      </c>
      <c r="P88" s="342">
        <f>IF(AO88=301,"",AO88)</f>
        <v>221</v>
      </c>
      <c r="Q88" s="342" t="str">
        <f>IF(AP88=0,"",AP88)</f>
        <v/>
      </c>
      <c r="R88" s="342">
        <f>IF(AQ88=301,"",AQ88)</f>
        <v>202</v>
      </c>
      <c r="S88" s="342" t="str">
        <f>IF(AR88=0,"",AR88)</f>
        <v/>
      </c>
      <c r="T88" s="342">
        <f>IF(AS88=301,"",AS88)</f>
        <v>191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155</v>
      </c>
      <c r="AD88" s="378"/>
      <c r="AE88" s="377">
        <f>ABS(INDEX(AE:AE,MATCH(AE82,$AA:$AA,0)+14)+INDEX(AE:AE,MATCH(AE82,$AA:$AA,0)+15)+INDEX(AE:AE,MATCH(AE82,$AA:$AA,0)+16))</f>
        <v>267</v>
      </c>
      <c r="AF88" s="378"/>
      <c r="AG88" s="377">
        <f>ABS(INDEX(AG:AG,MATCH(AG82,$AA:$AA,0)+14)+INDEX(AG:AG,MATCH(AG82,$AA:$AA,0)+15)+INDEX(AG:AG,MATCH(AG82,$AA:$AA,0)+16))</f>
        <v>187</v>
      </c>
      <c r="AH88" s="378"/>
      <c r="AI88" s="377">
        <f>ABS(INDEX(AI:AI,MATCH(AI82,$AA:$AA,0)+14)+INDEX(AI:AI,MATCH(AI82,$AA:$AA,0)+15)+INDEX(AI:AI,MATCH(AI82,$AA:$AA,0)+16))</f>
        <v>173</v>
      </c>
      <c r="AJ88" s="378"/>
      <c r="AK88" s="377">
        <f>ABS(INDEX(AK:AK,MATCH(AK82,$AA:$AA,0)+14)+INDEX(AK:AK,MATCH(AK82,$AA:$AA,0)+15)+INDEX(AK:AK,MATCH(AK82,$AA:$AA,0)+16))</f>
        <v>217</v>
      </c>
      <c r="AL88" s="378"/>
      <c r="AM88" s="377">
        <f>ABS(INDEX(AM:AM,MATCH(AM82,$AA:$AA,0)+14)+INDEX(AM:AM,MATCH(AM82,$AA:$AA,0)+15)+INDEX(AM:AM,MATCH(AM82,$AA:$AA,0)+16))</f>
        <v>236</v>
      </c>
      <c r="AN88" s="378"/>
      <c r="AO88" s="377">
        <f>ABS(INDEX(AO:AO,MATCH(AO82,$AA:$AA,0)+14)+INDEX(AO:AO,MATCH(AO82,$AA:$AA,0)+15)+INDEX(AO:AO,MATCH(AO82,$AA:$AA,0)+16))</f>
        <v>221</v>
      </c>
      <c r="AP88" s="378"/>
      <c r="AQ88" s="377">
        <f>ABS(INDEX(AQ:AQ,MATCH(AQ82,$AA:$AA,0)+14)+INDEX(AQ:AQ,MATCH(AQ82,$AA:$AA,0)+15)+INDEX(AQ:AQ,MATCH(AQ82,$AA:$AA,0)+16))</f>
        <v>202</v>
      </c>
      <c r="AR88" s="378"/>
      <c r="AS88" s="377">
        <f>ABS(INDEX(AS:AS,MATCH(AS82,$AA:$AA,0)+14)+INDEX(AS:AS,MATCH(AS82,$AA:$AA,0)+15)+INDEX(AS:AS,MATCH(AS82,$AA:$AA,0)+16))</f>
        <v>191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746</v>
      </c>
      <c r="E89" s="341" t="str">
        <f>IF(AD89=0,"",AD89)</f>
        <v/>
      </c>
      <c r="F89" s="341">
        <f>IF(AE89=1505,"",AE89)</f>
        <v>776</v>
      </c>
      <c r="G89" s="341" t="str">
        <f>IF(AF89=0,"",AF89)</f>
        <v/>
      </c>
      <c r="H89" s="341">
        <f>IF(AG89=1505,"",AG89)</f>
        <v>759</v>
      </c>
      <c r="I89" s="341" t="str">
        <f>IF(AH89=0,"",AH89)</f>
        <v/>
      </c>
      <c r="J89" s="341">
        <f>IF(AI89=1505,"",AI89)</f>
        <v>758</v>
      </c>
      <c r="K89" s="341" t="str">
        <f>IF(AJ89=0,"",AJ89)</f>
        <v/>
      </c>
      <c r="L89" s="341">
        <f>IF(AK89=1505,"",AK89)</f>
        <v>781</v>
      </c>
      <c r="M89" s="341" t="str">
        <f>IF(AL89=0,"",AL89)</f>
        <v/>
      </c>
      <c r="N89" s="341">
        <f>IF(AM89=1505,"",AM89)</f>
        <v>775</v>
      </c>
      <c r="O89" s="341" t="str">
        <f>IF(AN89=0,"",AN89)</f>
        <v/>
      </c>
      <c r="P89" s="341">
        <f>IF(AO89=1505,"",AO89)</f>
        <v>799</v>
      </c>
      <c r="Q89" s="341" t="str">
        <f>IF(AP89=0,"",AP89)</f>
        <v/>
      </c>
      <c r="R89" s="341">
        <f>IF(AQ89=1505,"",AQ89)</f>
        <v>750</v>
      </c>
      <c r="S89" s="341" t="str">
        <f>IF(AR89=0,"",AR89)</f>
        <v/>
      </c>
      <c r="T89" s="341">
        <f>IF(AS89=1505,"",AS89)</f>
        <v>762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746</v>
      </c>
      <c r="AD89" s="358"/>
      <c r="AE89" s="357">
        <f>SUM(AE85:AE88)</f>
        <v>776</v>
      </c>
      <c r="AF89" s="358"/>
      <c r="AG89" s="357">
        <f>SUM(AG85:AG88)</f>
        <v>759</v>
      </c>
      <c r="AH89" s="358"/>
      <c r="AI89" s="357">
        <f>SUM(AI85:AI88)</f>
        <v>758</v>
      </c>
      <c r="AJ89" s="358"/>
      <c r="AK89" s="357">
        <f>SUM(AK85:AK88)</f>
        <v>781</v>
      </c>
      <c r="AL89" s="358"/>
      <c r="AM89" s="357">
        <f>SUM(AM85:AM88)</f>
        <v>775</v>
      </c>
      <c r="AN89" s="358"/>
      <c r="AO89" s="357">
        <f>SUM(AO85:AO88)</f>
        <v>799</v>
      </c>
      <c r="AP89" s="358"/>
      <c r="AQ89" s="357">
        <f>SUM(AQ85:AQ88)</f>
        <v>750</v>
      </c>
      <c r="AR89" s="358"/>
      <c r="AS89" s="357">
        <f>SUM(AS85:AS88)</f>
        <v>762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01.02./02.02.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01.02./02.02.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51">
        <f>IF(AD97="","",AD97)</f>
        <v>1</v>
      </c>
      <c r="F97" s="75">
        <f t="shared" ref="F97:F110" si="103">IF(AE97=0,"",AE97)</f>
        <v>192</v>
      </c>
      <c r="G97" s="351">
        <f>IF(AF97="","",AF97)</f>
        <v>1</v>
      </c>
      <c r="H97" s="75">
        <f t="shared" ref="H97:H110" si="104">IF(AG97=0,"",AG97)</f>
        <v>192</v>
      </c>
      <c r="I97" s="351">
        <f>IF(AH97="","",AH97)</f>
        <v>1</v>
      </c>
      <c r="J97" s="75">
        <f t="shared" ref="J97:J110" si="105">IF(AI97=0,"",AI97)</f>
        <v>212</v>
      </c>
      <c r="K97" s="351">
        <f>IF(AJ97="","",AJ97)</f>
        <v>1</v>
      </c>
      <c r="L97" s="75">
        <f t="shared" ref="L97:L110" si="106">IF(AK97=0,"",AK97)</f>
        <v>259</v>
      </c>
      <c r="M97" s="351">
        <f>IF(AL97="","",AL97)</f>
        <v>1</v>
      </c>
      <c r="N97" s="75">
        <f>IF(AM97=0,"",AM97)</f>
        <v>135</v>
      </c>
      <c r="O97" s="351">
        <f>IF(AN97="","",AN97)</f>
        <v>0</v>
      </c>
      <c r="P97" s="75">
        <f t="shared" ref="P97:P110" si="107">IF(AO97=0,"",AO97)</f>
        <v>234</v>
      </c>
      <c r="Q97" s="351">
        <f>IF(AP97="","",AP97)</f>
        <v>1</v>
      </c>
      <c r="R97" s="75">
        <f t="shared" ref="R97:R110" si="108">IF(AQ97=0,"",AQ97)</f>
        <v>217</v>
      </c>
      <c r="S97" s="351">
        <f>IF(AR97="","",AR97)</f>
        <v>1</v>
      </c>
      <c r="T97" s="75">
        <f t="shared" ref="T97:T110" si="109">IF(AS97=0,"",AS97)</f>
        <v>193</v>
      </c>
      <c r="U97" s="351">
        <f>IF(AT97="","",AT97)</f>
        <v>0</v>
      </c>
      <c r="V97" s="75">
        <f t="shared" ref="V97:V110" si="110">IF(AU97=0,"",AU97)</f>
        <v>1822</v>
      </c>
      <c r="W97" s="351">
        <f>IF(AV97="","",AV97)</f>
        <v>7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51">
        <f>IF(AD100="","",AD100)</f>
        <v>0</v>
      </c>
      <c r="F100" s="75">
        <f t="shared" si="103"/>
        <v>198</v>
      </c>
      <c r="G100" s="351">
        <f>IF(AF100="","",AF100)</f>
        <v>1</v>
      </c>
      <c r="H100" s="75">
        <f t="shared" si="104"/>
        <v>255</v>
      </c>
      <c r="I100" s="351">
        <f>IF(AH100="","",AH100)</f>
        <v>1</v>
      </c>
      <c r="J100" s="75">
        <f t="shared" si="105"/>
        <v>156</v>
      </c>
      <c r="K100" s="351">
        <f>IF(AJ100="","",AJ100)</f>
        <v>1</v>
      </c>
      <c r="L100" s="75">
        <f t="shared" si="106"/>
        <v>161</v>
      </c>
      <c r="M100" s="351">
        <f>IF(AL100="","",AL100)</f>
        <v>0</v>
      </c>
      <c r="N100" s="75">
        <f t="shared" si="123"/>
        <v>184</v>
      </c>
      <c r="O100" s="351">
        <f>IF(AN100="","",AN100)</f>
        <v>1</v>
      </c>
      <c r="P100" s="75">
        <f t="shared" si="107"/>
        <v>172</v>
      </c>
      <c r="Q100" s="351">
        <f>IF(AP100="","",AP100)</f>
        <v>0</v>
      </c>
      <c r="R100" s="75">
        <f t="shared" si="108"/>
        <v>168</v>
      </c>
      <c r="S100" s="351">
        <f>IF(AR100="","",AR100)</f>
        <v>0</v>
      </c>
      <c r="T100" s="75">
        <f t="shared" si="109"/>
        <v>209</v>
      </c>
      <c r="U100" s="351">
        <f>IF(AT100="","",AT100)</f>
        <v>1</v>
      </c>
      <c r="V100" s="75">
        <f t="shared" si="110"/>
        <v>1662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 t="str">
        <f t="shared" si="108"/>
        <v/>
      </c>
      <c r="S101" s="352"/>
      <c r="T101" s="78" t="str">
        <f t="shared" si="109"/>
        <v/>
      </c>
      <c r="U101" s="352"/>
      <c r="V101" s="78" t="str">
        <f t="shared" si="110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51">
        <f>IF(AD103="","",AD103)</f>
        <v>1</v>
      </c>
      <c r="F103" s="75">
        <f t="shared" si="103"/>
        <v>191</v>
      </c>
      <c r="G103" s="351">
        <f>IF(AF103="","",AF103)</f>
        <v>0</v>
      </c>
      <c r="H103" s="75">
        <f t="shared" si="104"/>
        <v>192</v>
      </c>
      <c r="I103" s="351">
        <f>IF(AH103="","",AH103)</f>
        <v>1</v>
      </c>
      <c r="J103" s="75">
        <f t="shared" si="105"/>
        <v>168</v>
      </c>
      <c r="K103" s="351">
        <f>IF(AJ103="","",AJ103)</f>
        <v>0</v>
      </c>
      <c r="L103" s="75">
        <f t="shared" si="106"/>
        <v>170</v>
      </c>
      <c r="M103" s="351">
        <f>IF(AL103="","",AL103)</f>
        <v>0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907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 t="str">
        <f t="shared" si="105"/>
        <v/>
      </c>
      <c r="K104" s="352"/>
      <c r="L104" s="78" t="str">
        <f t="shared" si="106"/>
        <v/>
      </c>
      <c r="M104" s="352"/>
      <c r="N104" s="78">
        <f t="shared" si="123"/>
        <v>163</v>
      </c>
      <c r="O104" s="352"/>
      <c r="P104" s="78">
        <f t="shared" si="107"/>
        <v>216</v>
      </c>
      <c r="Q104" s="352"/>
      <c r="R104" s="78">
        <f t="shared" si="108"/>
        <v>163</v>
      </c>
      <c r="S104" s="352"/>
      <c r="T104" s="78">
        <f t="shared" si="109"/>
        <v>166</v>
      </c>
      <c r="U104" s="352"/>
      <c r="V104" s="78">
        <f t="shared" si="110"/>
        <v>708</v>
      </c>
      <c r="W104" s="352"/>
      <c r="Z104" s="355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 t="str">
        <f t="shared" si="109"/>
        <v/>
      </c>
      <c r="U105" s="353"/>
      <c r="V105" s="69" t="str">
        <f t="shared" si="110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51">
        <f>IF(AD106="","",AD106)</f>
        <v>0</v>
      </c>
      <c r="F106" s="75">
        <f t="shared" si="103"/>
        <v>212</v>
      </c>
      <c r="G106" s="351">
        <f>IF(AF106="","",AF106)</f>
        <v>1</v>
      </c>
      <c r="H106" s="75">
        <f t="shared" si="104"/>
        <v>176</v>
      </c>
      <c r="I106" s="351">
        <f>IF(AH106="","",AH106)</f>
        <v>0</v>
      </c>
      <c r="J106" s="75">
        <f t="shared" si="105"/>
        <v>146</v>
      </c>
      <c r="K106" s="351">
        <f>IF(AJ106="","",AJ106)</f>
        <v>0</v>
      </c>
      <c r="L106" s="75">
        <f t="shared" si="106"/>
        <v>192</v>
      </c>
      <c r="M106" s="351">
        <f>IF(AL106="","",AL106)</f>
        <v>0</v>
      </c>
      <c r="N106" s="75">
        <f t="shared" si="123"/>
        <v>177</v>
      </c>
      <c r="O106" s="351">
        <f>IF(AN106="","",AN106)</f>
        <v>0</v>
      </c>
      <c r="P106" s="75">
        <f t="shared" si="107"/>
        <v>159</v>
      </c>
      <c r="Q106" s="351">
        <f>IF(AP106="","",AP106)</f>
        <v>0</v>
      </c>
      <c r="R106" s="75">
        <f t="shared" si="108"/>
        <v>202</v>
      </c>
      <c r="S106" s="351">
        <f>IF(AR106="","",AR106)</f>
        <v>1</v>
      </c>
      <c r="T106" s="75">
        <f t="shared" si="109"/>
        <v>158</v>
      </c>
      <c r="U106" s="351">
        <f>IF(AT106="","",AT106)</f>
        <v>0</v>
      </c>
      <c r="V106" s="75">
        <f t="shared" si="110"/>
        <v>1584</v>
      </c>
      <c r="W106" s="351">
        <f>IF(AV106="","",AV106)</f>
        <v>2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52"/>
      <c r="F107" s="78" t="str">
        <f t="shared" si="103"/>
        <v/>
      </c>
      <c r="G107" s="352"/>
      <c r="H107" s="78" t="str">
        <f t="shared" si="104"/>
        <v/>
      </c>
      <c r="I107" s="352"/>
      <c r="J107" s="78" t="str">
        <f t="shared" si="105"/>
        <v/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 t="str">
        <f t="shared" si="110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 t="str">
        <f t="shared" si="106"/>
        <v/>
      </c>
      <c r="M108" s="353"/>
      <c r="N108" s="69" t="str">
        <f t="shared" si="123"/>
        <v/>
      </c>
      <c r="O108" s="353"/>
      <c r="P108" s="69" t="str">
        <f t="shared" si="107"/>
        <v/>
      </c>
      <c r="Q108" s="353"/>
      <c r="R108" s="69" t="str">
        <f t="shared" si="108"/>
        <v/>
      </c>
      <c r="S108" s="353"/>
      <c r="T108" s="69" t="str">
        <f t="shared" si="109"/>
        <v/>
      </c>
      <c r="U108" s="353"/>
      <c r="V108" s="69" t="str">
        <f t="shared" si="110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6</v>
      </c>
      <c r="E112" s="349" t="str">
        <f t="shared" si="134"/>
        <v/>
      </c>
      <c r="F112" s="349">
        <f t="shared" si="134"/>
        <v>5</v>
      </c>
      <c r="G112" s="349" t="str">
        <f t="shared" si="134"/>
        <v/>
      </c>
      <c r="H112" s="349">
        <f t="shared" si="134"/>
        <v>9</v>
      </c>
      <c r="I112" s="349" t="str">
        <f t="shared" si="134"/>
        <v/>
      </c>
      <c r="J112" s="349">
        <f t="shared" si="134"/>
        <v>7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1</v>
      </c>
      <c r="O112" s="349" t="str">
        <f t="shared" si="135"/>
        <v/>
      </c>
      <c r="P112" s="349">
        <f t="shared" si="135"/>
        <v>10</v>
      </c>
      <c r="Q112" s="349" t="str">
        <f t="shared" si="135"/>
        <v/>
      </c>
      <c r="R112" s="349">
        <f t="shared" si="135"/>
        <v>3</v>
      </c>
      <c r="S112" s="349" t="str">
        <f t="shared" si="135"/>
        <v/>
      </c>
      <c r="T112" s="349">
        <f t="shared" si="135"/>
        <v>2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VLOOKUP($AA92,Schlüssel!$A$5:$DG$14,43)</f>
        <v>6</v>
      </c>
      <c r="AD112" s="374"/>
      <c r="AE112" s="373">
        <f>VLOOKUP($AA92,Schlüssel!$A$5:$EK$14,44)</f>
        <v>5</v>
      </c>
      <c r="AF112" s="374"/>
      <c r="AG112" s="373">
        <f>VLOOKUP($AA92,Schlüssel!$A$5:$EK$14,45)</f>
        <v>9</v>
      </c>
      <c r="AH112" s="374"/>
      <c r="AI112" s="373">
        <f>VLOOKUP($AA92,Schlüssel!$A$5:$EK$14,46)</f>
        <v>7</v>
      </c>
      <c r="AJ112" s="374"/>
      <c r="AK112" s="373">
        <f>VLOOKUP($AA92,Schlüssel!$A$5:$EK$14,47)</f>
        <v>8</v>
      </c>
      <c r="AL112" s="374"/>
      <c r="AM112" s="373">
        <f>VLOOKUP($AA92,Schlüssel!$A$5:$EK$14,48)</f>
        <v>1</v>
      </c>
      <c r="AN112" s="374"/>
      <c r="AO112" s="373">
        <f>VLOOKUP($AA92,Schlüssel!$A$5:$EK$14,49)</f>
        <v>10</v>
      </c>
      <c r="AP112" s="374"/>
      <c r="AQ112" s="373">
        <f>VLOOKUP($AA92,Schlüssel!$A$5:$EK$14,50)</f>
        <v>3</v>
      </c>
      <c r="AR112" s="374"/>
      <c r="AS112" s="373">
        <f>VLOOKUP($AA92,Schlüssel!$A$5:$EK$14,51)</f>
        <v>2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SG Rottendorf 1</v>
      </c>
      <c r="E113" s="347" t="str">
        <f t="shared" si="134"/>
        <v/>
      </c>
      <c r="F113" s="346" t="str">
        <f t="shared" si="134"/>
        <v>RW Lichtenhof Stein 1</v>
      </c>
      <c r="G113" s="347" t="str">
        <f t="shared" si="134"/>
        <v/>
      </c>
      <c r="H113" s="346" t="str">
        <f t="shared" si="134"/>
        <v>Bowlinghaus Bamberg 1</v>
      </c>
      <c r="I113" s="347" t="str">
        <f t="shared" si="134"/>
        <v/>
      </c>
      <c r="J113" s="346" t="str">
        <f t="shared" si="134"/>
        <v>Schanzer Ingolstadt 1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BC Comet Nürnberg</v>
      </c>
      <c r="O113" s="347" t="str">
        <f t="shared" si="135"/>
        <v/>
      </c>
      <c r="P113" s="346" t="str">
        <f t="shared" si="135"/>
        <v>High Roller Rosenheim 1</v>
      </c>
      <c r="Q113" s="347" t="str">
        <f t="shared" si="135"/>
        <v/>
      </c>
      <c r="R113" s="346" t="str">
        <f t="shared" si="135"/>
        <v>BK München 3</v>
      </c>
      <c r="S113" s="347" t="str">
        <f t="shared" si="135"/>
        <v/>
      </c>
      <c r="T113" s="346" t="str">
        <f t="shared" si="135"/>
        <v>Bajuwaren München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SG Rottendorf 1</v>
      </c>
      <c r="AD113" s="347"/>
      <c r="AE113" s="346" t="str">
        <f>VLOOKUP(AE112,Schlüssel!$A$5:$K$14,2)</f>
        <v>RW Lichtenhof Stein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BC Comet Nürnberg</v>
      </c>
      <c r="AN113" s="347"/>
      <c r="AO113" s="346" t="str">
        <f>VLOOKUP(AO112,Schlüssel!$A$5:$K$14,2)</f>
        <v>High Roller Rosenheim 1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VLOOKUP(AS112,Schlüssel!$A$5:$K$14,2)</f>
        <v>Bajuwaren München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177</v>
      </c>
      <c r="G115" s="342" t="str">
        <f>IF(AF115=0,"",AF115)</f>
        <v/>
      </c>
      <c r="H115" s="342">
        <f>IF(AG115=301,"",AG115)</f>
        <v>156</v>
      </c>
      <c r="I115" s="342" t="str">
        <f>IF(AH115=0,"",AH115)</f>
        <v/>
      </c>
      <c r="J115" s="342">
        <f>IF(AI115=301,"",AI115)</f>
        <v>189</v>
      </c>
      <c r="K115" s="342" t="str">
        <f>IF(AJ115=0,"",AJ115)</f>
        <v/>
      </c>
      <c r="L115" s="342">
        <f>IF(AK115=301,"",AK115)</f>
        <v>167</v>
      </c>
      <c r="M115" s="342" t="str">
        <f>IF(AL115=0,"",AL115)</f>
        <v/>
      </c>
      <c r="N115" s="342">
        <f>IF(AM115=301,"",AM115)</f>
        <v>199</v>
      </c>
      <c r="O115" s="342" t="str">
        <f>IF(AN115=0,"",AN115)</f>
        <v/>
      </c>
      <c r="P115" s="342">
        <f>IF(AO115=301,"",AO115)</f>
        <v>175</v>
      </c>
      <c r="Q115" s="342" t="str">
        <f>IF(AP115=0,"",AP115)</f>
        <v/>
      </c>
      <c r="R115" s="342">
        <f>IF(AQ115=301,"",AQ115)</f>
        <v>164</v>
      </c>
      <c r="S115" s="342" t="str">
        <f>IF(AR115=0,"",AR115)</f>
        <v/>
      </c>
      <c r="T115" s="342">
        <f>IF(AS115=301,"",AS115)</f>
        <v>224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177</v>
      </c>
      <c r="AF115" s="376"/>
      <c r="AG115" s="375">
        <f>ABS(INDEX(AG:AG,MATCH(AG112,$AA:$AA,0)+5)+INDEX(AG:AG,MATCH(AG112,$AA:$AA,0)+6)+INDEX(AG:AG,MATCH(AG112,$AA:$AA,0)+7))</f>
        <v>156</v>
      </c>
      <c r="AH115" s="376"/>
      <c r="AI115" s="375">
        <f>ABS(INDEX(AI:AI,MATCH(AI112,$AA:$AA,0)+5)+INDEX(AI:AI,MATCH(AI112,$AA:$AA,0)+6)+INDEX(AI:AI,MATCH(AI112,$AA:$AA,0)+7))</f>
        <v>189</v>
      </c>
      <c r="AJ115" s="376"/>
      <c r="AK115" s="375">
        <f>ABS(INDEX(AK:AK,MATCH(AK112,$AA:$AA,0)+5)+INDEX(AK:AK,MATCH(AK112,$AA:$AA,0)+6)+INDEX(AK:AK,MATCH(AK112,$AA:$AA,0)+7))</f>
        <v>167</v>
      </c>
      <c r="AL115" s="376"/>
      <c r="AM115" s="375">
        <f>ABS(INDEX(AM:AM,MATCH(AM112,$AA:$AA,0)+5)+INDEX(AM:AM,MATCH(AM112,$AA:$AA,0)+6)+INDEX(AM:AM,MATCH(AM112,$AA:$AA,0)+7))</f>
        <v>199</v>
      </c>
      <c r="AN115" s="376"/>
      <c r="AO115" s="375">
        <f>ABS(INDEX(AO:AO,MATCH(AO112,$AA:$AA,0)+5)+INDEX(AO:AO,MATCH(AO112,$AA:$AA,0)+6)+INDEX(AO:AO,MATCH(AO112,$AA:$AA,0)+7))</f>
        <v>175</v>
      </c>
      <c r="AP115" s="376"/>
      <c r="AQ115" s="375">
        <f>ABS(INDEX(AQ:AQ,MATCH(AQ112,$AA:$AA,0)+5)+INDEX(AQ:AQ,MATCH(AQ112,$AA:$AA,0)+6)+INDEX(AQ:AQ,MATCH(AQ112,$AA:$AA,0)+7))</f>
        <v>164</v>
      </c>
      <c r="AR115" s="376"/>
      <c r="AS115" s="375">
        <f>ABS(INDEX(AS:AS,MATCH(AS112,$AA:$AA,0)+5)+INDEX(AS:AS,MATCH(AS112,$AA:$AA,0)+6)+INDEX(AS:AS,MATCH(AS112,$AA:$AA,0)+7))</f>
        <v>224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204</v>
      </c>
      <c r="E116" s="342" t="str">
        <f>IF(AD116=0,"",AD116)</f>
        <v/>
      </c>
      <c r="F116" s="342">
        <f>IF(AE116=301,"",AE116)</f>
        <v>158</v>
      </c>
      <c r="G116" s="342" t="str">
        <f>IF(AF116=0,"",AF116)</f>
        <v/>
      </c>
      <c r="H116" s="342">
        <f>IF(AG116=301,"",AG116)</f>
        <v>171</v>
      </c>
      <c r="I116" s="342" t="str">
        <f>IF(AH116=0,"",AH116)</f>
        <v/>
      </c>
      <c r="J116" s="342">
        <f>IF(AI116=301,"",AI116)</f>
        <v>148</v>
      </c>
      <c r="K116" s="342" t="str">
        <f>IF(AJ116=0,"",AJ116)</f>
        <v/>
      </c>
      <c r="L116" s="342">
        <f>IF(AK116=301,"",AK116)</f>
        <v>180</v>
      </c>
      <c r="M116" s="342" t="str">
        <f>IF(AL116=0,"",AL116)</f>
        <v/>
      </c>
      <c r="N116" s="342">
        <f>IF(AM116=301,"",AM116)</f>
        <v>171</v>
      </c>
      <c r="O116" s="342" t="str">
        <f>IF(AN116=0,"",AN116)</f>
        <v/>
      </c>
      <c r="P116" s="342">
        <f>IF(AO116=301,"",AO116)</f>
        <v>201</v>
      </c>
      <c r="Q116" s="342" t="str">
        <f>IF(AP116=0,"",AP116)</f>
        <v/>
      </c>
      <c r="R116" s="342">
        <f>IF(AQ116=301,"",AQ116)</f>
        <v>192</v>
      </c>
      <c r="S116" s="342" t="str">
        <f>IF(AR116=0,"",AR116)</f>
        <v/>
      </c>
      <c r="T116" s="342">
        <f>IF(AS116=301,"",AS116)</f>
        <v>203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204</v>
      </c>
      <c r="AD116" s="378"/>
      <c r="AE116" s="377">
        <f>ABS(INDEX(AE:AE,MATCH(AE112,$AA:$AA,0)+8)+INDEX(AE:AE,MATCH(AE112,$AA:$AA,0)+9)+INDEX(AE:AE,MATCH(AE112,$AA:$AA,0)+10))</f>
        <v>158</v>
      </c>
      <c r="AF116" s="378"/>
      <c r="AG116" s="377">
        <f>ABS(INDEX(AG:AG,MATCH(AG112,$AA:$AA,0)+8)+INDEX(AG:AG,MATCH(AG112,$AA:$AA,0)+9)+INDEX(AG:AG,MATCH(AG112,$AA:$AA,0)+10))</f>
        <v>171</v>
      </c>
      <c r="AH116" s="378"/>
      <c r="AI116" s="377">
        <f>ABS(INDEX(AI:AI,MATCH(AI112,$AA:$AA,0)+8)+INDEX(AI:AI,MATCH(AI112,$AA:$AA,0)+9)+INDEX(AI:AI,MATCH(AI112,$AA:$AA,0)+10))</f>
        <v>148</v>
      </c>
      <c r="AJ116" s="378"/>
      <c r="AK116" s="377">
        <f>ABS(INDEX(AK:AK,MATCH(AK112,$AA:$AA,0)+8)+INDEX(AK:AK,MATCH(AK112,$AA:$AA,0)+9)+INDEX(AK:AK,MATCH(AK112,$AA:$AA,0)+10))</f>
        <v>180</v>
      </c>
      <c r="AL116" s="378"/>
      <c r="AM116" s="377">
        <f>ABS(INDEX(AM:AM,MATCH(AM112,$AA:$AA,0)+8)+INDEX(AM:AM,MATCH(AM112,$AA:$AA,0)+9)+INDEX(AM:AM,MATCH(AM112,$AA:$AA,0)+10))</f>
        <v>171</v>
      </c>
      <c r="AN116" s="378"/>
      <c r="AO116" s="377">
        <f>ABS(INDEX(AO:AO,MATCH(AO112,$AA:$AA,0)+8)+INDEX(AO:AO,MATCH(AO112,$AA:$AA,0)+9)+INDEX(AO:AO,MATCH(AO112,$AA:$AA,0)+10))</f>
        <v>201</v>
      </c>
      <c r="AP116" s="378"/>
      <c r="AQ116" s="377">
        <f>ABS(INDEX(AQ:AQ,MATCH(AQ112,$AA:$AA,0)+8)+INDEX(AQ:AQ,MATCH(AQ112,$AA:$AA,0)+9)+INDEX(AQ:AQ,MATCH(AQ112,$AA:$AA,0)+10))</f>
        <v>192</v>
      </c>
      <c r="AR116" s="378"/>
      <c r="AS116" s="377">
        <f>ABS(INDEX(AS:AS,MATCH(AS112,$AA:$AA,0)+8)+INDEX(AS:AS,MATCH(AS112,$AA:$AA,0)+9)+INDEX(AS:AS,MATCH(AS112,$AA:$AA,0)+10))</f>
        <v>203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174</v>
      </c>
      <c r="E117" s="342" t="str">
        <f>IF(AD117=0,"",AD117)</f>
        <v/>
      </c>
      <c r="F117" s="342">
        <f>IF(AE117=301,"",AE117)</f>
        <v>198</v>
      </c>
      <c r="G117" s="342" t="str">
        <f>IF(AF117=0,"",AF117)</f>
        <v/>
      </c>
      <c r="H117" s="342">
        <f>IF(AG117=301,"",AG117)</f>
        <v>178</v>
      </c>
      <c r="I117" s="342" t="str">
        <f>IF(AH117=0,"",AH117)</f>
        <v/>
      </c>
      <c r="J117" s="342">
        <f>IF(AI117=301,"",AI117)</f>
        <v>191</v>
      </c>
      <c r="K117" s="342" t="str">
        <f>IF(AJ117=0,"",AJ117)</f>
        <v/>
      </c>
      <c r="L117" s="342">
        <f>IF(AK117=301,"",AK117)</f>
        <v>226</v>
      </c>
      <c r="M117" s="342" t="str">
        <f>IF(AL117=0,"",AL117)</f>
        <v/>
      </c>
      <c r="N117" s="342">
        <f>IF(AM117=301,"",AM117)</f>
        <v>234</v>
      </c>
      <c r="O117" s="342" t="str">
        <f>IF(AN117=0,"",AN117)</f>
        <v/>
      </c>
      <c r="P117" s="342">
        <f>IF(AO117=301,"",AO117)</f>
        <v>184</v>
      </c>
      <c r="Q117" s="342" t="str">
        <f>IF(AP117=0,"",AP117)</f>
        <v/>
      </c>
      <c r="R117" s="342">
        <f>IF(AQ117=301,"",AQ117)</f>
        <v>211</v>
      </c>
      <c r="S117" s="342" t="str">
        <f>IF(AR117=0,"",AR117)</f>
        <v/>
      </c>
      <c r="T117" s="342">
        <f>IF(AS117=301,"",AS117)</f>
        <v>182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174</v>
      </c>
      <c r="AD117" s="378"/>
      <c r="AE117" s="377">
        <f>ABS(INDEX(AE:AE,MATCH(AE112,$AA:$AA,0)+11)+INDEX(AE:AE,MATCH(AE112,$AA:$AA,0)+12)+INDEX(AE:AE,MATCH(AE112,$AA:$AA,0)+13))</f>
        <v>198</v>
      </c>
      <c r="AF117" s="378"/>
      <c r="AG117" s="377">
        <f>ABS(INDEX(AG:AG,MATCH(AG112,$AA:$AA,0)+11)+INDEX(AG:AG,MATCH(AG112,$AA:$AA,0)+12)+INDEX(AG:AG,MATCH(AG112,$AA:$AA,0)+13))</f>
        <v>178</v>
      </c>
      <c r="AH117" s="378"/>
      <c r="AI117" s="377">
        <f>ABS(INDEX(AI:AI,MATCH(AI112,$AA:$AA,0)+11)+INDEX(AI:AI,MATCH(AI112,$AA:$AA,0)+12)+INDEX(AI:AI,MATCH(AI112,$AA:$AA,0)+13))</f>
        <v>191</v>
      </c>
      <c r="AJ117" s="378"/>
      <c r="AK117" s="377">
        <f>ABS(INDEX(AK:AK,MATCH(AK112,$AA:$AA,0)+11)+INDEX(AK:AK,MATCH(AK112,$AA:$AA,0)+12)+INDEX(AK:AK,MATCH(AK112,$AA:$AA,0)+13))</f>
        <v>226</v>
      </c>
      <c r="AL117" s="378"/>
      <c r="AM117" s="377">
        <f>ABS(INDEX(AM:AM,MATCH(AM112,$AA:$AA,0)+11)+INDEX(AM:AM,MATCH(AM112,$AA:$AA,0)+12)+INDEX(AM:AM,MATCH(AM112,$AA:$AA,0)+13))</f>
        <v>234</v>
      </c>
      <c r="AN117" s="378"/>
      <c r="AO117" s="377">
        <f>ABS(INDEX(AO:AO,MATCH(AO112,$AA:$AA,0)+11)+INDEX(AO:AO,MATCH(AO112,$AA:$AA,0)+12)+INDEX(AO:AO,MATCH(AO112,$AA:$AA,0)+13))</f>
        <v>184</v>
      </c>
      <c r="AP117" s="378"/>
      <c r="AQ117" s="377">
        <f>ABS(INDEX(AQ:AQ,MATCH(AQ112,$AA:$AA,0)+11)+INDEX(AQ:AQ,MATCH(AQ112,$AA:$AA,0)+12)+INDEX(AQ:AQ,MATCH(AQ112,$AA:$AA,0)+13))</f>
        <v>211</v>
      </c>
      <c r="AR117" s="378"/>
      <c r="AS117" s="377">
        <f>ABS(INDEX(AS:AS,MATCH(AS112,$AA:$AA,0)+11)+INDEX(AS:AS,MATCH(AS112,$AA:$AA,0)+12)+INDEX(AS:AS,MATCH(AS112,$AA:$AA,0)+13))</f>
        <v>182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181</v>
      </c>
      <c r="E118" s="342" t="str">
        <f>IF(AD118=0,"",AD118)</f>
        <v/>
      </c>
      <c r="F118" s="342">
        <f>IF(AE118=301,"",AE118)</f>
        <v>191</v>
      </c>
      <c r="G118" s="342" t="str">
        <f>IF(AF118=0,"",AF118)</f>
        <v/>
      </c>
      <c r="H118" s="342">
        <f>IF(AG118=301,"",AG118)</f>
        <v>187</v>
      </c>
      <c r="I118" s="342" t="str">
        <f>IF(AH118=0,"",AH118)</f>
        <v/>
      </c>
      <c r="J118" s="342">
        <f>IF(AI118=301,"",AI118)</f>
        <v>258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209</v>
      </c>
      <c r="O118" s="342" t="str">
        <f>IF(AN118=0,"",AN118)</f>
        <v/>
      </c>
      <c r="P118" s="342">
        <f>IF(AO118=301,"",AO118)</f>
        <v>177</v>
      </c>
      <c r="Q118" s="342" t="str">
        <f>IF(AP118=0,"",AP118)</f>
        <v/>
      </c>
      <c r="R118" s="342">
        <f>IF(AQ118=301,"",AQ118)</f>
        <v>160</v>
      </c>
      <c r="S118" s="342" t="str">
        <f>IF(AR118=0,"",AR118)</f>
        <v/>
      </c>
      <c r="T118" s="342">
        <f>IF(AS118=301,"",AS118)</f>
        <v>159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181</v>
      </c>
      <c r="AD118" s="378"/>
      <c r="AE118" s="377">
        <f>ABS(INDEX(AE:AE,MATCH(AE112,$AA:$AA,0)+14)+INDEX(AE:AE,MATCH(AE112,$AA:$AA,0)+15)+INDEX(AE:AE,MATCH(AE112,$AA:$AA,0)+16))</f>
        <v>191</v>
      </c>
      <c r="AF118" s="378"/>
      <c r="AG118" s="377">
        <f>ABS(INDEX(AG:AG,MATCH(AG112,$AA:$AA,0)+14)+INDEX(AG:AG,MATCH(AG112,$AA:$AA,0)+15)+INDEX(AG:AG,MATCH(AG112,$AA:$AA,0)+16))</f>
        <v>187</v>
      </c>
      <c r="AH118" s="378"/>
      <c r="AI118" s="377">
        <f>ABS(INDEX(AI:AI,MATCH(AI112,$AA:$AA,0)+14)+INDEX(AI:AI,MATCH(AI112,$AA:$AA,0)+15)+INDEX(AI:AI,MATCH(AI112,$AA:$AA,0)+16))</f>
        <v>258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209</v>
      </c>
      <c r="AN118" s="378"/>
      <c r="AO118" s="377">
        <f>ABS(INDEX(AO:AO,MATCH(AO112,$AA:$AA,0)+14)+INDEX(AO:AO,MATCH(AO112,$AA:$AA,0)+15)+INDEX(AO:AO,MATCH(AO112,$AA:$AA,0)+16))</f>
        <v>177</v>
      </c>
      <c r="AP118" s="378"/>
      <c r="AQ118" s="377">
        <f>ABS(INDEX(AQ:AQ,MATCH(AQ112,$AA:$AA,0)+14)+INDEX(AQ:AQ,MATCH(AQ112,$AA:$AA,0)+15)+INDEX(AQ:AQ,MATCH(AQ112,$AA:$AA,0)+16))</f>
        <v>160</v>
      </c>
      <c r="AR118" s="378"/>
      <c r="AS118" s="377">
        <f>ABS(INDEX(AS:AS,MATCH(AS112,$AA:$AA,0)+14)+INDEX(AS:AS,MATCH(AS112,$AA:$AA,0)+15)+INDEX(AS:AS,MATCH(AS112,$AA:$AA,0)+16))</f>
        <v>159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731</v>
      </c>
      <c r="E119" s="341" t="str">
        <f>IF(AD119=0,"",AD119)</f>
        <v/>
      </c>
      <c r="F119" s="341">
        <f>IF(AE119=1505,"",AE119)</f>
        <v>724</v>
      </c>
      <c r="G119" s="341" t="str">
        <f>IF(AF119=0,"",AF119)</f>
        <v/>
      </c>
      <c r="H119" s="341">
        <f>IF(AG119=1505,"",AG119)</f>
        <v>692</v>
      </c>
      <c r="I119" s="341" t="str">
        <f>IF(AH119=0,"",AH119)</f>
        <v/>
      </c>
      <c r="J119" s="341">
        <f>IF(AI119=1505,"",AI119)</f>
        <v>786</v>
      </c>
      <c r="K119" s="341" t="str">
        <f>IF(AJ119=0,"",AJ119)</f>
        <v/>
      </c>
      <c r="L119" s="341">
        <f>IF(AK119=1505,"",AK119)</f>
        <v>773</v>
      </c>
      <c r="M119" s="341" t="str">
        <f>IF(AL119=0,"",AL119)</f>
        <v/>
      </c>
      <c r="N119" s="341">
        <f>IF(AM119=1505,"",AM119)</f>
        <v>813</v>
      </c>
      <c r="O119" s="341" t="str">
        <f>IF(AN119=0,"",AN119)</f>
        <v/>
      </c>
      <c r="P119" s="341">
        <f>IF(AO119=1505,"",AO119)</f>
        <v>737</v>
      </c>
      <c r="Q119" s="341" t="str">
        <f>IF(AP119=0,"",AP119)</f>
        <v/>
      </c>
      <c r="R119" s="341">
        <f>IF(AQ119=1505,"",AQ119)</f>
        <v>727</v>
      </c>
      <c r="S119" s="341" t="str">
        <f>IF(AR119=0,"",AR119)</f>
        <v/>
      </c>
      <c r="T119" s="341">
        <f>IF(AS119=1505,"",AS119)</f>
        <v>768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731</v>
      </c>
      <c r="AD119" s="358"/>
      <c r="AE119" s="357">
        <f>SUM(AE115:AE118)</f>
        <v>724</v>
      </c>
      <c r="AF119" s="358"/>
      <c r="AG119" s="357">
        <f>SUM(AG115:AG118)</f>
        <v>692</v>
      </c>
      <c r="AH119" s="358"/>
      <c r="AI119" s="357">
        <f>SUM(AI115:AI118)</f>
        <v>786</v>
      </c>
      <c r="AJ119" s="358"/>
      <c r="AK119" s="357">
        <f>SUM(AK115:AK118)</f>
        <v>773</v>
      </c>
      <c r="AL119" s="358"/>
      <c r="AM119" s="357">
        <f>SUM(AM115:AM118)</f>
        <v>813</v>
      </c>
      <c r="AN119" s="358"/>
      <c r="AO119" s="357">
        <f>SUM(AO115:AO118)</f>
        <v>737</v>
      </c>
      <c r="AP119" s="358"/>
      <c r="AQ119" s="357">
        <f>SUM(AQ115:AQ118)</f>
        <v>727</v>
      </c>
      <c r="AR119" s="358"/>
      <c r="AS119" s="357">
        <f>SUM(AS115:AS118)</f>
        <v>768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01.02./02.02.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01.02./02.02.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51">
        <f>IF(AD127="","",AD127)</f>
        <v>1</v>
      </c>
      <c r="F127" s="75">
        <f t="shared" ref="F127:F140" si="137">IF(AE127=0,"",AE127)</f>
        <v>177</v>
      </c>
      <c r="G127" s="351">
        <f>IF(AF127="","",AF127)</f>
        <v>0</v>
      </c>
      <c r="H127" s="75">
        <f t="shared" ref="H127:H140" si="138">IF(AG127=0,"",AG127)</f>
        <v>179</v>
      </c>
      <c r="I127" s="351">
        <f>IF(AH127="","",AH127)</f>
        <v>1</v>
      </c>
      <c r="J127" s="75">
        <f t="shared" ref="J127:J140" si="139">IF(AI127=0,"",AI127)</f>
        <v>167</v>
      </c>
      <c r="K127" s="351">
        <f>IF(AJ127="","",AJ127)</f>
        <v>0</v>
      </c>
      <c r="L127" s="75">
        <f t="shared" ref="L127:L140" si="140">IF(AK127=0,"",AK127)</f>
        <v>190</v>
      </c>
      <c r="M127" s="351">
        <f>IF(AL127="","",AL127)</f>
        <v>0</v>
      </c>
      <c r="N127" s="75">
        <f>IF(AM127=0,"",AM127)</f>
        <v>165</v>
      </c>
      <c r="O127" s="351">
        <f>IF(AN127="","",AN127)</f>
        <v>1</v>
      </c>
      <c r="P127" s="75">
        <f t="shared" ref="P127:P140" si="141">IF(AO127=0,"",AO127)</f>
        <v>179</v>
      </c>
      <c r="Q127" s="351">
        <f>IF(AP127="","",AP127)</f>
        <v>0</v>
      </c>
      <c r="R127" s="75" t="str">
        <f t="shared" ref="R127:R140" si="142">IF(AQ127=0,"",AQ127)</f>
        <v/>
      </c>
      <c r="S127" s="351">
        <f>IF(AR127="","",AR127)</f>
        <v>0</v>
      </c>
      <c r="T127" s="75" t="str">
        <f t="shared" ref="T127:T140" si="143">IF(AS127=0,"",AS127)</f>
        <v/>
      </c>
      <c r="U127" s="351">
        <f>IF(AT127="","",AT127)</f>
        <v>1</v>
      </c>
      <c r="V127" s="75">
        <f t="shared" ref="V127:V140" si="144">IF(AU127=0,"",AU127)</f>
        <v>1237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>
        <f t="shared" si="142"/>
        <v>188</v>
      </c>
      <c r="S128" s="352"/>
      <c r="T128" s="78">
        <f t="shared" si="143"/>
        <v>155</v>
      </c>
      <c r="U128" s="352"/>
      <c r="V128" s="78">
        <f t="shared" si="144"/>
        <v>343</v>
      </c>
      <c r="W128" s="352"/>
      <c r="Z128" s="355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51">
        <f>IF(AD130="","",AD130)</f>
        <v>0</v>
      </c>
      <c r="F130" s="75">
        <f t="shared" si="137"/>
        <v>158</v>
      </c>
      <c r="G130" s="351">
        <f>IF(AF130="","",AF130)</f>
        <v>0</v>
      </c>
      <c r="H130" s="75">
        <f t="shared" si="138"/>
        <v>185</v>
      </c>
      <c r="I130" s="351">
        <f>IF(AH130="","",AH130)</f>
        <v>0</v>
      </c>
      <c r="J130" s="75">
        <f t="shared" si="139"/>
        <v>182</v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>
        <f t="shared" si="157"/>
        <v>155</v>
      </c>
      <c r="O130" s="351">
        <f>IF(AN130="","",AN130)</f>
        <v>0</v>
      </c>
      <c r="P130" s="75">
        <f t="shared" si="141"/>
        <v>212</v>
      </c>
      <c r="Q130" s="351">
        <f>IF(AP130="","",AP130)</f>
        <v>1</v>
      </c>
      <c r="R130" s="75">
        <f t="shared" si="142"/>
        <v>200</v>
      </c>
      <c r="S130" s="351">
        <f>IF(AR130="","",AR130)</f>
        <v>0</v>
      </c>
      <c r="T130" s="75">
        <f t="shared" si="143"/>
        <v>138</v>
      </c>
      <c r="U130" s="351">
        <f>IF(AT130="","",AT130)</f>
        <v>0</v>
      </c>
      <c r="V130" s="75">
        <f t="shared" si="144"/>
        <v>1397</v>
      </c>
      <c r="W130" s="351">
        <f>IF(AV130="","",AV130)</f>
        <v>2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52"/>
      <c r="F131" s="78" t="str">
        <f t="shared" si="137"/>
        <v/>
      </c>
      <c r="G131" s="352"/>
      <c r="H131" s="78" t="str">
        <f t="shared" si="138"/>
        <v/>
      </c>
      <c r="I131" s="352"/>
      <c r="J131" s="78" t="str">
        <f t="shared" si="139"/>
        <v/>
      </c>
      <c r="K131" s="352"/>
      <c r="L131" s="78">
        <f t="shared" si="140"/>
        <v>157</v>
      </c>
      <c r="M131" s="352"/>
      <c r="N131" s="78" t="str">
        <f t="shared" si="157"/>
        <v/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157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51">
        <f>IF(AD133="","",AD133)</f>
        <v>0</v>
      </c>
      <c r="F133" s="75">
        <f t="shared" si="137"/>
        <v>198</v>
      </c>
      <c r="G133" s="351">
        <f>IF(AF133="","",AF133)</f>
        <v>1</v>
      </c>
      <c r="H133" s="75">
        <f t="shared" si="138"/>
        <v>180</v>
      </c>
      <c r="I133" s="351">
        <f>IF(AH133="","",AH133)</f>
        <v>0</v>
      </c>
      <c r="J133" s="75">
        <f t="shared" si="139"/>
        <v>196</v>
      </c>
      <c r="K133" s="351">
        <f>IF(AJ133="","",AJ133)</f>
        <v>1</v>
      </c>
      <c r="L133" s="75">
        <f t="shared" si="140"/>
        <v>180</v>
      </c>
      <c r="M133" s="351">
        <f>IF(AL133="","",AL133)</f>
        <v>0</v>
      </c>
      <c r="N133" s="75">
        <f t="shared" si="157"/>
        <v>221</v>
      </c>
      <c r="O133" s="351">
        <f>IF(AN133="","",AN133)</f>
        <v>1</v>
      </c>
      <c r="P133" s="75">
        <f t="shared" si="141"/>
        <v>187</v>
      </c>
      <c r="Q133" s="351">
        <f>IF(AP133="","",AP133)</f>
        <v>0</v>
      </c>
      <c r="R133" s="75">
        <f t="shared" si="142"/>
        <v>171</v>
      </c>
      <c r="S133" s="351">
        <f>IF(AR133="","",AR133)</f>
        <v>0</v>
      </c>
      <c r="T133" s="75">
        <f t="shared" si="143"/>
        <v>168</v>
      </c>
      <c r="U133" s="351">
        <f>IF(AT133="","",AT133)</f>
        <v>0</v>
      </c>
      <c r="V133" s="75">
        <f t="shared" si="144"/>
        <v>1655</v>
      </c>
      <c r="W133" s="351">
        <f>IF(AV133="","",AV133)</f>
        <v>3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51">
        <f>IF(AD136="","",AD136)</f>
        <v>0</v>
      </c>
      <c r="F136" s="75">
        <f t="shared" si="137"/>
        <v>191</v>
      </c>
      <c r="G136" s="351">
        <f>IF(AF136="","",AF136)</f>
        <v>0</v>
      </c>
      <c r="H136" s="75">
        <f t="shared" si="138"/>
        <v>162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208</v>
      </c>
      <c r="M136" s="351">
        <f>IF(AL136="","",AL136)</f>
        <v>0</v>
      </c>
      <c r="N136" s="75">
        <f t="shared" si="157"/>
        <v>211</v>
      </c>
      <c r="O136" s="351">
        <f>IF(AN136="","",AN136)</f>
        <v>0</v>
      </c>
      <c r="P136" s="75">
        <f t="shared" si="141"/>
        <v>221</v>
      </c>
      <c r="Q136" s="351">
        <f>IF(AP136="","",AP136)</f>
        <v>1</v>
      </c>
      <c r="R136" s="75">
        <f t="shared" si="142"/>
        <v>180</v>
      </c>
      <c r="S136" s="351">
        <f>IF(AR136="","",AR136)</f>
        <v>1</v>
      </c>
      <c r="T136" s="75">
        <f t="shared" si="143"/>
        <v>156</v>
      </c>
      <c r="U136" s="351">
        <f>IF(AT136="","",AT136)</f>
        <v>0</v>
      </c>
      <c r="V136" s="75">
        <f t="shared" si="144"/>
        <v>1697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1</v>
      </c>
      <c r="E142" s="349" t="str">
        <f t="shared" si="168"/>
        <v/>
      </c>
      <c r="F142" s="349">
        <f t="shared" si="168"/>
        <v>4</v>
      </c>
      <c r="G142" s="349" t="str">
        <f t="shared" si="168"/>
        <v/>
      </c>
      <c r="H142" s="349">
        <f t="shared" si="168"/>
        <v>6</v>
      </c>
      <c r="I142" s="349" t="str">
        <f t="shared" si="168"/>
        <v/>
      </c>
      <c r="J142" s="349">
        <f t="shared" si="168"/>
        <v>9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8</v>
      </c>
      <c r="O142" s="349" t="str">
        <f t="shared" si="169"/>
        <v/>
      </c>
      <c r="P142" s="349">
        <f t="shared" si="169"/>
        <v>3</v>
      </c>
      <c r="Q142" s="349" t="str">
        <f t="shared" si="169"/>
        <v/>
      </c>
      <c r="R142" s="349">
        <f t="shared" si="169"/>
        <v>2</v>
      </c>
      <c r="S142" s="349" t="str">
        <f t="shared" si="169"/>
        <v/>
      </c>
      <c r="T142" s="349">
        <f t="shared" si="169"/>
        <v>7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VLOOKUP($AA122,Schlüssel!$A$5:$DG$14,43)</f>
        <v>1</v>
      </c>
      <c r="AD142" s="374"/>
      <c r="AE142" s="373">
        <f>VLOOKUP($AA122,Schlüssel!$A$5:$EK$14,44)</f>
        <v>4</v>
      </c>
      <c r="AF142" s="374"/>
      <c r="AG142" s="373">
        <f>VLOOKUP($AA122,Schlüssel!$A$5:$EK$14,45)</f>
        <v>6</v>
      </c>
      <c r="AH142" s="374"/>
      <c r="AI142" s="373">
        <f>VLOOKUP($AA122,Schlüssel!$A$5:$EK$14,46)</f>
        <v>9</v>
      </c>
      <c r="AJ142" s="374"/>
      <c r="AK142" s="373">
        <f>VLOOKUP($AA122,Schlüssel!$A$5:$EK$14,47)</f>
        <v>10</v>
      </c>
      <c r="AL142" s="374"/>
      <c r="AM142" s="373">
        <f>VLOOKUP($AA122,Schlüssel!$A$5:$EK$14,48)</f>
        <v>8</v>
      </c>
      <c r="AN142" s="374"/>
      <c r="AO142" s="373">
        <f>VLOOKUP($AA122,Schlüssel!$A$5:$EK$14,49)</f>
        <v>3</v>
      </c>
      <c r="AP142" s="374"/>
      <c r="AQ142" s="373">
        <f>VLOOKUP($AA122,Schlüssel!$A$5:$EK$14,50)</f>
        <v>2</v>
      </c>
      <c r="AR142" s="374"/>
      <c r="AS142" s="373">
        <f>VLOOKUP($AA122,Schlüssel!$A$5:$EK$14,51)</f>
        <v>7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BC Comet Nürnberg</v>
      </c>
      <c r="E143" s="347" t="str">
        <f t="shared" si="168"/>
        <v/>
      </c>
      <c r="F143" s="346" t="str">
        <f t="shared" si="168"/>
        <v>SG DJK Rimpar</v>
      </c>
      <c r="G143" s="347" t="str">
        <f t="shared" si="168"/>
        <v/>
      </c>
      <c r="H143" s="346" t="str">
        <f t="shared" si="168"/>
        <v>SG Rottendorf 1</v>
      </c>
      <c r="I143" s="347" t="str">
        <f t="shared" si="168"/>
        <v/>
      </c>
      <c r="J143" s="346" t="str">
        <f t="shared" si="168"/>
        <v>Bowlinghaus Bamberg 1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BC EMAX Unterföhring 2</v>
      </c>
      <c r="O143" s="347" t="str">
        <f t="shared" si="169"/>
        <v/>
      </c>
      <c r="P143" s="346" t="str">
        <f t="shared" si="169"/>
        <v>BK München 3</v>
      </c>
      <c r="Q143" s="347" t="str">
        <f t="shared" si="169"/>
        <v/>
      </c>
      <c r="R143" s="346" t="str">
        <f t="shared" si="169"/>
        <v>Bajuwaren München 1</v>
      </c>
      <c r="S143" s="347" t="str">
        <f t="shared" si="169"/>
        <v/>
      </c>
      <c r="T143" s="346" t="str">
        <f t="shared" si="169"/>
        <v>Schanzer Ingolstadt 1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BC Comet Nürnberg</v>
      </c>
      <c r="AD143" s="347"/>
      <c r="AE143" s="346" t="str">
        <f>VLOOKUP(AE142,Schlüssel!$A$5:$K$14,2)</f>
        <v>SG DJK Rimpar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Bowlinghaus Bamberg 1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Bajuwaren München 1</v>
      </c>
      <c r="AR143" s="347"/>
      <c r="AS143" s="346" t="str">
        <f>VLOOKUP(AS142,Schlüssel!$A$5:$K$14,2)</f>
        <v>Schanzer Ingolstadt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164</v>
      </c>
      <c r="E145" s="342" t="str">
        <f>IF(AD145=0,"",AD145)</f>
        <v/>
      </c>
      <c r="F145" s="342">
        <f>IF(AE145=301,"",AE145)</f>
        <v>192</v>
      </c>
      <c r="G145" s="342" t="str">
        <f>IF(AF145=0,"",AF145)</f>
        <v/>
      </c>
      <c r="H145" s="342">
        <f>IF(AG145=301,"",AG145)</f>
        <v>167</v>
      </c>
      <c r="I145" s="342" t="str">
        <f>IF(AH145=0,"",AH145)</f>
        <v/>
      </c>
      <c r="J145" s="342">
        <f>IF(AI145=301,"",AI145)</f>
        <v>188</v>
      </c>
      <c r="K145" s="342" t="str">
        <f>IF(AJ145=0,"",AJ145)</f>
        <v/>
      </c>
      <c r="L145" s="342">
        <f>IF(AK145=301,"",AK145)</f>
        <v>216</v>
      </c>
      <c r="M145" s="342" t="str">
        <f>IF(AL145=0,"",AL145)</f>
        <v/>
      </c>
      <c r="N145" s="342">
        <f>IF(AM145=301,"",AM145)</f>
        <v>155</v>
      </c>
      <c r="O145" s="342" t="str">
        <f>IF(AN145=0,"",AN145)</f>
        <v/>
      </c>
      <c r="P145" s="342">
        <f>IF(AO145=301,"",AO145)</f>
        <v>184</v>
      </c>
      <c r="Q145" s="342" t="str">
        <f>IF(AP145=0,"",AP145)</f>
        <v/>
      </c>
      <c r="R145" s="342">
        <f>IF(AQ145=301,"",AQ145)</f>
        <v>200</v>
      </c>
      <c r="S145" s="342" t="str">
        <f>IF(AR145=0,"",AR145)</f>
        <v/>
      </c>
      <c r="T145" s="342">
        <f>IF(AS145=301,"",AS145)</f>
        <v>148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164</v>
      </c>
      <c r="AD145" s="376"/>
      <c r="AE145" s="375">
        <f>ABS(INDEX(AE:AE,MATCH(AE142,$AA:$AA,0)+5)+INDEX(AE:AE,MATCH(AE142,$AA:$AA,0)+6)+INDEX(AE:AE,MATCH(AE142,$AA:$AA,0)+7))</f>
        <v>192</v>
      </c>
      <c r="AF145" s="376"/>
      <c r="AG145" s="375">
        <f>ABS(INDEX(AG:AG,MATCH(AG142,$AA:$AA,0)+5)+INDEX(AG:AG,MATCH(AG142,$AA:$AA,0)+6)+INDEX(AG:AG,MATCH(AG142,$AA:$AA,0)+7))</f>
        <v>167</v>
      </c>
      <c r="AH145" s="376"/>
      <c r="AI145" s="375">
        <f>ABS(INDEX(AI:AI,MATCH(AI142,$AA:$AA,0)+5)+INDEX(AI:AI,MATCH(AI142,$AA:$AA,0)+6)+INDEX(AI:AI,MATCH(AI142,$AA:$AA,0)+7))</f>
        <v>188</v>
      </c>
      <c r="AJ145" s="376"/>
      <c r="AK145" s="375">
        <f>ABS(INDEX(AK:AK,MATCH(AK142,$AA:$AA,0)+5)+INDEX(AK:AK,MATCH(AK142,$AA:$AA,0)+6)+INDEX(AK:AK,MATCH(AK142,$AA:$AA,0)+7))</f>
        <v>216</v>
      </c>
      <c r="AL145" s="376"/>
      <c r="AM145" s="375">
        <f>ABS(INDEX(AM:AM,MATCH(AM142,$AA:$AA,0)+5)+INDEX(AM:AM,MATCH(AM142,$AA:$AA,0)+6)+INDEX(AM:AM,MATCH(AM142,$AA:$AA,0)+7))</f>
        <v>155</v>
      </c>
      <c r="AN145" s="376"/>
      <c r="AO145" s="375">
        <f>ABS(INDEX(AO:AO,MATCH(AO142,$AA:$AA,0)+5)+INDEX(AO:AO,MATCH(AO142,$AA:$AA,0)+6)+INDEX(AO:AO,MATCH(AO142,$AA:$AA,0)+7))</f>
        <v>184</v>
      </c>
      <c r="AP145" s="376"/>
      <c r="AQ145" s="375">
        <f>ABS(INDEX(AQ:AQ,MATCH(AQ142,$AA:$AA,0)+5)+INDEX(AQ:AQ,MATCH(AQ142,$AA:$AA,0)+6)+INDEX(AQ:AQ,MATCH(AQ142,$AA:$AA,0)+7))</f>
        <v>200</v>
      </c>
      <c r="AR145" s="376"/>
      <c r="AS145" s="375">
        <f>ABS(INDEX(AS:AS,MATCH(AS142,$AA:$AA,0)+5)+INDEX(AS:AS,MATCH(AS142,$AA:$AA,0)+6)+INDEX(AS:AS,MATCH(AS142,$AA:$AA,0)+7))</f>
        <v>148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183</v>
      </c>
      <c r="E146" s="342" t="str">
        <f>IF(AD146=0,"",AD146)</f>
        <v/>
      </c>
      <c r="F146" s="342">
        <f>IF(AE146=301,"",AE146)</f>
        <v>198</v>
      </c>
      <c r="G146" s="342" t="str">
        <f>IF(AF146=0,"",AF146)</f>
        <v/>
      </c>
      <c r="H146" s="342">
        <f>IF(AG146=301,"",AG146)</f>
        <v>216</v>
      </c>
      <c r="I146" s="342" t="str">
        <f>IF(AH146=0,"",AH146)</f>
        <v/>
      </c>
      <c r="J146" s="342">
        <f>IF(AI146=301,"",AI146)</f>
        <v>180</v>
      </c>
      <c r="K146" s="342" t="str">
        <f>IF(AJ146=0,"",AJ146)</f>
        <v/>
      </c>
      <c r="L146" s="342">
        <f>IF(AK146=301,"",AK146)</f>
        <v>174</v>
      </c>
      <c r="M146" s="342" t="str">
        <f>IF(AL146=0,"",AL146)</f>
        <v/>
      </c>
      <c r="N146" s="342">
        <f>IF(AM146=301,"",AM146)</f>
        <v>198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212</v>
      </c>
      <c r="S146" s="342" t="str">
        <f>IF(AR146=0,"",AR146)</f>
        <v/>
      </c>
      <c r="T146" s="342">
        <f>IF(AS146=301,"",AS146)</f>
        <v>167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183</v>
      </c>
      <c r="AD146" s="378"/>
      <c r="AE146" s="377">
        <f>ABS(INDEX(AE:AE,MATCH(AE142,$AA:$AA,0)+8)+INDEX(AE:AE,MATCH(AE142,$AA:$AA,0)+9)+INDEX(AE:AE,MATCH(AE142,$AA:$AA,0)+10))</f>
        <v>198</v>
      </c>
      <c r="AF146" s="378"/>
      <c r="AG146" s="377">
        <f>ABS(INDEX(AG:AG,MATCH(AG142,$AA:$AA,0)+8)+INDEX(AG:AG,MATCH(AG142,$AA:$AA,0)+9)+INDEX(AG:AG,MATCH(AG142,$AA:$AA,0)+10))</f>
        <v>216</v>
      </c>
      <c r="AH146" s="378"/>
      <c r="AI146" s="377">
        <f>ABS(INDEX(AI:AI,MATCH(AI142,$AA:$AA,0)+8)+INDEX(AI:AI,MATCH(AI142,$AA:$AA,0)+9)+INDEX(AI:AI,MATCH(AI142,$AA:$AA,0)+10))</f>
        <v>180</v>
      </c>
      <c r="AJ146" s="378"/>
      <c r="AK146" s="377">
        <f>ABS(INDEX(AK:AK,MATCH(AK142,$AA:$AA,0)+8)+INDEX(AK:AK,MATCH(AK142,$AA:$AA,0)+9)+INDEX(AK:AK,MATCH(AK142,$AA:$AA,0)+10))</f>
        <v>174</v>
      </c>
      <c r="AL146" s="378"/>
      <c r="AM146" s="377">
        <f>ABS(INDEX(AM:AM,MATCH(AM142,$AA:$AA,0)+8)+INDEX(AM:AM,MATCH(AM142,$AA:$AA,0)+9)+INDEX(AM:AM,MATCH(AM142,$AA:$AA,0)+10))</f>
        <v>198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212</v>
      </c>
      <c r="AR146" s="378"/>
      <c r="AS146" s="377">
        <f>ABS(INDEX(AS:AS,MATCH(AS142,$AA:$AA,0)+8)+INDEX(AS:AS,MATCH(AS142,$AA:$AA,0)+9)+INDEX(AS:AS,MATCH(AS142,$AA:$AA,0)+10))</f>
        <v>167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221</v>
      </c>
      <c r="E147" s="342" t="str">
        <f>IF(AD147=0,"",AD147)</f>
        <v/>
      </c>
      <c r="F147" s="342">
        <f>IF(AE147=301,"",AE147)</f>
        <v>191</v>
      </c>
      <c r="G147" s="342" t="str">
        <f>IF(AF147=0,"",AF147)</f>
        <v/>
      </c>
      <c r="H147" s="342">
        <f>IF(AG147=301,"",AG147)</f>
        <v>182</v>
      </c>
      <c r="I147" s="342" t="str">
        <f>IF(AH147=0,"",AH147)</f>
        <v/>
      </c>
      <c r="J147" s="342">
        <f>IF(AI147=301,"",AI147)</f>
        <v>193</v>
      </c>
      <c r="K147" s="342" t="str">
        <f>IF(AJ147=0,"",AJ147)</f>
        <v/>
      </c>
      <c r="L147" s="342">
        <f>IF(AK147=301,"",AK147)</f>
        <v>212</v>
      </c>
      <c r="M147" s="342" t="str">
        <f>IF(AL147=0,"",AL147)</f>
        <v/>
      </c>
      <c r="N147" s="342">
        <f>IF(AM147=301,"",AM147)</f>
        <v>186</v>
      </c>
      <c r="O147" s="342" t="str">
        <f>IF(AN147=0,"",AN147)</f>
        <v/>
      </c>
      <c r="P147" s="342">
        <f>IF(AO147=301,"",AO147)</f>
        <v>244</v>
      </c>
      <c r="Q147" s="342" t="str">
        <f>IF(AP147=0,"",AP147)</f>
        <v/>
      </c>
      <c r="R147" s="342">
        <f>IF(AQ147=301,"",AQ147)</f>
        <v>174</v>
      </c>
      <c r="S147" s="342" t="str">
        <f>IF(AR147=0,"",AR147)</f>
        <v/>
      </c>
      <c r="T147" s="342">
        <f>IF(AS147=301,"",AS147)</f>
        <v>178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221</v>
      </c>
      <c r="AD147" s="378"/>
      <c r="AE147" s="377">
        <f>ABS(INDEX(AE:AE,MATCH(AE142,$AA:$AA,0)+11)+INDEX(AE:AE,MATCH(AE142,$AA:$AA,0)+12)+INDEX(AE:AE,MATCH(AE142,$AA:$AA,0)+13))</f>
        <v>191</v>
      </c>
      <c r="AF147" s="378"/>
      <c r="AG147" s="377">
        <f>ABS(INDEX(AG:AG,MATCH(AG142,$AA:$AA,0)+11)+INDEX(AG:AG,MATCH(AG142,$AA:$AA,0)+12)+INDEX(AG:AG,MATCH(AG142,$AA:$AA,0)+13))</f>
        <v>182</v>
      </c>
      <c r="AH147" s="378"/>
      <c r="AI147" s="377">
        <f>ABS(INDEX(AI:AI,MATCH(AI142,$AA:$AA,0)+11)+INDEX(AI:AI,MATCH(AI142,$AA:$AA,0)+12)+INDEX(AI:AI,MATCH(AI142,$AA:$AA,0)+13))</f>
        <v>193</v>
      </c>
      <c r="AJ147" s="378"/>
      <c r="AK147" s="377">
        <f>ABS(INDEX(AK:AK,MATCH(AK142,$AA:$AA,0)+11)+INDEX(AK:AK,MATCH(AK142,$AA:$AA,0)+12)+INDEX(AK:AK,MATCH(AK142,$AA:$AA,0)+13))</f>
        <v>212</v>
      </c>
      <c r="AL147" s="378"/>
      <c r="AM147" s="377">
        <f>ABS(INDEX(AM:AM,MATCH(AM142,$AA:$AA,0)+11)+INDEX(AM:AM,MATCH(AM142,$AA:$AA,0)+12)+INDEX(AM:AM,MATCH(AM142,$AA:$AA,0)+13))</f>
        <v>186</v>
      </c>
      <c r="AN147" s="378"/>
      <c r="AO147" s="377">
        <f>ABS(INDEX(AO:AO,MATCH(AO142,$AA:$AA,0)+11)+INDEX(AO:AO,MATCH(AO142,$AA:$AA,0)+12)+INDEX(AO:AO,MATCH(AO142,$AA:$AA,0)+13))</f>
        <v>244</v>
      </c>
      <c r="AP147" s="378"/>
      <c r="AQ147" s="377">
        <f>ABS(INDEX(AQ:AQ,MATCH(AQ142,$AA:$AA,0)+11)+INDEX(AQ:AQ,MATCH(AQ142,$AA:$AA,0)+12)+INDEX(AQ:AQ,MATCH(AQ142,$AA:$AA,0)+13))</f>
        <v>174</v>
      </c>
      <c r="AR147" s="378"/>
      <c r="AS147" s="377">
        <f>ABS(INDEX(AS:AS,MATCH(AS142,$AA:$AA,0)+11)+INDEX(AS:AS,MATCH(AS142,$AA:$AA,0)+12)+INDEX(AS:AS,MATCH(AS142,$AA:$AA,0)+13))</f>
        <v>178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215</v>
      </c>
      <c r="E148" s="342" t="str">
        <f>IF(AD148=0,"",AD148)</f>
        <v/>
      </c>
      <c r="F148" s="342">
        <f>IF(AE148=301,"",AE148)</f>
        <v>212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216</v>
      </c>
      <c r="K148" s="342" t="str">
        <f>IF(AJ148=0,"",AJ148)</f>
        <v/>
      </c>
      <c r="L148" s="342">
        <f>IF(AK148=301,"",AK148)</f>
        <v>222</v>
      </c>
      <c r="M148" s="342" t="str">
        <f>IF(AL148=0,"",AL148)</f>
        <v/>
      </c>
      <c r="N148" s="342">
        <f>IF(AM148=301,"",AM148)</f>
        <v>221</v>
      </c>
      <c r="O148" s="342" t="str">
        <f>IF(AN148=0,"",AN148)</f>
        <v/>
      </c>
      <c r="P148" s="342">
        <f>IF(AO148=301,"",AO148)</f>
        <v>195</v>
      </c>
      <c r="Q148" s="342" t="str">
        <f>IF(AP148=0,"",AP148)</f>
        <v/>
      </c>
      <c r="R148" s="342">
        <f>IF(AQ148=301,"",AQ148)</f>
        <v>167</v>
      </c>
      <c r="S148" s="342" t="str">
        <f>IF(AR148=0,"",AR148)</f>
        <v/>
      </c>
      <c r="T148" s="342">
        <f>IF(AS148=301,"",AS148)</f>
        <v>209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215</v>
      </c>
      <c r="AD148" s="378"/>
      <c r="AE148" s="377">
        <f>ABS(INDEX(AE:AE,MATCH(AE142,$AA:$AA,0)+14)+INDEX(AE:AE,MATCH(AE142,$AA:$AA,0)+15)+INDEX(AE:AE,MATCH(AE142,$AA:$AA,0)+16))</f>
        <v>212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216</v>
      </c>
      <c r="AJ148" s="378"/>
      <c r="AK148" s="377">
        <f>ABS(INDEX(AK:AK,MATCH(AK142,$AA:$AA,0)+14)+INDEX(AK:AK,MATCH(AK142,$AA:$AA,0)+15)+INDEX(AK:AK,MATCH(AK142,$AA:$AA,0)+16))</f>
        <v>222</v>
      </c>
      <c r="AL148" s="378"/>
      <c r="AM148" s="377">
        <f>ABS(INDEX(AM:AM,MATCH(AM142,$AA:$AA,0)+14)+INDEX(AM:AM,MATCH(AM142,$AA:$AA,0)+15)+INDEX(AM:AM,MATCH(AM142,$AA:$AA,0)+16))</f>
        <v>221</v>
      </c>
      <c r="AN148" s="378"/>
      <c r="AO148" s="377">
        <f>ABS(INDEX(AO:AO,MATCH(AO142,$AA:$AA,0)+14)+INDEX(AO:AO,MATCH(AO142,$AA:$AA,0)+15)+INDEX(AO:AO,MATCH(AO142,$AA:$AA,0)+16))</f>
        <v>195</v>
      </c>
      <c r="AP148" s="378"/>
      <c r="AQ148" s="377">
        <f>ABS(INDEX(AQ:AQ,MATCH(AQ142,$AA:$AA,0)+14)+INDEX(AQ:AQ,MATCH(AQ142,$AA:$AA,0)+15)+INDEX(AQ:AQ,MATCH(AQ142,$AA:$AA,0)+16))</f>
        <v>167</v>
      </c>
      <c r="AR148" s="378"/>
      <c r="AS148" s="377">
        <f>ABS(INDEX(AS:AS,MATCH(AS142,$AA:$AA,0)+14)+INDEX(AS:AS,MATCH(AS142,$AA:$AA,0)+15)+INDEX(AS:AS,MATCH(AS142,$AA:$AA,0)+16))</f>
        <v>209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783</v>
      </c>
      <c r="E149" s="341" t="str">
        <f>IF(AD149=0,"",AD149)</f>
        <v/>
      </c>
      <c r="F149" s="341">
        <f>IF(AE149=1505,"",AE149)</f>
        <v>793</v>
      </c>
      <c r="G149" s="341" t="str">
        <f>IF(AF149=0,"",AF149)</f>
        <v/>
      </c>
      <c r="H149" s="341">
        <f>IF(AG149=1505,"",AG149)</f>
        <v>755</v>
      </c>
      <c r="I149" s="341" t="str">
        <f>IF(AH149=0,"",AH149)</f>
        <v/>
      </c>
      <c r="J149" s="341">
        <f>IF(AI149=1505,"",AI149)</f>
        <v>777</v>
      </c>
      <c r="K149" s="341" t="str">
        <f>IF(AJ149=0,"",AJ149)</f>
        <v/>
      </c>
      <c r="L149" s="341">
        <f>IF(AK149=1505,"",AK149)</f>
        <v>824</v>
      </c>
      <c r="M149" s="341" t="str">
        <f>IF(AL149=0,"",AL149)</f>
        <v/>
      </c>
      <c r="N149" s="341">
        <f>IF(AM149=1505,"",AM149)</f>
        <v>760</v>
      </c>
      <c r="O149" s="341" t="str">
        <f>IF(AN149=0,"",AN149)</f>
        <v/>
      </c>
      <c r="P149" s="341">
        <f>IF(AO149=1505,"",AO149)</f>
        <v>803</v>
      </c>
      <c r="Q149" s="341" t="str">
        <f>IF(AP149=0,"",AP149)</f>
        <v/>
      </c>
      <c r="R149" s="341">
        <f>IF(AQ149=1505,"",AQ149)</f>
        <v>753</v>
      </c>
      <c r="S149" s="341" t="str">
        <f>IF(AR149=0,"",AR149)</f>
        <v/>
      </c>
      <c r="T149" s="341">
        <f>IF(AS149=1505,"",AS149)</f>
        <v>702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783</v>
      </c>
      <c r="AD149" s="358"/>
      <c r="AE149" s="357">
        <f>SUM(AE145:AE148)</f>
        <v>793</v>
      </c>
      <c r="AF149" s="358"/>
      <c r="AG149" s="357">
        <f>SUM(AG145:AG148)</f>
        <v>755</v>
      </c>
      <c r="AH149" s="358"/>
      <c r="AI149" s="357">
        <f>SUM(AI145:AI148)</f>
        <v>777</v>
      </c>
      <c r="AJ149" s="358"/>
      <c r="AK149" s="357">
        <f>SUM(AK145:AK148)</f>
        <v>824</v>
      </c>
      <c r="AL149" s="358"/>
      <c r="AM149" s="357">
        <f>SUM(AM145:AM148)</f>
        <v>760</v>
      </c>
      <c r="AN149" s="358"/>
      <c r="AO149" s="357">
        <f>SUM(AO145:AO148)</f>
        <v>803</v>
      </c>
      <c r="AP149" s="358"/>
      <c r="AQ149" s="357">
        <f>SUM(AQ145:AQ148)</f>
        <v>753</v>
      </c>
      <c r="AR149" s="358"/>
      <c r="AS149" s="357">
        <f>SUM(AS145:AS148)</f>
        <v>702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01.02./02.02.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01.02./02.02.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51">
        <f>IF(AD157="","",AD157)</f>
        <v>0</v>
      </c>
      <c r="F157" s="75">
        <f t="shared" ref="F157:F170" si="171">IF(AE157=0,"",AE157)</f>
        <v>182</v>
      </c>
      <c r="G157" s="351">
        <f>IF(AF157="","",AF157)</f>
        <v>1</v>
      </c>
      <c r="H157" s="75">
        <f t="shared" ref="H157:H170" si="172">IF(AG157=0,"",AG157)</f>
        <v>167</v>
      </c>
      <c r="I157" s="351">
        <f>IF(AH157="","",AH157)</f>
        <v>0</v>
      </c>
      <c r="J157" s="75">
        <f t="shared" ref="J157:J170" si="173">IF(AI157=0,"",AI157)</f>
        <v>213</v>
      </c>
      <c r="K157" s="351">
        <f>IF(AJ157="","",AJ157)</f>
        <v>1</v>
      </c>
      <c r="L157" s="75">
        <f t="shared" ref="L157:L170" si="174">IF(AK157=0,"",AK157)</f>
        <v>158</v>
      </c>
      <c r="M157" s="351">
        <f>IF(AL157="","",AL157)</f>
        <v>0</v>
      </c>
      <c r="N157" s="75">
        <f>IF(AM157=0,"",AM157)</f>
        <v>151</v>
      </c>
      <c r="O157" s="351">
        <f>IF(AN157="","",AN157)</f>
        <v>0</v>
      </c>
      <c r="P157" s="75">
        <f t="shared" ref="P157:P170" si="175">IF(AO157=0,"",AO157)</f>
        <v>224</v>
      </c>
      <c r="Q157" s="351">
        <f>IF(AP157="","",AP157)</f>
        <v>1</v>
      </c>
      <c r="R157" s="75">
        <f t="shared" ref="R157:R170" si="176">IF(AQ157=0,"",AQ157)</f>
        <v>185</v>
      </c>
      <c r="S157" s="351">
        <f>IF(AR157="","",AR157)</f>
        <v>1</v>
      </c>
      <c r="T157" s="75">
        <f t="shared" ref="T157:T170" si="177">IF(AS157=0,"",AS157)</f>
        <v>190</v>
      </c>
      <c r="U157" s="351">
        <f>IF(AT157="","",AT157)</f>
        <v>0</v>
      </c>
      <c r="V157" s="75">
        <f t="shared" ref="V157:V170" si="178">IF(AU157=0,"",AU157)</f>
        <v>1642</v>
      </c>
      <c r="W157" s="351">
        <f>IF(AV157="","",AV157)</f>
        <v>4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51">
        <f>IF(AD160="","",AD160)</f>
        <v>1</v>
      </c>
      <c r="F160" s="75">
        <f t="shared" si="171"/>
        <v>182</v>
      </c>
      <c r="G160" s="351">
        <f>IF(AF160="","",AF160)</f>
        <v>0</v>
      </c>
      <c r="H160" s="75">
        <f t="shared" si="172"/>
        <v>216</v>
      </c>
      <c r="I160" s="351">
        <f>IF(AH160="","",AH160)</f>
        <v>1</v>
      </c>
      <c r="J160" s="75">
        <f t="shared" si="173"/>
        <v>182</v>
      </c>
      <c r="K160" s="351">
        <f>IF(AJ160="","",AJ160)</f>
        <v>0</v>
      </c>
      <c r="L160" s="75">
        <f t="shared" si="174"/>
        <v>210</v>
      </c>
      <c r="M160" s="351">
        <f>IF(AL160="","",AL160)</f>
        <v>0</v>
      </c>
      <c r="N160" s="75">
        <f t="shared" si="191"/>
        <v>225</v>
      </c>
      <c r="O160" s="351">
        <f>IF(AN160="","",AN160)</f>
        <v>0</v>
      </c>
      <c r="P160" s="75">
        <f t="shared" si="175"/>
        <v>159</v>
      </c>
      <c r="Q160" s="351">
        <f>IF(AP160="","",AP160)</f>
        <v>0</v>
      </c>
      <c r="R160" s="75">
        <f t="shared" si="176"/>
        <v>168</v>
      </c>
      <c r="S160" s="351">
        <f>IF(AR160="","",AR160)</f>
        <v>0</v>
      </c>
      <c r="T160" s="75">
        <f t="shared" si="177"/>
        <v>210</v>
      </c>
      <c r="U160" s="351">
        <f>IF(AT160="","",AT160)</f>
        <v>1</v>
      </c>
      <c r="V160" s="75">
        <f t="shared" si="178"/>
        <v>1756</v>
      </c>
      <c r="W160" s="351">
        <f>IF(AV160="","",AV160)</f>
        <v>3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51">
        <f>IF(AD163="","",AD163)</f>
        <v>0</v>
      </c>
      <c r="F163" s="75">
        <f t="shared" si="171"/>
        <v>191</v>
      </c>
      <c r="G163" s="351">
        <f>IF(AF163="","",AF163)</f>
        <v>0</v>
      </c>
      <c r="H163" s="75">
        <f t="shared" si="172"/>
        <v>182</v>
      </c>
      <c r="I163" s="351">
        <f>IF(AH163="","",AH163)</f>
        <v>1</v>
      </c>
      <c r="J163" s="75">
        <f t="shared" si="173"/>
        <v>190</v>
      </c>
      <c r="K163" s="351">
        <f>IF(AJ163="","",AJ163)</f>
        <v>1</v>
      </c>
      <c r="L163" s="75">
        <f t="shared" si="174"/>
        <v>150</v>
      </c>
      <c r="M163" s="351">
        <f>IF(AL163="","",AL163)</f>
        <v>0</v>
      </c>
      <c r="N163" s="75">
        <f t="shared" si="191"/>
        <v>171</v>
      </c>
      <c r="O163" s="351">
        <f>IF(AN163="","",AN163)</f>
        <v>0</v>
      </c>
      <c r="P163" s="75">
        <f t="shared" si="175"/>
        <v>139</v>
      </c>
      <c r="Q163" s="351">
        <f>IF(AP163="","",AP163)</f>
        <v>0</v>
      </c>
      <c r="R163" s="75" t="str">
        <f t="shared" si="176"/>
        <v/>
      </c>
      <c r="S163" s="351">
        <f>IF(AR163="","",AR163)</f>
        <v>1</v>
      </c>
      <c r="T163" s="75" t="str">
        <f t="shared" si="177"/>
        <v/>
      </c>
      <c r="U163" s="351">
        <f>IF(AT163="","",AT163)</f>
        <v>1</v>
      </c>
      <c r="V163" s="75">
        <f t="shared" si="178"/>
        <v>1197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>
        <f t="shared" si="176"/>
        <v>171</v>
      </c>
      <c r="S164" s="352"/>
      <c r="T164" s="78">
        <f t="shared" si="177"/>
        <v>190</v>
      </c>
      <c r="U164" s="352"/>
      <c r="V164" s="78">
        <f t="shared" si="178"/>
        <v>361</v>
      </c>
      <c r="W164" s="352"/>
      <c r="Z164" s="355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51">
        <f>IF(AD166="","",AD166)</f>
        <v>1</v>
      </c>
      <c r="F166" s="75">
        <f t="shared" si="171"/>
        <v>198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173</v>
      </c>
      <c r="K166" s="351">
        <f>IF(AJ166="","",AJ166)</f>
        <v>0</v>
      </c>
      <c r="L166" s="75">
        <f t="shared" si="174"/>
        <v>159</v>
      </c>
      <c r="M166" s="351">
        <f>IF(AL166="","",AL166)</f>
        <v>0</v>
      </c>
      <c r="N166" s="75">
        <f t="shared" si="191"/>
        <v>126</v>
      </c>
      <c r="O166" s="351">
        <f>IF(AN166="","",AN166)</f>
        <v>0</v>
      </c>
      <c r="P166" s="75" t="str">
        <f t="shared" si="175"/>
        <v/>
      </c>
      <c r="Q166" s="351">
        <f>IF(AP166="","",AP166)</f>
        <v>0</v>
      </c>
      <c r="R166" s="75" t="str">
        <f t="shared" si="176"/>
        <v/>
      </c>
      <c r="S166" s="351">
        <f>IF(AR166="","",AR166)</f>
        <v>0</v>
      </c>
      <c r="T166" s="75" t="str">
        <f t="shared" si="177"/>
        <v/>
      </c>
      <c r="U166" s="351">
        <f>IF(AT166="","",AT166)</f>
        <v>0</v>
      </c>
      <c r="V166" s="75">
        <f t="shared" si="178"/>
        <v>1027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>
        <f t="shared" si="175"/>
        <v>174</v>
      </c>
      <c r="Q167" s="352"/>
      <c r="R167" s="78">
        <f t="shared" si="176"/>
        <v>178</v>
      </c>
      <c r="S167" s="352"/>
      <c r="T167" s="78">
        <f t="shared" si="177"/>
        <v>172</v>
      </c>
      <c r="U167" s="352"/>
      <c r="V167" s="78">
        <f t="shared" si="178"/>
        <v>524</v>
      </c>
      <c r="W167" s="352"/>
      <c r="Z167" s="355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4</v>
      </c>
      <c r="E172" s="349" t="str">
        <f t="shared" si="202"/>
        <v/>
      </c>
      <c r="F172" s="349">
        <f t="shared" si="202"/>
        <v>7</v>
      </c>
      <c r="G172" s="349" t="str">
        <f t="shared" si="202"/>
        <v/>
      </c>
      <c r="H172" s="349">
        <f t="shared" si="202"/>
        <v>5</v>
      </c>
      <c r="I172" s="349" t="str">
        <f t="shared" si="202"/>
        <v/>
      </c>
      <c r="J172" s="349">
        <f t="shared" si="202"/>
        <v>3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2</v>
      </c>
      <c r="O172" s="349" t="str">
        <f t="shared" si="203"/>
        <v/>
      </c>
      <c r="P172" s="349">
        <f t="shared" si="203"/>
        <v>8</v>
      </c>
      <c r="Q172" s="349" t="str">
        <f t="shared" si="203"/>
        <v/>
      </c>
      <c r="R172" s="349">
        <f t="shared" si="203"/>
        <v>10</v>
      </c>
      <c r="S172" s="349" t="str">
        <f t="shared" si="203"/>
        <v/>
      </c>
      <c r="T172" s="349">
        <f t="shared" si="203"/>
        <v>9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VLOOKUP($AA152,Schlüssel!$A$5:$DG$14,43)</f>
        <v>4</v>
      </c>
      <c r="AD172" s="374"/>
      <c r="AE172" s="373">
        <f>VLOOKUP($AA152,Schlüssel!$A$5:$EK$14,44)</f>
        <v>7</v>
      </c>
      <c r="AF172" s="374"/>
      <c r="AG172" s="373">
        <f>VLOOKUP($AA152,Schlüssel!$A$5:$EK$14,45)</f>
        <v>5</v>
      </c>
      <c r="AH172" s="374"/>
      <c r="AI172" s="373">
        <f>VLOOKUP($AA152,Schlüssel!$A$5:$EK$14,46)</f>
        <v>3</v>
      </c>
      <c r="AJ172" s="374"/>
      <c r="AK172" s="373">
        <f>VLOOKUP($AA152,Schlüssel!$A$5:$EK$14,47)</f>
        <v>1</v>
      </c>
      <c r="AL172" s="374"/>
      <c r="AM172" s="373">
        <f>VLOOKUP($AA152,Schlüssel!$A$5:$EK$14,48)</f>
        <v>2</v>
      </c>
      <c r="AN172" s="374"/>
      <c r="AO172" s="373">
        <f>VLOOKUP($AA152,Schlüssel!$A$5:$EK$14,49)</f>
        <v>8</v>
      </c>
      <c r="AP172" s="374"/>
      <c r="AQ172" s="373">
        <f>VLOOKUP($AA152,Schlüssel!$A$5:$EK$14,50)</f>
        <v>10</v>
      </c>
      <c r="AR172" s="374"/>
      <c r="AS172" s="373">
        <f>VLOOKUP($AA152,Schlüssel!$A$5:$EK$14,51)</f>
        <v>9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SG DJK Rimpar</v>
      </c>
      <c r="E173" s="347" t="str">
        <f t="shared" si="202"/>
        <v/>
      </c>
      <c r="F173" s="346" t="str">
        <f t="shared" si="202"/>
        <v>Schanzer Ingolstadt 1</v>
      </c>
      <c r="G173" s="347" t="str">
        <f t="shared" si="202"/>
        <v/>
      </c>
      <c r="H173" s="346" t="str">
        <f t="shared" si="202"/>
        <v>RW Lichtenhof Stein 1</v>
      </c>
      <c r="I173" s="347" t="str">
        <f t="shared" si="202"/>
        <v/>
      </c>
      <c r="J173" s="346" t="str">
        <f t="shared" si="202"/>
        <v>BK München 3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Bajuwaren München 1</v>
      </c>
      <c r="O173" s="347" t="str">
        <f t="shared" si="203"/>
        <v/>
      </c>
      <c r="P173" s="346" t="str">
        <f t="shared" si="203"/>
        <v>BC EMAX Unterföhring 2</v>
      </c>
      <c r="Q173" s="347" t="str">
        <f t="shared" si="203"/>
        <v/>
      </c>
      <c r="R173" s="346" t="str">
        <f t="shared" si="203"/>
        <v>High Roller Rosenheim 1</v>
      </c>
      <c r="S173" s="347" t="str">
        <f t="shared" si="203"/>
        <v/>
      </c>
      <c r="T173" s="346" t="str">
        <f t="shared" si="203"/>
        <v>Bowlinghaus Bamberg 1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SG DJK Rimpar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Bajuwaren München 1</v>
      </c>
      <c r="AN173" s="347"/>
      <c r="AO173" s="346" t="str">
        <f>VLOOKUP(AO172,Schlüssel!$A$5:$K$14,2)</f>
        <v>BC EMAX Unterföhring 2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Bowlinghaus Bamberg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188</v>
      </c>
      <c r="E175" s="342" t="str">
        <f>IF(AD175=0,"",AD175)</f>
        <v/>
      </c>
      <c r="F175" s="342">
        <f>IF(AE175=301,"",AE175)</f>
        <v>156</v>
      </c>
      <c r="G175" s="342" t="str">
        <f>IF(AF175=0,"",AF175)</f>
        <v/>
      </c>
      <c r="H175" s="342">
        <f>IF(AG175=301,"",AG175)</f>
        <v>179</v>
      </c>
      <c r="I175" s="342" t="str">
        <f>IF(AH175=0,"",AH175)</f>
        <v/>
      </c>
      <c r="J175" s="342">
        <f>IF(AI175=301,"",AI175)</f>
        <v>212</v>
      </c>
      <c r="K175" s="342" t="str">
        <f>IF(AJ175=0,"",AJ175)</f>
        <v/>
      </c>
      <c r="L175" s="342">
        <f>IF(AK175=301,"",AK175)</f>
        <v>166</v>
      </c>
      <c r="M175" s="342" t="str">
        <f>IF(AL175=0,"",AL175)</f>
        <v/>
      </c>
      <c r="N175" s="342">
        <f>IF(AM175=301,"",AM175)</f>
        <v>230</v>
      </c>
      <c r="O175" s="342" t="str">
        <f>IF(AN175=0,"",AN175)</f>
        <v/>
      </c>
      <c r="P175" s="342">
        <f>IF(AO175=301,"",AO175)</f>
        <v>151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194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188</v>
      </c>
      <c r="AD175" s="376"/>
      <c r="AE175" s="375">
        <f>ABS(INDEX(AE:AE,MATCH(AE172,$AA:$AA,0)+5)+INDEX(AE:AE,MATCH(AE172,$AA:$AA,0)+6)+INDEX(AE:AE,MATCH(AE172,$AA:$AA,0)+7))</f>
        <v>156</v>
      </c>
      <c r="AF175" s="376"/>
      <c r="AG175" s="375">
        <f>ABS(INDEX(AG:AG,MATCH(AG172,$AA:$AA,0)+5)+INDEX(AG:AG,MATCH(AG172,$AA:$AA,0)+6)+INDEX(AG:AG,MATCH(AG172,$AA:$AA,0)+7))</f>
        <v>179</v>
      </c>
      <c r="AH175" s="376"/>
      <c r="AI175" s="375">
        <f>ABS(INDEX(AI:AI,MATCH(AI172,$AA:$AA,0)+5)+INDEX(AI:AI,MATCH(AI172,$AA:$AA,0)+6)+INDEX(AI:AI,MATCH(AI172,$AA:$AA,0)+7))</f>
        <v>212</v>
      </c>
      <c r="AJ175" s="376"/>
      <c r="AK175" s="375">
        <f>ABS(INDEX(AK:AK,MATCH(AK172,$AA:$AA,0)+5)+INDEX(AK:AK,MATCH(AK172,$AA:$AA,0)+6)+INDEX(AK:AK,MATCH(AK172,$AA:$AA,0)+7))</f>
        <v>166</v>
      </c>
      <c r="AL175" s="376"/>
      <c r="AM175" s="375">
        <f>ABS(INDEX(AM:AM,MATCH(AM172,$AA:$AA,0)+5)+INDEX(AM:AM,MATCH(AM172,$AA:$AA,0)+6)+INDEX(AM:AM,MATCH(AM172,$AA:$AA,0)+7))</f>
        <v>230</v>
      </c>
      <c r="AN175" s="376"/>
      <c r="AO175" s="375">
        <f>ABS(INDEX(AO:AO,MATCH(AO172,$AA:$AA,0)+5)+INDEX(AO:AO,MATCH(AO172,$AA:$AA,0)+6)+INDEX(AO:AO,MATCH(AO172,$AA:$AA,0)+7))</f>
        <v>151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194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159</v>
      </c>
      <c r="E176" s="342" t="str">
        <f>IF(AD176=0,"",AD176)</f>
        <v/>
      </c>
      <c r="F176" s="342">
        <f>IF(AE176=301,"",AE176)</f>
        <v>209</v>
      </c>
      <c r="G176" s="342" t="str">
        <f>IF(AF176=0,"",AF176)</f>
        <v/>
      </c>
      <c r="H176" s="342">
        <f>IF(AG176=301,"",AG176)</f>
        <v>185</v>
      </c>
      <c r="I176" s="342" t="str">
        <f>IF(AH176=0,"",AH176)</f>
        <v/>
      </c>
      <c r="J176" s="342">
        <f>IF(AI176=301,"",AI176)</f>
        <v>234</v>
      </c>
      <c r="K176" s="342" t="str">
        <f>IF(AJ176=0,"",AJ176)</f>
        <v/>
      </c>
      <c r="L176" s="342">
        <f>IF(AK176=301,"",AK176)</f>
        <v>243</v>
      </c>
      <c r="M176" s="342" t="str">
        <f>IF(AL176=0,"",AL176)</f>
        <v/>
      </c>
      <c r="N176" s="342">
        <f>IF(AM176=301,"",AM176)</f>
        <v>242</v>
      </c>
      <c r="O176" s="342" t="str">
        <f>IF(AN176=0,"",AN176)</f>
        <v/>
      </c>
      <c r="P176" s="342">
        <f>IF(AO176=301,"",AO176)</f>
        <v>206</v>
      </c>
      <c r="Q176" s="342" t="str">
        <f>IF(AP176=0,"",AP176)</f>
        <v/>
      </c>
      <c r="R176" s="342">
        <f>IF(AQ176=301,"",AQ176)</f>
        <v>181</v>
      </c>
      <c r="S176" s="342" t="str">
        <f>IF(AR176=0,"",AR176)</f>
        <v/>
      </c>
      <c r="T176" s="342">
        <f>IF(AS176=301,"",AS176)</f>
        <v>157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159</v>
      </c>
      <c r="AD176" s="378"/>
      <c r="AE176" s="377">
        <f>ABS(INDEX(AE:AE,MATCH(AE172,$AA:$AA,0)+8)+INDEX(AE:AE,MATCH(AE172,$AA:$AA,0)+9)+INDEX(AE:AE,MATCH(AE172,$AA:$AA,0)+10))</f>
        <v>209</v>
      </c>
      <c r="AF176" s="378"/>
      <c r="AG176" s="377">
        <f>ABS(INDEX(AG:AG,MATCH(AG172,$AA:$AA,0)+8)+INDEX(AG:AG,MATCH(AG172,$AA:$AA,0)+9)+INDEX(AG:AG,MATCH(AG172,$AA:$AA,0)+10))</f>
        <v>185</v>
      </c>
      <c r="AH176" s="378"/>
      <c r="AI176" s="377">
        <f>ABS(INDEX(AI:AI,MATCH(AI172,$AA:$AA,0)+8)+INDEX(AI:AI,MATCH(AI172,$AA:$AA,0)+9)+INDEX(AI:AI,MATCH(AI172,$AA:$AA,0)+10))</f>
        <v>234</v>
      </c>
      <c r="AJ176" s="378"/>
      <c r="AK176" s="377">
        <f>ABS(INDEX(AK:AK,MATCH(AK172,$AA:$AA,0)+8)+INDEX(AK:AK,MATCH(AK172,$AA:$AA,0)+9)+INDEX(AK:AK,MATCH(AK172,$AA:$AA,0)+10))</f>
        <v>243</v>
      </c>
      <c r="AL176" s="378"/>
      <c r="AM176" s="377">
        <f>ABS(INDEX(AM:AM,MATCH(AM172,$AA:$AA,0)+8)+INDEX(AM:AM,MATCH(AM172,$AA:$AA,0)+9)+INDEX(AM:AM,MATCH(AM172,$AA:$AA,0)+10))</f>
        <v>242</v>
      </c>
      <c r="AN176" s="378"/>
      <c r="AO176" s="377">
        <f>ABS(INDEX(AO:AO,MATCH(AO172,$AA:$AA,0)+8)+INDEX(AO:AO,MATCH(AO172,$AA:$AA,0)+9)+INDEX(AO:AO,MATCH(AO172,$AA:$AA,0)+10))</f>
        <v>206</v>
      </c>
      <c r="AP176" s="378"/>
      <c r="AQ176" s="377">
        <f>ABS(INDEX(AQ:AQ,MATCH(AQ172,$AA:$AA,0)+8)+INDEX(AQ:AQ,MATCH(AQ172,$AA:$AA,0)+9)+INDEX(AQ:AQ,MATCH(AQ172,$AA:$AA,0)+10))</f>
        <v>181</v>
      </c>
      <c r="AR176" s="378"/>
      <c r="AS176" s="377">
        <f>ABS(INDEX(AS:AS,MATCH(AS172,$AA:$AA,0)+8)+INDEX(AS:AS,MATCH(AS172,$AA:$AA,0)+9)+INDEX(AS:AS,MATCH(AS172,$AA:$AA,0)+10))</f>
        <v>157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186</v>
      </c>
      <c r="E177" s="342" t="str">
        <f>IF(AD177=0,"",AD177)</f>
        <v/>
      </c>
      <c r="F177" s="342">
        <f>IF(AE177=301,"",AE177)</f>
        <v>215</v>
      </c>
      <c r="G177" s="342" t="str">
        <f>IF(AF177=0,"",AF177)</f>
        <v/>
      </c>
      <c r="H177" s="342">
        <f>IF(AG177=301,"",AG177)</f>
        <v>180</v>
      </c>
      <c r="I177" s="342" t="str">
        <f>IF(AH177=0,"",AH177)</f>
        <v/>
      </c>
      <c r="J177" s="342">
        <f>IF(AI177=301,"",AI177)</f>
        <v>182</v>
      </c>
      <c r="K177" s="342" t="str">
        <f>IF(AJ177=0,"",AJ177)</f>
        <v/>
      </c>
      <c r="L177" s="342">
        <f>IF(AK177=301,"",AK177)</f>
        <v>199</v>
      </c>
      <c r="M177" s="342" t="str">
        <f>IF(AL177=0,"",AL177)</f>
        <v/>
      </c>
      <c r="N177" s="342">
        <f>IF(AM177=301,"",AM177)</f>
        <v>201</v>
      </c>
      <c r="O177" s="342" t="str">
        <f>IF(AN177=0,"",AN177)</f>
        <v/>
      </c>
      <c r="P177" s="342">
        <f>IF(AO177=301,"",AO177)</f>
        <v>185</v>
      </c>
      <c r="Q177" s="342" t="str">
        <f>IF(AP177=0,"",AP177)</f>
        <v/>
      </c>
      <c r="R177" s="342">
        <f>IF(AQ177=301,"",AQ177)</f>
        <v>168</v>
      </c>
      <c r="S177" s="342" t="str">
        <f>IF(AR177=0,"",AR177)</f>
        <v/>
      </c>
      <c r="T177" s="342">
        <f>IF(AS177=301,"",AS177)</f>
        <v>160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186</v>
      </c>
      <c r="AD177" s="378"/>
      <c r="AE177" s="377">
        <f>ABS(INDEX(AE:AE,MATCH(AE172,$AA:$AA,0)+11)+INDEX(AE:AE,MATCH(AE172,$AA:$AA,0)+12)+INDEX(AE:AE,MATCH(AE172,$AA:$AA,0)+13))</f>
        <v>215</v>
      </c>
      <c r="AF177" s="378"/>
      <c r="AG177" s="377">
        <f>ABS(INDEX(AG:AG,MATCH(AG172,$AA:$AA,0)+11)+INDEX(AG:AG,MATCH(AG172,$AA:$AA,0)+12)+INDEX(AG:AG,MATCH(AG172,$AA:$AA,0)+13))</f>
        <v>180</v>
      </c>
      <c r="AH177" s="378"/>
      <c r="AI177" s="377">
        <f>ABS(INDEX(AI:AI,MATCH(AI172,$AA:$AA,0)+11)+INDEX(AI:AI,MATCH(AI172,$AA:$AA,0)+12)+INDEX(AI:AI,MATCH(AI172,$AA:$AA,0)+13))</f>
        <v>182</v>
      </c>
      <c r="AJ177" s="378"/>
      <c r="AK177" s="377">
        <f>ABS(INDEX(AK:AK,MATCH(AK172,$AA:$AA,0)+11)+INDEX(AK:AK,MATCH(AK172,$AA:$AA,0)+12)+INDEX(AK:AK,MATCH(AK172,$AA:$AA,0)+13))</f>
        <v>199</v>
      </c>
      <c r="AL177" s="378"/>
      <c r="AM177" s="377">
        <f>ABS(INDEX(AM:AM,MATCH(AM172,$AA:$AA,0)+11)+INDEX(AM:AM,MATCH(AM172,$AA:$AA,0)+12)+INDEX(AM:AM,MATCH(AM172,$AA:$AA,0)+13))</f>
        <v>201</v>
      </c>
      <c r="AN177" s="378"/>
      <c r="AO177" s="377">
        <f>ABS(INDEX(AO:AO,MATCH(AO172,$AA:$AA,0)+11)+INDEX(AO:AO,MATCH(AO172,$AA:$AA,0)+12)+INDEX(AO:AO,MATCH(AO172,$AA:$AA,0)+13))</f>
        <v>185</v>
      </c>
      <c r="AP177" s="378"/>
      <c r="AQ177" s="377">
        <f>ABS(INDEX(AQ:AQ,MATCH(AQ172,$AA:$AA,0)+11)+INDEX(AQ:AQ,MATCH(AQ172,$AA:$AA,0)+12)+INDEX(AQ:AQ,MATCH(AQ172,$AA:$AA,0)+13))</f>
        <v>168</v>
      </c>
      <c r="AR177" s="378"/>
      <c r="AS177" s="377">
        <f>ABS(INDEX(AS:AS,MATCH(AS172,$AA:$AA,0)+11)+INDEX(AS:AS,MATCH(AS172,$AA:$AA,0)+12)+INDEX(AS:AS,MATCH(AS172,$AA:$AA,0)+13))</f>
        <v>160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162</v>
      </c>
      <c r="E178" s="342" t="str">
        <f>IF(AD178=0,"",AD178)</f>
        <v/>
      </c>
      <c r="F178" s="342">
        <f>IF(AE178=301,"",AE178)</f>
        <v>194</v>
      </c>
      <c r="G178" s="342" t="str">
        <f>IF(AF178=0,"",AF178)</f>
        <v/>
      </c>
      <c r="H178" s="342">
        <f>IF(AG178=301,"",AG178)</f>
        <v>162</v>
      </c>
      <c r="I178" s="342" t="str">
        <f>IF(AH178=0,"",AH178)</f>
        <v/>
      </c>
      <c r="J178" s="342">
        <f>IF(AI178=301,"",AI178)</f>
        <v>174</v>
      </c>
      <c r="K178" s="342" t="str">
        <f>IF(AJ178=0,"",AJ178)</f>
        <v/>
      </c>
      <c r="L178" s="342">
        <f>IF(AK178=301,"",AK178)</f>
        <v>195</v>
      </c>
      <c r="M178" s="342" t="str">
        <f>IF(AL178=0,"",AL178)</f>
        <v/>
      </c>
      <c r="N178" s="342">
        <f>IF(AM178=301,"",AM178)</f>
        <v>188</v>
      </c>
      <c r="O178" s="342" t="str">
        <f>IF(AN178=0,"",AN178)</f>
        <v/>
      </c>
      <c r="P178" s="342">
        <f>IF(AO178=301,"",AO178)</f>
        <v>194</v>
      </c>
      <c r="Q178" s="342" t="str">
        <f>IF(AP178=0,"",AP178)</f>
        <v/>
      </c>
      <c r="R178" s="342">
        <f>IF(AQ178=301,"",AQ178)</f>
        <v>209</v>
      </c>
      <c r="S178" s="342" t="str">
        <f>IF(AR178=0,"",AR178)</f>
        <v/>
      </c>
      <c r="T178" s="342">
        <f>IF(AS178=301,"",AS178)</f>
        <v>200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162</v>
      </c>
      <c r="AD178" s="378"/>
      <c r="AE178" s="377">
        <f>ABS(INDEX(AE:AE,MATCH(AE172,$AA:$AA,0)+14)+INDEX(AE:AE,MATCH(AE172,$AA:$AA,0)+15)+INDEX(AE:AE,MATCH(AE172,$AA:$AA,0)+16))</f>
        <v>194</v>
      </c>
      <c r="AF178" s="378"/>
      <c r="AG178" s="377">
        <f>ABS(INDEX(AG:AG,MATCH(AG172,$AA:$AA,0)+14)+INDEX(AG:AG,MATCH(AG172,$AA:$AA,0)+15)+INDEX(AG:AG,MATCH(AG172,$AA:$AA,0)+16))</f>
        <v>162</v>
      </c>
      <c r="AH178" s="378"/>
      <c r="AI178" s="377">
        <f>ABS(INDEX(AI:AI,MATCH(AI172,$AA:$AA,0)+14)+INDEX(AI:AI,MATCH(AI172,$AA:$AA,0)+15)+INDEX(AI:AI,MATCH(AI172,$AA:$AA,0)+16))</f>
        <v>174</v>
      </c>
      <c r="AJ178" s="378"/>
      <c r="AK178" s="377">
        <f>ABS(INDEX(AK:AK,MATCH(AK172,$AA:$AA,0)+14)+INDEX(AK:AK,MATCH(AK172,$AA:$AA,0)+15)+INDEX(AK:AK,MATCH(AK172,$AA:$AA,0)+16))</f>
        <v>195</v>
      </c>
      <c r="AL178" s="378"/>
      <c r="AM178" s="377">
        <f>ABS(INDEX(AM:AM,MATCH(AM172,$AA:$AA,0)+14)+INDEX(AM:AM,MATCH(AM172,$AA:$AA,0)+15)+INDEX(AM:AM,MATCH(AM172,$AA:$AA,0)+16))</f>
        <v>188</v>
      </c>
      <c r="AN178" s="378"/>
      <c r="AO178" s="377">
        <f>ABS(INDEX(AO:AO,MATCH(AO172,$AA:$AA,0)+14)+INDEX(AO:AO,MATCH(AO172,$AA:$AA,0)+15)+INDEX(AO:AO,MATCH(AO172,$AA:$AA,0)+16))</f>
        <v>194</v>
      </c>
      <c r="AP178" s="378"/>
      <c r="AQ178" s="377">
        <f>ABS(INDEX(AQ:AQ,MATCH(AQ172,$AA:$AA,0)+14)+INDEX(AQ:AQ,MATCH(AQ172,$AA:$AA,0)+15)+INDEX(AQ:AQ,MATCH(AQ172,$AA:$AA,0)+16))</f>
        <v>209</v>
      </c>
      <c r="AR178" s="378"/>
      <c r="AS178" s="377">
        <f>ABS(INDEX(AS:AS,MATCH(AS172,$AA:$AA,0)+14)+INDEX(AS:AS,MATCH(AS172,$AA:$AA,0)+15)+INDEX(AS:AS,MATCH(AS172,$AA:$AA,0)+16))</f>
        <v>200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695</v>
      </c>
      <c r="E179" s="341" t="str">
        <f>IF(AD179=0,"",AD179)</f>
        <v/>
      </c>
      <c r="F179" s="341">
        <f>IF(AE179=1505,"",AE179)</f>
        <v>774</v>
      </c>
      <c r="G179" s="341" t="str">
        <f>IF(AF179=0,"",AF179)</f>
        <v/>
      </c>
      <c r="H179" s="341">
        <f>IF(AG179=1505,"",AG179)</f>
        <v>706</v>
      </c>
      <c r="I179" s="341" t="str">
        <f>IF(AH179=0,"",AH179)</f>
        <v/>
      </c>
      <c r="J179" s="341">
        <f>IF(AI179=1505,"",AI179)</f>
        <v>802</v>
      </c>
      <c r="K179" s="341" t="str">
        <f>IF(AJ179=0,"",AJ179)</f>
        <v/>
      </c>
      <c r="L179" s="341">
        <f>IF(AK179=1505,"",AK179)</f>
        <v>803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736</v>
      </c>
      <c r="Q179" s="341" t="str">
        <f>IF(AP179=0,"",AP179)</f>
        <v/>
      </c>
      <c r="R179" s="341">
        <f>IF(AQ179=1505,"",AQ179)</f>
        <v>730</v>
      </c>
      <c r="S179" s="341" t="str">
        <f>IF(AR179=0,"",AR179)</f>
        <v/>
      </c>
      <c r="T179" s="341">
        <f>IF(AS179=1505,"",AS179)</f>
        <v>711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695</v>
      </c>
      <c r="AD179" s="358"/>
      <c r="AE179" s="357">
        <f>SUM(AE175:AE178)</f>
        <v>774</v>
      </c>
      <c r="AF179" s="358"/>
      <c r="AG179" s="357">
        <f>SUM(AG175:AG178)</f>
        <v>706</v>
      </c>
      <c r="AH179" s="358"/>
      <c r="AI179" s="357">
        <f>SUM(AI175:AI178)</f>
        <v>802</v>
      </c>
      <c r="AJ179" s="358"/>
      <c r="AK179" s="357">
        <f>SUM(AK175:AK178)</f>
        <v>803</v>
      </c>
      <c r="AL179" s="358"/>
      <c r="AM179" s="357">
        <f>SUM(AM175:AM178)</f>
        <v>861</v>
      </c>
      <c r="AN179" s="358"/>
      <c r="AO179" s="357">
        <f>SUM(AO175:AO178)</f>
        <v>736</v>
      </c>
      <c r="AP179" s="358"/>
      <c r="AQ179" s="357">
        <f>SUM(AQ175:AQ178)</f>
        <v>730</v>
      </c>
      <c r="AR179" s="358"/>
      <c r="AS179" s="357">
        <f>SUM(AS175:AS178)</f>
        <v>711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01.02./02.02.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01.02./02.02.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51">
        <f>IF(AD187="","",AD187)</f>
        <v>1</v>
      </c>
      <c r="F187" s="75">
        <f t="shared" ref="F187:F200" si="205">IF(AE187=0,"",AE187)</f>
        <v>156</v>
      </c>
      <c r="G187" s="351">
        <f>IF(AF187="","",AF187)</f>
        <v>0</v>
      </c>
      <c r="H187" s="75">
        <f t="shared" ref="H187:H200" si="206">IF(AG187=0,"",AG187)</f>
        <v>169</v>
      </c>
      <c r="I187" s="351">
        <f>IF(AH187="","",AH187)</f>
        <v>0</v>
      </c>
      <c r="J187" s="75">
        <f t="shared" ref="J187:J200" si="207">IF(AI187=0,"",AI187)</f>
        <v>189</v>
      </c>
      <c r="K187" s="351">
        <f>IF(AJ187="","",AJ187)</f>
        <v>0</v>
      </c>
      <c r="L187" s="75">
        <f t="shared" ref="L187:L200" si="208">IF(AK187=0,"",AK187)</f>
        <v>197</v>
      </c>
      <c r="M187" s="351">
        <f>IF(AL187="","",AL187)</f>
        <v>1</v>
      </c>
      <c r="N187" s="75">
        <f>IF(AM187=0,"",AM187)</f>
        <v>159</v>
      </c>
      <c r="O187" s="351">
        <f>IF(AN187="","",AN187)</f>
        <v>0</v>
      </c>
      <c r="P187" s="75">
        <f t="shared" ref="P187:P200" si="209">IF(AO187=0,"",AO187)</f>
        <v>184</v>
      </c>
      <c r="Q187" s="351">
        <f>IF(AP187="","",AP187)</f>
        <v>1</v>
      </c>
      <c r="R187" s="75">
        <f t="shared" ref="R187:R200" si="210">IF(AQ187=0,"",AQ187)</f>
        <v>175</v>
      </c>
      <c r="S187" s="351">
        <f>IF(AR187="","",AR187)</f>
        <v>0</v>
      </c>
      <c r="T187" s="75">
        <f t="shared" ref="T187:T200" si="211">IF(AS187=0,"",AS187)</f>
        <v>148</v>
      </c>
      <c r="U187" s="351">
        <f>IF(AT187="","",AT187)</f>
        <v>0</v>
      </c>
      <c r="V187" s="75">
        <f t="shared" ref="V187:V200" si="212">IF(AU187=0,"",AU187)</f>
        <v>1567</v>
      </c>
      <c r="W187" s="351">
        <f>IF(AV187="","",AV187)</f>
        <v>3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51">
        <f>IF(AD190="","",AD190)</f>
        <v>1</v>
      </c>
      <c r="F190" s="75">
        <f t="shared" si="205"/>
        <v>209</v>
      </c>
      <c r="G190" s="351">
        <f>IF(AF190="","",AF190)</f>
        <v>1</v>
      </c>
      <c r="H190" s="75">
        <f t="shared" si="206"/>
        <v>129</v>
      </c>
      <c r="I190" s="351">
        <f>IF(AH190="","",AH190)</f>
        <v>0</v>
      </c>
      <c r="J190" s="75">
        <f t="shared" si="207"/>
        <v>148</v>
      </c>
      <c r="K190" s="351">
        <f>IF(AJ190="","",AJ190)</f>
        <v>0</v>
      </c>
      <c r="L190" s="75">
        <f t="shared" si="208"/>
        <v>216</v>
      </c>
      <c r="M190" s="351">
        <f>IF(AL190="","",AL190)</f>
        <v>1</v>
      </c>
      <c r="N190" s="75">
        <f t="shared" si="225"/>
        <v>200</v>
      </c>
      <c r="O190" s="351">
        <f>IF(AN190="","",AN190)</f>
        <v>1</v>
      </c>
      <c r="P190" s="75">
        <f t="shared" si="209"/>
        <v>154</v>
      </c>
      <c r="Q190" s="351">
        <f>IF(AP190="","",AP190)</f>
        <v>0</v>
      </c>
      <c r="R190" s="75">
        <f t="shared" si="210"/>
        <v>161</v>
      </c>
      <c r="S190" s="351">
        <f>IF(AR190="","",AR190)</f>
        <v>0</v>
      </c>
      <c r="T190" s="75">
        <f t="shared" si="211"/>
        <v>167</v>
      </c>
      <c r="U190" s="351">
        <f>IF(AT190="","",AT190)</f>
        <v>1</v>
      </c>
      <c r="V190" s="75">
        <f t="shared" si="212"/>
        <v>1585</v>
      </c>
      <c r="W190" s="351">
        <f>IF(AV190="","",AV190)</f>
        <v>5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51">
        <f>IF(AD193="","",AD193)</f>
        <v>1</v>
      </c>
      <c r="F193" s="75">
        <f t="shared" si="205"/>
        <v>215</v>
      </c>
      <c r="G193" s="351">
        <f>IF(AF193="","",AF193)</f>
        <v>1</v>
      </c>
      <c r="H193" s="75">
        <f t="shared" si="206"/>
        <v>167</v>
      </c>
      <c r="I193" s="351">
        <f>IF(AH193="","",AH193)</f>
        <v>1</v>
      </c>
      <c r="J193" s="75">
        <f t="shared" si="207"/>
        <v>191</v>
      </c>
      <c r="K193" s="351">
        <f>IF(AJ193="","",AJ193)</f>
        <v>1</v>
      </c>
      <c r="L193" s="75">
        <f t="shared" si="208"/>
        <v>168</v>
      </c>
      <c r="M193" s="351">
        <f>IF(AL193="","",AL193)</f>
        <v>0</v>
      </c>
      <c r="N193" s="75">
        <f t="shared" si="225"/>
        <v>180</v>
      </c>
      <c r="O193" s="351">
        <f>IF(AN193="","",AN193)</f>
        <v>1</v>
      </c>
      <c r="P193" s="75">
        <f t="shared" si="209"/>
        <v>219</v>
      </c>
      <c r="Q193" s="351">
        <f>IF(AP193="","",AP193)</f>
        <v>1</v>
      </c>
      <c r="R193" s="75">
        <f t="shared" si="210"/>
        <v>178</v>
      </c>
      <c r="S193" s="351">
        <f>IF(AR193="","",AR193)</f>
        <v>1</v>
      </c>
      <c r="T193" s="75">
        <f t="shared" si="211"/>
        <v>178</v>
      </c>
      <c r="U193" s="351">
        <f>IF(AT193="","",AT193)</f>
        <v>1</v>
      </c>
      <c r="V193" s="75">
        <f t="shared" si="212"/>
        <v>1634</v>
      </c>
      <c r="W193" s="351">
        <f>IF(AV193="","",AV193)</f>
        <v>8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51">
        <f>IF(AD196="","",AD196)</f>
        <v>0</v>
      </c>
      <c r="F196" s="75">
        <f t="shared" si="205"/>
        <v>194</v>
      </c>
      <c r="G196" s="351">
        <f>IF(AF196="","",AF196)</f>
        <v>0</v>
      </c>
      <c r="H196" s="75">
        <f t="shared" si="206"/>
        <v>186</v>
      </c>
      <c r="I196" s="351">
        <f>IF(AH196="","",AH196)</f>
        <v>1</v>
      </c>
      <c r="J196" s="75">
        <f t="shared" si="207"/>
        <v>258</v>
      </c>
      <c r="K196" s="351">
        <f>IF(AJ196="","",AJ196)</f>
        <v>1</v>
      </c>
      <c r="L196" s="75">
        <f t="shared" si="208"/>
        <v>209</v>
      </c>
      <c r="M196" s="351">
        <f>IF(AL196="","",AL196)</f>
        <v>1</v>
      </c>
      <c r="N196" s="75">
        <f t="shared" si="225"/>
        <v>236</v>
      </c>
      <c r="O196" s="351">
        <f>IF(AN196="","",AN196)</f>
        <v>1</v>
      </c>
      <c r="P196" s="75">
        <f t="shared" si="209"/>
        <v>188</v>
      </c>
      <c r="Q196" s="351">
        <f>IF(AP196="","",AP196)</f>
        <v>0</v>
      </c>
      <c r="R196" s="75">
        <f t="shared" si="210"/>
        <v>229</v>
      </c>
      <c r="S196" s="351">
        <f>IF(AR196="","",AR196)</f>
        <v>1</v>
      </c>
      <c r="T196" s="75">
        <f t="shared" si="211"/>
        <v>209</v>
      </c>
      <c r="U196" s="351">
        <f>IF(AT196="","",AT196)</f>
        <v>1</v>
      </c>
      <c r="V196" s="75">
        <f t="shared" si="212"/>
        <v>1856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9</v>
      </c>
      <c r="E202" s="349" t="str">
        <f t="shared" si="236"/>
        <v/>
      </c>
      <c r="F202" s="349">
        <f t="shared" si="236"/>
        <v>6</v>
      </c>
      <c r="G202" s="349" t="str">
        <f t="shared" si="236"/>
        <v/>
      </c>
      <c r="H202" s="349">
        <f t="shared" si="236"/>
        <v>10</v>
      </c>
      <c r="I202" s="349" t="str">
        <f t="shared" si="236"/>
        <v/>
      </c>
      <c r="J202" s="349">
        <f t="shared" si="236"/>
        <v>4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3</v>
      </c>
      <c r="O202" s="349" t="str">
        <f t="shared" si="237"/>
        <v/>
      </c>
      <c r="P202" s="349">
        <f t="shared" si="237"/>
        <v>1</v>
      </c>
      <c r="Q202" s="349" t="str">
        <f t="shared" si="237"/>
        <v/>
      </c>
      <c r="R202" s="349">
        <f t="shared" si="237"/>
        <v>8</v>
      </c>
      <c r="S202" s="349" t="str">
        <f t="shared" si="237"/>
        <v/>
      </c>
      <c r="T202" s="349">
        <f t="shared" si="237"/>
        <v>5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VLOOKUP($AA182,Schlüssel!$A$5:$DG$14,43)</f>
        <v>9</v>
      </c>
      <c r="AD202" s="374"/>
      <c r="AE202" s="373">
        <f>VLOOKUP($AA182,Schlüssel!$A$5:$EK$14,44)</f>
        <v>6</v>
      </c>
      <c r="AF202" s="374"/>
      <c r="AG202" s="373">
        <f>VLOOKUP($AA182,Schlüssel!$A$5:$EK$14,45)</f>
        <v>10</v>
      </c>
      <c r="AH202" s="374"/>
      <c r="AI202" s="373">
        <f>VLOOKUP($AA182,Schlüssel!$A$5:$EK$14,46)</f>
        <v>4</v>
      </c>
      <c r="AJ202" s="374"/>
      <c r="AK202" s="373">
        <f>VLOOKUP($AA182,Schlüssel!$A$5:$EK$14,47)</f>
        <v>2</v>
      </c>
      <c r="AL202" s="374"/>
      <c r="AM202" s="373">
        <f>VLOOKUP($AA182,Schlüssel!$A$5:$EK$14,48)</f>
        <v>3</v>
      </c>
      <c r="AN202" s="374"/>
      <c r="AO202" s="373">
        <f>VLOOKUP($AA182,Schlüssel!$A$5:$EK$14,49)</f>
        <v>1</v>
      </c>
      <c r="AP202" s="374"/>
      <c r="AQ202" s="373">
        <f>VLOOKUP($AA182,Schlüssel!$A$5:$EK$14,50)</f>
        <v>8</v>
      </c>
      <c r="AR202" s="374"/>
      <c r="AS202" s="373">
        <f>VLOOKUP($AA182,Schlüssel!$A$5:$EK$14,51)</f>
        <v>5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Bowlinghaus Bamberg 1</v>
      </c>
      <c r="E203" s="347" t="str">
        <f t="shared" si="236"/>
        <v/>
      </c>
      <c r="F203" s="346" t="str">
        <f t="shared" si="236"/>
        <v>SG Rottendorf 1</v>
      </c>
      <c r="G203" s="347" t="str">
        <f t="shared" si="236"/>
        <v/>
      </c>
      <c r="H203" s="346" t="str">
        <f t="shared" si="236"/>
        <v>High Roller Rosenheim 1</v>
      </c>
      <c r="I203" s="347" t="str">
        <f t="shared" si="236"/>
        <v/>
      </c>
      <c r="J203" s="346" t="str">
        <f t="shared" si="236"/>
        <v>SG DJK Rimpar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BK München 3</v>
      </c>
      <c r="O203" s="347" t="str">
        <f t="shared" si="237"/>
        <v/>
      </c>
      <c r="P203" s="346" t="str">
        <f t="shared" si="237"/>
        <v>BC Comet Nürnberg</v>
      </c>
      <c r="Q203" s="347" t="str">
        <f t="shared" si="237"/>
        <v/>
      </c>
      <c r="R203" s="346" t="str">
        <f t="shared" si="237"/>
        <v>BC EMAX Unterföhring 2</v>
      </c>
      <c r="S203" s="347" t="str">
        <f t="shared" si="237"/>
        <v/>
      </c>
      <c r="T203" s="346" t="str">
        <f t="shared" si="237"/>
        <v>RW Lichtenhof Stein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Bowlinghaus Bamberg 1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BK München 3</v>
      </c>
      <c r="AN203" s="347"/>
      <c r="AO203" s="346" t="str">
        <f>VLOOKUP(AO202,Schlüssel!$A$5:$K$14,2)</f>
        <v>BC Comet Nürnberg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RW Lichtenhof Stein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154</v>
      </c>
      <c r="E205" s="342" t="str">
        <f>IF(AD205=0,"",AD205)</f>
        <v/>
      </c>
      <c r="F205" s="342">
        <f>IF(AE205=301,"",AE205)</f>
        <v>182</v>
      </c>
      <c r="G205" s="342" t="str">
        <f>IF(AF205=0,"",AF205)</f>
        <v/>
      </c>
      <c r="H205" s="342">
        <f>IF(AG205=301,"",AG205)</f>
        <v>231</v>
      </c>
      <c r="I205" s="342" t="str">
        <f>IF(AH205=0,"",AH205)</f>
        <v/>
      </c>
      <c r="J205" s="342">
        <f>IF(AI205=301,"",AI205)</f>
        <v>212</v>
      </c>
      <c r="K205" s="342" t="str">
        <f>IF(AJ205=0,"",AJ205)</f>
        <v/>
      </c>
      <c r="L205" s="342">
        <f>IF(AK205=301,"",AK205)</f>
        <v>171</v>
      </c>
      <c r="M205" s="342" t="str">
        <f>IF(AL205=0,"",AL205)</f>
        <v/>
      </c>
      <c r="N205" s="342">
        <f>IF(AM205=301,"",AM205)</f>
        <v>182</v>
      </c>
      <c r="O205" s="342" t="str">
        <f>IF(AN205=0,"",AN205)</f>
        <v/>
      </c>
      <c r="P205" s="342">
        <f>IF(AO205=301,"",AO205)</f>
        <v>164</v>
      </c>
      <c r="Q205" s="342" t="str">
        <f>IF(AP205=0,"",AP205)</f>
        <v/>
      </c>
      <c r="R205" s="342">
        <f>IF(AQ205=301,"",AQ205)</f>
        <v>185</v>
      </c>
      <c r="S205" s="342" t="str">
        <f>IF(AR205=0,"",AR205)</f>
        <v/>
      </c>
      <c r="T205" s="342">
        <f>IF(AS205=301,"",AS205)</f>
        <v>155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154</v>
      </c>
      <c r="AD205" s="376"/>
      <c r="AE205" s="375">
        <f>ABS(INDEX(AE:AE,MATCH(AE202,$AA:$AA,0)+5)+INDEX(AE:AE,MATCH(AE202,$AA:$AA,0)+6)+INDEX(AE:AE,MATCH(AE202,$AA:$AA,0)+7))</f>
        <v>182</v>
      </c>
      <c r="AF205" s="376"/>
      <c r="AG205" s="375">
        <f>ABS(INDEX(AG:AG,MATCH(AG202,$AA:$AA,0)+5)+INDEX(AG:AG,MATCH(AG202,$AA:$AA,0)+6)+INDEX(AG:AG,MATCH(AG202,$AA:$AA,0)+7))</f>
        <v>231</v>
      </c>
      <c r="AH205" s="376"/>
      <c r="AI205" s="375">
        <f>ABS(INDEX(AI:AI,MATCH(AI202,$AA:$AA,0)+5)+INDEX(AI:AI,MATCH(AI202,$AA:$AA,0)+6)+INDEX(AI:AI,MATCH(AI202,$AA:$AA,0)+7))</f>
        <v>212</v>
      </c>
      <c r="AJ205" s="376"/>
      <c r="AK205" s="375">
        <f>ABS(INDEX(AK:AK,MATCH(AK202,$AA:$AA,0)+5)+INDEX(AK:AK,MATCH(AK202,$AA:$AA,0)+6)+INDEX(AK:AK,MATCH(AK202,$AA:$AA,0)+7))</f>
        <v>171</v>
      </c>
      <c r="AL205" s="376"/>
      <c r="AM205" s="375">
        <f>ABS(INDEX(AM:AM,MATCH(AM202,$AA:$AA,0)+5)+INDEX(AM:AM,MATCH(AM202,$AA:$AA,0)+6)+INDEX(AM:AM,MATCH(AM202,$AA:$AA,0)+7))</f>
        <v>182</v>
      </c>
      <c r="AN205" s="376"/>
      <c r="AO205" s="375">
        <f>ABS(INDEX(AO:AO,MATCH(AO202,$AA:$AA,0)+5)+INDEX(AO:AO,MATCH(AO202,$AA:$AA,0)+6)+INDEX(AO:AO,MATCH(AO202,$AA:$AA,0)+7))</f>
        <v>164</v>
      </c>
      <c r="AP205" s="376"/>
      <c r="AQ205" s="375">
        <f>ABS(INDEX(AQ:AQ,MATCH(AQ202,$AA:$AA,0)+5)+INDEX(AQ:AQ,MATCH(AQ202,$AA:$AA,0)+6)+INDEX(AQ:AQ,MATCH(AQ202,$AA:$AA,0)+7))</f>
        <v>185</v>
      </c>
      <c r="AR205" s="376"/>
      <c r="AS205" s="375">
        <f>ABS(INDEX(AS:AS,MATCH(AS202,$AA:$AA,0)+5)+INDEX(AS:AS,MATCH(AS202,$AA:$AA,0)+6)+INDEX(AS:AS,MATCH(AS202,$AA:$AA,0)+7))</f>
        <v>155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167</v>
      </c>
      <c r="E206" s="342" t="str">
        <f>IF(AD206=0,"",AD206)</f>
        <v/>
      </c>
      <c r="F206" s="342">
        <f>IF(AE206=301,"",AE206)</f>
        <v>182</v>
      </c>
      <c r="G206" s="342" t="str">
        <f>IF(AF206=0,"",AF206)</f>
        <v/>
      </c>
      <c r="H206" s="342">
        <f>IF(AG206=301,"",AG206)</f>
        <v>183</v>
      </c>
      <c r="I206" s="342" t="str">
        <f>IF(AH206=0,"",AH206)</f>
        <v/>
      </c>
      <c r="J206" s="342">
        <f>IF(AI206=301,"",AI206)</f>
        <v>156</v>
      </c>
      <c r="K206" s="342" t="str">
        <f>IF(AJ206=0,"",AJ206)</f>
        <v/>
      </c>
      <c r="L206" s="342">
        <f>IF(AK206=301,"",AK206)</f>
        <v>175</v>
      </c>
      <c r="M206" s="342" t="str">
        <f>IF(AL206=0,"",AL206)</f>
        <v/>
      </c>
      <c r="N206" s="342">
        <f>IF(AM206=301,"",AM206)</f>
        <v>182</v>
      </c>
      <c r="O206" s="342" t="str">
        <f>IF(AN206=0,"",AN206)</f>
        <v/>
      </c>
      <c r="P206" s="342">
        <f>IF(AO206=301,"",AO206)</f>
        <v>201</v>
      </c>
      <c r="Q206" s="342" t="str">
        <f>IF(AP206=0,"",AP206)</f>
        <v/>
      </c>
      <c r="R206" s="342">
        <f>IF(AQ206=301,"",AQ206)</f>
        <v>213</v>
      </c>
      <c r="S206" s="342" t="str">
        <f>IF(AR206=0,"",AR206)</f>
        <v/>
      </c>
      <c r="T206" s="342">
        <f>IF(AS206=301,"",AS206)</f>
        <v>138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167</v>
      </c>
      <c r="AD206" s="378"/>
      <c r="AE206" s="377">
        <f>ABS(INDEX(AE:AE,MATCH(AE202,$AA:$AA,0)+8)+INDEX(AE:AE,MATCH(AE202,$AA:$AA,0)+9)+INDEX(AE:AE,MATCH(AE202,$AA:$AA,0)+10))</f>
        <v>182</v>
      </c>
      <c r="AF206" s="378"/>
      <c r="AG206" s="377">
        <f>ABS(INDEX(AG:AG,MATCH(AG202,$AA:$AA,0)+8)+INDEX(AG:AG,MATCH(AG202,$AA:$AA,0)+9)+INDEX(AG:AG,MATCH(AG202,$AA:$AA,0)+10))</f>
        <v>183</v>
      </c>
      <c r="AH206" s="378"/>
      <c r="AI206" s="377">
        <f>ABS(INDEX(AI:AI,MATCH(AI202,$AA:$AA,0)+8)+INDEX(AI:AI,MATCH(AI202,$AA:$AA,0)+9)+INDEX(AI:AI,MATCH(AI202,$AA:$AA,0)+10))</f>
        <v>156</v>
      </c>
      <c r="AJ206" s="378"/>
      <c r="AK206" s="377">
        <f>ABS(INDEX(AK:AK,MATCH(AK202,$AA:$AA,0)+8)+INDEX(AK:AK,MATCH(AK202,$AA:$AA,0)+9)+INDEX(AK:AK,MATCH(AK202,$AA:$AA,0)+10))</f>
        <v>175</v>
      </c>
      <c r="AL206" s="378"/>
      <c r="AM206" s="377">
        <f>ABS(INDEX(AM:AM,MATCH(AM202,$AA:$AA,0)+8)+INDEX(AM:AM,MATCH(AM202,$AA:$AA,0)+9)+INDEX(AM:AM,MATCH(AM202,$AA:$AA,0)+10))</f>
        <v>182</v>
      </c>
      <c r="AN206" s="378"/>
      <c r="AO206" s="377">
        <f>ABS(INDEX(AO:AO,MATCH(AO202,$AA:$AA,0)+8)+INDEX(AO:AO,MATCH(AO202,$AA:$AA,0)+9)+INDEX(AO:AO,MATCH(AO202,$AA:$AA,0)+10))</f>
        <v>201</v>
      </c>
      <c r="AP206" s="378"/>
      <c r="AQ206" s="377">
        <f>ABS(INDEX(AQ:AQ,MATCH(AQ202,$AA:$AA,0)+8)+INDEX(AQ:AQ,MATCH(AQ202,$AA:$AA,0)+9)+INDEX(AQ:AQ,MATCH(AQ202,$AA:$AA,0)+10))</f>
        <v>213</v>
      </c>
      <c r="AR206" s="378"/>
      <c r="AS206" s="377">
        <f>ABS(INDEX(AS:AS,MATCH(AS202,$AA:$AA,0)+8)+INDEX(AS:AS,MATCH(AS202,$AA:$AA,0)+9)+INDEX(AS:AS,MATCH(AS202,$AA:$AA,0)+10))</f>
        <v>138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129</v>
      </c>
      <c r="E207" s="342" t="str">
        <f>IF(AD207=0,"",AD207)</f>
        <v/>
      </c>
      <c r="F207" s="342">
        <f>IF(AE207=301,"",AE207)</f>
        <v>191</v>
      </c>
      <c r="G207" s="342" t="str">
        <f>IF(AF207=0,"",AF207)</f>
        <v/>
      </c>
      <c r="H207" s="342">
        <f>IF(AG207=301,"",AG207)</f>
        <v>123</v>
      </c>
      <c r="I207" s="342" t="str">
        <f>IF(AH207=0,"",AH207)</f>
        <v/>
      </c>
      <c r="J207" s="342">
        <f>IF(AI207=301,"",AI207)</f>
        <v>168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146</v>
      </c>
      <c r="O207" s="342" t="str">
        <f>IF(AN207=0,"",AN207)</f>
        <v/>
      </c>
      <c r="P207" s="342">
        <f>IF(AO207=301,"",AO207)</f>
        <v>218</v>
      </c>
      <c r="Q207" s="342" t="str">
        <f>IF(AP207=0,"",AP207)</f>
        <v/>
      </c>
      <c r="R207" s="342">
        <f>IF(AQ207=301,"",AQ207)</f>
        <v>177</v>
      </c>
      <c r="S207" s="342" t="str">
        <f>IF(AR207=0,"",AR207)</f>
        <v/>
      </c>
      <c r="T207" s="342">
        <f>IF(AS207=301,"",AS207)</f>
        <v>168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129</v>
      </c>
      <c r="AD207" s="378"/>
      <c r="AE207" s="377">
        <f>ABS(INDEX(AE:AE,MATCH(AE202,$AA:$AA,0)+11)+INDEX(AE:AE,MATCH(AE202,$AA:$AA,0)+12)+INDEX(AE:AE,MATCH(AE202,$AA:$AA,0)+13))</f>
        <v>191</v>
      </c>
      <c r="AF207" s="378"/>
      <c r="AG207" s="377">
        <f>ABS(INDEX(AG:AG,MATCH(AG202,$AA:$AA,0)+11)+INDEX(AG:AG,MATCH(AG202,$AA:$AA,0)+12)+INDEX(AG:AG,MATCH(AG202,$AA:$AA,0)+13))</f>
        <v>123</v>
      </c>
      <c r="AH207" s="378"/>
      <c r="AI207" s="377">
        <f>ABS(INDEX(AI:AI,MATCH(AI202,$AA:$AA,0)+11)+INDEX(AI:AI,MATCH(AI202,$AA:$AA,0)+12)+INDEX(AI:AI,MATCH(AI202,$AA:$AA,0)+13))</f>
        <v>168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146</v>
      </c>
      <c r="AN207" s="378"/>
      <c r="AO207" s="377">
        <f>ABS(INDEX(AO:AO,MATCH(AO202,$AA:$AA,0)+11)+INDEX(AO:AO,MATCH(AO202,$AA:$AA,0)+12)+INDEX(AO:AO,MATCH(AO202,$AA:$AA,0)+13))</f>
        <v>218</v>
      </c>
      <c r="AP207" s="378"/>
      <c r="AQ207" s="377">
        <f>ABS(INDEX(AQ:AQ,MATCH(AQ202,$AA:$AA,0)+11)+INDEX(AQ:AQ,MATCH(AQ202,$AA:$AA,0)+12)+INDEX(AQ:AQ,MATCH(AQ202,$AA:$AA,0)+13))</f>
        <v>177</v>
      </c>
      <c r="AR207" s="378"/>
      <c r="AS207" s="377">
        <f>ABS(INDEX(AS:AS,MATCH(AS202,$AA:$AA,0)+11)+INDEX(AS:AS,MATCH(AS202,$AA:$AA,0)+12)+INDEX(AS:AS,MATCH(AS202,$AA:$AA,0)+13))</f>
        <v>168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222</v>
      </c>
      <c r="E208" s="342" t="str">
        <f>IF(AD208=0,"",AD208)</f>
        <v/>
      </c>
      <c r="F208" s="342">
        <f>IF(AE208=301,"",AE208)</f>
        <v>198</v>
      </c>
      <c r="G208" s="342" t="str">
        <f>IF(AF208=0,"",AF208)</f>
        <v/>
      </c>
      <c r="H208" s="342">
        <f>IF(AG208=301,"",AG208)</f>
        <v>169</v>
      </c>
      <c r="I208" s="342" t="str">
        <f>IF(AH208=0,"",AH208)</f>
        <v/>
      </c>
      <c r="J208" s="342">
        <f>IF(AI208=301,"",AI208)</f>
        <v>146</v>
      </c>
      <c r="K208" s="342" t="str">
        <f>IF(AJ208=0,"",AJ208)</f>
        <v/>
      </c>
      <c r="L208" s="342">
        <f>IF(AK208=301,"",AK208)</f>
        <v>164</v>
      </c>
      <c r="M208" s="342" t="str">
        <f>IF(AL208=0,"",AL208)</f>
        <v/>
      </c>
      <c r="N208" s="342">
        <f>IF(AM208=301,"",AM208)</f>
        <v>175</v>
      </c>
      <c r="O208" s="342" t="str">
        <f>IF(AN208=0,"",AN208)</f>
        <v/>
      </c>
      <c r="P208" s="342">
        <f>IF(AO208=301,"",AO208)</f>
        <v>202</v>
      </c>
      <c r="Q208" s="342" t="str">
        <f>IF(AP208=0,"",AP208)</f>
        <v/>
      </c>
      <c r="R208" s="342">
        <f>IF(AQ208=301,"",AQ208)</f>
        <v>213</v>
      </c>
      <c r="S208" s="342" t="str">
        <f>IF(AR208=0,"",AR208)</f>
        <v/>
      </c>
      <c r="T208" s="342">
        <f>IF(AS208=301,"",AS208)</f>
        <v>156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222</v>
      </c>
      <c r="AD208" s="378"/>
      <c r="AE208" s="377">
        <f>ABS(INDEX(AE:AE,MATCH(AE202,$AA:$AA,0)+14)+INDEX(AE:AE,MATCH(AE202,$AA:$AA,0)+15)+INDEX(AE:AE,MATCH(AE202,$AA:$AA,0)+16))</f>
        <v>198</v>
      </c>
      <c r="AF208" s="378"/>
      <c r="AG208" s="377">
        <f>ABS(INDEX(AG:AG,MATCH(AG202,$AA:$AA,0)+14)+INDEX(AG:AG,MATCH(AG202,$AA:$AA,0)+15)+INDEX(AG:AG,MATCH(AG202,$AA:$AA,0)+16))</f>
        <v>169</v>
      </c>
      <c r="AH208" s="378"/>
      <c r="AI208" s="377">
        <f>ABS(INDEX(AI:AI,MATCH(AI202,$AA:$AA,0)+14)+INDEX(AI:AI,MATCH(AI202,$AA:$AA,0)+15)+INDEX(AI:AI,MATCH(AI202,$AA:$AA,0)+16))</f>
        <v>146</v>
      </c>
      <c r="AJ208" s="378"/>
      <c r="AK208" s="377">
        <f>ABS(INDEX(AK:AK,MATCH(AK202,$AA:$AA,0)+14)+INDEX(AK:AK,MATCH(AK202,$AA:$AA,0)+15)+INDEX(AK:AK,MATCH(AK202,$AA:$AA,0)+16))</f>
        <v>164</v>
      </c>
      <c r="AL208" s="378"/>
      <c r="AM208" s="377">
        <f>ABS(INDEX(AM:AM,MATCH(AM202,$AA:$AA,0)+14)+INDEX(AM:AM,MATCH(AM202,$AA:$AA,0)+15)+INDEX(AM:AM,MATCH(AM202,$AA:$AA,0)+16))</f>
        <v>175</v>
      </c>
      <c r="AN208" s="378"/>
      <c r="AO208" s="377">
        <f>ABS(INDEX(AO:AO,MATCH(AO202,$AA:$AA,0)+14)+INDEX(AO:AO,MATCH(AO202,$AA:$AA,0)+15)+INDEX(AO:AO,MATCH(AO202,$AA:$AA,0)+16))</f>
        <v>202</v>
      </c>
      <c r="AP208" s="378"/>
      <c r="AQ208" s="377">
        <f>ABS(INDEX(AQ:AQ,MATCH(AQ202,$AA:$AA,0)+14)+INDEX(AQ:AQ,MATCH(AQ202,$AA:$AA,0)+15)+INDEX(AQ:AQ,MATCH(AQ202,$AA:$AA,0)+16))</f>
        <v>213</v>
      </c>
      <c r="AR208" s="378"/>
      <c r="AS208" s="377">
        <f>ABS(INDEX(AS:AS,MATCH(AS202,$AA:$AA,0)+14)+INDEX(AS:AS,MATCH(AS202,$AA:$AA,0)+15)+INDEX(AS:AS,MATCH(AS202,$AA:$AA,0)+16))</f>
        <v>156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672</v>
      </c>
      <c r="E209" s="341" t="str">
        <f>IF(AD209=0,"",AD209)</f>
        <v/>
      </c>
      <c r="F209" s="341">
        <f>IF(AE209=1505,"",AE209)</f>
        <v>753</v>
      </c>
      <c r="G209" s="341" t="str">
        <f>IF(AF209=0,"",AF209)</f>
        <v/>
      </c>
      <c r="H209" s="341">
        <f>IF(AG209=1505,"",AG209)</f>
        <v>706</v>
      </c>
      <c r="I209" s="341" t="str">
        <f>IF(AH209=0,"",AH209)</f>
        <v/>
      </c>
      <c r="J209" s="341">
        <f>IF(AI209=1505,"",AI209)</f>
        <v>682</v>
      </c>
      <c r="K209" s="341" t="str">
        <f>IF(AJ209=0,"",AJ209)</f>
        <v/>
      </c>
      <c r="L209" s="341">
        <f>IF(AK209=1505,"",AK209)</f>
        <v>723</v>
      </c>
      <c r="M209" s="341" t="str">
        <f>IF(AL209=0,"",AL209)</f>
        <v/>
      </c>
      <c r="N209" s="341">
        <f>IF(AM209=1505,"",AM209)</f>
        <v>685</v>
      </c>
      <c r="O209" s="341" t="str">
        <f>IF(AN209=0,"",AN209)</f>
        <v/>
      </c>
      <c r="P209" s="341">
        <f>IF(AO209=1505,"",AO209)</f>
        <v>785</v>
      </c>
      <c r="Q209" s="341" t="str">
        <f>IF(AP209=0,"",AP209)</f>
        <v/>
      </c>
      <c r="R209" s="341">
        <f>IF(AQ209=1505,"",AQ209)</f>
        <v>788</v>
      </c>
      <c r="S209" s="341" t="str">
        <f>IF(AR209=0,"",AR209)</f>
        <v/>
      </c>
      <c r="T209" s="341">
        <f>IF(AS209=1505,"",AS209)</f>
        <v>617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672</v>
      </c>
      <c r="AD209" s="358"/>
      <c r="AE209" s="357">
        <f>SUM(AE205:AE208)</f>
        <v>753</v>
      </c>
      <c r="AF209" s="358"/>
      <c r="AG209" s="357">
        <f>SUM(AG205:AG208)</f>
        <v>706</v>
      </c>
      <c r="AH209" s="358"/>
      <c r="AI209" s="357">
        <f>SUM(AI205:AI208)</f>
        <v>682</v>
      </c>
      <c r="AJ209" s="358"/>
      <c r="AK209" s="357">
        <f>SUM(AK205:AK208)</f>
        <v>723</v>
      </c>
      <c r="AL209" s="358"/>
      <c r="AM209" s="357">
        <f>SUM(AM205:AM208)</f>
        <v>685</v>
      </c>
      <c r="AN209" s="358"/>
      <c r="AO209" s="357">
        <f>SUM(AO205:AO208)</f>
        <v>785</v>
      </c>
      <c r="AP209" s="358"/>
      <c r="AQ209" s="357">
        <f>SUM(AQ205:AQ208)</f>
        <v>788</v>
      </c>
      <c r="AR209" s="358"/>
      <c r="AS209" s="357">
        <f>SUM(AS205:AS208)</f>
        <v>617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01.02./02.02.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01.02./02.02.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51">
        <f>IF(AD217="","",AD217)</f>
        <v>1</v>
      </c>
      <c r="F217" s="75">
        <f t="shared" ref="F217:F230" si="239">IF(AE217=0,"",AE217)</f>
        <v>172</v>
      </c>
      <c r="G217" s="351">
        <f>IF(AF217="","",AF217)</f>
        <v>1</v>
      </c>
      <c r="H217" s="75">
        <f t="shared" ref="H217:H230" si="240">IF(AG217=0,"",AG217)</f>
        <v>148</v>
      </c>
      <c r="I217" s="351">
        <f>IF(AH217="","",AH217)</f>
        <v>0</v>
      </c>
      <c r="J217" s="75">
        <f t="shared" ref="J217:J230" si="241">IF(AI217=0,"",AI217)</f>
        <v>136</v>
      </c>
      <c r="K217" s="351">
        <f>IF(AJ217="","",AJ217)</f>
        <v>0</v>
      </c>
      <c r="L217" s="75">
        <f t="shared" ref="L217:L230" si="242">IF(AK217=0,"",AK217)</f>
        <v>167</v>
      </c>
      <c r="M217" s="351">
        <f>IF(AL217="","",AL217)</f>
        <v>0</v>
      </c>
      <c r="N217" s="75">
        <f>IF(AM217=0,"",AM217)</f>
        <v>155</v>
      </c>
      <c r="O217" s="351">
        <f>IF(AN217="","",AN217)</f>
        <v>0</v>
      </c>
      <c r="P217" s="75" t="str">
        <f t="shared" ref="P217:P230" si="243">IF(AO217=0,"",AO217)</f>
        <v/>
      </c>
      <c r="Q217" s="351">
        <f>IF(AP217="","",AP217)</f>
        <v>0</v>
      </c>
      <c r="R217" s="75">
        <f t="shared" ref="R217:R230" si="244">IF(AQ217=0,"",AQ217)</f>
        <v>185</v>
      </c>
      <c r="S217" s="351">
        <f>IF(AR217="","",AR217)</f>
        <v>1</v>
      </c>
      <c r="T217" s="75">
        <f t="shared" ref="T217:T230" si="245">IF(AS217=0,"",AS217)</f>
        <v>136</v>
      </c>
      <c r="U217" s="351">
        <f>IF(AT217="","",AT217)</f>
        <v>0</v>
      </c>
      <c r="V217" s="75">
        <f t="shared" ref="V217:V230" si="246">IF(AU217=0,"",AU217)</f>
        <v>1289</v>
      </c>
      <c r="W217" s="351">
        <f>IF(AV217="","",AV217)</f>
        <v>3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>
        <f t="shared" si="243"/>
        <v>151</v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>
        <f t="shared" si="246"/>
        <v>151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213</v>
      </c>
      <c r="G220" s="351">
        <f>IF(AF220="","",AF220)</f>
        <v>1</v>
      </c>
      <c r="H220" s="75">
        <f t="shared" si="240"/>
        <v>155</v>
      </c>
      <c r="I220" s="351">
        <f>IF(AH220="","",AH220)</f>
        <v>0</v>
      </c>
      <c r="J220" s="75">
        <f t="shared" si="241"/>
        <v>174</v>
      </c>
      <c r="K220" s="351">
        <f>IF(AJ220="","",AJ220)</f>
        <v>1</v>
      </c>
      <c r="L220" s="75">
        <f t="shared" si="242"/>
        <v>180</v>
      </c>
      <c r="M220" s="351">
        <f>IF(AL220="","",AL220)</f>
        <v>1</v>
      </c>
      <c r="N220" s="75">
        <f t="shared" si="259"/>
        <v>198</v>
      </c>
      <c r="O220" s="351">
        <f>IF(AN220="","",AN220)</f>
        <v>1</v>
      </c>
      <c r="P220" s="75">
        <f t="shared" si="243"/>
        <v>206</v>
      </c>
      <c r="Q220" s="351">
        <f>IF(AP220="","",AP220)</f>
        <v>1</v>
      </c>
      <c r="R220" s="75">
        <f t="shared" si="244"/>
        <v>213</v>
      </c>
      <c r="S220" s="351">
        <f>IF(AR220="","",AR220)</f>
        <v>1</v>
      </c>
      <c r="T220" s="75">
        <f t="shared" si="245"/>
        <v>177</v>
      </c>
      <c r="U220" s="351">
        <f>IF(AT220="","",AT220)</f>
        <v>0</v>
      </c>
      <c r="V220" s="75">
        <f t="shared" si="246"/>
        <v>1710</v>
      </c>
      <c r="W220" s="351">
        <f>IF(AV220="","",AV220)</f>
        <v>7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52"/>
      <c r="F221" s="78" t="str">
        <f t="shared" si="239"/>
        <v/>
      </c>
      <c r="G221" s="352"/>
      <c r="H221" s="78" t="str">
        <f t="shared" si="240"/>
        <v/>
      </c>
      <c r="I221" s="352"/>
      <c r="J221" s="78" t="str">
        <f t="shared" si="241"/>
        <v/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 t="str">
        <f t="shared" si="244"/>
        <v/>
      </c>
      <c r="S221" s="352"/>
      <c r="T221" s="78" t="str">
        <f t="shared" si="245"/>
        <v/>
      </c>
      <c r="U221" s="352"/>
      <c r="V221" s="78" t="str">
        <f t="shared" si="246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51">
        <f>IF(AD223="","",AD223)</f>
        <v>1</v>
      </c>
      <c r="F223" s="75">
        <f t="shared" si="239"/>
        <v>226</v>
      </c>
      <c r="G223" s="351">
        <f>IF(AF223="","",AF223)</f>
        <v>1</v>
      </c>
      <c r="H223" s="75">
        <f t="shared" si="240"/>
        <v>179</v>
      </c>
      <c r="I223" s="351">
        <f>IF(AH223="","",AH223)</f>
        <v>0</v>
      </c>
      <c r="J223" s="75">
        <f t="shared" si="241"/>
        <v>201</v>
      </c>
      <c r="K223" s="351">
        <f>IF(AJ223="","",AJ223)</f>
        <v>1</v>
      </c>
      <c r="L223" s="75">
        <f t="shared" si="242"/>
        <v>226</v>
      </c>
      <c r="M223" s="351">
        <f>IF(AL223="","",AL223)</f>
        <v>1</v>
      </c>
      <c r="N223" s="75">
        <f t="shared" si="259"/>
        <v>186</v>
      </c>
      <c r="O223" s="351">
        <f>IF(AN223="","",AN223)</f>
        <v>0</v>
      </c>
      <c r="P223" s="75">
        <f t="shared" si="243"/>
        <v>185</v>
      </c>
      <c r="Q223" s="351">
        <f>IF(AP223="","",AP223)</f>
        <v>1</v>
      </c>
      <c r="R223" s="75">
        <f t="shared" si="244"/>
        <v>177</v>
      </c>
      <c r="S223" s="351">
        <f>IF(AR223="","",AR223)</f>
        <v>0</v>
      </c>
      <c r="T223" s="75">
        <f t="shared" si="245"/>
        <v>258</v>
      </c>
      <c r="U223" s="351">
        <f>IF(AT223="","",AT223)</f>
        <v>1</v>
      </c>
      <c r="V223" s="75">
        <f t="shared" si="246"/>
        <v>1820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2"/>
      <c r="F224" s="78" t="str">
        <f t="shared" si="239"/>
        <v/>
      </c>
      <c r="G224" s="352"/>
      <c r="H224" s="78" t="str">
        <f t="shared" si="240"/>
        <v/>
      </c>
      <c r="I224" s="352"/>
      <c r="J224" s="78" t="str">
        <f t="shared" si="241"/>
        <v/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 t="str">
        <f t="shared" si="246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51">
        <f>IF(AD226="","",AD226)</f>
        <v>1</v>
      </c>
      <c r="F226" s="75">
        <f t="shared" si="239"/>
        <v>199</v>
      </c>
      <c r="G226" s="351">
        <f>IF(AF226="","",AF226)</f>
        <v>0</v>
      </c>
      <c r="H226" s="75">
        <f t="shared" si="240"/>
        <v>176</v>
      </c>
      <c r="I226" s="351">
        <f>IF(AH226="","",AH226)</f>
        <v>0</v>
      </c>
      <c r="J226" s="75">
        <f t="shared" si="241"/>
        <v>144</v>
      </c>
      <c r="K226" s="351">
        <f>IF(AJ226="","",AJ226)</f>
        <v>0</v>
      </c>
      <c r="L226" s="75" t="str">
        <f t="shared" si="242"/>
        <v/>
      </c>
      <c r="M226" s="351">
        <f>IF(AL226="","",AL226)</f>
        <v>1</v>
      </c>
      <c r="N226" s="75" t="str">
        <f t="shared" si="259"/>
        <v/>
      </c>
      <c r="O226" s="351">
        <f>IF(AN226="","",AN226)</f>
        <v>1</v>
      </c>
      <c r="P226" s="75" t="str">
        <f t="shared" si="243"/>
        <v/>
      </c>
      <c r="Q226" s="351">
        <f>IF(AP226="","",AP226)</f>
        <v>1</v>
      </c>
      <c r="R226" s="75" t="str">
        <f t="shared" si="244"/>
        <v/>
      </c>
      <c r="S226" s="351">
        <f>IF(AR226="","",AR226)</f>
        <v>0</v>
      </c>
      <c r="T226" s="75" t="str">
        <f t="shared" si="245"/>
        <v/>
      </c>
      <c r="U226" s="351">
        <f>IF(AT226="","",AT226)</f>
        <v>1</v>
      </c>
      <c r="V226" s="75">
        <f t="shared" si="246"/>
        <v>700</v>
      </c>
      <c r="W226" s="351">
        <f>IF(AV226="","",AV226)</f>
        <v>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>
        <f t="shared" si="242"/>
        <v>200</v>
      </c>
      <c r="M227" s="352"/>
      <c r="N227" s="78">
        <f t="shared" si="259"/>
        <v>221</v>
      </c>
      <c r="O227" s="352"/>
      <c r="P227" s="78">
        <f t="shared" si="243"/>
        <v>194</v>
      </c>
      <c r="Q227" s="352"/>
      <c r="R227" s="78">
        <f t="shared" si="244"/>
        <v>213</v>
      </c>
      <c r="S227" s="352"/>
      <c r="T227" s="78">
        <f t="shared" si="245"/>
        <v>191</v>
      </c>
      <c r="U227" s="352"/>
      <c r="V227" s="78">
        <f t="shared" si="246"/>
        <v>1019</v>
      </c>
      <c r="W227" s="352"/>
      <c r="Z227" s="355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2</v>
      </c>
      <c r="E232" s="349" t="str">
        <f t="shared" si="270"/>
        <v/>
      </c>
      <c r="F232" s="349">
        <f t="shared" si="270"/>
        <v>9</v>
      </c>
      <c r="G232" s="349" t="str">
        <f t="shared" si="270"/>
        <v/>
      </c>
      <c r="H232" s="349">
        <f t="shared" si="270"/>
        <v>1</v>
      </c>
      <c r="I232" s="349" t="str">
        <f t="shared" si="270"/>
        <v/>
      </c>
      <c r="J232" s="349">
        <f t="shared" si="270"/>
        <v>10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5</v>
      </c>
      <c r="O232" s="349" t="str">
        <f t="shared" si="271"/>
        <v/>
      </c>
      <c r="P232" s="349">
        <f t="shared" si="271"/>
        <v>6</v>
      </c>
      <c r="Q232" s="349" t="str">
        <f t="shared" si="271"/>
        <v/>
      </c>
      <c r="R232" s="349">
        <f t="shared" si="271"/>
        <v>7</v>
      </c>
      <c r="S232" s="349" t="str">
        <f t="shared" si="271"/>
        <v/>
      </c>
      <c r="T232" s="349">
        <f t="shared" si="271"/>
        <v>3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VLOOKUP($AA212,Schlüssel!$A$5:$DG$14,43)</f>
        <v>2</v>
      </c>
      <c r="AD232" s="374"/>
      <c r="AE232" s="373">
        <f>VLOOKUP($AA212,Schlüssel!$A$5:$EK$14,44)</f>
        <v>9</v>
      </c>
      <c r="AF232" s="374"/>
      <c r="AG232" s="373">
        <f>VLOOKUP($AA212,Schlüssel!$A$5:$EK$14,45)</f>
        <v>1</v>
      </c>
      <c r="AH232" s="374"/>
      <c r="AI232" s="373">
        <f>VLOOKUP($AA212,Schlüssel!$A$5:$EK$14,46)</f>
        <v>10</v>
      </c>
      <c r="AJ232" s="374"/>
      <c r="AK232" s="373">
        <f>VLOOKUP($AA212,Schlüssel!$A$5:$EK$14,47)</f>
        <v>4</v>
      </c>
      <c r="AL232" s="374"/>
      <c r="AM232" s="373">
        <f>VLOOKUP($AA212,Schlüssel!$A$5:$EK$14,48)</f>
        <v>5</v>
      </c>
      <c r="AN232" s="374"/>
      <c r="AO232" s="373">
        <f>VLOOKUP($AA212,Schlüssel!$A$5:$EK$14,49)</f>
        <v>6</v>
      </c>
      <c r="AP232" s="374"/>
      <c r="AQ232" s="373">
        <f>VLOOKUP($AA212,Schlüssel!$A$5:$EK$14,50)</f>
        <v>7</v>
      </c>
      <c r="AR232" s="374"/>
      <c r="AS232" s="373">
        <f>VLOOKUP($AA212,Schlüssel!$A$5:$EK$14,51)</f>
        <v>3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Bajuwaren München 1</v>
      </c>
      <c r="E233" s="347" t="str">
        <f t="shared" si="270"/>
        <v/>
      </c>
      <c r="F233" s="346" t="str">
        <f t="shared" si="270"/>
        <v>Bowlinghaus Bamberg 1</v>
      </c>
      <c r="G233" s="347" t="str">
        <f t="shared" si="270"/>
        <v/>
      </c>
      <c r="H233" s="346" t="str">
        <f t="shared" si="270"/>
        <v>BC Comet Nürnberg</v>
      </c>
      <c r="I233" s="347" t="str">
        <f t="shared" si="270"/>
        <v/>
      </c>
      <c r="J233" s="346" t="str">
        <f t="shared" si="270"/>
        <v>High Roller Rosenheim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RW Lichtenhof Stein 1</v>
      </c>
      <c r="O233" s="347" t="str">
        <f t="shared" si="271"/>
        <v/>
      </c>
      <c r="P233" s="346" t="str">
        <f t="shared" si="271"/>
        <v>SG Rottendorf 1</v>
      </c>
      <c r="Q233" s="347" t="str">
        <f t="shared" si="271"/>
        <v/>
      </c>
      <c r="R233" s="346" t="str">
        <f t="shared" si="271"/>
        <v>Schanzer Ingolstadt 1</v>
      </c>
      <c r="S233" s="347" t="str">
        <f t="shared" si="271"/>
        <v/>
      </c>
      <c r="T233" s="346" t="str">
        <f t="shared" si="271"/>
        <v>BK München 3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Bajuwaren München 1</v>
      </c>
      <c r="AD233" s="347"/>
      <c r="AE233" s="346" t="str">
        <f>VLOOKUP(AE232,Schlüssel!$A$5:$K$14,2)</f>
        <v>Bowlinghaus Bamberg 1</v>
      </c>
      <c r="AF233" s="347"/>
      <c r="AG233" s="346" t="str">
        <f>VLOOKUP(AG232,Schlüssel!$A$5:$K$14,2)</f>
        <v>BC Comet Nürnberg</v>
      </c>
      <c r="AH233" s="347"/>
      <c r="AI233" s="346" t="str">
        <f>VLOOKUP(AI232,Schlüssel!$A$5:$K$14,2)</f>
        <v>High Roller Rosenheim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SG Rottendorf 1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BK München 3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176</v>
      </c>
      <c r="E235" s="342" t="str">
        <f>IF(AD235=0,"",AD235)</f>
        <v/>
      </c>
      <c r="F235" s="342">
        <f>IF(AE235=301,"",AE235)</f>
        <v>143</v>
      </c>
      <c r="G235" s="342" t="str">
        <f>IF(AF235=0,"",AF235)</f>
        <v/>
      </c>
      <c r="H235" s="342">
        <f>IF(AG235=301,"",AG235)</f>
        <v>160</v>
      </c>
      <c r="I235" s="342" t="str">
        <f>IF(AH235=0,"",AH235)</f>
        <v/>
      </c>
      <c r="J235" s="342">
        <f>IF(AI235=301,"",AI235)</f>
        <v>183</v>
      </c>
      <c r="K235" s="342" t="str">
        <f>IF(AJ235=0,"",AJ235)</f>
        <v/>
      </c>
      <c r="L235" s="342">
        <f>IF(AK235=301,"",AK235)</f>
        <v>259</v>
      </c>
      <c r="M235" s="342" t="str">
        <f>IF(AL235=0,"",AL235)</f>
        <v/>
      </c>
      <c r="N235" s="342">
        <f>IF(AM235=301,"",AM235)</f>
        <v>165</v>
      </c>
      <c r="O235" s="342" t="str">
        <f>IF(AN235=0,"",AN235)</f>
        <v/>
      </c>
      <c r="P235" s="342">
        <f>IF(AO235=301,"",AO235)</f>
        <v>224</v>
      </c>
      <c r="Q235" s="342" t="str">
        <f>IF(AP235=0,"",AP235)</f>
        <v/>
      </c>
      <c r="R235" s="342">
        <f>IF(AQ235=301,"",AQ235)</f>
        <v>175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176</v>
      </c>
      <c r="AD235" s="376"/>
      <c r="AE235" s="375">
        <f>ABS(INDEX(AE:AE,MATCH(AE232,$AA:$AA,0)+5)+INDEX(AE:AE,MATCH(AE232,$AA:$AA,0)+6)+INDEX(AE:AE,MATCH(AE232,$AA:$AA,0)+7))</f>
        <v>143</v>
      </c>
      <c r="AF235" s="376"/>
      <c r="AG235" s="375">
        <f>ABS(INDEX(AG:AG,MATCH(AG232,$AA:$AA,0)+5)+INDEX(AG:AG,MATCH(AG232,$AA:$AA,0)+6)+INDEX(AG:AG,MATCH(AG232,$AA:$AA,0)+7))</f>
        <v>160</v>
      </c>
      <c r="AH235" s="376"/>
      <c r="AI235" s="375">
        <f>ABS(INDEX(AI:AI,MATCH(AI232,$AA:$AA,0)+5)+INDEX(AI:AI,MATCH(AI232,$AA:$AA,0)+6)+INDEX(AI:AI,MATCH(AI232,$AA:$AA,0)+7))</f>
        <v>183</v>
      </c>
      <c r="AJ235" s="376"/>
      <c r="AK235" s="375">
        <f>ABS(INDEX(AK:AK,MATCH(AK232,$AA:$AA,0)+5)+INDEX(AK:AK,MATCH(AK232,$AA:$AA,0)+6)+INDEX(AK:AK,MATCH(AK232,$AA:$AA,0)+7))</f>
        <v>259</v>
      </c>
      <c r="AL235" s="376"/>
      <c r="AM235" s="375">
        <f>ABS(INDEX(AM:AM,MATCH(AM232,$AA:$AA,0)+5)+INDEX(AM:AM,MATCH(AM232,$AA:$AA,0)+6)+INDEX(AM:AM,MATCH(AM232,$AA:$AA,0)+7))</f>
        <v>165</v>
      </c>
      <c r="AN235" s="376"/>
      <c r="AO235" s="375">
        <f>ABS(INDEX(AO:AO,MATCH(AO232,$AA:$AA,0)+5)+INDEX(AO:AO,MATCH(AO232,$AA:$AA,0)+6)+INDEX(AO:AO,MATCH(AO232,$AA:$AA,0)+7))</f>
        <v>224</v>
      </c>
      <c r="AP235" s="376"/>
      <c r="AQ235" s="375">
        <f>ABS(INDEX(AQ:AQ,MATCH(AQ232,$AA:$AA,0)+5)+INDEX(AQ:AQ,MATCH(AQ232,$AA:$AA,0)+6)+INDEX(AQ:AQ,MATCH(AQ232,$AA:$AA,0)+7))</f>
        <v>175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146</v>
      </c>
      <c r="E236" s="342" t="str">
        <f>IF(AD236=0,"",AD236)</f>
        <v/>
      </c>
      <c r="F236" s="342">
        <f>IF(AE236=301,"",AE236)</f>
        <v>203</v>
      </c>
      <c r="G236" s="342" t="str">
        <f>IF(AF236=0,"",AF236)</f>
        <v/>
      </c>
      <c r="H236" s="342">
        <f>IF(AG236=301,"",AG236)</f>
        <v>266</v>
      </c>
      <c r="I236" s="342" t="str">
        <f>IF(AH236=0,"",AH236)</f>
        <v/>
      </c>
      <c r="J236" s="342">
        <f>IF(AI236=301,"",AI236)</f>
        <v>155</v>
      </c>
      <c r="K236" s="342" t="str">
        <f>IF(AJ236=0,"",AJ236)</f>
        <v/>
      </c>
      <c r="L236" s="342">
        <f>IF(AK236=301,"",AK236)</f>
        <v>161</v>
      </c>
      <c r="M236" s="342" t="str">
        <f>IF(AL236=0,"",AL236)</f>
        <v/>
      </c>
      <c r="N236" s="342">
        <f>IF(AM236=301,"",AM236)</f>
        <v>155</v>
      </c>
      <c r="O236" s="342" t="str">
        <f>IF(AN236=0,"",AN236)</f>
        <v/>
      </c>
      <c r="P236" s="342">
        <f>IF(AO236=301,"",AO236)</f>
        <v>159</v>
      </c>
      <c r="Q236" s="342" t="str">
        <f>IF(AP236=0,"",AP236)</f>
        <v/>
      </c>
      <c r="R236" s="342">
        <f>IF(AQ236=301,"",AQ236)</f>
        <v>161</v>
      </c>
      <c r="S236" s="342" t="str">
        <f>IF(AR236=0,"",AR236)</f>
        <v/>
      </c>
      <c r="T236" s="342">
        <f>IF(AS236=301,"",AS236)</f>
        <v>178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146</v>
      </c>
      <c r="AD236" s="378"/>
      <c r="AE236" s="377">
        <f>ABS(INDEX(AE:AE,MATCH(AE232,$AA:$AA,0)+8)+INDEX(AE:AE,MATCH(AE232,$AA:$AA,0)+9)+INDEX(AE:AE,MATCH(AE232,$AA:$AA,0)+10))</f>
        <v>203</v>
      </c>
      <c r="AF236" s="378"/>
      <c r="AG236" s="377">
        <f>ABS(INDEX(AG:AG,MATCH(AG232,$AA:$AA,0)+8)+INDEX(AG:AG,MATCH(AG232,$AA:$AA,0)+9)+INDEX(AG:AG,MATCH(AG232,$AA:$AA,0)+10))</f>
        <v>266</v>
      </c>
      <c r="AH236" s="378"/>
      <c r="AI236" s="377">
        <f>ABS(INDEX(AI:AI,MATCH(AI232,$AA:$AA,0)+8)+INDEX(AI:AI,MATCH(AI232,$AA:$AA,0)+9)+INDEX(AI:AI,MATCH(AI232,$AA:$AA,0)+10))</f>
        <v>155</v>
      </c>
      <c r="AJ236" s="378"/>
      <c r="AK236" s="377">
        <f>ABS(INDEX(AK:AK,MATCH(AK232,$AA:$AA,0)+8)+INDEX(AK:AK,MATCH(AK232,$AA:$AA,0)+9)+INDEX(AK:AK,MATCH(AK232,$AA:$AA,0)+10))</f>
        <v>161</v>
      </c>
      <c r="AL236" s="378"/>
      <c r="AM236" s="377">
        <f>ABS(INDEX(AM:AM,MATCH(AM232,$AA:$AA,0)+8)+INDEX(AM:AM,MATCH(AM232,$AA:$AA,0)+9)+INDEX(AM:AM,MATCH(AM232,$AA:$AA,0)+10))</f>
        <v>155</v>
      </c>
      <c r="AN236" s="378"/>
      <c r="AO236" s="377">
        <f>ABS(INDEX(AO:AO,MATCH(AO232,$AA:$AA,0)+8)+INDEX(AO:AO,MATCH(AO232,$AA:$AA,0)+9)+INDEX(AO:AO,MATCH(AO232,$AA:$AA,0)+10))</f>
        <v>159</v>
      </c>
      <c r="AP236" s="378"/>
      <c r="AQ236" s="377">
        <f>ABS(INDEX(AQ:AQ,MATCH(AQ232,$AA:$AA,0)+8)+INDEX(AQ:AQ,MATCH(AQ232,$AA:$AA,0)+9)+INDEX(AQ:AQ,MATCH(AQ232,$AA:$AA,0)+10))</f>
        <v>161</v>
      </c>
      <c r="AR236" s="378"/>
      <c r="AS236" s="377">
        <f>ABS(INDEX(AS:AS,MATCH(AS232,$AA:$AA,0)+8)+INDEX(AS:AS,MATCH(AS232,$AA:$AA,0)+9)+INDEX(AS:AS,MATCH(AS232,$AA:$AA,0)+10))</f>
        <v>178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139</v>
      </c>
      <c r="E237" s="342" t="str">
        <f>IF(AD237=0,"",AD237)</f>
        <v/>
      </c>
      <c r="F237" s="342">
        <f>IF(AE237=301,"",AE237)</f>
        <v>169</v>
      </c>
      <c r="G237" s="342" t="str">
        <f>IF(AF237=0,"",AF237)</f>
        <v/>
      </c>
      <c r="H237" s="342">
        <f>IF(AG237=301,"",AG237)</f>
        <v>215</v>
      </c>
      <c r="I237" s="342" t="str">
        <f>IF(AH237=0,"",AH237)</f>
        <v/>
      </c>
      <c r="J237" s="342">
        <f>IF(AI237=301,"",AI237)</f>
        <v>190</v>
      </c>
      <c r="K237" s="342" t="str">
        <f>IF(AJ237=0,"",AJ237)</f>
        <v/>
      </c>
      <c r="L237" s="342">
        <f>IF(AK237=301,"",AK237)</f>
        <v>170</v>
      </c>
      <c r="M237" s="342" t="str">
        <f>IF(AL237=0,"",AL237)</f>
        <v/>
      </c>
      <c r="N237" s="342">
        <f>IF(AM237=301,"",AM237)</f>
        <v>221</v>
      </c>
      <c r="O237" s="342" t="str">
        <f>IF(AN237=0,"",AN237)</f>
        <v/>
      </c>
      <c r="P237" s="342">
        <f>IF(AO237=301,"",AO237)</f>
        <v>139</v>
      </c>
      <c r="Q237" s="342" t="str">
        <f>IF(AP237=0,"",AP237)</f>
        <v/>
      </c>
      <c r="R237" s="342">
        <f>IF(AQ237=301,"",AQ237)</f>
        <v>178</v>
      </c>
      <c r="S237" s="342" t="str">
        <f>IF(AR237=0,"",AR237)</f>
        <v/>
      </c>
      <c r="T237" s="342">
        <f>IF(AS237=301,"",AS237)</f>
        <v>167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139</v>
      </c>
      <c r="AD237" s="378"/>
      <c r="AE237" s="377">
        <f>ABS(INDEX(AE:AE,MATCH(AE232,$AA:$AA,0)+11)+INDEX(AE:AE,MATCH(AE232,$AA:$AA,0)+12)+INDEX(AE:AE,MATCH(AE232,$AA:$AA,0)+13))</f>
        <v>169</v>
      </c>
      <c r="AF237" s="378"/>
      <c r="AG237" s="377">
        <f>ABS(INDEX(AG:AG,MATCH(AG232,$AA:$AA,0)+11)+INDEX(AG:AG,MATCH(AG232,$AA:$AA,0)+12)+INDEX(AG:AG,MATCH(AG232,$AA:$AA,0)+13))</f>
        <v>215</v>
      </c>
      <c r="AH237" s="378"/>
      <c r="AI237" s="377">
        <f>ABS(INDEX(AI:AI,MATCH(AI232,$AA:$AA,0)+11)+INDEX(AI:AI,MATCH(AI232,$AA:$AA,0)+12)+INDEX(AI:AI,MATCH(AI232,$AA:$AA,0)+13))</f>
        <v>190</v>
      </c>
      <c r="AJ237" s="378"/>
      <c r="AK237" s="377">
        <f>ABS(INDEX(AK:AK,MATCH(AK232,$AA:$AA,0)+11)+INDEX(AK:AK,MATCH(AK232,$AA:$AA,0)+12)+INDEX(AK:AK,MATCH(AK232,$AA:$AA,0)+13))</f>
        <v>170</v>
      </c>
      <c r="AL237" s="378"/>
      <c r="AM237" s="377">
        <f>ABS(INDEX(AM:AM,MATCH(AM232,$AA:$AA,0)+11)+INDEX(AM:AM,MATCH(AM232,$AA:$AA,0)+12)+INDEX(AM:AM,MATCH(AM232,$AA:$AA,0)+13))</f>
        <v>221</v>
      </c>
      <c r="AN237" s="378"/>
      <c r="AO237" s="377">
        <f>ABS(INDEX(AO:AO,MATCH(AO232,$AA:$AA,0)+11)+INDEX(AO:AO,MATCH(AO232,$AA:$AA,0)+12)+INDEX(AO:AO,MATCH(AO232,$AA:$AA,0)+13))</f>
        <v>139</v>
      </c>
      <c r="AP237" s="378"/>
      <c r="AQ237" s="377">
        <f>ABS(INDEX(AQ:AQ,MATCH(AQ232,$AA:$AA,0)+11)+INDEX(AQ:AQ,MATCH(AQ232,$AA:$AA,0)+12)+INDEX(AQ:AQ,MATCH(AQ232,$AA:$AA,0)+13))</f>
        <v>178</v>
      </c>
      <c r="AR237" s="378"/>
      <c r="AS237" s="377">
        <f>ABS(INDEX(AS:AS,MATCH(AS232,$AA:$AA,0)+11)+INDEX(AS:AS,MATCH(AS232,$AA:$AA,0)+12)+INDEX(AS:AS,MATCH(AS232,$AA:$AA,0)+13))</f>
        <v>167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145</v>
      </c>
      <c r="E238" s="342" t="str">
        <f>IF(AD238=0,"",AD238)</f>
        <v/>
      </c>
      <c r="F238" s="342">
        <f>IF(AE238=301,"",AE238)</f>
        <v>203</v>
      </c>
      <c r="G238" s="342" t="str">
        <f>IF(AF238=0,"",AF238)</f>
        <v/>
      </c>
      <c r="H238" s="342">
        <f>IF(AG238=301,"",AG238)</f>
        <v>252</v>
      </c>
      <c r="I238" s="342" t="str">
        <f>IF(AH238=0,"",AH238)</f>
        <v/>
      </c>
      <c r="J238" s="342">
        <f>IF(AI238=301,"",AI238)</f>
        <v>181</v>
      </c>
      <c r="K238" s="342" t="str">
        <f>IF(AJ238=0,"",AJ238)</f>
        <v/>
      </c>
      <c r="L238" s="342">
        <f>IF(AK238=301,"",AK238)</f>
        <v>192</v>
      </c>
      <c r="M238" s="342" t="str">
        <f>IF(AL238=0,"",AL238)</f>
        <v/>
      </c>
      <c r="N238" s="342">
        <f>IF(AM238=301,"",AM238)</f>
        <v>211</v>
      </c>
      <c r="O238" s="342" t="str">
        <f>IF(AN238=0,"",AN238)</f>
        <v/>
      </c>
      <c r="P238" s="342">
        <f>IF(AO238=301,"",AO238)</f>
        <v>174</v>
      </c>
      <c r="Q238" s="342" t="str">
        <f>IF(AP238=0,"",AP238)</f>
        <v/>
      </c>
      <c r="R238" s="342">
        <f>IF(AQ238=301,"",AQ238)</f>
        <v>229</v>
      </c>
      <c r="S238" s="342" t="str">
        <f>IF(AR238=0,"",AR238)</f>
        <v/>
      </c>
      <c r="T238" s="342">
        <f>IF(AS238=301,"",AS238)</f>
        <v>177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145</v>
      </c>
      <c r="AD238" s="378"/>
      <c r="AE238" s="377">
        <f>ABS(INDEX(AE:AE,MATCH(AE232,$AA:$AA,0)+14)+INDEX(AE:AE,MATCH(AE232,$AA:$AA,0)+15)+INDEX(AE:AE,MATCH(AE232,$AA:$AA,0)+16))</f>
        <v>203</v>
      </c>
      <c r="AF238" s="378"/>
      <c r="AG238" s="377">
        <f>ABS(INDEX(AG:AG,MATCH(AG232,$AA:$AA,0)+14)+INDEX(AG:AG,MATCH(AG232,$AA:$AA,0)+15)+INDEX(AG:AG,MATCH(AG232,$AA:$AA,0)+16))</f>
        <v>252</v>
      </c>
      <c r="AH238" s="378"/>
      <c r="AI238" s="377">
        <f>ABS(INDEX(AI:AI,MATCH(AI232,$AA:$AA,0)+14)+INDEX(AI:AI,MATCH(AI232,$AA:$AA,0)+15)+INDEX(AI:AI,MATCH(AI232,$AA:$AA,0)+16))</f>
        <v>181</v>
      </c>
      <c r="AJ238" s="378"/>
      <c r="AK238" s="377">
        <f>ABS(INDEX(AK:AK,MATCH(AK232,$AA:$AA,0)+14)+INDEX(AK:AK,MATCH(AK232,$AA:$AA,0)+15)+INDEX(AK:AK,MATCH(AK232,$AA:$AA,0)+16))</f>
        <v>192</v>
      </c>
      <c r="AL238" s="378"/>
      <c r="AM238" s="377">
        <f>ABS(INDEX(AM:AM,MATCH(AM232,$AA:$AA,0)+14)+INDEX(AM:AM,MATCH(AM232,$AA:$AA,0)+15)+INDEX(AM:AM,MATCH(AM232,$AA:$AA,0)+16))</f>
        <v>211</v>
      </c>
      <c r="AN238" s="378"/>
      <c r="AO238" s="377">
        <f>ABS(INDEX(AO:AO,MATCH(AO232,$AA:$AA,0)+14)+INDEX(AO:AO,MATCH(AO232,$AA:$AA,0)+15)+INDEX(AO:AO,MATCH(AO232,$AA:$AA,0)+16))</f>
        <v>174</v>
      </c>
      <c r="AP238" s="378"/>
      <c r="AQ238" s="377">
        <f>ABS(INDEX(AQ:AQ,MATCH(AQ232,$AA:$AA,0)+14)+INDEX(AQ:AQ,MATCH(AQ232,$AA:$AA,0)+15)+INDEX(AQ:AQ,MATCH(AQ232,$AA:$AA,0)+16))</f>
        <v>229</v>
      </c>
      <c r="AR238" s="378"/>
      <c r="AS238" s="377">
        <f>ABS(INDEX(AS:AS,MATCH(AS232,$AA:$AA,0)+14)+INDEX(AS:AS,MATCH(AS232,$AA:$AA,0)+15)+INDEX(AS:AS,MATCH(AS232,$AA:$AA,0)+16))</f>
        <v>177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606</v>
      </c>
      <c r="E239" s="341" t="str">
        <f>IF(AD239=0,"",AD239)</f>
        <v/>
      </c>
      <c r="F239" s="341">
        <f>IF(AE239=1505,"",AE239)</f>
        <v>718</v>
      </c>
      <c r="G239" s="341" t="str">
        <f>IF(AF239=0,"",AF239)</f>
        <v/>
      </c>
      <c r="H239" s="341">
        <f>IF(AG239=1505,"",AG239)</f>
        <v>893</v>
      </c>
      <c r="I239" s="341" t="str">
        <f>IF(AH239=0,"",AH239)</f>
        <v/>
      </c>
      <c r="J239" s="341">
        <f>IF(AI239=1505,"",AI239)</f>
        <v>709</v>
      </c>
      <c r="K239" s="341" t="str">
        <f>IF(AJ239=0,"",AJ239)</f>
        <v/>
      </c>
      <c r="L239" s="341">
        <f>IF(AK239=1505,"",AK239)</f>
        <v>782</v>
      </c>
      <c r="M239" s="341" t="str">
        <f>IF(AL239=0,"",AL239)</f>
        <v/>
      </c>
      <c r="N239" s="341">
        <f>IF(AM239=1505,"",AM239)</f>
        <v>752</v>
      </c>
      <c r="O239" s="341" t="str">
        <f>IF(AN239=0,"",AN239)</f>
        <v/>
      </c>
      <c r="P239" s="341">
        <f>IF(AO239=1505,"",AO239)</f>
        <v>696</v>
      </c>
      <c r="Q239" s="341" t="str">
        <f>IF(AP239=0,"",AP239)</f>
        <v/>
      </c>
      <c r="R239" s="341">
        <f>IF(AQ239=1505,"",AQ239)</f>
        <v>743</v>
      </c>
      <c r="S239" s="341" t="str">
        <f>IF(AR239=0,"",AR239)</f>
        <v/>
      </c>
      <c r="T239" s="341">
        <f>IF(AS239=1505,"",AS239)</f>
        <v>713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606</v>
      </c>
      <c r="AD239" s="358"/>
      <c r="AE239" s="357">
        <f>SUM(AE235:AE238)</f>
        <v>718</v>
      </c>
      <c r="AF239" s="358"/>
      <c r="AG239" s="357">
        <f>SUM(AG235:AG238)</f>
        <v>893</v>
      </c>
      <c r="AH239" s="358"/>
      <c r="AI239" s="357">
        <f>SUM(AI235:AI238)</f>
        <v>709</v>
      </c>
      <c r="AJ239" s="358"/>
      <c r="AK239" s="357">
        <f>SUM(AK235:AK238)</f>
        <v>782</v>
      </c>
      <c r="AL239" s="358"/>
      <c r="AM239" s="357">
        <f>SUM(AM235:AM238)</f>
        <v>752</v>
      </c>
      <c r="AN239" s="358"/>
      <c r="AO239" s="357">
        <f>SUM(AO235:AO238)</f>
        <v>696</v>
      </c>
      <c r="AP239" s="358"/>
      <c r="AQ239" s="357">
        <f>SUM(AQ235:AQ238)</f>
        <v>743</v>
      </c>
      <c r="AR239" s="358"/>
      <c r="AS239" s="357">
        <f>SUM(AS235:AS238)</f>
        <v>713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01.02./02.02.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01.02./02.02.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51">
        <f>IF(AD247="","",AD247)</f>
        <v>0</v>
      </c>
      <c r="F247" s="75">
        <f t="shared" ref="F247:F260" si="273">IF(AE247=0,"",AE247)</f>
        <v>143</v>
      </c>
      <c r="G247" s="351">
        <f>IF(AF247="","",AF247)</f>
        <v>0</v>
      </c>
      <c r="H247" s="75" t="str">
        <f t="shared" ref="H247:H260" si="274">IF(AG247=0,"",AG247)</f>
        <v/>
      </c>
      <c r="I247" s="351">
        <f>IF(AH247="","",AH247)</f>
        <v>0</v>
      </c>
      <c r="J247" s="75" t="str">
        <f t="shared" ref="J247:J260" si="275">IF(AI247=0,"",AI247)</f>
        <v/>
      </c>
      <c r="K247" s="351">
        <f>IF(AJ247="","",AJ247)</f>
        <v>1</v>
      </c>
      <c r="L247" s="75" t="str">
        <f t="shared" ref="L247:L260" si="276">IF(AK247=0,"",AK247)</f>
        <v/>
      </c>
      <c r="M247" s="351">
        <f>IF(AL247="","",AL247)</f>
        <v>1</v>
      </c>
      <c r="N247" s="75" t="str">
        <f>IF(AM247=0,"",AM247)</f>
        <v/>
      </c>
      <c r="O247" s="351">
        <f>IF(AN247="","",AN247)</f>
        <v>1</v>
      </c>
      <c r="P247" s="75" t="str">
        <f t="shared" ref="P247:P260" si="277">IF(AO247=0,"",AO247)</f>
        <v/>
      </c>
      <c r="Q247" s="351">
        <f>IF(AP247="","",AP247)</f>
        <v>1</v>
      </c>
      <c r="R247" s="75" t="str">
        <f t="shared" ref="R247:R260" si="278">IF(AQ247=0,"",AQ247)</f>
        <v/>
      </c>
      <c r="S247" s="351">
        <f>IF(AR247="","",AR247)</f>
        <v>0</v>
      </c>
      <c r="T247" s="75" t="str">
        <f t="shared" ref="T247:T260" si="279">IF(AS247=0,"",AS247)</f>
        <v/>
      </c>
      <c r="U247" s="351">
        <f>IF(AT247="","",AT247)</f>
        <v>1</v>
      </c>
      <c r="V247" s="75">
        <f t="shared" ref="V247:V260" si="280">IF(AU247=0,"",AU247)</f>
        <v>297</v>
      </c>
      <c r="W247" s="351">
        <f>IF(AV247="","",AV247)</f>
        <v>5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52"/>
      <c r="F248" s="78" t="str">
        <f t="shared" si="273"/>
        <v/>
      </c>
      <c r="G248" s="352"/>
      <c r="H248" s="78">
        <f t="shared" si="274"/>
        <v>156</v>
      </c>
      <c r="I248" s="352"/>
      <c r="J248" s="78">
        <f t="shared" si="275"/>
        <v>188</v>
      </c>
      <c r="K248" s="352"/>
      <c r="L248" s="78">
        <f t="shared" si="276"/>
        <v>177</v>
      </c>
      <c r="M248" s="352"/>
      <c r="N248" s="78">
        <f t="shared" ref="N248:N260" si="293">IF(AM248=0,"",AM248)</f>
        <v>256</v>
      </c>
      <c r="O248" s="352"/>
      <c r="P248" s="78">
        <f t="shared" si="277"/>
        <v>190</v>
      </c>
      <c r="Q248" s="352"/>
      <c r="R248" s="78">
        <f t="shared" si="278"/>
        <v>222</v>
      </c>
      <c r="S248" s="352"/>
      <c r="T248" s="78">
        <f t="shared" si="279"/>
        <v>194</v>
      </c>
      <c r="U248" s="352"/>
      <c r="V248" s="78">
        <f t="shared" si="280"/>
        <v>1383</v>
      </c>
      <c r="W248" s="352"/>
      <c r="Z248" s="355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51">
        <f>IF(AD250="","",AD250)</f>
        <v>0</v>
      </c>
      <c r="F250" s="75">
        <f t="shared" si="273"/>
        <v>203</v>
      </c>
      <c r="G250" s="351">
        <f>IF(AF250="","",AF250)</f>
        <v>0</v>
      </c>
      <c r="H250" s="75">
        <f t="shared" si="274"/>
        <v>171</v>
      </c>
      <c r="I250" s="351">
        <f>IF(AH250="","",AH250)</f>
        <v>0</v>
      </c>
      <c r="J250" s="75">
        <f t="shared" si="275"/>
        <v>180</v>
      </c>
      <c r="K250" s="351">
        <f>IF(AJ250="","",AJ250)</f>
        <v>0</v>
      </c>
      <c r="L250" s="75">
        <f t="shared" si="276"/>
        <v>170</v>
      </c>
      <c r="M250" s="351">
        <f>IF(AL250="","",AL250)</f>
        <v>0</v>
      </c>
      <c r="N250" s="75">
        <f t="shared" si="293"/>
        <v>172</v>
      </c>
      <c r="O250" s="351">
        <f>IF(AN250="","",AN250)</f>
        <v>0</v>
      </c>
      <c r="P250" s="75">
        <f t="shared" si="277"/>
        <v>203</v>
      </c>
      <c r="Q250" s="351">
        <f>IF(AP250="","",AP250)</f>
        <v>0</v>
      </c>
      <c r="R250" s="75">
        <f t="shared" si="278"/>
        <v>166</v>
      </c>
      <c r="S250" s="351">
        <f>IF(AR250="","",AR250)</f>
        <v>1</v>
      </c>
      <c r="T250" s="75">
        <f t="shared" si="279"/>
        <v>157</v>
      </c>
      <c r="U250" s="351">
        <f>IF(AT250="","",AT250)</f>
        <v>0</v>
      </c>
      <c r="V250" s="75">
        <f t="shared" si="280"/>
        <v>1589</v>
      </c>
      <c r="W250" s="351">
        <f>IF(AV250="","",AV250)</f>
        <v>1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52"/>
      <c r="F251" s="78" t="str">
        <f t="shared" si="273"/>
        <v/>
      </c>
      <c r="G251" s="352"/>
      <c r="H251" s="78" t="str">
        <f t="shared" si="274"/>
        <v/>
      </c>
      <c r="I251" s="352"/>
      <c r="J251" s="78" t="str">
        <f t="shared" si="275"/>
        <v/>
      </c>
      <c r="K251" s="352"/>
      <c r="L251" s="78" t="str">
        <f t="shared" si="276"/>
        <v/>
      </c>
      <c r="M251" s="352"/>
      <c r="N251" s="78" t="str">
        <f t="shared" si="293"/>
        <v/>
      </c>
      <c r="O251" s="352"/>
      <c r="P251" s="78" t="str">
        <f t="shared" si="277"/>
        <v/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 t="str">
        <f t="shared" si="280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51">
        <f>IF(AD253="","",AD253)</f>
        <v>0</v>
      </c>
      <c r="F253" s="75" t="str">
        <f t="shared" si="273"/>
        <v/>
      </c>
      <c r="G253" s="351">
        <f>IF(AF253="","",AF253)</f>
        <v>0</v>
      </c>
      <c r="H253" s="75" t="str">
        <f t="shared" si="274"/>
        <v/>
      </c>
      <c r="I253" s="351">
        <f>IF(AH253="","",AH253)</f>
        <v>0</v>
      </c>
      <c r="J253" s="75" t="str">
        <f t="shared" si="275"/>
        <v/>
      </c>
      <c r="K253" s="351">
        <f>IF(AJ253="","",AJ253)</f>
        <v>0</v>
      </c>
      <c r="L253" s="75" t="str">
        <f t="shared" si="276"/>
        <v/>
      </c>
      <c r="M253" s="351">
        <f>IF(AL253="","",AL253)</f>
        <v>1</v>
      </c>
      <c r="N253" s="75" t="str">
        <f t="shared" si="293"/>
        <v/>
      </c>
      <c r="O253" s="351">
        <f>IF(AN253="","",AN253)</f>
        <v>0</v>
      </c>
      <c r="P253" s="75" t="str">
        <f t="shared" si="277"/>
        <v/>
      </c>
      <c r="Q253" s="351">
        <f>IF(AP253="","",AP253)</f>
        <v>1</v>
      </c>
      <c r="R253" s="75" t="str">
        <f t="shared" si="278"/>
        <v/>
      </c>
      <c r="S253" s="351">
        <f>IF(AR253="","",AR253)</f>
        <v>1</v>
      </c>
      <c r="T253" s="75" t="str">
        <f t="shared" si="279"/>
        <v/>
      </c>
      <c r="U253" s="351">
        <f>IF(AT253="","",AT253)</f>
        <v>0</v>
      </c>
      <c r="V253" s="75">
        <f t="shared" si="280"/>
        <v>129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52"/>
      <c r="F254" s="78">
        <f t="shared" si="273"/>
        <v>169</v>
      </c>
      <c r="G254" s="352"/>
      <c r="H254" s="78">
        <f t="shared" si="274"/>
        <v>178</v>
      </c>
      <c r="I254" s="352"/>
      <c r="J254" s="78">
        <f t="shared" si="275"/>
        <v>193</v>
      </c>
      <c r="K254" s="352"/>
      <c r="L254" s="78">
        <f t="shared" si="276"/>
        <v>217</v>
      </c>
      <c r="M254" s="352"/>
      <c r="N254" s="78">
        <f t="shared" si="293"/>
        <v>189</v>
      </c>
      <c r="O254" s="352"/>
      <c r="P254" s="78">
        <f t="shared" si="277"/>
        <v>199</v>
      </c>
      <c r="Q254" s="352"/>
      <c r="R254" s="78">
        <f t="shared" si="278"/>
        <v>234</v>
      </c>
      <c r="S254" s="352"/>
      <c r="T254" s="78">
        <f t="shared" si="279"/>
        <v>160</v>
      </c>
      <c r="U254" s="352"/>
      <c r="V254" s="78">
        <f t="shared" si="280"/>
        <v>1539</v>
      </c>
      <c r="W254" s="352"/>
      <c r="Z254" s="355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51">
        <f>IF(AD256="","",AD256)</f>
        <v>1</v>
      </c>
      <c r="F256" s="75">
        <f t="shared" si="273"/>
        <v>203</v>
      </c>
      <c r="G256" s="351">
        <f>IF(AF256="","",AF256)</f>
        <v>1</v>
      </c>
      <c r="H256" s="75">
        <f t="shared" si="274"/>
        <v>187</v>
      </c>
      <c r="I256" s="351">
        <f>IF(AH256="","",AH256)</f>
        <v>1</v>
      </c>
      <c r="J256" s="75">
        <f t="shared" si="275"/>
        <v>216</v>
      </c>
      <c r="K256" s="351">
        <f>IF(AJ256="","",AJ256)</f>
        <v>1</v>
      </c>
      <c r="L256" s="75">
        <f t="shared" si="276"/>
        <v>217</v>
      </c>
      <c r="M256" s="351">
        <f>IF(AL256="","",AL256)</f>
        <v>0</v>
      </c>
      <c r="N256" s="75">
        <f t="shared" si="293"/>
        <v>236</v>
      </c>
      <c r="O256" s="351">
        <f>IF(AN256="","",AN256)</f>
        <v>1</v>
      </c>
      <c r="P256" s="75">
        <f t="shared" si="277"/>
        <v>236</v>
      </c>
      <c r="Q256" s="351">
        <f>IF(AP256="","",AP256)</f>
        <v>1</v>
      </c>
      <c r="R256" s="75">
        <f t="shared" si="278"/>
        <v>188</v>
      </c>
      <c r="S256" s="351">
        <f>IF(AR256="","",AR256)</f>
        <v>0</v>
      </c>
      <c r="T256" s="75">
        <f t="shared" si="279"/>
        <v>200</v>
      </c>
      <c r="U256" s="351">
        <f>IF(AT256="","",AT256)</f>
        <v>1</v>
      </c>
      <c r="V256" s="75">
        <f t="shared" si="280"/>
        <v>1905</v>
      </c>
      <c r="W256" s="351">
        <f>IF(AV256="","",AV256)</f>
        <v>7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7</v>
      </c>
      <c r="E262" s="349" t="str">
        <f t="shared" si="304"/>
        <v/>
      </c>
      <c r="F262" s="349">
        <f t="shared" si="304"/>
        <v>8</v>
      </c>
      <c r="G262" s="349" t="str">
        <f t="shared" si="304"/>
        <v/>
      </c>
      <c r="H262" s="349">
        <f t="shared" si="304"/>
        <v>4</v>
      </c>
      <c r="I262" s="349" t="str">
        <f t="shared" si="304"/>
        <v/>
      </c>
      <c r="J262" s="349">
        <f t="shared" si="304"/>
        <v>5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10</v>
      </c>
      <c r="O262" s="349" t="str">
        <f t="shared" si="305"/>
        <v/>
      </c>
      <c r="P262" s="349">
        <f t="shared" si="305"/>
        <v>2</v>
      </c>
      <c r="Q262" s="349" t="str">
        <f t="shared" si="305"/>
        <v/>
      </c>
      <c r="R262" s="349">
        <f t="shared" si="305"/>
        <v>1</v>
      </c>
      <c r="S262" s="349" t="str">
        <f t="shared" si="305"/>
        <v/>
      </c>
      <c r="T262" s="349">
        <f t="shared" si="305"/>
        <v>6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VLOOKUP($AA242,Schlüssel!$A$5:$DG$14,43)</f>
        <v>7</v>
      </c>
      <c r="AD262" s="374"/>
      <c r="AE262" s="373">
        <f>VLOOKUP($AA242,Schlüssel!$A$5:$EK$14,44)</f>
        <v>8</v>
      </c>
      <c r="AF262" s="374"/>
      <c r="AG262" s="373">
        <f>VLOOKUP($AA242,Schlüssel!$A$5:$EK$14,45)</f>
        <v>4</v>
      </c>
      <c r="AH262" s="374"/>
      <c r="AI262" s="373">
        <f>VLOOKUP($AA242,Schlüssel!$A$5:$EK$14,46)</f>
        <v>5</v>
      </c>
      <c r="AJ262" s="374"/>
      <c r="AK262" s="373">
        <f>VLOOKUP($AA242,Schlüssel!$A$5:$EK$14,47)</f>
        <v>3</v>
      </c>
      <c r="AL262" s="374"/>
      <c r="AM262" s="373">
        <f>VLOOKUP($AA242,Schlüssel!$A$5:$EK$14,48)</f>
        <v>10</v>
      </c>
      <c r="AN262" s="374"/>
      <c r="AO262" s="373">
        <f>VLOOKUP($AA242,Schlüssel!$A$5:$EK$14,49)</f>
        <v>2</v>
      </c>
      <c r="AP262" s="374"/>
      <c r="AQ262" s="373">
        <f>VLOOKUP($AA242,Schlüssel!$A$5:$EK$14,50)</f>
        <v>1</v>
      </c>
      <c r="AR262" s="374"/>
      <c r="AS262" s="373">
        <f>VLOOKUP($AA242,Schlüssel!$A$5:$EK$14,51)</f>
        <v>6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Schanzer Ingolstadt 1</v>
      </c>
      <c r="E263" s="347" t="str">
        <f t="shared" si="304"/>
        <v/>
      </c>
      <c r="F263" s="346" t="str">
        <f t="shared" si="304"/>
        <v>BC EMAX Unterföhring 2</v>
      </c>
      <c r="G263" s="347" t="str">
        <f t="shared" si="304"/>
        <v/>
      </c>
      <c r="H263" s="346" t="str">
        <f t="shared" si="304"/>
        <v>SG DJK Rimpar</v>
      </c>
      <c r="I263" s="347" t="str">
        <f t="shared" si="304"/>
        <v/>
      </c>
      <c r="J263" s="346" t="str">
        <f t="shared" si="304"/>
        <v>RW Lichtenhof Stein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High Roller Rosenheim 1</v>
      </c>
      <c r="O263" s="347" t="str">
        <f t="shared" si="305"/>
        <v/>
      </c>
      <c r="P263" s="346" t="str">
        <f t="shared" si="305"/>
        <v>Bajuwaren München 1</v>
      </c>
      <c r="Q263" s="347" t="str">
        <f t="shared" si="305"/>
        <v/>
      </c>
      <c r="R263" s="346" t="str">
        <f t="shared" si="305"/>
        <v>BC Comet Nürnberg</v>
      </c>
      <c r="S263" s="347" t="str">
        <f t="shared" si="305"/>
        <v/>
      </c>
      <c r="T263" s="346" t="str">
        <f t="shared" si="305"/>
        <v>SG Rottendorf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Schanzer Ingolstadt 1</v>
      </c>
      <c r="AD263" s="347"/>
      <c r="AE263" s="346" t="str">
        <f>VLOOKUP(AE262,Schlüssel!$A$5:$K$14,2)</f>
        <v>BC EMAX Unterföhring 2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RW Lichtenhof Stein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Bajuwaren München 1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SG Rottendorf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190</v>
      </c>
      <c r="E265" s="342" t="str">
        <f>IF(AD265=0,"",AD265)</f>
        <v/>
      </c>
      <c r="F265" s="342">
        <f>IF(AE265=301,"",AE265)</f>
        <v>172</v>
      </c>
      <c r="G265" s="342" t="str">
        <f>IF(AF265=0,"",AF265)</f>
        <v/>
      </c>
      <c r="H265" s="342">
        <f>IF(AG265=301,"",AG265)</f>
        <v>192</v>
      </c>
      <c r="I265" s="342" t="str">
        <f>IF(AH265=0,"",AH265)</f>
        <v/>
      </c>
      <c r="J265" s="342">
        <f>IF(AI265=301,"",AI265)</f>
        <v>167</v>
      </c>
      <c r="K265" s="342" t="str">
        <f>IF(AJ265=0,"",AJ265)</f>
        <v/>
      </c>
      <c r="L265" s="342">
        <f>IF(AK265=301,"",AK265)</f>
        <v>119</v>
      </c>
      <c r="M265" s="342" t="str">
        <f>IF(AL265=0,"",AL265)</f>
        <v/>
      </c>
      <c r="N265" s="342">
        <f>IF(AM265=301,"",AM265)</f>
        <v>157</v>
      </c>
      <c r="O265" s="342" t="str">
        <f>IF(AN265=0,"",AN265)</f>
        <v/>
      </c>
      <c r="P265" s="342">
        <f>IF(AO265=301,"",AO265)</f>
        <v>186</v>
      </c>
      <c r="Q265" s="342" t="str">
        <f>IF(AP265=0,"",AP265)</f>
        <v/>
      </c>
      <c r="R265" s="342">
        <f>IF(AQ265=301,"",AQ265)</f>
        <v>226</v>
      </c>
      <c r="S265" s="342" t="str">
        <f>IF(AR265=0,"",AR265)</f>
        <v/>
      </c>
      <c r="T265" s="342">
        <f>IF(AS265=301,"",AS265)</f>
        <v>190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190</v>
      </c>
      <c r="AD265" s="376"/>
      <c r="AE265" s="375">
        <f>ABS(INDEX(AE:AE,MATCH(AE262,$AA:$AA,0)+5)+INDEX(AE:AE,MATCH(AE262,$AA:$AA,0)+6)+INDEX(AE:AE,MATCH(AE262,$AA:$AA,0)+7))</f>
        <v>172</v>
      </c>
      <c r="AF265" s="376"/>
      <c r="AG265" s="375">
        <f>ABS(INDEX(AG:AG,MATCH(AG262,$AA:$AA,0)+5)+INDEX(AG:AG,MATCH(AG262,$AA:$AA,0)+6)+INDEX(AG:AG,MATCH(AG262,$AA:$AA,0)+7))</f>
        <v>192</v>
      </c>
      <c r="AH265" s="376"/>
      <c r="AI265" s="375">
        <f>ABS(INDEX(AI:AI,MATCH(AI262,$AA:$AA,0)+5)+INDEX(AI:AI,MATCH(AI262,$AA:$AA,0)+6)+INDEX(AI:AI,MATCH(AI262,$AA:$AA,0)+7))</f>
        <v>167</v>
      </c>
      <c r="AJ265" s="376"/>
      <c r="AK265" s="375">
        <f>ABS(INDEX(AK:AK,MATCH(AK262,$AA:$AA,0)+5)+INDEX(AK:AK,MATCH(AK262,$AA:$AA,0)+6)+INDEX(AK:AK,MATCH(AK262,$AA:$AA,0)+7))</f>
        <v>119</v>
      </c>
      <c r="AL265" s="376"/>
      <c r="AM265" s="375">
        <f>ABS(INDEX(AM:AM,MATCH(AM262,$AA:$AA,0)+5)+INDEX(AM:AM,MATCH(AM262,$AA:$AA,0)+6)+INDEX(AM:AM,MATCH(AM262,$AA:$AA,0)+7))</f>
        <v>157</v>
      </c>
      <c r="AN265" s="376"/>
      <c r="AO265" s="375">
        <f>ABS(INDEX(AO:AO,MATCH(AO262,$AA:$AA,0)+5)+INDEX(AO:AO,MATCH(AO262,$AA:$AA,0)+6)+INDEX(AO:AO,MATCH(AO262,$AA:$AA,0)+7))</f>
        <v>186</v>
      </c>
      <c r="AP265" s="376"/>
      <c r="AQ265" s="375">
        <f>ABS(INDEX(AQ:AQ,MATCH(AQ262,$AA:$AA,0)+5)+INDEX(AQ:AQ,MATCH(AQ262,$AA:$AA,0)+6)+INDEX(AQ:AQ,MATCH(AQ262,$AA:$AA,0)+7))</f>
        <v>226</v>
      </c>
      <c r="AR265" s="376"/>
      <c r="AS265" s="375">
        <f>ABS(INDEX(AS:AS,MATCH(AS262,$AA:$AA,0)+5)+INDEX(AS:AS,MATCH(AS262,$AA:$AA,0)+6)+INDEX(AS:AS,MATCH(AS262,$AA:$AA,0)+7))</f>
        <v>190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201</v>
      </c>
      <c r="E266" s="342" t="str">
        <f>IF(AD266=0,"",AD266)</f>
        <v/>
      </c>
      <c r="F266" s="342">
        <f>IF(AE266=301,"",AE266)</f>
        <v>213</v>
      </c>
      <c r="G266" s="342" t="str">
        <f>IF(AF266=0,"",AF266)</f>
        <v/>
      </c>
      <c r="H266" s="342">
        <f>IF(AG266=301,"",AG266)</f>
        <v>255</v>
      </c>
      <c r="I266" s="342" t="str">
        <f>IF(AH266=0,"",AH266)</f>
        <v/>
      </c>
      <c r="J266" s="342">
        <f>IF(AI266=301,"",AI266)</f>
        <v>182</v>
      </c>
      <c r="K266" s="342" t="str">
        <f>IF(AJ266=0,"",AJ266)</f>
        <v/>
      </c>
      <c r="L266" s="342">
        <f>IF(AK266=301,"",AK266)</f>
        <v>202</v>
      </c>
      <c r="M266" s="342" t="str">
        <f>IF(AL266=0,"",AL266)</f>
        <v/>
      </c>
      <c r="N266" s="342">
        <f>IF(AM266=301,"",AM266)</f>
        <v>211</v>
      </c>
      <c r="O266" s="342" t="str">
        <f>IF(AN266=0,"",AN266)</f>
        <v/>
      </c>
      <c r="P266" s="342">
        <f>IF(AO266=301,"",AO266)</f>
        <v>238</v>
      </c>
      <c r="Q266" s="342" t="str">
        <f>IF(AP266=0,"",AP266)</f>
        <v/>
      </c>
      <c r="R266" s="342">
        <f>IF(AQ266=301,"",AQ266)</f>
        <v>160</v>
      </c>
      <c r="S266" s="342" t="str">
        <f>IF(AR266=0,"",AR266)</f>
        <v/>
      </c>
      <c r="T266" s="342">
        <f>IF(AS266=301,"",AS266)</f>
        <v>210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201</v>
      </c>
      <c r="AD266" s="378"/>
      <c r="AE266" s="377">
        <f>ABS(INDEX(AE:AE,MATCH(AE262,$AA:$AA,0)+8)+INDEX(AE:AE,MATCH(AE262,$AA:$AA,0)+9)+INDEX(AE:AE,MATCH(AE262,$AA:$AA,0)+10))</f>
        <v>213</v>
      </c>
      <c r="AF266" s="378"/>
      <c r="AG266" s="377">
        <f>ABS(INDEX(AG:AG,MATCH(AG262,$AA:$AA,0)+8)+INDEX(AG:AG,MATCH(AG262,$AA:$AA,0)+9)+INDEX(AG:AG,MATCH(AG262,$AA:$AA,0)+10))</f>
        <v>255</v>
      </c>
      <c r="AH266" s="378"/>
      <c r="AI266" s="377">
        <f>ABS(INDEX(AI:AI,MATCH(AI262,$AA:$AA,0)+8)+INDEX(AI:AI,MATCH(AI262,$AA:$AA,0)+9)+INDEX(AI:AI,MATCH(AI262,$AA:$AA,0)+10))</f>
        <v>182</v>
      </c>
      <c r="AJ266" s="378"/>
      <c r="AK266" s="377">
        <f>ABS(INDEX(AK:AK,MATCH(AK262,$AA:$AA,0)+8)+INDEX(AK:AK,MATCH(AK262,$AA:$AA,0)+9)+INDEX(AK:AK,MATCH(AK262,$AA:$AA,0)+10))</f>
        <v>202</v>
      </c>
      <c r="AL266" s="378"/>
      <c r="AM266" s="377">
        <f>ABS(INDEX(AM:AM,MATCH(AM262,$AA:$AA,0)+8)+INDEX(AM:AM,MATCH(AM262,$AA:$AA,0)+9)+INDEX(AM:AM,MATCH(AM262,$AA:$AA,0)+10))</f>
        <v>211</v>
      </c>
      <c r="AN266" s="378"/>
      <c r="AO266" s="377">
        <f>ABS(INDEX(AO:AO,MATCH(AO262,$AA:$AA,0)+8)+INDEX(AO:AO,MATCH(AO262,$AA:$AA,0)+9)+INDEX(AO:AO,MATCH(AO262,$AA:$AA,0)+10))</f>
        <v>238</v>
      </c>
      <c r="AP266" s="378"/>
      <c r="AQ266" s="377">
        <f>ABS(INDEX(AQ:AQ,MATCH(AQ262,$AA:$AA,0)+8)+INDEX(AQ:AQ,MATCH(AQ262,$AA:$AA,0)+9)+INDEX(AQ:AQ,MATCH(AQ262,$AA:$AA,0)+10))</f>
        <v>160</v>
      </c>
      <c r="AR266" s="378"/>
      <c r="AS266" s="377">
        <f>ABS(INDEX(AS:AS,MATCH(AS262,$AA:$AA,0)+8)+INDEX(AS:AS,MATCH(AS262,$AA:$AA,0)+9)+INDEX(AS:AS,MATCH(AS262,$AA:$AA,0)+10))</f>
        <v>210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138</v>
      </c>
      <c r="E267" s="342" t="str">
        <f>IF(AD267=0,"",AD267)</f>
        <v/>
      </c>
      <c r="F267" s="342">
        <f>IF(AE267=301,"",AE267)</f>
        <v>226</v>
      </c>
      <c r="G267" s="342" t="str">
        <f>IF(AF267=0,"",AF267)</f>
        <v/>
      </c>
      <c r="H267" s="342">
        <f>IF(AG267=301,"",AG267)</f>
        <v>192</v>
      </c>
      <c r="I267" s="342" t="str">
        <f>IF(AH267=0,"",AH267)</f>
        <v/>
      </c>
      <c r="J267" s="342">
        <f>IF(AI267=301,"",AI267)</f>
        <v>196</v>
      </c>
      <c r="K267" s="342" t="str">
        <f>IF(AJ267=0,"",AJ267)</f>
        <v/>
      </c>
      <c r="L267" s="342">
        <f>IF(AK267=301,"",AK267)</f>
        <v>166</v>
      </c>
      <c r="M267" s="342" t="str">
        <f>IF(AL267=0,"",AL267)</f>
        <v/>
      </c>
      <c r="N267" s="342">
        <f>IF(AM267=301,"",AM267)</f>
        <v>197</v>
      </c>
      <c r="O267" s="342" t="str">
        <f>IF(AN267=0,"",AN267)</f>
        <v/>
      </c>
      <c r="P267" s="342">
        <f>IF(AO267=301,"",AO267)</f>
        <v>186</v>
      </c>
      <c r="Q267" s="342" t="str">
        <f>IF(AP267=0,"",AP267)</f>
        <v/>
      </c>
      <c r="R267" s="342">
        <f>IF(AQ267=301,"",AQ267)</f>
        <v>196</v>
      </c>
      <c r="S267" s="342" t="str">
        <f>IF(AR267=0,"",AR267)</f>
        <v/>
      </c>
      <c r="T267" s="342">
        <f>IF(AS267=301,"",AS267)</f>
        <v>190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138</v>
      </c>
      <c r="AD267" s="378"/>
      <c r="AE267" s="377">
        <f>ABS(INDEX(AE:AE,MATCH(AE262,$AA:$AA,0)+11)+INDEX(AE:AE,MATCH(AE262,$AA:$AA,0)+12)+INDEX(AE:AE,MATCH(AE262,$AA:$AA,0)+13))</f>
        <v>226</v>
      </c>
      <c r="AF267" s="378"/>
      <c r="AG267" s="377">
        <f>ABS(INDEX(AG:AG,MATCH(AG262,$AA:$AA,0)+11)+INDEX(AG:AG,MATCH(AG262,$AA:$AA,0)+12)+INDEX(AG:AG,MATCH(AG262,$AA:$AA,0)+13))</f>
        <v>192</v>
      </c>
      <c r="AH267" s="378"/>
      <c r="AI267" s="377">
        <f>ABS(INDEX(AI:AI,MATCH(AI262,$AA:$AA,0)+11)+INDEX(AI:AI,MATCH(AI262,$AA:$AA,0)+12)+INDEX(AI:AI,MATCH(AI262,$AA:$AA,0)+13))</f>
        <v>196</v>
      </c>
      <c r="AJ267" s="378"/>
      <c r="AK267" s="377">
        <f>ABS(INDEX(AK:AK,MATCH(AK262,$AA:$AA,0)+11)+INDEX(AK:AK,MATCH(AK262,$AA:$AA,0)+12)+INDEX(AK:AK,MATCH(AK262,$AA:$AA,0)+13))</f>
        <v>166</v>
      </c>
      <c r="AL267" s="378"/>
      <c r="AM267" s="377">
        <f>ABS(INDEX(AM:AM,MATCH(AM262,$AA:$AA,0)+11)+INDEX(AM:AM,MATCH(AM262,$AA:$AA,0)+12)+INDEX(AM:AM,MATCH(AM262,$AA:$AA,0)+13))</f>
        <v>197</v>
      </c>
      <c r="AN267" s="378"/>
      <c r="AO267" s="377">
        <f>ABS(INDEX(AO:AO,MATCH(AO262,$AA:$AA,0)+11)+INDEX(AO:AO,MATCH(AO262,$AA:$AA,0)+12)+INDEX(AO:AO,MATCH(AO262,$AA:$AA,0)+13))</f>
        <v>186</v>
      </c>
      <c r="AP267" s="378"/>
      <c r="AQ267" s="377">
        <f>ABS(INDEX(AQ:AQ,MATCH(AQ262,$AA:$AA,0)+11)+INDEX(AQ:AQ,MATCH(AQ262,$AA:$AA,0)+12)+INDEX(AQ:AQ,MATCH(AQ262,$AA:$AA,0)+13))</f>
        <v>196</v>
      </c>
      <c r="AR267" s="378"/>
      <c r="AS267" s="377">
        <f>ABS(INDEX(AS:AS,MATCH(AS262,$AA:$AA,0)+11)+INDEX(AS:AS,MATCH(AS262,$AA:$AA,0)+12)+INDEX(AS:AS,MATCH(AS262,$AA:$AA,0)+13))</f>
        <v>190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147</v>
      </c>
      <c r="E268" s="342" t="str">
        <f>IF(AD268=0,"",AD268)</f>
        <v/>
      </c>
      <c r="F268" s="342">
        <f>IF(AE268=301,"",AE268)</f>
        <v>199</v>
      </c>
      <c r="G268" s="342" t="str">
        <f>IF(AF268=0,"",AF268)</f>
        <v/>
      </c>
      <c r="H268" s="342">
        <f>IF(AG268=301,"",AG268)</f>
        <v>176</v>
      </c>
      <c r="I268" s="342" t="str">
        <f>IF(AH268=0,"",AH268)</f>
        <v/>
      </c>
      <c r="J268" s="342">
        <f>IF(AI268=301,"",AI268)</f>
        <v>174</v>
      </c>
      <c r="K268" s="342" t="str">
        <f>IF(AJ268=0,"",AJ268)</f>
        <v/>
      </c>
      <c r="L268" s="342">
        <f>IF(AK268=301,"",AK268)</f>
        <v>233</v>
      </c>
      <c r="M268" s="342" t="str">
        <f>IF(AL268=0,"",AL268)</f>
        <v/>
      </c>
      <c r="N268" s="342">
        <f>IF(AM268=301,"",AM268)</f>
        <v>185</v>
      </c>
      <c r="O268" s="342" t="str">
        <f>IF(AN268=0,"",AN268)</f>
        <v/>
      </c>
      <c r="P268" s="342">
        <f>IF(AO268=301,"",AO268)</f>
        <v>160</v>
      </c>
      <c r="Q268" s="342" t="str">
        <f>IF(AP268=0,"",AP268)</f>
        <v/>
      </c>
      <c r="R268" s="342">
        <f>IF(AQ268=301,"",AQ268)</f>
        <v>206</v>
      </c>
      <c r="S268" s="342" t="str">
        <f>IF(AR268=0,"",AR268)</f>
        <v/>
      </c>
      <c r="T268" s="342">
        <f>IF(AS268=301,"",AS268)</f>
        <v>172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147</v>
      </c>
      <c r="AD268" s="378"/>
      <c r="AE268" s="377">
        <f>ABS(INDEX(AE:AE,MATCH(AE262,$AA:$AA,0)+14)+INDEX(AE:AE,MATCH(AE262,$AA:$AA,0)+15)+INDEX(AE:AE,MATCH(AE262,$AA:$AA,0)+16))</f>
        <v>199</v>
      </c>
      <c r="AF268" s="378"/>
      <c r="AG268" s="377">
        <f>ABS(INDEX(AG:AG,MATCH(AG262,$AA:$AA,0)+14)+INDEX(AG:AG,MATCH(AG262,$AA:$AA,0)+15)+INDEX(AG:AG,MATCH(AG262,$AA:$AA,0)+16))</f>
        <v>176</v>
      </c>
      <c r="AH268" s="378"/>
      <c r="AI268" s="377">
        <f>ABS(INDEX(AI:AI,MATCH(AI262,$AA:$AA,0)+14)+INDEX(AI:AI,MATCH(AI262,$AA:$AA,0)+15)+INDEX(AI:AI,MATCH(AI262,$AA:$AA,0)+16))</f>
        <v>174</v>
      </c>
      <c r="AJ268" s="378"/>
      <c r="AK268" s="377">
        <f>ABS(INDEX(AK:AK,MATCH(AK262,$AA:$AA,0)+14)+INDEX(AK:AK,MATCH(AK262,$AA:$AA,0)+15)+INDEX(AK:AK,MATCH(AK262,$AA:$AA,0)+16))</f>
        <v>233</v>
      </c>
      <c r="AL268" s="378"/>
      <c r="AM268" s="377">
        <f>ABS(INDEX(AM:AM,MATCH(AM262,$AA:$AA,0)+14)+INDEX(AM:AM,MATCH(AM262,$AA:$AA,0)+15)+INDEX(AM:AM,MATCH(AM262,$AA:$AA,0)+16))</f>
        <v>185</v>
      </c>
      <c r="AN268" s="378"/>
      <c r="AO268" s="377">
        <f>ABS(INDEX(AO:AO,MATCH(AO262,$AA:$AA,0)+14)+INDEX(AO:AO,MATCH(AO262,$AA:$AA,0)+15)+INDEX(AO:AO,MATCH(AO262,$AA:$AA,0)+16))</f>
        <v>160</v>
      </c>
      <c r="AP268" s="378"/>
      <c r="AQ268" s="377">
        <f>ABS(INDEX(AQ:AQ,MATCH(AQ262,$AA:$AA,0)+14)+INDEX(AQ:AQ,MATCH(AQ262,$AA:$AA,0)+15)+INDEX(AQ:AQ,MATCH(AQ262,$AA:$AA,0)+16))</f>
        <v>206</v>
      </c>
      <c r="AR268" s="378"/>
      <c r="AS268" s="377">
        <f>ABS(INDEX(AS:AS,MATCH(AS262,$AA:$AA,0)+14)+INDEX(AS:AS,MATCH(AS262,$AA:$AA,0)+15)+INDEX(AS:AS,MATCH(AS262,$AA:$AA,0)+16))</f>
        <v>172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676</v>
      </c>
      <c r="E269" s="341" t="str">
        <f>IF(AD269=0,"",AD269)</f>
        <v/>
      </c>
      <c r="F269" s="341">
        <f>IF(AE269=1505,"",AE269)</f>
        <v>810</v>
      </c>
      <c r="G269" s="341" t="str">
        <f>IF(AF269=0,"",AF269)</f>
        <v/>
      </c>
      <c r="H269" s="341">
        <f>IF(AG269=1505,"",AG269)</f>
        <v>815</v>
      </c>
      <c r="I269" s="341" t="str">
        <f>IF(AH269=0,"",AH269)</f>
        <v/>
      </c>
      <c r="J269" s="341">
        <f>IF(AI269=1505,"",AI269)</f>
        <v>719</v>
      </c>
      <c r="K269" s="341" t="str">
        <f>IF(AJ269=0,"",AJ269)</f>
        <v/>
      </c>
      <c r="L269" s="341">
        <f>IF(AK269=1505,"",AK269)</f>
        <v>720</v>
      </c>
      <c r="M269" s="341" t="str">
        <f>IF(AL269=0,"",AL269)</f>
        <v/>
      </c>
      <c r="N269" s="341">
        <f>IF(AM269=1505,"",AM269)</f>
        <v>750</v>
      </c>
      <c r="O269" s="341" t="str">
        <f>IF(AN269=0,"",AN269)</f>
        <v/>
      </c>
      <c r="P269" s="341">
        <f>IF(AO269=1505,"",AO269)</f>
        <v>770</v>
      </c>
      <c r="Q269" s="341" t="str">
        <f>IF(AP269=0,"",AP269)</f>
        <v/>
      </c>
      <c r="R269" s="341">
        <f>IF(AQ269=1505,"",AQ269)</f>
        <v>788</v>
      </c>
      <c r="S269" s="341" t="str">
        <f>IF(AR269=0,"",AR269)</f>
        <v/>
      </c>
      <c r="T269" s="341">
        <f>IF(AS269=1505,"",AS269)</f>
        <v>762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676</v>
      </c>
      <c r="AD269" s="358"/>
      <c r="AE269" s="357">
        <f>SUM(AE265:AE268)</f>
        <v>810</v>
      </c>
      <c r="AF269" s="358"/>
      <c r="AG269" s="357">
        <f>SUM(AG265:AG268)</f>
        <v>815</v>
      </c>
      <c r="AH269" s="358"/>
      <c r="AI269" s="357">
        <f>SUM(AI265:AI268)</f>
        <v>719</v>
      </c>
      <c r="AJ269" s="358"/>
      <c r="AK269" s="357">
        <f>SUM(AK265:AK268)</f>
        <v>720</v>
      </c>
      <c r="AL269" s="358"/>
      <c r="AM269" s="357">
        <f>SUM(AM265:AM268)</f>
        <v>750</v>
      </c>
      <c r="AN269" s="358"/>
      <c r="AO269" s="357">
        <f>SUM(AO265:AO268)</f>
        <v>770</v>
      </c>
      <c r="AP269" s="358"/>
      <c r="AQ269" s="357">
        <f>SUM(AQ265:AQ268)</f>
        <v>788</v>
      </c>
      <c r="AR269" s="358"/>
      <c r="AS269" s="357">
        <f>SUM(AS265:AS268)</f>
        <v>762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01.02./02.02.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01.02./02.02.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51">
        <f>IF(AD277="","",AD277)</f>
        <v>0</v>
      </c>
      <c r="F277" s="75">
        <f t="shared" ref="F277:F290" si="307">IF(AE277=0,"",AE277)</f>
        <v>163</v>
      </c>
      <c r="G277" s="351">
        <f>IF(AF277="","",AF277)</f>
        <v>0</v>
      </c>
      <c r="H277" s="75">
        <f t="shared" ref="H277:H290" si="308">IF(AG277=0,"",AG277)</f>
        <v>231</v>
      </c>
      <c r="I277" s="351">
        <f>IF(AH277="","",AH277)</f>
        <v>1</v>
      </c>
      <c r="J277" s="75">
        <f t="shared" ref="J277:J290" si="309">IF(AI277=0,"",AI277)</f>
        <v>183</v>
      </c>
      <c r="K277" s="351">
        <f>IF(AJ277="","",AJ277)</f>
        <v>1</v>
      </c>
      <c r="L277" s="75" t="str">
        <f t="shared" ref="L277:L290" si="310">IF(AK277=0,"",AK277)</f>
        <v/>
      </c>
      <c r="M277" s="351">
        <f>IF(AL277="","",AL277)</f>
        <v>1</v>
      </c>
      <c r="N277" s="75" t="str">
        <f>IF(AM277=0,"",AM277)</f>
        <v/>
      </c>
      <c r="O277" s="351">
        <f>IF(AN277="","",AN277)</f>
        <v>0</v>
      </c>
      <c r="P277" s="75" t="str">
        <f t="shared" ref="P277:P290" si="311">IF(AO277=0,"",AO277)</f>
        <v/>
      </c>
      <c r="Q277" s="351">
        <f>IF(AP277="","",AP277)</f>
        <v>0</v>
      </c>
      <c r="R277" s="75" t="str">
        <f t="shared" ref="R277:R290" si="312">IF(AQ277=0,"",AQ277)</f>
        <v/>
      </c>
      <c r="S277" s="351">
        <f>IF(AR277="","",AR277)</f>
        <v>0</v>
      </c>
      <c r="T277" s="75" t="str">
        <f t="shared" ref="T277:T290" si="313">IF(AS277=0,"",AS277)</f>
        <v/>
      </c>
      <c r="U277" s="351">
        <f>IF(AT277="","",AT277)</f>
        <v>0</v>
      </c>
      <c r="V277" s="75">
        <f t="shared" ref="V277:V290" si="314">IF(AU277=0,"",AU277)</f>
        <v>757</v>
      </c>
      <c r="W277" s="351">
        <f>IF(AV277="","",AV277)</f>
        <v>3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>
        <f t="shared" si="310"/>
        <v>216</v>
      </c>
      <c r="M278" s="352"/>
      <c r="N278" s="78">
        <f t="shared" ref="N278:N290" si="327">IF(AM278=0,"",AM278)</f>
        <v>157</v>
      </c>
      <c r="O278" s="352"/>
      <c r="P278" s="78">
        <f t="shared" si="311"/>
        <v>175</v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>
        <f t="shared" si="314"/>
        <v>548</v>
      </c>
      <c r="W278" s="352"/>
      <c r="Z278" s="355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>
        <f t="shared" si="312"/>
        <v>172</v>
      </c>
      <c r="S279" s="353"/>
      <c r="T279" s="69">
        <f t="shared" si="313"/>
        <v>125</v>
      </c>
      <c r="U279" s="353"/>
      <c r="V279" s="69">
        <f t="shared" si="314"/>
        <v>297</v>
      </c>
      <c r="W279" s="353"/>
      <c r="Z279" s="356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51">
        <f>IF(AD280="","",AD280)</f>
        <v>1</v>
      </c>
      <c r="F280" s="75">
        <f t="shared" si="307"/>
        <v>173</v>
      </c>
      <c r="G280" s="351">
        <f>IF(AF280="","",AF280)</f>
        <v>0</v>
      </c>
      <c r="H280" s="75">
        <f t="shared" si="308"/>
        <v>183</v>
      </c>
      <c r="I280" s="351">
        <f>IF(AH280="","",AH280)</f>
        <v>1</v>
      </c>
      <c r="J280" s="75">
        <f t="shared" si="309"/>
        <v>155</v>
      </c>
      <c r="K280" s="351">
        <f>IF(AJ280="","",AJ280)</f>
        <v>0</v>
      </c>
      <c r="L280" s="75">
        <f t="shared" si="310"/>
        <v>174</v>
      </c>
      <c r="M280" s="351">
        <f>IF(AL280="","",AL280)</f>
        <v>1</v>
      </c>
      <c r="N280" s="75">
        <f t="shared" si="327"/>
        <v>211</v>
      </c>
      <c r="O280" s="351">
        <f>IF(AN280="","",AN280)</f>
        <v>1</v>
      </c>
      <c r="P280" s="75">
        <f t="shared" si="311"/>
        <v>201</v>
      </c>
      <c r="Q280" s="351">
        <f>IF(AP280="","",AP280)</f>
        <v>1</v>
      </c>
      <c r="R280" s="75">
        <f t="shared" si="312"/>
        <v>181</v>
      </c>
      <c r="S280" s="351">
        <f>IF(AR280="","",AR280)</f>
        <v>1</v>
      </c>
      <c r="T280" s="75">
        <f t="shared" si="313"/>
        <v>167</v>
      </c>
      <c r="U280" s="351">
        <f>IF(AT280="","",AT280)</f>
        <v>0</v>
      </c>
      <c r="V280" s="75">
        <f t="shared" si="314"/>
        <v>1679</v>
      </c>
      <c r="W280" s="351">
        <f>IF(AV280="","",AV280)</f>
        <v>6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51">
        <f>IF(AD283="","",AD283)</f>
        <v>0</v>
      </c>
      <c r="F283" s="75">
        <f t="shared" si="307"/>
        <v>190</v>
      </c>
      <c r="G283" s="351">
        <f>IF(AF283="","",AF283)</f>
        <v>0</v>
      </c>
      <c r="H283" s="75">
        <f t="shared" si="308"/>
        <v>123</v>
      </c>
      <c r="I283" s="351">
        <f>IF(AH283="","",AH283)</f>
        <v>0</v>
      </c>
      <c r="J283" s="75">
        <f t="shared" si="309"/>
        <v>190</v>
      </c>
      <c r="K283" s="351">
        <f>IF(AJ283="","",AJ283)</f>
        <v>0</v>
      </c>
      <c r="L283" s="75">
        <f t="shared" si="310"/>
        <v>212</v>
      </c>
      <c r="M283" s="351">
        <f>IF(AL283="","",AL283)</f>
        <v>1</v>
      </c>
      <c r="N283" s="75">
        <f t="shared" si="327"/>
        <v>197</v>
      </c>
      <c r="O283" s="351">
        <f>IF(AN283="","",AN283)</f>
        <v>1</v>
      </c>
      <c r="P283" s="75">
        <f t="shared" si="311"/>
        <v>184</v>
      </c>
      <c r="Q283" s="351">
        <f>IF(AP283="","",AP283)</f>
        <v>0</v>
      </c>
      <c r="R283" s="75">
        <f t="shared" si="312"/>
        <v>168</v>
      </c>
      <c r="S283" s="351">
        <f>IF(AR283="","",AR283)</f>
        <v>0</v>
      </c>
      <c r="T283" s="75">
        <f t="shared" si="313"/>
        <v>150</v>
      </c>
      <c r="U283" s="351">
        <f>IF(AT283="","",AT283)</f>
        <v>0</v>
      </c>
      <c r="V283" s="75">
        <f t="shared" si="314"/>
        <v>1591</v>
      </c>
      <c r="W283" s="351">
        <f>IF(AV283="","",AV283)</f>
        <v>2</v>
      </c>
      <c r="Z283" s="354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52"/>
      <c r="F284" s="78" t="str">
        <f t="shared" si="307"/>
        <v/>
      </c>
      <c r="G284" s="352"/>
      <c r="H284" s="78" t="str">
        <f t="shared" si="308"/>
        <v/>
      </c>
      <c r="I284" s="352"/>
      <c r="J284" s="78" t="str">
        <f t="shared" si="309"/>
        <v/>
      </c>
      <c r="K284" s="352"/>
      <c r="L284" s="78" t="str">
        <f t="shared" si="310"/>
        <v/>
      </c>
      <c r="M284" s="352"/>
      <c r="N284" s="78" t="str">
        <f t="shared" si="327"/>
        <v/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 t="str">
        <f t="shared" si="314"/>
        <v/>
      </c>
      <c r="W284" s="352"/>
      <c r="Z284" s="355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51">
        <f>IF(AD286="","",AD286)</f>
        <v>0</v>
      </c>
      <c r="F286" s="75">
        <f t="shared" si="307"/>
        <v>128</v>
      </c>
      <c r="G286" s="351">
        <f>IF(AF286="","",AF286)</f>
        <v>0</v>
      </c>
      <c r="H286" s="75" t="str">
        <f t="shared" si="308"/>
        <v/>
      </c>
      <c r="I286" s="351">
        <f>IF(AH286="","",AH286)</f>
        <v>0</v>
      </c>
      <c r="J286" s="75" t="str">
        <f t="shared" si="309"/>
        <v/>
      </c>
      <c r="K286" s="351">
        <f>IF(AJ286="","",AJ286)</f>
        <v>1</v>
      </c>
      <c r="L286" s="75" t="str">
        <f t="shared" si="310"/>
        <v/>
      </c>
      <c r="M286" s="351">
        <f>IF(AL286="","",AL286)</f>
        <v>1</v>
      </c>
      <c r="N286" s="75" t="str">
        <f t="shared" si="327"/>
        <v/>
      </c>
      <c r="O286" s="351">
        <f>IF(AN286="","",AN286)</f>
        <v>0</v>
      </c>
      <c r="P286" s="75" t="str">
        <f t="shared" si="311"/>
        <v/>
      </c>
      <c r="Q286" s="351">
        <f>IF(AP286="","",AP286)</f>
        <v>1</v>
      </c>
      <c r="R286" s="75" t="str">
        <f t="shared" si="312"/>
        <v/>
      </c>
      <c r="S286" s="351">
        <f>IF(AR286="","",AR286)</f>
        <v>1</v>
      </c>
      <c r="T286" s="75" t="str">
        <f t="shared" si="313"/>
        <v/>
      </c>
      <c r="U286" s="351">
        <f>IF(AT286="","",AT286)</f>
        <v>0</v>
      </c>
      <c r="V286" s="75">
        <f t="shared" si="314"/>
        <v>283</v>
      </c>
      <c r="W286" s="351">
        <f>IF(AV286="","",AV286)</f>
        <v>4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52"/>
      <c r="F287" s="78" t="str">
        <f t="shared" si="307"/>
        <v/>
      </c>
      <c r="G287" s="352"/>
      <c r="H287" s="78">
        <f t="shared" si="308"/>
        <v>169</v>
      </c>
      <c r="I287" s="352"/>
      <c r="J287" s="78">
        <f t="shared" si="309"/>
        <v>181</v>
      </c>
      <c r="K287" s="352"/>
      <c r="L287" s="78">
        <f t="shared" si="310"/>
        <v>222</v>
      </c>
      <c r="M287" s="352"/>
      <c r="N287" s="78">
        <f t="shared" si="327"/>
        <v>185</v>
      </c>
      <c r="O287" s="352"/>
      <c r="P287" s="78">
        <f t="shared" si="311"/>
        <v>177</v>
      </c>
      <c r="Q287" s="352"/>
      <c r="R287" s="78">
        <f t="shared" si="312"/>
        <v>209</v>
      </c>
      <c r="S287" s="352"/>
      <c r="T287" s="78">
        <f t="shared" si="313"/>
        <v>209</v>
      </c>
      <c r="U287" s="352"/>
      <c r="V287" s="78">
        <f t="shared" si="314"/>
        <v>1352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3</v>
      </c>
      <c r="E292" s="349" t="str">
        <f t="shared" si="338"/>
        <v/>
      </c>
      <c r="F292" s="349">
        <f t="shared" si="338"/>
        <v>2</v>
      </c>
      <c r="G292" s="349" t="str">
        <f t="shared" si="338"/>
        <v/>
      </c>
      <c r="H292" s="349">
        <f t="shared" si="338"/>
        <v>7</v>
      </c>
      <c r="I292" s="349" t="str">
        <f t="shared" si="338"/>
        <v/>
      </c>
      <c r="J292" s="349">
        <f t="shared" si="338"/>
        <v>8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9</v>
      </c>
      <c r="O292" s="349" t="str">
        <f t="shared" si="339"/>
        <v/>
      </c>
      <c r="P292" s="349">
        <f t="shared" si="339"/>
        <v>4</v>
      </c>
      <c r="Q292" s="349" t="str">
        <f t="shared" si="339"/>
        <v/>
      </c>
      <c r="R292" s="349">
        <f t="shared" si="339"/>
        <v>6</v>
      </c>
      <c r="S292" s="349" t="str">
        <f t="shared" si="339"/>
        <v/>
      </c>
      <c r="T292" s="349">
        <f t="shared" si="339"/>
        <v>1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VLOOKUP($AA272,Schlüssel!$A$5:$DG$14,43)</f>
        <v>3</v>
      </c>
      <c r="AD292" s="374"/>
      <c r="AE292" s="373">
        <f>VLOOKUP($AA272,Schlüssel!$A$5:$EK$14,44)</f>
        <v>2</v>
      </c>
      <c r="AF292" s="374"/>
      <c r="AG292" s="373">
        <f>VLOOKUP($AA272,Schlüssel!$A$5:$EK$14,45)</f>
        <v>7</v>
      </c>
      <c r="AH292" s="374"/>
      <c r="AI292" s="373">
        <f>VLOOKUP($AA272,Schlüssel!$A$5:$EK$14,46)</f>
        <v>8</v>
      </c>
      <c r="AJ292" s="374"/>
      <c r="AK292" s="373">
        <f>VLOOKUP($AA272,Schlüssel!$A$5:$EK$14,47)</f>
        <v>5</v>
      </c>
      <c r="AL292" s="374"/>
      <c r="AM292" s="373">
        <f>VLOOKUP($AA272,Schlüssel!$A$5:$EK$14,48)</f>
        <v>9</v>
      </c>
      <c r="AN292" s="374"/>
      <c r="AO292" s="373">
        <f>VLOOKUP($AA272,Schlüssel!$A$5:$EK$14,49)</f>
        <v>4</v>
      </c>
      <c r="AP292" s="374"/>
      <c r="AQ292" s="373">
        <f>VLOOKUP($AA272,Schlüssel!$A$5:$EK$14,50)</f>
        <v>6</v>
      </c>
      <c r="AR292" s="374"/>
      <c r="AS292" s="373">
        <f>VLOOKUP($AA272,Schlüssel!$A$5:$EK$14,51)</f>
        <v>1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BK München 3</v>
      </c>
      <c r="E293" s="347" t="str">
        <f t="shared" si="338"/>
        <v/>
      </c>
      <c r="F293" s="346" t="str">
        <f t="shared" si="338"/>
        <v>Bajuwaren München 1</v>
      </c>
      <c r="G293" s="347" t="str">
        <f t="shared" si="338"/>
        <v/>
      </c>
      <c r="H293" s="346" t="str">
        <f t="shared" si="338"/>
        <v>Schanzer Ingolstadt 1</v>
      </c>
      <c r="I293" s="347" t="str">
        <f t="shared" si="338"/>
        <v/>
      </c>
      <c r="J293" s="346" t="str">
        <f t="shared" si="338"/>
        <v>BC EMAX Unterföhring 2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Bowlinghaus Bamberg 1</v>
      </c>
      <c r="O293" s="347" t="str">
        <f t="shared" si="339"/>
        <v/>
      </c>
      <c r="P293" s="346" t="str">
        <f t="shared" si="339"/>
        <v>SG DJK Rimpar</v>
      </c>
      <c r="Q293" s="347" t="str">
        <f t="shared" si="339"/>
        <v/>
      </c>
      <c r="R293" s="346" t="str">
        <f t="shared" si="339"/>
        <v>SG Rottendorf 1</v>
      </c>
      <c r="S293" s="347" t="str">
        <f t="shared" si="339"/>
        <v/>
      </c>
      <c r="T293" s="346" t="str">
        <f t="shared" si="339"/>
        <v>BC Comet Nürnberg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BK München 3</v>
      </c>
      <c r="AD293" s="347"/>
      <c r="AE293" s="346" t="str">
        <f>VLOOKUP(AE292,Schlüssel!$A$5:$K$14,2)</f>
        <v>Bajuwaren München 1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BC EMAX Unterföhring 2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SG DJK Rimpar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Comet Nürnberg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213</v>
      </c>
      <c r="E295" s="342" t="str">
        <f>IF(AD295=0,"",AD295)</f>
        <v/>
      </c>
      <c r="F295" s="342">
        <f>IF(AE295=301,"",AE295)</f>
        <v>247</v>
      </c>
      <c r="G295" s="342" t="str">
        <f>IF(AF295=0,"",AF295)</f>
        <v/>
      </c>
      <c r="H295" s="342">
        <f>IF(AG295=301,"",AG295)</f>
        <v>169</v>
      </c>
      <c r="I295" s="342" t="str">
        <f>IF(AH295=0,"",AH295)</f>
        <v/>
      </c>
      <c r="J295" s="342">
        <f>IF(AI295=301,"",AI295)</f>
        <v>136</v>
      </c>
      <c r="K295" s="342" t="str">
        <f>IF(AJ295=0,"",AJ295)</f>
        <v/>
      </c>
      <c r="L295" s="342">
        <f>IF(AK295=301,"",AK295)</f>
        <v>190</v>
      </c>
      <c r="M295" s="342" t="str">
        <f>IF(AL295=0,"",AL295)</f>
        <v/>
      </c>
      <c r="N295" s="342">
        <f>IF(AM295=301,"",AM295)</f>
        <v>256</v>
      </c>
      <c r="O295" s="342" t="str">
        <f>IF(AN295=0,"",AN295)</f>
        <v/>
      </c>
      <c r="P295" s="342">
        <f>IF(AO295=301,"",AO295)</f>
        <v>234</v>
      </c>
      <c r="Q295" s="342" t="str">
        <f>IF(AP295=0,"",AP295)</f>
        <v/>
      </c>
      <c r="R295" s="342">
        <f>IF(AQ295=301,"",AQ295)</f>
        <v>185</v>
      </c>
      <c r="S295" s="342" t="str">
        <f>IF(AR295=0,"",AR295)</f>
        <v/>
      </c>
      <c r="T295" s="342">
        <f>IF(AS295=301,"",AS295)</f>
        <v>209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213</v>
      </c>
      <c r="AD295" s="376"/>
      <c r="AE295" s="375">
        <f>ABS(INDEX(AE:AE,MATCH(AE292,$AA:$AA,0)+5)+INDEX(AE:AE,MATCH(AE292,$AA:$AA,0)+6)+INDEX(AE:AE,MATCH(AE292,$AA:$AA,0)+7))</f>
        <v>247</v>
      </c>
      <c r="AF295" s="376"/>
      <c r="AG295" s="375">
        <f>ABS(INDEX(AG:AG,MATCH(AG292,$AA:$AA,0)+5)+INDEX(AG:AG,MATCH(AG292,$AA:$AA,0)+6)+INDEX(AG:AG,MATCH(AG292,$AA:$AA,0)+7))</f>
        <v>169</v>
      </c>
      <c r="AH295" s="376"/>
      <c r="AI295" s="375">
        <f>ABS(INDEX(AI:AI,MATCH(AI292,$AA:$AA,0)+5)+INDEX(AI:AI,MATCH(AI292,$AA:$AA,0)+6)+INDEX(AI:AI,MATCH(AI292,$AA:$AA,0)+7))</f>
        <v>136</v>
      </c>
      <c r="AJ295" s="376"/>
      <c r="AK295" s="375">
        <f>ABS(INDEX(AK:AK,MATCH(AK292,$AA:$AA,0)+5)+INDEX(AK:AK,MATCH(AK292,$AA:$AA,0)+6)+INDEX(AK:AK,MATCH(AK292,$AA:$AA,0)+7))</f>
        <v>190</v>
      </c>
      <c r="AL295" s="376"/>
      <c r="AM295" s="375">
        <f>ABS(INDEX(AM:AM,MATCH(AM292,$AA:$AA,0)+5)+INDEX(AM:AM,MATCH(AM292,$AA:$AA,0)+6)+INDEX(AM:AM,MATCH(AM292,$AA:$AA,0)+7))</f>
        <v>256</v>
      </c>
      <c r="AN295" s="376"/>
      <c r="AO295" s="375">
        <f>ABS(INDEX(AO:AO,MATCH(AO292,$AA:$AA,0)+5)+INDEX(AO:AO,MATCH(AO292,$AA:$AA,0)+6)+INDEX(AO:AO,MATCH(AO292,$AA:$AA,0)+7))</f>
        <v>234</v>
      </c>
      <c r="AP295" s="376"/>
      <c r="AQ295" s="375">
        <f>ABS(INDEX(AQ:AQ,MATCH(AQ292,$AA:$AA,0)+5)+INDEX(AQ:AQ,MATCH(AQ292,$AA:$AA,0)+6)+INDEX(AQ:AQ,MATCH(AQ292,$AA:$AA,0)+7))</f>
        <v>185</v>
      </c>
      <c r="AR295" s="376"/>
      <c r="AS295" s="375">
        <f>ABS(INDEX(AS:AS,MATCH(AS292,$AA:$AA,0)+5)+INDEX(AS:AS,MATCH(AS292,$AA:$AA,0)+6)+INDEX(AS:AS,MATCH(AS292,$AA:$AA,0)+7))</f>
        <v>209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178</v>
      </c>
      <c r="G296" s="342" t="str">
        <f>IF(AF296=0,"",AF296)</f>
        <v/>
      </c>
      <c r="H296" s="342">
        <f>IF(AG296=301,"",AG296)</f>
        <v>129</v>
      </c>
      <c r="I296" s="342" t="str">
        <f>IF(AH296=0,"",AH296)</f>
        <v/>
      </c>
      <c r="J296" s="342">
        <f>IF(AI296=301,"",AI296)</f>
        <v>174</v>
      </c>
      <c r="K296" s="342" t="str">
        <f>IF(AJ296=0,"",AJ296)</f>
        <v/>
      </c>
      <c r="L296" s="342">
        <f>IF(AK296=301,"",AK296)</f>
        <v>157</v>
      </c>
      <c r="M296" s="342" t="str">
        <f>IF(AL296=0,"",AL296)</f>
        <v/>
      </c>
      <c r="N296" s="342">
        <f>IF(AM296=301,"",AM296)</f>
        <v>172</v>
      </c>
      <c r="O296" s="342" t="str">
        <f>IF(AN296=0,"",AN296)</f>
        <v/>
      </c>
      <c r="P296" s="342">
        <f>IF(AO296=301,"",AO296)</f>
        <v>172</v>
      </c>
      <c r="Q296" s="342" t="str">
        <f>IF(AP296=0,"",AP296)</f>
        <v/>
      </c>
      <c r="R296" s="342">
        <f>IF(AQ296=301,"",AQ296)</f>
        <v>168</v>
      </c>
      <c r="S296" s="342" t="str">
        <f>IF(AR296=0,"",AR296)</f>
        <v/>
      </c>
      <c r="T296" s="342">
        <f>IF(AS296=301,"",AS296)</f>
        <v>174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178</v>
      </c>
      <c r="AF296" s="378"/>
      <c r="AG296" s="377">
        <f>ABS(INDEX(AG:AG,MATCH(AG292,$AA:$AA,0)+8)+INDEX(AG:AG,MATCH(AG292,$AA:$AA,0)+9)+INDEX(AG:AG,MATCH(AG292,$AA:$AA,0)+10))</f>
        <v>129</v>
      </c>
      <c r="AH296" s="378"/>
      <c r="AI296" s="377">
        <f>ABS(INDEX(AI:AI,MATCH(AI292,$AA:$AA,0)+8)+INDEX(AI:AI,MATCH(AI292,$AA:$AA,0)+9)+INDEX(AI:AI,MATCH(AI292,$AA:$AA,0)+10))</f>
        <v>174</v>
      </c>
      <c r="AJ296" s="378"/>
      <c r="AK296" s="377">
        <f>ABS(INDEX(AK:AK,MATCH(AK292,$AA:$AA,0)+8)+INDEX(AK:AK,MATCH(AK292,$AA:$AA,0)+9)+INDEX(AK:AK,MATCH(AK292,$AA:$AA,0)+10))</f>
        <v>157</v>
      </c>
      <c r="AL296" s="378"/>
      <c r="AM296" s="377">
        <f>ABS(INDEX(AM:AM,MATCH(AM292,$AA:$AA,0)+8)+INDEX(AM:AM,MATCH(AM292,$AA:$AA,0)+9)+INDEX(AM:AM,MATCH(AM292,$AA:$AA,0)+10))</f>
        <v>172</v>
      </c>
      <c r="AN296" s="378"/>
      <c r="AO296" s="377">
        <f>ABS(INDEX(AO:AO,MATCH(AO292,$AA:$AA,0)+8)+INDEX(AO:AO,MATCH(AO292,$AA:$AA,0)+9)+INDEX(AO:AO,MATCH(AO292,$AA:$AA,0)+10))</f>
        <v>172</v>
      </c>
      <c r="AP296" s="378"/>
      <c r="AQ296" s="377">
        <f>ABS(INDEX(AQ:AQ,MATCH(AQ292,$AA:$AA,0)+8)+INDEX(AQ:AQ,MATCH(AQ292,$AA:$AA,0)+9)+INDEX(AQ:AQ,MATCH(AQ292,$AA:$AA,0)+10))</f>
        <v>168</v>
      </c>
      <c r="AR296" s="378"/>
      <c r="AS296" s="377">
        <f>ABS(INDEX(AS:AS,MATCH(AS292,$AA:$AA,0)+8)+INDEX(AS:AS,MATCH(AS292,$AA:$AA,0)+9)+INDEX(AS:AS,MATCH(AS292,$AA:$AA,0)+10))</f>
        <v>174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180</v>
      </c>
      <c r="E297" s="342" t="str">
        <f>IF(AD297=0,"",AD297)</f>
        <v/>
      </c>
      <c r="F297" s="342">
        <f>IF(AE297=301,"",AE297)</f>
        <v>212</v>
      </c>
      <c r="G297" s="342" t="str">
        <f>IF(AF297=0,"",AF297)</f>
        <v/>
      </c>
      <c r="H297" s="342">
        <f>IF(AG297=301,"",AG297)</f>
        <v>167</v>
      </c>
      <c r="I297" s="342" t="str">
        <f>IF(AH297=0,"",AH297)</f>
        <v/>
      </c>
      <c r="J297" s="342">
        <f>IF(AI297=301,"",AI297)</f>
        <v>201</v>
      </c>
      <c r="K297" s="342" t="str">
        <f>IF(AJ297=0,"",AJ297)</f>
        <v/>
      </c>
      <c r="L297" s="342">
        <f>IF(AK297=301,"",AK297)</f>
        <v>180</v>
      </c>
      <c r="M297" s="342" t="str">
        <f>IF(AL297=0,"",AL297)</f>
        <v/>
      </c>
      <c r="N297" s="342">
        <f>IF(AM297=301,"",AM297)</f>
        <v>189</v>
      </c>
      <c r="O297" s="342" t="str">
        <f>IF(AN297=0,"",AN297)</f>
        <v/>
      </c>
      <c r="P297" s="342">
        <f>IF(AO297=301,"",AO297)</f>
        <v>216</v>
      </c>
      <c r="Q297" s="342" t="str">
        <f>IF(AP297=0,"",AP297)</f>
        <v/>
      </c>
      <c r="R297" s="342">
        <f>IF(AQ297=301,"",AQ297)</f>
        <v>171</v>
      </c>
      <c r="S297" s="342" t="str">
        <f>IF(AR297=0,"",AR297)</f>
        <v/>
      </c>
      <c r="T297" s="342">
        <f>IF(AS297=301,"",AS297)</f>
        <v>206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180</v>
      </c>
      <c r="AD297" s="378"/>
      <c r="AE297" s="377">
        <f>ABS(INDEX(AE:AE,MATCH(AE292,$AA:$AA,0)+11)+INDEX(AE:AE,MATCH(AE292,$AA:$AA,0)+12)+INDEX(AE:AE,MATCH(AE292,$AA:$AA,0)+13))</f>
        <v>212</v>
      </c>
      <c r="AF297" s="378"/>
      <c r="AG297" s="377">
        <f>ABS(INDEX(AG:AG,MATCH(AG292,$AA:$AA,0)+11)+INDEX(AG:AG,MATCH(AG292,$AA:$AA,0)+12)+INDEX(AG:AG,MATCH(AG292,$AA:$AA,0)+13))</f>
        <v>167</v>
      </c>
      <c r="AH297" s="378"/>
      <c r="AI297" s="377">
        <f>ABS(INDEX(AI:AI,MATCH(AI292,$AA:$AA,0)+11)+INDEX(AI:AI,MATCH(AI292,$AA:$AA,0)+12)+INDEX(AI:AI,MATCH(AI292,$AA:$AA,0)+13))</f>
        <v>201</v>
      </c>
      <c r="AJ297" s="378"/>
      <c r="AK297" s="377">
        <f>ABS(INDEX(AK:AK,MATCH(AK292,$AA:$AA,0)+11)+INDEX(AK:AK,MATCH(AK292,$AA:$AA,0)+12)+INDEX(AK:AK,MATCH(AK292,$AA:$AA,0)+13))</f>
        <v>180</v>
      </c>
      <c r="AL297" s="378"/>
      <c r="AM297" s="377">
        <f>ABS(INDEX(AM:AM,MATCH(AM292,$AA:$AA,0)+11)+INDEX(AM:AM,MATCH(AM292,$AA:$AA,0)+12)+INDEX(AM:AM,MATCH(AM292,$AA:$AA,0)+13))</f>
        <v>189</v>
      </c>
      <c r="AN297" s="378"/>
      <c r="AO297" s="377">
        <f>ABS(INDEX(AO:AO,MATCH(AO292,$AA:$AA,0)+11)+INDEX(AO:AO,MATCH(AO292,$AA:$AA,0)+12)+INDEX(AO:AO,MATCH(AO292,$AA:$AA,0)+13))</f>
        <v>216</v>
      </c>
      <c r="AP297" s="378"/>
      <c r="AQ297" s="377">
        <f>ABS(INDEX(AQ:AQ,MATCH(AQ292,$AA:$AA,0)+11)+INDEX(AQ:AQ,MATCH(AQ292,$AA:$AA,0)+12)+INDEX(AQ:AQ,MATCH(AQ292,$AA:$AA,0)+13))</f>
        <v>171</v>
      </c>
      <c r="AR297" s="378"/>
      <c r="AS297" s="377">
        <f>ABS(INDEX(AS:AS,MATCH(AS292,$AA:$AA,0)+11)+INDEX(AS:AS,MATCH(AS292,$AA:$AA,0)+12)+INDEX(AS:AS,MATCH(AS292,$AA:$AA,0)+13))</f>
        <v>206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190</v>
      </c>
      <c r="E298" s="342" t="str">
        <f>IF(AD298=0,"",AD298)</f>
        <v/>
      </c>
      <c r="F298" s="342">
        <f>IF(AE298=301,"",AE298)</f>
        <v>187</v>
      </c>
      <c r="G298" s="342" t="str">
        <f>IF(AF298=0,"",AF298)</f>
        <v/>
      </c>
      <c r="H298" s="342">
        <f>IF(AG298=301,"",AG298)</f>
        <v>186</v>
      </c>
      <c r="I298" s="342" t="str">
        <f>IF(AH298=0,"",AH298)</f>
        <v/>
      </c>
      <c r="J298" s="342">
        <f>IF(AI298=301,"",AI298)</f>
        <v>144</v>
      </c>
      <c r="K298" s="342" t="str">
        <f>IF(AJ298=0,"",AJ298)</f>
        <v/>
      </c>
      <c r="L298" s="342">
        <f>IF(AK298=301,"",AK298)</f>
        <v>208</v>
      </c>
      <c r="M298" s="342" t="str">
        <f>IF(AL298=0,"",AL298)</f>
        <v/>
      </c>
      <c r="N298" s="342">
        <f>IF(AM298=301,"",AM298)</f>
        <v>236</v>
      </c>
      <c r="O298" s="342" t="str">
        <f>IF(AN298=0,"",AN298)</f>
        <v/>
      </c>
      <c r="P298" s="342">
        <f>IF(AO298=301,"",AO298)</f>
        <v>159</v>
      </c>
      <c r="Q298" s="342" t="str">
        <f>IF(AP298=0,"",AP298)</f>
        <v/>
      </c>
      <c r="R298" s="342">
        <f>IF(AQ298=301,"",AQ298)</f>
        <v>178</v>
      </c>
      <c r="S298" s="342" t="str">
        <f>IF(AR298=0,"",AR298)</f>
        <v/>
      </c>
      <c r="T298" s="342">
        <f>IF(AS298=301,"",AS298)</f>
        <v>219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190</v>
      </c>
      <c r="AD298" s="378"/>
      <c r="AE298" s="377">
        <f>ABS(INDEX(AE:AE,MATCH(AE292,$AA:$AA,0)+14)+INDEX(AE:AE,MATCH(AE292,$AA:$AA,0)+15)+INDEX(AE:AE,MATCH(AE292,$AA:$AA,0)+16))</f>
        <v>187</v>
      </c>
      <c r="AF298" s="378"/>
      <c r="AG298" s="377">
        <f>ABS(INDEX(AG:AG,MATCH(AG292,$AA:$AA,0)+14)+INDEX(AG:AG,MATCH(AG292,$AA:$AA,0)+15)+INDEX(AG:AG,MATCH(AG292,$AA:$AA,0)+16))</f>
        <v>186</v>
      </c>
      <c r="AH298" s="378"/>
      <c r="AI298" s="377">
        <f>ABS(INDEX(AI:AI,MATCH(AI292,$AA:$AA,0)+14)+INDEX(AI:AI,MATCH(AI292,$AA:$AA,0)+15)+INDEX(AI:AI,MATCH(AI292,$AA:$AA,0)+16))</f>
        <v>144</v>
      </c>
      <c r="AJ298" s="378"/>
      <c r="AK298" s="377">
        <f>ABS(INDEX(AK:AK,MATCH(AK292,$AA:$AA,0)+14)+INDEX(AK:AK,MATCH(AK292,$AA:$AA,0)+15)+INDEX(AK:AK,MATCH(AK292,$AA:$AA,0)+16))</f>
        <v>208</v>
      </c>
      <c r="AL298" s="378"/>
      <c r="AM298" s="377">
        <f>ABS(INDEX(AM:AM,MATCH(AM292,$AA:$AA,0)+14)+INDEX(AM:AM,MATCH(AM292,$AA:$AA,0)+15)+INDEX(AM:AM,MATCH(AM292,$AA:$AA,0)+16))</f>
        <v>236</v>
      </c>
      <c r="AN298" s="378"/>
      <c r="AO298" s="377">
        <f>ABS(INDEX(AO:AO,MATCH(AO292,$AA:$AA,0)+14)+INDEX(AO:AO,MATCH(AO292,$AA:$AA,0)+15)+INDEX(AO:AO,MATCH(AO292,$AA:$AA,0)+16))</f>
        <v>159</v>
      </c>
      <c r="AP298" s="378"/>
      <c r="AQ298" s="377">
        <f>ABS(INDEX(AQ:AQ,MATCH(AQ292,$AA:$AA,0)+14)+INDEX(AQ:AQ,MATCH(AQ292,$AA:$AA,0)+15)+INDEX(AQ:AQ,MATCH(AQ292,$AA:$AA,0)+16))</f>
        <v>178</v>
      </c>
      <c r="AR298" s="378"/>
      <c r="AS298" s="377">
        <f>ABS(INDEX(AS:AS,MATCH(AS292,$AA:$AA,0)+14)+INDEX(AS:AS,MATCH(AS292,$AA:$AA,0)+15)+INDEX(AS:AS,MATCH(AS292,$AA:$AA,0)+16))</f>
        <v>219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808</v>
      </c>
      <c r="E299" s="341" t="str">
        <f>IF(AD299=0,"",AD299)</f>
        <v/>
      </c>
      <c r="F299" s="341">
        <f>IF(AE299=1505,"",AE299)</f>
        <v>824</v>
      </c>
      <c r="G299" s="341" t="str">
        <f>IF(AF299=0,"",AF299)</f>
        <v/>
      </c>
      <c r="H299" s="341">
        <f>IF(AG299=1505,"",AG299)</f>
        <v>651</v>
      </c>
      <c r="I299" s="341" t="str">
        <f>IF(AH299=0,"",AH299)</f>
        <v/>
      </c>
      <c r="J299" s="341">
        <f>IF(AI299=1505,"",AI299)</f>
        <v>655</v>
      </c>
      <c r="K299" s="341" t="str">
        <f>IF(AJ299=0,"",AJ299)</f>
        <v/>
      </c>
      <c r="L299" s="341">
        <f>IF(AK299=1505,"",AK299)</f>
        <v>735</v>
      </c>
      <c r="M299" s="341" t="str">
        <f>IF(AL299=0,"",AL299)</f>
        <v/>
      </c>
      <c r="N299" s="341">
        <f>IF(AM299=1505,"",AM299)</f>
        <v>853</v>
      </c>
      <c r="O299" s="341" t="str">
        <f>IF(AN299=0,"",AN299)</f>
        <v/>
      </c>
      <c r="P299" s="341">
        <f>IF(AO299=1505,"",AO299)</f>
        <v>781</v>
      </c>
      <c r="Q299" s="341" t="str">
        <f>IF(AP299=0,"",AP299)</f>
        <v/>
      </c>
      <c r="R299" s="341">
        <f>IF(AQ299=1505,"",AQ299)</f>
        <v>702</v>
      </c>
      <c r="S299" s="341" t="str">
        <f>IF(AR299=0,"",AR299)</f>
        <v/>
      </c>
      <c r="T299" s="341">
        <f>IF(AS299=1505,"",AS299)</f>
        <v>808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808</v>
      </c>
      <c r="AD299" s="358"/>
      <c r="AE299" s="357">
        <f>SUM(AE295:AE298)</f>
        <v>824</v>
      </c>
      <c r="AF299" s="358"/>
      <c r="AG299" s="357">
        <f>SUM(AG295:AG298)</f>
        <v>651</v>
      </c>
      <c r="AH299" s="358"/>
      <c r="AI299" s="357">
        <f>SUM(AI295:AI298)</f>
        <v>655</v>
      </c>
      <c r="AJ299" s="358"/>
      <c r="AK299" s="357">
        <f>SUM(AK295:AK298)</f>
        <v>735</v>
      </c>
      <c r="AL299" s="358"/>
      <c r="AM299" s="357">
        <f>SUM(AM295:AM298)</f>
        <v>853</v>
      </c>
      <c r="AN299" s="358"/>
      <c r="AO299" s="357">
        <f>SUM(AO295:AO298)</f>
        <v>781</v>
      </c>
      <c r="AP299" s="358"/>
      <c r="AQ299" s="357">
        <f>SUM(AQ295:AQ298)</f>
        <v>702</v>
      </c>
      <c r="AR299" s="358"/>
      <c r="AS299" s="357">
        <f>SUM(AS295:AS298)</f>
        <v>808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"&amp;Erfassung3!AS2&amp;"     -     "&amp;Erfassung3!AT1</f>
        <v>Saison 2024/2025     -     Spieltag 3     -     01.02./02.02.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+Erfassung3!AE2</f>
        <v>Unterföhring Dreambowl Palace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79" t="str">
        <f>IFERROR(ROUND(INDEX(Erfassung3!BW:BW,MATCH(1,Erfassung3!BZ:BZ,0)),0),"")&amp;"  /  "&amp;ROUND(IFERROR(ROUND(INDEX(Erfassung3!BW:BW,MATCH(1,Erfassung3!BZ:BZ,0)),0),"")/9,2)</f>
        <v>1986  /  220,67</v>
      </c>
      <c r="O24" s="379"/>
      <c r="P24" s="379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"&amp;Erfassung3!AS2&amp;"     -     "&amp;Erfassung3!AT1</f>
        <v>Saison 2024/2025     -     Spieltag 3     -     01.02./02.02.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0"/>
      <c r="K4" s="27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82" t="s">
        <v>1799</v>
      </c>
      <c r="J5" s="383"/>
      <c r="K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5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+Spielzettel4!T2</f>
        <v>4</v>
      </c>
      <c r="F6" s="320"/>
      <c r="P6" s="140" t="s">
        <v>1838</v>
      </c>
      <c r="Q6" s="321" t="str">
        <f>+Spielzettel4!U1</f>
        <v>15.02./16.02.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+Spielzettel4!F2</f>
        <v>Regensburg Super Bowl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+Spielzettel4!F1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0.3125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2366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 t="s">
        <v>2571</v>
      </c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Schlüssel!$BU$1</f>
        <v>15.02./16.02.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Schlüssel!$BK$2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VLOOKUP(B2,Schlüssel!$A$5:$DZ$14,63)</f>
        <v>10</v>
      </c>
      <c r="E22" s="349"/>
      <c r="F22" s="349">
        <f>VLOOKUP(B2,Schlüssel!$A$5:$DZ$14,64)</f>
        <v>9</v>
      </c>
      <c r="G22" s="349"/>
      <c r="H22" s="349">
        <f>VLOOKUP(B2,Schlüssel!$A$5:$DZ$14,65)</f>
        <v>7</v>
      </c>
      <c r="I22" s="349"/>
      <c r="J22" s="349">
        <f>VLOOKUP(B2,Schlüssel!$A$5:$DZ$14,66)</f>
        <v>4</v>
      </c>
      <c r="K22" s="349"/>
      <c r="L22" s="349">
        <f>VLOOKUP(B2,Schlüssel!$A$5:$DZ$14,67)</f>
        <v>6</v>
      </c>
      <c r="M22" s="349"/>
      <c r="N22" s="349">
        <f>VLOOKUP(B2,Schlüssel!$A$5:$DZ$14,68)</f>
        <v>2</v>
      </c>
      <c r="O22" s="349"/>
      <c r="P22" s="349">
        <f>VLOOKUP(B2,Schlüssel!$A$5:$DZ$14,69)</f>
        <v>8</v>
      </c>
      <c r="Q22" s="349"/>
      <c r="R22" s="349">
        <f>VLOOKUP(B2,Schlüssel!$A$5:$DZ$14,70)</f>
        <v>3</v>
      </c>
      <c r="S22" s="349"/>
      <c r="T22" s="349">
        <f>VLOOKUP(B2,Schlüssel!$A$5:$DZ$14,71)</f>
        <v>5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High Roller Rosenheim 1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Schanzer Ingolstadt 1</v>
      </c>
      <c r="I23" s="347"/>
      <c r="J23" s="346" t="str">
        <f>VLOOKUP(J22,Schlüssel!$A$5:$K$14,2)</f>
        <v>SG DJK Rimpar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Bajuwaren München 1</v>
      </c>
      <c r="O23" s="347"/>
      <c r="P23" s="346" t="str">
        <f>VLOOKUP(P22,Schlüssel!$A$5:$K$14,2)</f>
        <v>BC EMAX Unterföhring 2</v>
      </c>
      <c r="Q23" s="347"/>
      <c r="R23" s="346" t="str">
        <f>VLOOKUP(R22,Schlüssel!$A$5:$K$14,2)</f>
        <v>BK München 3</v>
      </c>
      <c r="S23" s="347"/>
      <c r="T23" s="346" t="str">
        <f>VLOOKUP(T22,Schlüssel!$A$5:$K$14,2)</f>
        <v>RW Lichtenhof Stein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Schlüssel!$BU$1</f>
        <v>15.02./16.02.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Schlüssel!$BK$2</f>
        <v>Regensburg Super Bowl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VLOOKUP(B31,Schlüssel!$A$5:$DZ$14,63)</f>
        <v>4</v>
      </c>
      <c r="E51" s="349"/>
      <c r="F51" s="349">
        <f>VLOOKUP(B31,Schlüssel!$A$5:$DZ$14,64)</f>
        <v>5</v>
      </c>
      <c r="G51" s="349"/>
      <c r="H51" s="349">
        <f>VLOOKUP(B31,Schlüssel!$A$5:$DZ$14,65)</f>
        <v>9</v>
      </c>
      <c r="I51" s="349"/>
      <c r="J51" s="349">
        <f>VLOOKUP(B31,Schlüssel!$A$5:$DZ$14,66)</f>
        <v>6</v>
      </c>
      <c r="K51" s="349"/>
      <c r="L51" s="349">
        <f>VLOOKUP(B31,Schlüssel!$A$5:$DZ$14,67)</f>
        <v>7</v>
      </c>
      <c r="M51" s="349"/>
      <c r="N51" s="349">
        <f>VLOOKUP(B31,Schlüssel!$A$5:$DZ$14,68)</f>
        <v>1</v>
      </c>
      <c r="O51" s="349"/>
      <c r="P51" s="349">
        <f>VLOOKUP(B31,Schlüssel!$A$5:$DZ$14,69)</f>
        <v>3</v>
      </c>
      <c r="Q51" s="349"/>
      <c r="R51" s="349">
        <f>VLOOKUP(B31,Schlüssel!$A$5:$DZ$14,70)</f>
        <v>10</v>
      </c>
      <c r="S51" s="349"/>
      <c r="T51" s="349">
        <f>VLOOKUP(B31,Schlüssel!$A$5:$DZ$14,71)</f>
        <v>8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DJK Rimpar</v>
      </c>
      <c r="E52" s="347"/>
      <c r="F52" s="346" t="str">
        <f>VLOOKUP(F51,Schlüssel!$A$5:$K$14,2)</f>
        <v>RW Lichtenhof Stein 1</v>
      </c>
      <c r="G52" s="347"/>
      <c r="H52" s="346" t="str">
        <f>VLOOKUP(H51,Schlüssel!$A$5:$K$14,2)</f>
        <v>Bowlinghaus Bamberg 1</v>
      </c>
      <c r="I52" s="347"/>
      <c r="J52" s="346" t="str">
        <f>VLOOKUP(J51,Schlüssel!$A$5:$K$14,2)</f>
        <v>SG Rottendorf 1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BC Comet Nürnberg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High Roller Rosenheim 1</v>
      </c>
      <c r="S52" s="347"/>
      <c r="T52" s="346" t="str">
        <f>VLOOKUP(T51,Schlüssel!$A$5:$K$14,2)</f>
        <v>BC EMAX Unterföhring 2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Schlüssel!$BU$1</f>
        <v>15.02./16.02.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Schlüssel!$BK$2</f>
        <v>Regensburg Super Bowl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VLOOKUP(B60,Schlüssel!$A$5:$DZ$14,63)</f>
        <v>8</v>
      </c>
      <c r="E80" s="349"/>
      <c r="F80" s="349">
        <f>VLOOKUP(B60,Schlüssel!$A$5:$DZ$14,64)</f>
        <v>4</v>
      </c>
      <c r="G80" s="349"/>
      <c r="H80" s="349">
        <f>VLOOKUP(B60,Schlüssel!$A$5:$DZ$14,65)</f>
        <v>5</v>
      </c>
      <c r="I80" s="349"/>
      <c r="J80" s="349">
        <f>VLOOKUP(B60,Schlüssel!$A$5:$DZ$14,66)</f>
        <v>7</v>
      </c>
      <c r="K80" s="349"/>
      <c r="L80" s="349">
        <f>VLOOKUP(B60,Schlüssel!$A$5:$DZ$14,67)</f>
        <v>9</v>
      </c>
      <c r="M80" s="349"/>
      <c r="N80" s="349">
        <f>VLOOKUP(B60,Schlüssel!$A$5:$DZ$14,68)</f>
        <v>6</v>
      </c>
      <c r="O80" s="349"/>
      <c r="P80" s="349">
        <f>VLOOKUP(B60,Schlüssel!$A$5:$DZ$14,69)</f>
        <v>2</v>
      </c>
      <c r="Q80" s="349"/>
      <c r="R80" s="349">
        <f>VLOOKUP(B60,Schlüssel!$A$5:$DZ$14,70)</f>
        <v>1</v>
      </c>
      <c r="S80" s="349"/>
      <c r="T80" s="349">
        <f>VLOOKUP(B60,Schlüssel!$A$5:$DZ$14,71)</f>
        <v>10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EMAX Unterföhring 2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Schanzer Ingolstadt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BC Comet Nürnberg</v>
      </c>
      <c r="S81" s="347"/>
      <c r="T81" s="346" t="str">
        <f>VLOOKUP(T80,Schlüssel!$A$5:$K$14,2)</f>
        <v>High Roller Rosenheim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Schlüssel!$BU$1</f>
        <v>15.02./16.02.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Schlüssel!$BK$2</f>
        <v>Regensburg Super Bowl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VLOOKUP(B89,Schlüssel!$A$5:$DZ$14,63)</f>
        <v>2</v>
      </c>
      <c r="E109" s="349"/>
      <c r="F109" s="349">
        <f>VLOOKUP(B89,Schlüssel!$A$5:$DZ$14,64)</f>
        <v>3</v>
      </c>
      <c r="G109" s="349"/>
      <c r="H109" s="349">
        <f>VLOOKUP(B89,Schlüssel!$A$5:$DZ$14,65)</f>
        <v>10</v>
      </c>
      <c r="I109" s="349"/>
      <c r="J109" s="349">
        <f>VLOOKUP(B89,Schlüssel!$A$5:$DZ$14,66)</f>
        <v>1</v>
      </c>
      <c r="K109" s="349"/>
      <c r="L109" s="349">
        <f>VLOOKUP(B89,Schlüssel!$A$5:$DZ$14,67)</f>
        <v>8</v>
      </c>
      <c r="M109" s="349"/>
      <c r="N109" s="349">
        <f>VLOOKUP(B89,Schlüssel!$A$5:$DZ$14,68)</f>
        <v>7</v>
      </c>
      <c r="O109" s="349"/>
      <c r="P109" s="349">
        <f>VLOOKUP(B89,Schlüssel!$A$5:$DZ$14,69)</f>
        <v>9</v>
      </c>
      <c r="Q109" s="349"/>
      <c r="R109" s="349">
        <f>VLOOKUP(B89,Schlüssel!$A$5:$DZ$14,70)</f>
        <v>5</v>
      </c>
      <c r="S109" s="349"/>
      <c r="T109" s="349">
        <f>VLOOKUP(B89,Schlüssel!$A$5:$DZ$14,71)</f>
        <v>6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Bajuwaren München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High Roller Rosenheim 1</v>
      </c>
      <c r="I110" s="347"/>
      <c r="J110" s="346" t="str">
        <f>VLOOKUP(J109,Schlüssel!$A$5:$K$14,2)</f>
        <v>BC Comet Nürnberg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RW Lichtenhof Stein 1</v>
      </c>
      <c r="S110" s="347"/>
      <c r="T110" s="346" t="str">
        <f>VLOOKUP(T109,Schlüssel!$A$5:$K$14,2)</f>
        <v>SG Rottendorf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Schlüssel!$BU$1</f>
        <v>15.02./16.02.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Schlüssel!$BK$2</f>
        <v>Regensburg Super Bowl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VLOOKUP(B118,Schlüssel!$A$5:$DZ$14,63)</f>
        <v>7</v>
      </c>
      <c r="E138" s="349"/>
      <c r="F138" s="349">
        <f>VLOOKUP(B118,Schlüssel!$A$5:$DZ$14,64)</f>
        <v>2</v>
      </c>
      <c r="G138" s="349"/>
      <c r="H138" s="349">
        <f>VLOOKUP(B118,Schlüssel!$A$5:$DZ$14,65)</f>
        <v>3</v>
      </c>
      <c r="I138" s="349"/>
      <c r="J138" s="349">
        <f>VLOOKUP(B118,Schlüssel!$A$5:$DZ$14,66)</f>
        <v>8</v>
      </c>
      <c r="K138" s="349"/>
      <c r="L138" s="349">
        <f>VLOOKUP(B118,Schlüssel!$A$5:$DZ$14,67)</f>
        <v>10</v>
      </c>
      <c r="M138" s="349"/>
      <c r="N138" s="349">
        <f>VLOOKUP(B118,Schlüssel!$A$5:$DZ$14,68)</f>
        <v>9</v>
      </c>
      <c r="O138" s="349"/>
      <c r="P138" s="349">
        <f>VLOOKUP(B118,Schlüssel!$A$5:$DZ$14,69)</f>
        <v>6</v>
      </c>
      <c r="Q138" s="349"/>
      <c r="R138" s="349">
        <f>VLOOKUP(B118,Schlüssel!$A$5:$DZ$14,70)</f>
        <v>4</v>
      </c>
      <c r="S138" s="349"/>
      <c r="T138" s="349">
        <f>VLOOKUP(B118,Schlüssel!$A$5:$DZ$14,71)</f>
        <v>1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Schanzer Ingolstadt 1</v>
      </c>
      <c r="E139" s="347"/>
      <c r="F139" s="346" t="str">
        <f>VLOOKUP(F138,Schlüssel!$A$5:$K$14,2)</f>
        <v>Bajuwaren München 1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Bowlinghaus Bamberg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SG DJK Rimpar</v>
      </c>
      <c r="S139" s="347"/>
      <c r="T139" s="346" t="str">
        <f>VLOOKUP(T138,Schlüssel!$A$5:$K$14,2)</f>
        <v>BC Comet Nürnberg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Schlüssel!$BU$1</f>
        <v>15.02./16.02.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Schlüssel!$BK$2</f>
        <v>Regensburg Super Bowl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VLOOKUP(B147,Schlüssel!$A$5:$DZ$14,63)</f>
        <v>9</v>
      </c>
      <c r="E167" s="349"/>
      <c r="F167" s="349">
        <f>VLOOKUP(B147,Schlüssel!$A$5:$DZ$14,64)</f>
        <v>10</v>
      </c>
      <c r="G167" s="349"/>
      <c r="H167" s="349">
        <f>VLOOKUP(B147,Schlüssel!$A$5:$DZ$14,65)</f>
        <v>8</v>
      </c>
      <c r="I167" s="349"/>
      <c r="J167" s="349">
        <f>VLOOKUP(B147,Schlüssel!$A$5:$DZ$14,66)</f>
        <v>2</v>
      </c>
      <c r="K167" s="349"/>
      <c r="L167" s="349">
        <f>VLOOKUP(B147,Schlüssel!$A$5:$DZ$14,67)</f>
        <v>1</v>
      </c>
      <c r="M167" s="349"/>
      <c r="N167" s="349">
        <f>VLOOKUP(B147,Schlüssel!$A$5:$DZ$14,68)</f>
        <v>3</v>
      </c>
      <c r="O167" s="349"/>
      <c r="P167" s="349">
        <f>VLOOKUP(B147,Schlüssel!$A$5:$DZ$14,69)</f>
        <v>5</v>
      </c>
      <c r="Q167" s="349"/>
      <c r="R167" s="349">
        <f>VLOOKUP(B147,Schlüssel!$A$5:$DZ$14,70)</f>
        <v>7</v>
      </c>
      <c r="S167" s="349"/>
      <c r="T167" s="349">
        <f>VLOOKUP(B147,Schlüssel!$A$5:$DZ$14,71)</f>
        <v>4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Bowlinghaus Bamberg 1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BC EMAX Unterföhring 2</v>
      </c>
      <c r="I168" s="347"/>
      <c r="J168" s="346" t="str">
        <f>VLOOKUP(J167,Schlüssel!$A$5:$K$14,2)</f>
        <v>Bajuwaren München 1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SG DJK Rimpar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Schlüssel!$BU$1</f>
        <v>15.02./16.02.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Schlüssel!$BK$2</f>
        <v>Regensburg Super Bowl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VLOOKUP(B176,Schlüssel!$A$5:$DZ$14,63)</f>
        <v>5</v>
      </c>
      <c r="E196" s="349"/>
      <c r="F196" s="349">
        <f>VLOOKUP(B176,Schlüssel!$A$5:$DZ$14,64)</f>
        <v>8</v>
      </c>
      <c r="G196" s="349"/>
      <c r="H196" s="349">
        <f>VLOOKUP(B176,Schlüssel!$A$5:$DZ$14,65)</f>
        <v>1</v>
      </c>
      <c r="I196" s="349"/>
      <c r="J196" s="349">
        <f>VLOOKUP(B176,Schlüssel!$A$5:$DZ$14,66)</f>
        <v>3</v>
      </c>
      <c r="K196" s="349"/>
      <c r="L196" s="349">
        <f>VLOOKUP(B176,Schlüssel!$A$5:$DZ$14,67)</f>
        <v>2</v>
      </c>
      <c r="M196" s="349"/>
      <c r="N196" s="349">
        <f>VLOOKUP(B176,Schlüssel!$A$5:$DZ$14,68)</f>
        <v>4</v>
      </c>
      <c r="O196" s="349"/>
      <c r="P196" s="349">
        <f>VLOOKUP(B176,Schlüssel!$A$5:$DZ$14,69)</f>
        <v>10</v>
      </c>
      <c r="Q196" s="349"/>
      <c r="R196" s="349">
        <f>VLOOKUP(B176,Schlüssel!$A$5:$DZ$14,70)</f>
        <v>6</v>
      </c>
      <c r="S196" s="349"/>
      <c r="T196" s="349">
        <f>VLOOKUP(B176,Schlüssel!$A$5:$DZ$14,71)</f>
        <v>9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RW Lichtenhof Stein 1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BC Comet Nürnberg</v>
      </c>
      <c r="I197" s="347"/>
      <c r="J197" s="346" t="str">
        <f>VLOOKUP(J196,Schlüssel!$A$5:$K$14,2)</f>
        <v>BK München 3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Bowlinghaus Bamberg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Schlüssel!$BU$1</f>
        <v>15.02./16.02.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Schlüssel!$BK$2</f>
        <v>Regensburg Super Bowl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VLOOKUP(B205,Schlüssel!$A$5:$DZ$14,63)</f>
        <v>3</v>
      </c>
      <c r="E225" s="349"/>
      <c r="F225" s="349">
        <f>VLOOKUP(B205,Schlüssel!$A$5:$DZ$14,64)</f>
        <v>7</v>
      </c>
      <c r="G225" s="349"/>
      <c r="H225" s="349">
        <f>VLOOKUP(B205,Schlüssel!$A$5:$DZ$14,65)</f>
        <v>6</v>
      </c>
      <c r="I225" s="349"/>
      <c r="J225" s="349">
        <f>VLOOKUP(B205,Schlüssel!$A$5:$DZ$14,66)</f>
        <v>5</v>
      </c>
      <c r="K225" s="349"/>
      <c r="L225" s="349">
        <f>VLOOKUP(B205,Schlüssel!$A$5:$DZ$14,67)</f>
        <v>4</v>
      </c>
      <c r="M225" s="349"/>
      <c r="N225" s="349">
        <f>VLOOKUP(B205,Schlüssel!$A$5:$DZ$14,68)</f>
        <v>10</v>
      </c>
      <c r="O225" s="349"/>
      <c r="P225" s="349">
        <f>VLOOKUP(B205,Schlüssel!$A$5:$DZ$14,69)</f>
        <v>1</v>
      </c>
      <c r="Q225" s="349"/>
      <c r="R225" s="349">
        <f>VLOOKUP(B205,Schlüssel!$A$5:$DZ$14,70)</f>
        <v>9</v>
      </c>
      <c r="S225" s="349"/>
      <c r="T225" s="349">
        <f>VLOOKUP(B205,Schlüssel!$A$5:$DZ$14,71)</f>
        <v>2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BK München 3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SG Rottendorf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High Roller Rosenheim 1</v>
      </c>
      <c r="O226" s="347"/>
      <c r="P226" s="346" t="str">
        <f>VLOOKUP(P225,Schlüssel!$A$5:$K$14,2)</f>
        <v>BC Comet Nürnberg</v>
      </c>
      <c r="Q226" s="347"/>
      <c r="R226" s="346" t="str">
        <f>VLOOKUP(R225,Schlüssel!$A$5:$K$14,2)</f>
        <v>Bowlinghaus Bamberg 1</v>
      </c>
      <c r="S226" s="347"/>
      <c r="T226" s="346" t="str">
        <f>VLOOKUP(T225,Schlüssel!$A$5:$K$14,2)</f>
        <v>Bajuwaren München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Schlüssel!$BU$1</f>
        <v>15.02./16.02.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Schlüssel!$BK$2</f>
        <v>Regensburg Super Bowl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VLOOKUP(B234,Schlüssel!$A$5:$DZ$14,63)</f>
        <v>6</v>
      </c>
      <c r="E254" s="349"/>
      <c r="F254" s="349">
        <f>VLOOKUP(B234,Schlüssel!$A$5:$DZ$14,64)</f>
        <v>1</v>
      </c>
      <c r="G254" s="349"/>
      <c r="H254" s="349">
        <f>VLOOKUP(B234,Schlüssel!$A$5:$DZ$14,65)</f>
        <v>2</v>
      </c>
      <c r="I254" s="349"/>
      <c r="J254" s="349">
        <f>VLOOKUP(B234,Schlüssel!$A$5:$DZ$14,66)</f>
        <v>10</v>
      </c>
      <c r="K254" s="349"/>
      <c r="L254" s="349">
        <f>VLOOKUP(B234,Schlüssel!$A$5:$DZ$14,67)</f>
        <v>3</v>
      </c>
      <c r="M254" s="349"/>
      <c r="N254" s="349">
        <f>VLOOKUP(B234,Schlüssel!$A$5:$DZ$14,68)</f>
        <v>5</v>
      </c>
      <c r="O254" s="349"/>
      <c r="P254" s="349">
        <f>VLOOKUP(B234,Schlüssel!$A$5:$DZ$14,69)</f>
        <v>4</v>
      </c>
      <c r="Q254" s="349"/>
      <c r="R254" s="349">
        <f>VLOOKUP(B234,Schlüssel!$A$5:$DZ$14,70)</f>
        <v>8</v>
      </c>
      <c r="S254" s="349"/>
      <c r="T254" s="349">
        <f>VLOOKUP(B234,Schlüssel!$A$5:$DZ$14,71)</f>
        <v>7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Rottendorf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Bajuwaren München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RW Lichtenhof Stein 1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EMAX Unterföhring 2</v>
      </c>
      <c r="S255" s="347"/>
      <c r="T255" s="346" t="str">
        <f>VLOOKUP(T254,Schlüssel!$A$5:$K$14,2)</f>
        <v>Schanzer Ingolstadt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Schlüssel!$BU$1</f>
        <v>15.02./16.02.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Schlüssel!$BK$2</f>
        <v>Regensburg Super Bowl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VLOOKUP(B263,Schlüssel!$A$5:$DZ$14,63)</f>
        <v>1</v>
      </c>
      <c r="E283" s="349"/>
      <c r="F283" s="349">
        <f>VLOOKUP(B263,Schlüssel!$A$5:$DZ$14,64)</f>
        <v>6</v>
      </c>
      <c r="G283" s="349"/>
      <c r="H283" s="349">
        <f>VLOOKUP(B263,Schlüssel!$A$5:$DZ$14,65)</f>
        <v>4</v>
      </c>
      <c r="I283" s="349"/>
      <c r="J283" s="349">
        <f>VLOOKUP(B263,Schlüssel!$A$5:$DZ$14,66)</f>
        <v>9</v>
      </c>
      <c r="K283" s="349"/>
      <c r="L283" s="349">
        <f>VLOOKUP(B263,Schlüssel!$A$5:$DZ$14,67)</f>
        <v>5</v>
      </c>
      <c r="M283" s="349"/>
      <c r="N283" s="349">
        <f>VLOOKUP(B263,Schlüssel!$A$5:$DZ$14,68)</f>
        <v>8</v>
      </c>
      <c r="O283" s="349"/>
      <c r="P283" s="349">
        <f>VLOOKUP(B263,Schlüssel!$A$5:$DZ$14,69)</f>
        <v>7</v>
      </c>
      <c r="Q283" s="349"/>
      <c r="R283" s="349">
        <f>VLOOKUP(B263,Schlüssel!$A$5:$DZ$14,70)</f>
        <v>2</v>
      </c>
      <c r="S283" s="349"/>
      <c r="T283" s="349">
        <f>VLOOKUP(B263,Schlüssel!$A$5:$DZ$14,71)</f>
        <v>3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Comet Nürnberg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SG DJK Rimpar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BC EMAX Unterföhring 2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Bajuwaren München 1</v>
      </c>
      <c r="S284" s="347"/>
      <c r="T284" s="346" t="str">
        <f>VLOOKUP(T283,Schlüssel!$A$5:$K$14,2)</f>
        <v>BK München 3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6" width="5.6640625" hidden="1" customWidth="1"/>
    <col min="7" max="7" width="7.77734375" customWidth="1"/>
    <col min="8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15.02./16.02.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15.02./16.02.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51">
        <f>IF(AD7="","",AD7)</f>
        <v>1</v>
      </c>
      <c r="F7" s="75">
        <f t="shared" ref="F7:F20" si="0">IF(AE7=0,"",AE7)</f>
        <v>231</v>
      </c>
      <c r="G7" s="351">
        <f>IF(AF7="","",AF7)</f>
        <v>1</v>
      </c>
      <c r="H7" s="75">
        <f t="shared" ref="H7:H20" si="1">IF(AG7=0,"",AG7)</f>
        <v>164</v>
      </c>
      <c r="I7" s="351">
        <f>IF(AH7="","",AH7)</f>
        <v>1</v>
      </c>
      <c r="J7" s="75">
        <f t="shared" ref="J7:J20" si="2">IF(AI7=0,"",AI7)</f>
        <v>203</v>
      </c>
      <c r="K7" s="351">
        <f>IF(AJ7="","",AJ7)</f>
        <v>1</v>
      </c>
      <c r="L7" s="75">
        <f t="shared" ref="L7:L20" si="3">IF(AK7=0,"",AK7)</f>
        <v>192</v>
      </c>
      <c r="M7" s="351">
        <f>IF(AL7="","",AL7)</f>
        <v>1</v>
      </c>
      <c r="N7" s="75">
        <f>IF(AM7=0,"",AM7)</f>
        <v>216</v>
      </c>
      <c r="O7" s="351">
        <f>IF(AN7="","",AN7)</f>
        <v>1</v>
      </c>
      <c r="P7" s="75">
        <f t="shared" ref="P7:P20" si="4">IF(AO7=0,"",AO7)</f>
        <v>172</v>
      </c>
      <c r="Q7" s="351">
        <f>IF(AP7="","",AP7)</f>
        <v>1</v>
      </c>
      <c r="R7" s="75">
        <f t="shared" ref="R7:R20" si="5">IF(AQ7=0,"",AQ7)</f>
        <v>202</v>
      </c>
      <c r="S7" s="351">
        <f>IF(AR7="","",AR7)</f>
        <v>0</v>
      </c>
      <c r="T7" s="75">
        <f t="shared" ref="T7:T20" si="6">IF(AS7=0,"",AS7)</f>
        <v>183</v>
      </c>
      <c r="U7" s="351">
        <f>IF(AT7="","",AT7)</f>
        <v>1</v>
      </c>
      <c r="V7" s="75">
        <f t="shared" ref="V7:V20" si="7">IF(AU7=0,"",AU7)</f>
        <v>1799</v>
      </c>
      <c r="W7" s="351">
        <f>IF(AV7="","",AV7)</f>
        <v>8</v>
      </c>
      <c r="Z7" s="354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51">
        <f>IF(AD10="","",AD10)</f>
        <v>0</v>
      </c>
      <c r="F10" s="75">
        <f t="shared" si="0"/>
        <v>198</v>
      </c>
      <c r="G10" s="351">
        <f>IF(AF10="","",AF10)</f>
        <v>1</v>
      </c>
      <c r="H10" s="75">
        <f t="shared" si="1"/>
        <v>175</v>
      </c>
      <c r="I10" s="351">
        <f>IF(AH10="","",AH10)</f>
        <v>1</v>
      </c>
      <c r="J10" s="75">
        <f t="shared" si="2"/>
        <v>149</v>
      </c>
      <c r="K10" s="351">
        <f>IF(AJ10="","",AJ10)</f>
        <v>0</v>
      </c>
      <c r="L10" s="75" t="str">
        <f t="shared" si="3"/>
        <v/>
      </c>
      <c r="M10" s="351">
        <f>IF(AL10="","",AL10)</f>
        <v>0</v>
      </c>
      <c r="N10" s="75" t="str">
        <f t="shared" si="20"/>
        <v/>
      </c>
      <c r="O10" s="351">
        <f>IF(AN10="","",AN10)</f>
        <v>1</v>
      </c>
      <c r="P10" s="75" t="str">
        <f t="shared" si="4"/>
        <v/>
      </c>
      <c r="Q10" s="351">
        <f>IF(AP10="","",AP10)</f>
        <v>1</v>
      </c>
      <c r="R10" s="75" t="str">
        <f t="shared" si="5"/>
        <v/>
      </c>
      <c r="S10" s="351">
        <f>IF(AR10="","",AR10)</f>
        <v>1</v>
      </c>
      <c r="T10" s="75" t="str">
        <f t="shared" si="6"/>
        <v/>
      </c>
      <c r="U10" s="351">
        <f>IF(AT10="","",AT10)</f>
        <v>1</v>
      </c>
      <c r="V10" s="75">
        <f t="shared" si="7"/>
        <v>683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>
        <f t="shared" si="3"/>
        <v>171</v>
      </c>
      <c r="M11" s="352"/>
      <c r="N11" s="78">
        <f t="shared" si="20"/>
        <v>193</v>
      </c>
      <c r="O11" s="352"/>
      <c r="P11" s="78">
        <f t="shared" si="4"/>
        <v>204</v>
      </c>
      <c r="Q11" s="352"/>
      <c r="R11" s="78">
        <f t="shared" si="5"/>
        <v>207</v>
      </c>
      <c r="S11" s="352"/>
      <c r="T11" s="78">
        <f t="shared" si="6"/>
        <v>197</v>
      </c>
      <c r="U11" s="352"/>
      <c r="V11" s="78">
        <f t="shared" si="7"/>
        <v>972</v>
      </c>
      <c r="W11" s="352"/>
      <c r="Z11" s="355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51">
        <f>IF(AD13="","",AD13)</f>
        <v>0</v>
      </c>
      <c r="F13" s="75">
        <f t="shared" si="0"/>
        <v>193</v>
      </c>
      <c r="G13" s="351">
        <f>IF(AF13="","",AF13)</f>
        <v>0</v>
      </c>
      <c r="H13" s="75">
        <f t="shared" si="1"/>
        <v>201</v>
      </c>
      <c r="I13" s="351">
        <f>IF(AH13="","",AH13)</f>
        <v>1</v>
      </c>
      <c r="J13" s="75">
        <f t="shared" si="2"/>
        <v>168</v>
      </c>
      <c r="K13" s="351">
        <f>IF(AJ13="","",AJ13)</f>
        <v>0</v>
      </c>
      <c r="L13" s="75">
        <f t="shared" si="3"/>
        <v>180</v>
      </c>
      <c r="M13" s="351">
        <f>IF(AL13="","",AL13)</f>
        <v>1</v>
      </c>
      <c r="N13" s="75">
        <f t="shared" si="20"/>
        <v>183</v>
      </c>
      <c r="O13" s="351">
        <f>IF(AN13="","",AN13)</f>
        <v>1</v>
      </c>
      <c r="P13" s="75">
        <f t="shared" si="4"/>
        <v>199</v>
      </c>
      <c r="Q13" s="351">
        <f>IF(AP13="","",AP13)</f>
        <v>1</v>
      </c>
      <c r="R13" s="75">
        <f t="shared" si="5"/>
        <v>207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1697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51">
        <f>IF(AD16="","",AD16)</f>
        <v>1</v>
      </c>
      <c r="F16" s="75">
        <f t="shared" si="0"/>
        <v>212</v>
      </c>
      <c r="G16" s="351">
        <f>IF(AF16="","",AF16)</f>
        <v>0</v>
      </c>
      <c r="H16" s="75">
        <f t="shared" si="1"/>
        <v>206</v>
      </c>
      <c r="I16" s="351">
        <f>IF(AH16="","",AH16)</f>
        <v>1</v>
      </c>
      <c r="J16" s="75">
        <f t="shared" si="2"/>
        <v>245</v>
      </c>
      <c r="K16" s="351">
        <f>IF(AJ16="","",AJ16)</f>
        <v>1</v>
      </c>
      <c r="L16" s="75">
        <f t="shared" si="3"/>
        <v>214</v>
      </c>
      <c r="M16" s="351">
        <f>IF(AL16="","",AL16)</f>
        <v>1</v>
      </c>
      <c r="N16" s="75">
        <f t="shared" si="20"/>
        <v>164</v>
      </c>
      <c r="O16" s="351">
        <f>IF(AN16="","",AN16)</f>
        <v>1</v>
      </c>
      <c r="P16" s="75">
        <f t="shared" si="4"/>
        <v>193</v>
      </c>
      <c r="Q16" s="351">
        <f>IF(AP16="","",AP16)</f>
        <v>1</v>
      </c>
      <c r="R16" s="75">
        <f t="shared" si="5"/>
        <v>186</v>
      </c>
      <c r="S16" s="351">
        <f>IF(AR16="","",AR16)</f>
        <v>0</v>
      </c>
      <c r="T16" s="75">
        <f t="shared" si="6"/>
        <v>190</v>
      </c>
      <c r="U16" s="351">
        <f>IF(AT16="","",AT16)</f>
        <v>1</v>
      </c>
      <c r="V16" s="75">
        <f t="shared" si="7"/>
        <v>1818</v>
      </c>
      <c r="W16" s="351">
        <f>IF(AV16="","",AV16)</f>
        <v>7</v>
      </c>
      <c r="Z16" s="354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10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7</v>
      </c>
      <c r="I22" s="349" t="str">
        <f t="shared" si="31"/>
        <v/>
      </c>
      <c r="J22" s="349">
        <f t="shared" si="31"/>
        <v>4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2</v>
      </c>
      <c r="O22" s="349" t="str">
        <f t="shared" si="31"/>
        <v/>
      </c>
      <c r="P22" s="349">
        <f t="shared" si="31"/>
        <v>8</v>
      </c>
      <c r="Q22" s="349" t="str">
        <f t="shared" si="31"/>
        <v/>
      </c>
      <c r="R22" s="349">
        <f t="shared" ref="L22:U24" si="32">IF(AQ22=0,"",AQ22)</f>
        <v>3</v>
      </c>
      <c r="S22" s="349" t="str">
        <f t="shared" si="32"/>
        <v/>
      </c>
      <c r="T22" s="349">
        <f t="shared" si="32"/>
        <v>5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VLOOKUP($AA2,Schlüssel!$A$5:$DG$14,63)</f>
        <v>10</v>
      </c>
      <c r="AD22" s="374"/>
      <c r="AE22" s="373">
        <f>VLOOKUP($AA2,Schlüssel!$A$5:$EK$14,64)</f>
        <v>9</v>
      </c>
      <c r="AF22" s="374"/>
      <c r="AG22" s="373">
        <f>VLOOKUP($AA2,Schlüssel!$A$5:$EK$14,65)</f>
        <v>7</v>
      </c>
      <c r="AH22" s="374"/>
      <c r="AI22" s="373">
        <f>VLOOKUP($AA2,Schlüssel!$A$5:$EK$14,66)</f>
        <v>4</v>
      </c>
      <c r="AJ22" s="374"/>
      <c r="AK22" s="373">
        <f>VLOOKUP($AA2,Schlüssel!$A$5:$EK$14,67)</f>
        <v>6</v>
      </c>
      <c r="AL22" s="374"/>
      <c r="AM22" s="373">
        <f>VLOOKUP($AA2,Schlüssel!$A$5:$EK$14,68)</f>
        <v>2</v>
      </c>
      <c r="AN22" s="374"/>
      <c r="AO22" s="373">
        <f>VLOOKUP($AA2,Schlüssel!$A$5:$EK$14,69)</f>
        <v>8</v>
      </c>
      <c r="AP22" s="374"/>
      <c r="AQ22" s="373">
        <f>VLOOKUP($AA2,Schlüssel!$A$5:$EK$14,70)</f>
        <v>3</v>
      </c>
      <c r="AR22" s="374"/>
      <c r="AS22" s="373">
        <f>VLOOKUP($AA2,Schlüssel!$A$5:$EK$14,71)</f>
        <v>5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High Roller Rosenheim 1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Schanzer Ingolstadt 1</v>
      </c>
      <c r="I23" s="347" t="str">
        <f t="shared" si="33"/>
        <v/>
      </c>
      <c r="J23" s="346" t="str">
        <f t="shared" si="33"/>
        <v>SG DJK Rimpar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Bajuwaren München 1</v>
      </c>
      <c r="O23" s="347" t="str">
        <f t="shared" si="32"/>
        <v/>
      </c>
      <c r="P23" s="346" t="str">
        <f t="shared" si="32"/>
        <v>BC EMAX Unterföhring 2</v>
      </c>
      <c r="Q23" s="347" t="str">
        <f t="shared" si="32"/>
        <v/>
      </c>
      <c r="R23" s="346" t="str">
        <f t="shared" si="32"/>
        <v>BK München 3</v>
      </c>
      <c r="S23" s="347" t="str">
        <f t="shared" si="32"/>
        <v/>
      </c>
      <c r="T23" s="346" t="str">
        <f t="shared" si="32"/>
        <v>RW Lichtenhof Stein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High Roller Rosenheim 1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Schanzer Ingolstadt 1</v>
      </c>
      <c r="AH23" s="347"/>
      <c r="AI23" s="346" t="str">
        <f>VLOOKUP(AI22,Schlüssel!$A$5:$K$14,2)</f>
        <v>SG DJK Rimpar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Bajuwaren München 1</v>
      </c>
      <c r="AN23" s="347"/>
      <c r="AO23" s="346" t="str">
        <f>VLOOKUP(AO22,Schlüssel!$A$5:$K$14,2)</f>
        <v>BC EMAX Unterföhring 2</v>
      </c>
      <c r="AP23" s="347"/>
      <c r="AQ23" s="346" t="str">
        <f>VLOOKUP(AQ22,Schlüssel!$A$5:$K$14,2)</f>
        <v>BK München 3</v>
      </c>
      <c r="AR23" s="347"/>
      <c r="AS23" s="346" t="str">
        <f>VLOOKUP(AS22,Schlüssel!$A$5:$K$14,2)</f>
        <v>RW Lichtenhof Stein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195</v>
      </c>
      <c r="G25" s="342" t="str">
        <f>IF(AF25=0,"",AF25)</f>
        <v/>
      </c>
      <c r="H25" s="342">
        <f>IF(AG25=301,"",AG25)</f>
        <v>152</v>
      </c>
      <c r="I25" s="342" t="str">
        <f>IF(AH25=0,"",AH25)</f>
        <v/>
      </c>
      <c r="J25" s="342">
        <f>IF(AI25=301,"",AI25)</f>
        <v>174</v>
      </c>
      <c r="K25" s="342" t="str">
        <f>IF(AJ25=0,"",AJ25)</f>
        <v/>
      </c>
      <c r="L25" s="342">
        <f>IF(AK25=301,"",AK25)</f>
        <v>157</v>
      </c>
      <c r="M25" s="342" t="str">
        <f>IF(AL25=0,"",AL25)</f>
        <v/>
      </c>
      <c r="N25" s="342">
        <f>IF(AM25=301,"",AM25)</f>
        <v>182</v>
      </c>
      <c r="O25" s="342" t="str">
        <f>IF(AN25=0,"",AN25)</f>
        <v/>
      </c>
      <c r="P25" s="342">
        <f>IF(AO25=301,"",AO25)</f>
        <v>166</v>
      </c>
      <c r="Q25" s="342" t="str">
        <f>IF(AP25=0,"",AP25)</f>
        <v/>
      </c>
      <c r="R25" s="342">
        <f>IF(AQ25=301,"",AQ25)</f>
        <v>236</v>
      </c>
      <c r="S25" s="342" t="str">
        <f>IF(AR25=0,"",AR25)</f>
        <v/>
      </c>
      <c r="T25" s="342">
        <f>IF(AS25=301,"",AS25)</f>
        <v>162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195</v>
      </c>
      <c r="AF25" s="376"/>
      <c r="AG25" s="375">
        <f>ABS(INDEX(AG:AG,MATCH(AG22,$AA:$AA,0)+5)+INDEX(AG:AG,MATCH(AG22,$AA:$AA,0)+6)+INDEX(AG:AG,MATCH(AG22,$AA:$AA,0)+7))</f>
        <v>152</v>
      </c>
      <c r="AH25" s="376"/>
      <c r="AI25" s="375">
        <f>ABS(INDEX(AI:AI,MATCH(AI22,$AA:$AA,0)+5)+INDEX(AI:AI,MATCH(AI22,$AA:$AA,0)+6)+INDEX(AI:AI,MATCH(AI22,$AA:$AA,0)+7))</f>
        <v>174</v>
      </c>
      <c r="AJ25" s="376"/>
      <c r="AK25" s="375">
        <f>ABS(INDEX(AK:AK,MATCH(AK22,$AA:$AA,0)+5)+INDEX(AK:AK,MATCH(AK22,$AA:$AA,0)+6)+INDEX(AK:AK,MATCH(AK22,$AA:$AA,0)+7))</f>
        <v>157</v>
      </c>
      <c r="AL25" s="376"/>
      <c r="AM25" s="375">
        <f>ABS(INDEX(AM:AM,MATCH(AM22,$AA:$AA,0)+5)+INDEX(AM:AM,MATCH(AM22,$AA:$AA,0)+6)+INDEX(AM:AM,MATCH(AM22,$AA:$AA,0)+7))</f>
        <v>182</v>
      </c>
      <c r="AN25" s="376"/>
      <c r="AO25" s="375">
        <f>ABS(INDEX(AO:AO,MATCH(AO22,$AA:$AA,0)+5)+INDEX(AO:AO,MATCH(AO22,$AA:$AA,0)+6)+INDEX(AO:AO,MATCH(AO22,$AA:$AA,0)+7))</f>
        <v>166</v>
      </c>
      <c r="AP25" s="376"/>
      <c r="AQ25" s="375">
        <f>ABS(INDEX(AQ:AQ,MATCH(AQ22,$AA:$AA,0)+5)+INDEX(AQ:AQ,MATCH(AQ22,$AA:$AA,0)+6)+INDEX(AQ:AQ,MATCH(AQ22,$AA:$AA,0)+7))</f>
        <v>236</v>
      </c>
      <c r="AR25" s="376"/>
      <c r="AS25" s="375">
        <f>ABS(INDEX(AS:AS,MATCH(AS22,$AA:$AA,0)+5)+INDEX(AS:AS,MATCH(AS22,$AA:$AA,0)+6)+INDEX(AS:AS,MATCH(AS22,$AA:$AA,0)+7))</f>
        <v>162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164</v>
      </c>
      <c r="E26" s="342" t="str">
        <f>IF(AD26=0,"",AD26)</f>
        <v/>
      </c>
      <c r="F26" s="342">
        <f>IF(AE26=301,"",AE26)</f>
        <v>148</v>
      </c>
      <c r="G26" s="342" t="str">
        <f>IF(AF26=0,"",AF26)</f>
        <v/>
      </c>
      <c r="H26" s="342">
        <f>IF(AG26=301,"",AG26)</f>
        <v>137</v>
      </c>
      <c r="I26" s="342" t="str">
        <f>IF(AH26=0,"",AH26)</f>
        <v/>
      </c>
      <c r="J26" s="342">
        <f>IF(AI26=301,"",AI26)</f>
        <v>164</v>
      </c>
      <c r="K26" s="342" t="str">
        <f>IF(AJ26=0,"",AJ26)</f>
        <v/>
      </c>
      <c r="L26" s="342">
        <f>IF(AK26=301,"",AK26)</f>
        <v>173</v>
      </c>
      <c r="M26" s="342" t="str">
        <f>IF(AL26=0,"",AL26)</f>
        <v/>
      </c>
      <c r="N26" s="342">
        <f>IF(AM26=301,"",AM26)</f>
        <v>145</v>
      </c>
      <c r="O26" s="342" t="str">
        <f>IF(AN26=0,"",AN26)</f>
        <v/>
      </c>
      <c r="P26" s="342">
        <f>IF(AO26=301,"",AO26)</f>
        <v>144</v>
      </c>
      <c r="Q26" s="342" t="str">
        <f>IF(AP26=0,"",AP26)</f>
        <v/>
      </c>
      <c r="R26" s="342">
        <f>IF(AQ26=301,"",AQ26)</f>
        <v>205</v>
      </c>
      <c r="S26" s="342" t="str">
        <f>IF(AR26=0,"",AR26)</f>
        <v/>
      </c>
      <c r="T26" s="342">
        <f>IF(AS26=301,"",AS26)</f>
        <v>159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164</v>
      </c>
      <c r="AD26" s="378"/>
      <c r="AE26" s="377">
        <f>ABS(INDEX(AE:AE,MATCH(AE22,$AA:$AA,0)+8)+INDEX(AE:AE,MATCH(AE22,$AA:$AA,0)+9)+INDEX(AE:AE,MATCH(AE22,$AA:$AA,0)+10))</f>
        <v>148</v>
      </c>
      <c r="AF26" s="378"/>
      <c r="AG26" s="377">
        <f>ABS(INDEX(AG:AG,MATCH(AG22,$AA:$AA,0)+8)+INDEX(AG:AG,MATCH(AG22,$AA:$AA,0)+9)+INDEX(AG:AG,MATCH(AG22,$AA:$AA,0)+10))</f>
        <v>137</v>
      </c>
      <c r="AH26" s="378"/>
      <c r="AI26" s="377">
        <f>ABS(INDEX(AI:AI,MATCH(AI22,$AA:$AA,0)+8)+INDEX(AI:AI,MATCH(AI22,$AA:$AA,0)+9)+INDEX(AI:AI,MATCH(AI22,$AA:$AA,0)+10))</f>
        <v>164</v>
      </c>
      <c r="AJ26" s="378"/>
      <c r="AK26" s="377">
        <f>ABS(INDEX(AK:AK,MATCH(AK22,$AA:$AA,0)+8)+INDEX(AK:AK,MATCH(AK22,$AA:$AA,0)+9)+INDEX(AK:AK,MATCH(AK22,$AA:$AA,0)+10))</f>
        <v>173</v>
      </c>
      <c r="AL26" s="378"/>
      <c r="AM26" s="377">
        <f>ABS(INDEX(AM:AM,MATCH(AM22,$AA:$AA,0)+8)+INDEX(AM:AM,MATCH(AM22,$AA:$AA,0)+9)+INDEX(AM:AM,MATCH(AM22,$AA:$AA,0)+10))</f>
        <v>145</v>
      </c>
      <c r="AN26" s="378"/>
      <c r="AO26" s="377">
        <f>ABS(INDEX(AO:AO,MATCH(AO22,$AA:$AA,0)+8)+INDEX(AO:AO,MATCH(AO22,$AA:$AA,0)+9)+INDEX(AO:AO,MATCH(AO22,$AA:$AA,0)+10))</f>
        <v>144</v>
      </c>
      <c r="AP26" s="378"/>
      <c r="AQ26" s="377">
        <f>ABS(INDEX(AQ:AQ,MATCH(AQ22,$AA:$AA,0)+8)+INDEX(AQ:AQ,MATCH(AQ22,$AA:$AA,0)+9)+INDEX(AQ:AQ,MATCH(AQ22,$AA:$AA,0)+10))</f>
        <v>205</v>
      </c>
      <c r="AR26" s="378"/>
      <c r="AS26" s="377">
        <f>ABS(INDEX(AS:AS,MATCH(AS22,$AA:$AA,0)+8)+INDEX(AS:AS,MATCH(AS22,$AA:$AA,0)+9)+INDEX(AS:AS,MATCH(AS22,$AA:$AA,0)+10))</f>
        <v>159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180</v>
      </c>
      <c r="E27" s="342" t="str">
        <f>IF(AD27=0,"",AD27)</f>
        <v/>
      </c>
      <c r="F27" s="342">
        <f>IF(AE27=301,"",AE27)</f>
        <v>215</v>
      </c>
      <c r="G27" s="342" t="str">
        <f>IF(AF27=0,"",AF27)</f>
        <v/>
      </c>
      <c r="H27" s="342">
        <f>IF(AG27=301,"",AG27)</f>
        <v>157</v>
      </c>
      <c r="I27" s="342" t="str">
        <f>IF(AH27=0,"",AH27)</f>
        <v/>
      </c>
      <c r="J27" s="342">
        <f>IF(AI27=301,"",AI27)</f>
        <v>225</v>
      </c>
      <c r="K27" s="342" t="str">
        <f>IF(AJ27=0,"",AJ27)</f>
        <v/>
      </c>
      <c r="L27" s="342">
        <f>IF(AK27=301,"",AK27)</f>
        <v>157</v>
      </c>
      <c r="M27" s="342" t="str">
        <f>IF(AL27=0,"",AL27)</f>
        <v/>
      </c>
      <c r="N27" s="342">
        <f>IF(AM27=301,"",AM27)</f>
        <v>157</v>
      </c>
      <c r="O27" s="342" t="str">
        <f>IF(AN27=0,"",AN27)</f>
        <v/>
      </c>
      <c r="P27" s="342">
        <f>IF(AO27=301,"",AO27)</f>
        <v>172</v>
      </c>
      <c r="Q27" s="342" t="str">
        <f>IF(AP27=0,"",AP27)</f>
        <v/>
      </c>
      <c r="R27" s="342">
        <f>IF(AQ27=301,"",AQ27)</f>
        <v>230</v>
      </c>
      <c r="S27" s="342" t="str">
        <f>IF(AR27=0,"",AR27)</f>
        <v/>
      </c>
      <c r="T27" s="342">
        <f>IF(AS27=301,"",AS27)</f>
        <v>177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180</v>
      </c>
      <c r="AD27" s="378"/>
      <c r="AE27" s="377">
        <f>ABS(INDEX(AE:AE,MATCH(AE22,$AA:$AA,0)+11)+INDEX(AE:AE,MATCH(AE22,$AA:$AA,0)+12)+INDEX(AE:AE,MATCH(AE22,$AA:$AA,0)+13))</f>
        <v>215</v>
      </c>
      <c r="AF27" s="378"/>
      <c r="AG27" s="377">
        <f>ABS(INDEX(AG:AG,MATCH(AG22,$AA:$AA,0)+11)+INDEX(AG:AG,MATCH(AG22,$AA:$AA,0)+12)+INDEX(AG:AG,MATCH(AG22,$AA:$AA,0)+13))</f>
        <v>157</v>
      </c>
      <c r="AH27" s="378"/>
      <c r="AI27" s="377">
        <f>ABS(INDEX(AI:AI,MATCH(AI22,$AA:$AA,0)+11)+INDEX(AI:AI,MATCH(AI22,$AA:$AA,0)+12)+INDEX(AI:AI,MATCH(AI22,$AA:$AA,0)+13))</f>
        <v>225</v>
      </c>
      <c r="AJ27" s="378"/>
      <c r="AK27" s="377">
        <f>ABS(INDEX(AK:AK,MATCH(AK22,$AA:$AA,0)+11)+INDEX(AK:AK,MATCH(AK22,$AA:$AA,0)+12)+INDEX(AK:AK,MATCH(AK22,$AA:$AA,0)+13))</f>
        <v>157</v>
      </c>
      <c r="AL27" s="378"/>
      <c r="AM27" s="377">
        <f>ABS(INDEX(AM:AM,MATCH(AM22,$AA:$AA,0)+11)+INDEX(AM:AM,MATCH(AM22,$AA:$AA,0)+12)+INDEX(AM:AM,MATCH(AM22,$AA:$AA,0)+13))</f>
        <v>157</v>
      </c>
      <c r="AN27" s="378"/>
      <c r="AO27" s="377">
        <f>ABS(INDEX(AO:AO,MATCH(AO22,$AA:$AA,0)+11)+INDEX(AO:AO,MATCH(AO22,$AA:$AA,0)+12)+INDEX(AO:AO,MATCH(AO22,$AA:$AA,0)+13))</f>
        <v>172</v>
      </c>
      <c r="AP27" s="378"/>
      <c r="AQ27" s="377">
        <f>ABS(INDEX(AQ:AQ,MATCH(AQ22,$AA:$AA,0)+11)+INDEX(AQ:AQ,MATCH(AQ22,$AA:$AA,0)+12)+INDEX(AQ:AQ,MATCH(AQ22,$AA:$AA,0)+13))</f>
        <v>230</v>
      </c>
      <c r="AR27" s="378"/>
      <c r="AS27" s="377">
        <f>ABS(INDEX(AS:AS,MATCH(AS22,$AA:$AA,0)+11)+INDEX(AS:AS,MATCH(AS22,$AA:$AA,0)+12)+INDEX(AS:AS,MATCH(AS22,$AA:$AA,0)+13))</f>
        <v>177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174</v>
      </c>
      <c r="E28" s="342" t="str">
        <f>IF(AD28=0,"",AD28)</f>
        <v/>
      </c>
      <c r="F28" s="342">
        <f>IF(AE28=301,"",AE28)</f>
        <v>258</v>
      </c>
      <c r="G28" s="342" t="str">
        <f>IF(AF28=0,"",AF28)</f>
        <v/>
      </c>
      <c r="H28" s="342">
        <f>IF(AG28=301,"",AG28)</f>
        <v>202</v>
      </c>
      <c r="I28" s="342" t="str">
        <f>IF(AH28=0,"",AH28)</f>
        <v/>
      </c>
      <c r="J28" s="342">
        <f>IF(AI28=301,"",AI28)</f>
        <v>184</v>
      </c>
      <c r="K28" s="342" t="str">
        <f>IF(AJ28=0,"",AJ28)</f>
        <v/>
      </c>
      <c r="L28" s="342">
        <f>IF(AK28=301,"",AK28)</f>
        <v>178</v>
      </c>
      <c r="M28" s="342" t="str">
        <f>IF(AL28=0,"",AL28)</f>
        <v/>
      </c>
      <c r="N28" s="342">
        <f>IF(AM28=301,"",AM28)</f>
        <v>156</v>
      </c>
      <c r="O28" s="342" t="str">
        <f>IF(AN28=0,"",AN28)</f>
        <v/>
      </c>
      <c r="P28" s="342">
        <f>IF(AO28=301,"",AO28)</f>
        <v>164</v>
      </c>
      <c r="Q28" s="342" t="str">
        <f>IF(AP28=0,"",AP28)</f>
        <v/>
      </c>
      <c r="R28" s="342">
        <f>IF(AQ28=301,"",AQ28)</f>
        <v>202</v>
      </c>
      <c r="S28" s="342" t="str">
        <f>IF(AR28=0,"",AR28)</f>
        <v/>
      </c>
      <c r="T28" s="342">
        <f>IF(AS28=301,"",AS28)</f>
        <v>189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174</v>
      </c>
      <c r="AD28" s="378"/>
      <c r="AE28" s="377">
        <f>ABS(INDEX(AE:AE,MATCH(AE22,$AA:$AA,0)+14)+INDEX(AE:AE,MATCH(AE22,$AA:$AA,0)+15)+INDEX(AE:AE,MATCH(AE22,$AA:$AA,0)+16))</f>
        <v>258</v>
      </c>
      <c r="AF28" s="378"/>
      <c r="AG28" s="377">
        <f>ABS(INDEX(AG:AG,MATCH(AG22,$AA:$AA,0)+14)+INDEX(AG:AG,MATCH(AG22,$AA:$AA,0)+15)+INDEX(AG:AG,MATCH(AG22,$AA:$AA,0)+16))</f>
        <v>202</v>
      </c>
      <c r="AH28" s="378"/>
      <c r="AI28" s="377">
        <f>ABS(INDEX(AI:AI,MATCH(AI22,$AA:$AA,0)+14)+INDEX(AI:AI,MATCH(AI22,$AA:$AA,0)+15)+INDEX(AI:AI,MATCH(AI22,$AA:$AA,0)+16))</f>
        <v>184</v>
      </c>
      <c r="AJ28" s="378"/>
      <c r="AK28" s="377">
        <f>ABS(INDEX(AK:AK,MATCH(AK22,$AA:$AA,0)+14)+INDEX(AK:AK,MATCH(AK22,$AA:$AA,0)+15)+INDEX(AK:AK,MATCH(AK22,$AA:$AA,0)+16))</f>
        <v>178</v>
      </c>
      <c r="AL28" s="378"/>
      <c r="AM28" s="377">
        <f>ABS(INDEX(AM:AM,MATCH(AM22,$AA:$AA,0)+14)+INDEX(AM:AM,MATCH(AM22,$AA:$AA,0)+15)+INDEX(AM:AM,MATCH(AM22,$AA:$AA,0)+16))</f>
        <v>156</v>
      </c>
      <c r="AN28" s="378"/>
      <c r="AO28" s="377">
        <f>ABS(INDEX(AO:AO,MATCH(AO22,$AA:$AA,0)+14)+INDEX(AO:AO,MATCH(AO22,$AA:$AA,0)+15)+INDEX(AO:AO,MATCH(AO22,$AA:$AA,0)+16))</f>
        <v>164</v>
      </c>
      <c r="AP28" s="378"/>
      <c r="AQ28" s="377">
        <f>ABS(INDEX(AQ:AQ,MATCH(AQ22,$AA:$AA,0)+14)+INDEX(AQ:AQ,MATCH(AQ22,$AA:$AA,0)+15)+INDEX(AQ:AQ,MATCH(AQ22,$AA:$AA,0)+16))</f>
        <v>202</v>
      </c>
      <c r="AR28" s="378"/>
      <c r="AS28" s="377">
        <f>ABS(INDEX(AS:AS,MATCH(AS22,$AA:$AA,0)+14)+INDEX(AS:AS,MATCH(AS22,$AA:$AA,0)+15)+INDEX(AS:AS,MATCH(AS22,$AA:$AA,0)+16))</f>
        <v>189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671</v>
      </c>
      <c r="E29" s="341" t="str">
        <f>IF(AD29=0,"",AD29)</f>
        <v/>
      </c>
      <c r="F29" s="341">
        <f>IF(AE29=1505,"",AE29)</f>
        <v>816</v>
      </c>
      <c r="G29" s="341" t="str">
        <f>IF(AF29=0,"",AF29)</f>
        <v/>
      </c>
      <c r="H29" s="341">
        <f>IF(AG29=1505,"",AG29)</f>
        <v>648</v>
      </c>
      <c r="I29" s="341" t="str">
        <f>IF(AH29=0,"",AH29)</f>
        <v/>
      </c>
      <c r="J29" s="341">
        <f>IF(AI29=1505,"",AI29)</f>
        <v>747</v>
      </c>
      <c r="K29" s="341" t="str">
        <f>IF(AJ29=0,"",AJ29)</f>
        <v/>
      </c>
      <c r="L29" s="341">
        <f>IF(AK29=1505,"",AK29)</f>
        <v>665</v>
      </c>
      <c r="M29" s="341" t="str">
        <f>IF(AL29=0,"",AL29)</f>
        <v/>
      </c>
      <c r="N29" s="341">
        <f>IF(AM29=1505,"",AM29)</f>
        <v>640</v>
      </c>
      <c r="O29" s="341" t="str">
        <f>IF(AN29=0,"",AN29)</f>
        <v/>
      </c>
      <c r="P29" s="341">
        <f>IF(AO29=1505,"",AO29)</f>
        <v>646</v>
      </c>
      <c r="Q29" s="341" t="str">
        <f>IF(AP29=0,"",AP29)</f>
        <v/>
      </c>
      <c r="R29" s="341">
        <f>IF(AQ29=1505,"",AQ29)</f>
        <v>873</v>
      </c>
      <c r="S29" s="341" t="str">
        <f>IF(AR29=0,"",AR29)</f>
        <v/>
      </c>
      <c r="T29" s="341">
        <f>IF(AS29=1505,"",AS29)</f>
        <v>687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671</v>
      </c>
      <c r="AD29" s="358"/>
      <c r="AE29" s="357">
        <f>SUM(AE25:AE28)</f>
        <v>816</v>
      </c>
      <c r="AF29" s="358"/>
      <c r="AG29" s="357">
        <f>SUM(AG25:AG28)</f>
        <v>648</v>
      </c>
      <c r="AH29" s="358"/>
      <c r="AI29" s="357">
        <f>SUM(AI25:AI28)</f>
        <v>747</v>
      </c>
      <c r="AJ29" s="358"/>
      <c r="AK29" s="357">
        <f>SUM(AK25:AK28)</f>
        <v>665</v>
      </c>
      <c r="AL29" s="358"/>
      <c r="AM29" s="357">
        <f>SUM(AM25:AM28)</f>
        <v>640</v>
      </c>
      <c r="AN29" s="358"/>
      <c r="AO29" s="357">
        <f>SUM(AO25:AO28)</f>
        <v>646</v>
      </c>
      <c r="AP29" s="358"/>
      <c r="AQ29" s="357">
        <f>SUM(AQ25:AQ28)</f>
        <v>873</v>
      </c>
      <c r="AR29" s="358"/>
      <c r="AS29" s="357">
        <f>SUM(AS25:AS28)</f>
        <v>687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15.02./16.02.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15.02./16.02.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Regensburg Super Bowl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51">
        <f>IF(AD37="","",AD37)</f>
        <v>0</v>
      </c>
      <c r="F37" s="75">
        <f t="shared" ref="F37:F50" si="35">IF(AE37=0,"",AE37)</f>
        <v>209</v>
      </c>
      <c r="G37" s="351">
        <f>IF(AF37="","",AF37)</f>
        <v>1</v>
      </c>
      <c r="H37" s="75">
        <f t="shared" ref="H37:H50" si="36">IF(AG37=0,"",AG37)</f>
        <v>199</v>
      </c>
      <c r="I37" s="351">
        <f>IF(AH37="","",AH37)</f>
        <v>1</v>
      </c>
      <c r="J37" s="75">
        <f t="shared" ref="J37:J50" si="37">IF(AI37=0,"",AI37)</f>
        <v>221</v>
      </c>
      <c r="K37" s="351">
        <f>IF(AJ37="","",AJ37)</f>
        <v>1</v>
      </c>
      <c r="L37" s="75">
        <f t="shared" ref="L37:L50" si="38">IF(AK37=0,"",AK37)</f>
        <v>180</v>
      </c>
      <c r="M37" s="351">
        <f>IF(AL37="","",AL37)</f>
        <v>0</v>
      </c>
      <c r="N37" s="75">
        <f>IF(AM37=0,"",AM37)</f>
        <v>182</v>
      </c>
      <c r="O37" s="351">
        <f>IF(AN37="","",AN37)</f>
        <v>0</v>
      </c>
      <c r="P37" s="75">
        <f t="shared" ref="P37:P50" si="39">IF(AO37=0,"",AO37)</f>
        <v>256</v>
      </c>
      <c r="Q37" s="351">
        <f>IF(AP37="","",AP37)</f>
        <v>1</v>
      </c>
      <c r="R37" s="75">
        <f t="shared" ref="R37:R50" si="40">IF(AQ37=0,"",AQ37)</f>
        <v>181</v>
      </c>
      <c r="S37" s="351">
        <f>IF(AR37="","",AR37)</f>
        <v>0</v>
      </c>
      <c r="T37" s="75">
        <f t="shared" ref="T37:T50" si="41">IF(AS37=0,"",AS37)</f>
        <v>143</v>
      </c>
      <c r="U37" s="351">
        <f>IF(AT37="","",AT37)</f>
        <v>1</v>
      </c>
      <c r="V37" s="75">
        <f t="shared" ref="V37:V50" si="42">IF(AU37=0,"",AU37)</f>
        <v>1743</v>
      </c>
      <c r="W37" s="351">
        <f>IF(AV37="","",AV37)</f>
        <v>5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51">
        <f>IF(AD40="","",AD40)</f>
        <v>0</v>
      </c>
      <c r="F40" s="75">
        <f t="shared" si="35"/>
        <v>154</v>
      </c>
      <c r="G40" s="351">
        <f>IF(AF40="","",AF40)</f>
        <v>1</v>
      </c>
      <c r="H40" s="75" t="str">
        <f t="shared" si="36"/>
        <v/>
      </c>
      <c r="I40" s="351">
        <f>IF(AH40="","",AH40)</f>
        <v>1</v>
      </c>
      <c r="J40" s="75" t="str">
        <f t="shared" si="37"/>
        <v/>
      </c>
      <c r="K40" s="351">
        <f>IF(AJ40="","",AJ40)</f>
        <v>0</v>
      </c>
      <c r="L40" s="75" t="str">
        <f t="shared" si="38"/>
        <v/>
      </c>
      <c r="M40" s="351">
        <f>IF(AL40="","",AL40)</f>
        <v>1</v>
      </c>
      <c r="N40" s="75" t="str">
        <f t="shared" si="55"/>
        <v/>
      </c>
      <c r="O40" s="351">
        <f>IF(AN40="","",AN40)</f>
        <v>0</v>
      </c>
      <c r="P40" s="75" t="str">
        <f t="shared" si="39"/>
        <v/>
      </c>
      <c r="Q40" s="351">
        <f>IF(AP40="","",AP40)</f>
        <v>0</v>
      </c>
      <c r="R40" s="75" t="str">
        <f t="shared" si="40"/>
        <v/>
      </c>
      <c r="S40" s="351">
        <f>IF(AR40="","",AR40)</f>
        <v>0</v>
      </c>
      <c r="T40" s="75" t="str">
        <f t="shared" si="41"/>
        <v/>
      </c>
      <c r="U40" s="351">
        <f>IF(AT40="","",AT40)</f>
        <v>0</v>
      </c>
      <c r="V40" s="75">
        <f t="shared" si="42"/>
        <v>303</v>
      </c>
      <c r="W40" s="351">
        <f>IF(AV40="","",AV40)</f>
        <v>3</v>
      </c>
      <c r="Z40" s="354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52"/>
      <c r="F41" s="78" t="str">
        <f t="shared" si="35"/>
        <v/>
      </c>
      <c r="G41" s="352"/>
      <c r="H41" s="78">
        <f t="shared" si="36"/>
        <v>242</v>
      </c>
      <c r="I41" s="352"/>
      <c r="J41" s="78">
        <f t="shared" si="37"/>
        <v>191</v>
      </c>
      <c r="K41" s="352"/>
      <c r="L41" s="78">
        <f t="shared" si="38"/>
        <v>184</v>
      </c>
      <c r="M41" s="352"/>
      <c r="N41" s="78">
        <f t="shared" si="55"/>
        <v>145</v>
      </c>
      <c r="O41" s="352"/>
      <c r="P41" s="78">
        <f t="shared" si="39"/>
        <v>131</v>
      </c>
      <c r="Q41" s="352"/>
      <c r="R41" s="78">
        <f t="shared" si="40"/>
        <v>134</v>
      </c>
      <c r="S41" s="352"/>
      <c r="T41" s="78">
        <f t="shared" si="41"/>
        <v>148</v>
      </c>
      <c r="U41" s="352"/>
      <c r="V41" s="78">
        <f t="shared" si="42"/>
        <v>1175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51">
        <f>IF(AD43="","",AD43)</f>
        <v>0</v>
      </c>
      <c r="F43" s="75">
        <f t="shared" si="35"/>
        <v>208</v>
      </c>
      <c r="G43" s="351">
        <f>IF(AF43="","",AF43)</f>
        <v>0</v>
      </c>
      <c r="H43" s="75">
        <f t="shared" si="36"/>
        <v>213</v>
      </c>
      <c r="I43" s="351">
        <f>IF(AH43="","",AH43)</f>
        <v>1</v>
      </c>
      <c r="J43" s="75">
        <f t="shared" si="37"/>
        <v>170</v>
      </c>
      <c r="K43" s="351">
        <f>IF(AJ43="","",AJ43)</f>
        <v>0</v>
      </c>
      <c r="L43" s="75">
        <f t="shared" si="38"/>
        <v>124</v>
      </c>
      <c r="M43" s="351">
        <f>IF(AL43="","",AL43)</f>
        <v>0</v>
      </c>
      <c r="N43" s="75">
        <f t="shared" si="55"/>
        <v>-157</v>
      </c>
      <c r="O43" s="351">
        <f>IF(AN43="","",AN43)</f>
        <v>0</v>
      </c>
      <c r="P43" s="75" t="str">
        <f t="shared" si="39"/>
        <v/>
      </c>
      <c r="Q43" s="351">
        <f>IF(AP43="","",AP43)</f>
        <v>0</v>
      </c>
      <c r="R43" s="75" t="str">
        <f t="shared" si="40"/>
        <v/>
      </c>
      <c r="S43" s="351">
        <f>IF(AR43="","",AR43)</f>
        <v>0</v>
      </c>
      <c r="T43" s="75" t="str">
        <f t="shared" si="41"/>
        <v/>
      </c>
      <c r="U43" s="351">
        <f>IF(AT43="","",AT43)</f>
        <v>0</v>
      </c>
      <c r="V43" s="75">
        <f t="shared" si="42"/>
        <v>1047</v>
      </c>
      <c r="W43" s="351">
        <f>IF(AV43="","",AV43)</f>
        <v>1</v>
      </c>
      <c r="Z43" s="354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>
        <f t="shared" si="39"/>
        <v>193</v>
      </c>
      <c r="Q44" s="352"/>
      <c r="R44" s="78">
        <f t="shared" si="40"/>
        <v>181</v>
      </c>
      <c r="S44" s="352"/>
      <c r="T44" s="78">
        <f t="shared" si="41"/>
        <v>166</v>
      </c>
      <c r="U44" s="352"/>
      <c r="V44" s="78">
        <f t="shared" si="42"/>
        <v>540</v>
      </c>
      <c r="W44" s="352"/>
      <c r="Z44" s="355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51">
        <f>IF(AD46="","",AD46)</f>
        <v>1</v>
      </c>
      <c r="F46" s="75">
        <f t="shared" si="35"/>
        <v>236</v>
      </c>
      <c r="G46" s="351">
        <f>IF(AF46="","",AF46)</f>
        <v>1</v>
      </c>
      <c r="H46" s="75">
        <f t="shared" si="36"/>
        <v>181</v>
      </c>
      <c r="I46" s="351">
        <f>IF(AH46="","",AH46)</f>
        <v>0</v>
      </c>
      <c r="J46" s="75">
        <f t="shared" si="37"/>
        <v>185</v>
      </c>
      <c r="K46" s="351">
        <f>IF(AJ46="","",AJ46)</f>
        <v>0</v>
      </c>
      <c r="L46" s="75">
        <f t="shared" si="38"/>
        <v>161</v>
      </c>
      <c r="M46" s="351">
        <f>IF(AL46="","",AL46)</f>
        <v>1</v>
      </c>
      <c r="N46" s="75">
        <f t="shared" si="55"/>
        <v>156</v>
      </c>
      <c r="O46" s="351">
        <f>IF(AN46="","",AN46)</f>
        <v>0</v>
      </c>
      <c r="P46" s="75">
        <f t="shared" si="39"/>
        <v>159</v>
      </c>
      <c r="Q46" s="351">
        <f>IF(AP46="","",AP46)</f>
        <v>0</v>
      </c>
      <c r="R46" s="75">
        <f t="shared" si="40"/>
        <v>169</v>
      </c>
      <c r="S46" s="351">
        <f>IF(AR46="","",AR46)</f>
        <v>0</v>
      </c>
      <c r="T46" s="75">
        <f t="shared" si="41"/>
        <v>176</v>
      </c>
      <c r="U46" s="351">
        <f>IF(AT46="","",AT46)</f>
        <v>1</v>
      </c>
      <c r="V46" s="75">
        <f t="shared" si="42"/>
        <v>1599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 t="str">
        <f t="shared" si="55"/>
        <v/>
      </c>
      <c r="O47" s="352"/>
      <c r="P47" s="78" t="str">
        <f t="shared" si="39"/>
        <v/>
      </c>
      <c r="Q47" s="352"/>
      <c r="R47" s="78" t="str">
        <f t="shared" si="40"/>
        <v/>
      </c>
      <c r="S47" s="352"/>
      <c r="T47" s="78" t="str">
        <f t="shared" si="41"/>
        <v/>
      </c>
      <c r="U47" s="352"/>
      <c r="V47" s="78" t="str">
        <f t="shared" si="42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4</v>
      </c>
      <c r="E52" s="349" t="str">
        <f t="shared" si="66"/>
        <v/>
      </c>
      <c r="F52" s="349">
        <f t="shared" si="66"/>
        <v>5</v>
      </c>
      <c r="G52" s="349" t="str">
        <f t="shared" si="66"/>
        <v/>
      </c>
      <c r="H52" s="349">
        <f t="shared" si="66"/>
        <v>9</v>
      </c>
      <c r="I52" s="349" t="str">
        <f t="shared" si="66"/>
        <v/>
      </c>
      <c r="J52" s="349">
        <f t="shared" si="66"/>
        <v>6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1</v>
      </c>
      <c r="O52" s="349" t="str">
        <f t="shared" si="67"/>
        <v/>
      </c>
      <c r="P52" s="349">
        <f t="shared" si="67"/>
        <v>3</v>
      </c>
      <c r="Q52" s="349" t="str">
        <f t="shared" si="67"/>
        <v/>
      </c>
      <c r="R52" s="349">
        <f t="shared" si="67"/>
        <v>10</v>
      </c>
      <c r="S52" s="349" t="str">
        <f t="shared" si="67"/>
        <v/>
      </c>
      <c r="T52" s="349">
        <f t="shared" si="67"/>
        <v>8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VLOOKUP($AA32,Schlüssel!$A$5:$DG$14,63)</f>
        <v>4</v>
      </c>
      <c r="AD52" s="374"/>
      <c r="AE52" s="373">
        <f>VLOOKUP($AA32,Schlüssel!$A$5:$EK$14,64)</f>
        <v>5</v>
      </c>
      <c r="AF52" s="374"/>
      <c r="AG52" s="373">
        <f>VLOOKUP($AA32,Schlüssel!$A$5:$EK$14,65)</f>
        <v>9</v>
      </c>
      <c r="AH52" s="374"/>
      <c r="AI52" s="373">
        <f>VLOOKUP($AA32,Schlüssel!$A$5:$EK$14,66)</f>
        <v>6</v>
      </c>
      <c r="AJ52" s="374"/>
      <c r="AK52" s="373">
        <f>VLOOKUP($AA32,Schlüssel!$A$5:$EK$14,67)</f>
        <v>7</v>
      </c>
      <c r="AL52" s="374"/>
      <c r="AM52" s="373">
        <f>VLOOKUP($AA32,Schlüssel!$A$5:$EK$14,68)</f>
        <v>1</v>
      </c>
      <c r="AN52" s="374"/>
      <c r="AO52" s="373">
        <f>VLOOKUP($AA32,Schlüssel!$A$5:$EK$14,69)</f>
        <v>3</v>
      </c>
      <c r="AP52" s="374"/>
      <c r="AQ52" s="373">
        <f>VLOOKUP($AA32,Schlüssel!$A$5:$EK$14,70)</f>
        <v>10</v>
      </c>
      <c r="AR52" s="374"/>
      <c r="AS52" s="373">
        <f>VLOOKUP($AA32,Schlüssel!$A$5:$EK$14,71)</f>
        <v>8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SG DJK Rimpar</v>
      </c>
      <c r="E53" s="347" t="str">
        <f t="shared" si="66"/>
        <v/>
      </c>
      <c r="F53" s="346" t="str">
        <f t="shared" si="66"/>
        <v>RW Lichtenhof Stein 1</v>
      </c>
      <c r="G53" s="347" t="str">
        <f t="shared" si="66"/>
        <v/>
      </c>
      <c r="H53" s="346" t="str">
        <f t="shared" si="66"/>
        <v>Bowlinghaus Bamberg 1</v>
      </c>
      <c r="I53" s="347" t="str">
        <f t="shared" si="66"/>
        <v/>
      </c>
      <c r="J53" s="346" t="str">
        <f t="shared" si="66"/>
        <v>SG Rottendorf 1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BC Comet Nürnberg</v>
      </c>
      <c r="O53" s="347" t="str">
        <f t="shared" si="67"/>
        <v/>
      </c>
      <c r="P53" s="346" t="str">
        <f t="shared" si="67"/>
        <v>BK München 3</v>
      </c>
      <c r="Q53" s="347" t="str">
        <f t="shared" si="67"/>
        <v/>
      </c>
      <c r="R53" s="346" t="str">
        <f t="shared" si="67"/>
        <v>High Roller Rosenheim 1</v>
      </c>
      <c r="S53" s="347" t="str">
        <f t="shared" si="67"/>
        <v/>
      </c>
      <c r="T53" s="346" t="str">
        <f t="shared" si="67"/>
        <v>BC EMAX Unterföhring 2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SG DJK Rimpar</v>
      </c>
      <c r="AD53" s="347"/>
      <c r="AE53" s="346" t="str">
        <f>VLOOKUP(AE52,Schlüssel!$A$5:$K$14,2)</f>
        <v>RW Lichtenhof Stein 1</v>
      </c>
      <c r="AF53" s="347"/>
      <c r="AG53" s="346" t="str">
        <f>VLOOKUP(AG52,Schlüssel!$A$5:$K$14,2)</f>
        <v>Bowlinghaus Bamberg 1</v>
      </c>
      <c r="AH53" s="347"/>
      <c r="AI53" s="346" t="str">
        <f>VLOOKUP(AI52,Schlüssel!$A$5:$K$14,2)</f>
        <v>SG Rottendorf 1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BC Comet Nürnberg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High Roller Rosenheim 1</v>
      </c>
      <c r="AR53" s="347"/>
      <c r="AS53" s="346" t="str">
        <f>VLOOKUP(AS52,Schlüssel!$A$5:$K$14,2)</f>
        <v>BC EMAX Unterföhring 2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198</v>
      </c>
      <c r="E55" s="342" t="str">
        <f>IF(AD55=0,"",AD55)</f>
        <v/>
      </c>
      <c r="F55" s="342">
        <f>IF(AE55=301,"",AE55)</f>
        <v>169</v>
      </c>
      <c r="G55" s="342" t="str">
        <f>IF(AF55=0,"",AF55)</f>
        <v/>
      </c>
      <c r="H55" s="342">
        <f>IF(AG55=301,"",AG55)</f>
        <v>180</v>
      </c>
      <c r="I55" s="342" t="str">
        <f>IF(AH55=0,"",AH55)</f>
        <v/>
      </c>
      <c r="J55" s="342">
        <f>IF(AI55=301,"",AI55)</f>
        <v>211</v>
      </c>
      <c r="K55" s="342" t="str">
        <f>IF(AJ55=0,"",AJ55)</f>
        <v/>
      </c>
      <c r="L55" s="342">
        <f>IF(AK55=301,"",AK55)</f>
        <v>182</v>
      </c>
      <c r="M55" s="342" t="str">
        <f>IF(AL55=0,"",AL55)</f>
        <v/>
      </c>
      <c r="N55" s="342">
        <f>IF(AM55=301,"",AM55)</f>
        <v>216</v>
      </c>
      <c r="O55" s="342" t="str">
        <f>IF(AN55=0,"",AN55)</f>
        <v/>
      </c>
      <c r="P55" s="342">
        <f>IF(AO55=301,"",AO55)</f>
        <v>204</v>
      </c>
      <c r="Q55" s="342" t="str">
        <f>IF(AP55=0,"",AP55)</f>
        <v/>
      </c>
      <c r="R55" s="342">
        <f>IF(AQ55=301,"",AQ55)</f>
        <v>189</v>
      </c>
      <c r="S55" s="342" t="str">
        <f>IF(AR55=0,"",AR55)</f>
        <v/>
      </c>
      <c r="T55" s="342">
        <f>IF(AS55=301,"",AS55)</f>
        <v>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198</v>
      </c>
      <c r="AD55" s="376"/>
      <c r="AE55" s="375">
        <f>ABS(INDEX(AE:AE,MATCH(AE52,$AA:$AA,0)+5)+INDEX(AE:AE,MATCH(AE52,$AA:$AA,0)+6)+INDEX(AE:AE,MATCH(AE52,$AA:$AA,0)+7))</f>
        <v>169</v>
      </c>
      <c r="AF55" s="376"/>
      <c r="AG55" s="375">
        <f>ABS(INDEX(AG:AG,MATCH(AG52,$AA:$AA,0)+5)+INDEX(AG:AG,MATCH(AG52,$AA:$AA,0)+6)+INDEX(AG:AG,MATCH(AG52,$AA:$AA,0)+7))</f>
        <v>180</v>
      </c>
      <c r="AH55" s="376"/>
      <c r="AI55" s="375">
        <f>ABS(INDEX(AI:AI,MATCH(AI52,$AA:$AA,0)+5)+INDEX(AI:AI,MATCH(AI52,$AA:$AA,0)+6)+INDEX(AI:AI,MATCH(AI52,$AA:$AA,0)+7))</f>
        <v>211</v>
      </c>
      <c r="AJ55" s="376"/>
      <c r="AK55" s="375">
        <f>ABS(INDEX(AK:AK,MATCH(AK52,$AA:$AA,0)+5)+INDEX(AK:AK,MATCH(AK52,$AA:$AA,0)+6)+INDEX(AK:AK,MATCH(AK52,$AA:$AA,0)+7))</f>
        <v>182</v>
      </c>
      <c r="AL55" s="376"/>
      <c r="AM55" s="375">
        <f>ABS(INDEX(AM:AM,MATCH(AM52,$AA:$AA,0)+5)+INDEX(AM:AM,MATCH(AM52,$AA:$AA,0)+6)+INDEX(AM:AM,MATCH(AM52,$AA:$AA,0)+7))</f>
        <v>216</v>
      </c>
      <c r="AN55" s="376"/>
      <c r="AO55" s="375">
        <f>ABS(INDEX(AO:AO,MATCH(AO52,$AA:$AA,0)+5)+INDEX(AO:AO,MATCH(AO52,$AA:$AA,0)+6)+INDEX(AO:AO,MATCH(AO52,$AA:$AA,0)+7))</f>
        <v>204</v>
      </c>
      <c r="AP55" s="376"/>
      <c r="AQ55" s="375">
        <f>ABS(INDEX(AQ:AQ,MATCH(AQ52,$AA:$AA,0)+5)+INDEX(AQ:AQ,MATCH(AQ52,$AA:$AA,0)+6)+INDEX(AQ:AQ,MATCH(AQ52,$AA:$AA,0)+7))</f>
        <v>189</v>
      </c>
      <c r="AR55" s="376"/>
      <c r="AS55" s="375">
        <f>ABS(INDEX(AS:AS,MATCH(AS52,$AA:$AA,0)+5)+INDEX(AS:AS,MATCH(AS52,$AA:$AA,0)+6)+INDEX(AS:AS,MATCH(AS52,$AA:$AA,0)+7))</f>
        <v>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177</v>
      </c>
      <c r="E56" s="342" t="str">
        <f>IF(AD56=0,"",AD56)</f>
        <v/>
      </c>
      <c r="F56" s="342">
        <f>IF(AE56=301,"",AE56)</f>
        <v>137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258</v>
      </c>
      <c r="K56" s="342" t="str">
        <f>IF(AJ56=0,"",AJ56)</f>
        <v/>
      </c>
      <c r="L56" s="342">
        <f>IF(AK56=301,"",AK56)</f>
        <v>136</v>
      </c>
      <c r="M56" s="342" t="str">
        <f>IF(AL56=0,"",AL56)</f>
        <v/>
      </c>
      <c r="N56" s="342">
        <f>IF(AM56=301,"",AM56)</f>
        <v>193</v>
      </c>
      <c r="O56" s="342" t="str">
        <f>IF(AN56=0,"",AN56)</f>
        <v/>
      </c>
      <c r="P56" s="342">
        <f>IF(AO56=301,"",AO56)</f>
        <v>180</v>
      </c>
      <c r="Q56" s="342" t="str">
        <f>IF(AP56=0,"",AP56)</f>
        <v/>
      </c>
      <c r="R56" s="342">
        <f>IF(AQ56=301,"",AQ56)</f>
        <v>161</v>
      </c>
      <c r="S56" s="342" t="str">
        <f>IF(AR56=0,"",AR56)</f>
        <v/>
      </c>
      <c r="T56" s="342">
        <f>IF(AS56=301,"",AS56)</f>
        <v>226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177</v>
      </c>
      <c r="AD56" s="378"/>
      <c r="AE56" s="377">
        <f>ABS(INDEX(AE:AE,MATCH(AE52,$AA:$AA,0)+8)+INDEX(AE:AE,MATCH(AE52,$AA:$AA,0)+9)+INDEX(AE:AE,MATCH(AE52,$AA:$AA,0)+10))</f>
        <v>137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258</v>
      </c>
      <c r="AJ56" s="378"/>
      <c r="AK56" s="377">
        <f>ABS(INDEX(AK:AK,MATCH(AK52,$AA:$AA,0)+8)+INDEX(AK:AK,MATCH(AK52,$AA:$AA,0)+9)+INDEX(AK:AK,MATCH(AK52,$AA:$AA,0)+10))</f>
        <v>136</v>
      </c>
      <c r="AL56" s="378"/>
      <c r="AM56" s="377">
        <f>ABS(INDEX(AM:AM,MATCH(AM52,$AA:$AA,0)+8)+INDEX(AM:AM,MATCH(AM52,$AA:$AA,0)+9)+INDEX(AM:AM,MATCH(AM52,$AA:$AA,0)+10))</f>
        <v>193</v>
      </c>
      <c r="AN56" s="378"/>
      <c r="AO56" s="377">
        <f>ABS(INDEX(AO:AO,MATCH(AO52,$AA:$AA,0)+8)+INDEX(AO:AO,MATCH(AO52,$AA:$AA,0)+9)+INDEX(AO:AO,MATCH(AO52,$AA:$AA,0)+10))</f>
        <v>180</v>
      </c>
      <c r="AP56" s="378"/>
      <c r="AQ56" s="377">
        <f>ABS(INDEX(AQ:AQ,MATCH(AQ52,$AA:$AA,0)+8)+INDEX(AQ:AQ,MATCH(AQ52,$AA:$AA,0)+9)+INDEX(AQ:AQ,MATCH(AQ52,$AA:$AA,0)+10))</f>
        <v>161</v>
      </c>
      <c r="AR56" s="378"/>
      <c r="AS56" s="377">
        <f>ABS(INDEX(AS:AS,MATCH(AS52,$AA:$AA,0)+8)+INDEX(AS:AS,MATCH(AS52,$AA:$AA,0)+9)+INDEX(AS:AS,MATCH(AS52,$AA:$AA,0)+10))</f>
        <v>226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178</v>
      </c>
      <c r="E57" s="342" t="str">
        <f>IF(AD57=0,"",AD57)</f>
        <v/>
      </c>
      <c r="F57" s="342">
        <f>IF(AE57=301,"",AE57)</f>
        <v>234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208</v>
      </c>
      <c r="K57" s="342" t="str">
        <f>IF(AJ57=0,"",AJ57)</f>
        <v/>
      </c>
      <c r="L57" s="342">
        <f>IF(AK57=301,"",AK57)</f>
        <v>153</v>
      </c>
      <c r="M57" s="342" t="str">
        <f>IF(AL57=0,"",AL57)</f>
        <v/>
      </c>
      <c r="N57" s="342">
        <f>IF(AM57=301,"",AM57)</f>
        <v>183</v>
      </c>
      <c r="O57" s="342" t="str">
        <f>IF(AN57=0,"",AN57)</f>
        <v/>
      </c>
      <c r="P57" s="342">
        <f>IF(AO57=301,"",AO57)</f>
        <v>201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188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178</v>
      </c>
      <c r="AD57" s="378"/>
      <c r="AE57" s="377">
        <f>ABS(INDEX(AE:AE,MATCH(AE52,$AA:$AA,0)+11)+INDEX(AE:AE,MATCH(AE52,$AA:$AA,0)+12)+INDEX(AE:AE,MATCH(AE52,$AA:$AA,0)+13))</f>
        <v>234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208</v>
      </c>
      <c r="AJ57" s="378"/>
      <c r="AK57" s="377">
        <f>ABS(INDEX(AK:AK,MATCH(AK52,$AA:$AA,0)+11)+INDEX(AK:AK,MATCH(AK52,$AA:$AA,0)+12)+INDEX(AK:AK,MATCH(AK52,$AA:$AA,0)+13))</f>
        <v>153</v>
      </c>
      <c r="AL57" s="378"/>
      <c r="AM57" s="377">
        <f>ABS(INDEX(AM:AM,MATCH(AM52,$AA:$AA,0)+11)+INDEX(AM:AM,MATCH(AM52,$AA:$AA,0)+12)+INDEX(AM:AM,MATCH(AM52,$AA:$AA,0)+13))</f>
        <v>183</v>
      </c>
      <c r="AN57" s="378"/>
      <c r="AO57" s="377">
        <f>ABS(INDEX(AO:AO,MATCH(AO52,$AA:$AA,0)+11)+INDEX(AO:AO,MATCH(AO52,$AA:$AA,0)+12)+INDEX(AO:AO,MATCH(AO52,$AA:$AA,0)+13))</f>
        <v>201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188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167</v>
      </c>
      <c r="E58" s="342" t="str">
        <f>IF(AD58=0,"",AD58)</f>
        <v/>
      </c>
      <c r="F58" s="342">
        <f>IF(AE58=301,"",AE58)</f>
        <v>157</v>
      </c>
      <c r="G58" s="342" t="str">
        <f>IF(AF58=0,"",AF58)</f>
        <v/>
      </c>
      <c r="H58" s="342">
        <f>IF(AG58=301,"",AG58)</f>
        <v>200</v>
      </c>
      <c r="I58" s="342" t="str">
        <f>IF(AH58=0,"",AH58)</f>
        <v/>
      </c>
      <c r="J58" s="342">
        <f>IF(AI58=301,"",AI58)</f>
        <v>190</v>
      </c>
      <c r="K58" s="342" t="str">
        <f>IF(AJ58=0,"",AJ58)</f>
        <v/>
      </c>
      <c r="L58" s="342">
        <f>IF(AK58=301,"",AK58)</f>
        <v>128</v>
      </c>
      <c r="M58" s="342" t="str">
        <f>IF(AL58=0,"",AL58)</f>
        <v/>
      </c>
      <c r="N58" s="342">
        <f>IF(AM58=301,"",AM58)</f>
        <v>164</v>
      </c>
      <c r="O58" s="342" t="str">
        <f>IF(AN58=0,"",AN58)</f>
        <v/>
      </c>
      <c r="P58" s="342">
        <f>IF(AO58=301,"",AO58)</f>
        <v>178</v>
      </c>
      <c r="Q58" s="342" t="str">
        <f>IF(AP58=0,"",AP58)</f>
        <v/>
      </c>
      <c r="R58" s="342">
        <f>IF(AQ58=301,"",AQ58)</f>
        <v>178</v>
      </c>
      <c r="S58" s="342" t="str">
        <f>IF(AR58=0,"",AR58)</f>
        <v/>
      </c>
      <c r="T58" s="342">
        <f>IF(AS58=301,"",AS58)</f>
        <v>152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167</v>
      </c>
      <c r="AD58" s="378"/>
      <c r="AE58" s="377">
        <f>ABS(INDEX(AE:AE,MATCH(AE52,$AA:$AA,0)+14)+INDEX(AE:AE,MATCH(AE52,$AA:$AA,0)+15)+INDEX(AE:AE,MATCH(AE52,$AA:$AA,0)+16))</f>
        <v>157</v>
      </c>
      <c r="AF58" s="378"/>
      <c r="AG58" s="377">
        <f>ABS(INDEX(AG:AG,MATCH(AG52,$AA:$AA,0)+14)+INDEX(AG:AG,MATCH(AG52,$AA:$AA,0)+15)+INDEX(AG:AG,MATCH(AG52,$AA:$AA,0)+16))</f>
        <v>200</v>
      </c>
      <c r="AH58" s="378"/>
      <c r="AI58" s="377">
        <f>ABS(INDEX(AI:AI,MATCH(AI52,$AA:$AA,0)+14)+INDEX(AI:AI,MATCH(AI52,$AA:$AA,0)+15)+INDEX(AI:AI,MATCH(AI52,$AA:$AA,0)+16))</f>
        <v>190</v>
      </c>
      <c r="AJ58" s="378"/>
      <c r="AK58" s="377">
        <f>ABS(INDEX(AK:AK,MATCH(AK52,$AA:$AA,0)+14)+INDEX(AK:AK,MATCH(AK52,$AA:$AA,0)+15)+INDEX(AK:AK,MATCH(AK52,$AA:$AA,0)+16))</f>
        <v>128</v>
      </c>
      <c r="AL58" s="378"/>
      <c r="AM58" s="377">
        <f>ABS(INDEX(AM:AM,MATCH(AM52,$AA:$AA,0)+14)+INDEX(AM:AM,MATCH(AM52,$AA:$AA,0)+15)+INDEX(AM:AM,MATCH(AM52,$AA:$AA,0)+16))</f>
        <v>164</v>
      </c>
      <c r="AN58" s="378"/>
      <c r="AO58" s="377">
        <f>ABS(INDEX(AO:AO,MATCH(AO52,$AA:$AA,0)+14)+INDEX(AO:AO,MATCH(AO52,$AA:$AA,0)+15)+INDEX(AO:AO,MATCH(AO52,$AA:$AA,0)+16))</f>
        <v>178</v>
      </c>
      <c r="AP58" s="378"/>
      <c r="AQ58" s="377">
        <f>ABS(INDEX(AQ:AQ,MATCH(AQ52,$AA:$AA,0)+14)+INDEX(AQ:AQ,MATCH(AQ52,$AA:$AA,0)+15)+INDEX(AQ:AQ,MATCH(AQ52,$AA:$AA,0)+16))</f>
        <v>178</v>
      </c>
      <c r="AR58" s="378"/>
      <c r="AS58" s="377">
        <f>ABS(INDEX(AS:AS,MATCH(AS52,$AA:$AA,0)+14)+INDEX(AS:AS,MATCH(AS52,$AA:$AA,0)+15)+INDEX(AS:AS,MATCH(AS52,$AA:$AA,0)+16))</f>
        <v>152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720</v>
      </c>
      <c r="E59" s="341" t="str">
        <f>IF(AD59=0,"",AD59)</f>
        <v/>
      </c>
      <c r="F59" s="341">
        <f>IF(AE59=1505,"",AE59)</f>
        <v>697</v>
      </c>
      <c r="G59" s="341" t="str">
        <f>IF(AF59=0,"",AF59)</f>
        <v/>
      </c>
      <c r="H59" s="341">
        <f>IF(AG59=1505,"",AG59)</f>
        <v>729</v>
      </c>
      <c r="I59" s="341" t="str">
        <f>IF(AH59=0,"",AH59)</f>
        <v/>
      </c>
      <c r="J59" s="341">
        <f>IF(AI59=1505,"",AI59)</f>
        <v>867</v>
      </c>
      <c r="K59" s="341" t="str">
        <f>IF(AJ59=0,"",AJ59)</f>
        <v/>
      </c>
      <c r="L59" s="341">
        <f>IF(AK59=1505,"",AK59)</f>
        <v>599</v>
      </c>
      <c r="M59" s="341" t="str">
        <f>IF(AL59=0,"",AL59)</f>
        <v/>
      </c>
      <c r="N59" s="341">
        <f>IF(AM59=1505,"",AM59)</f>
        <v>756</v>
      </c>
      <c r="O59" s="341" t="str">
        <f>IF(AN59=0,"",AN59)</f>
        <v/>
      </c>
      <c r="P59" s="341">
        <f>IF(AO59=1505,"",AO59)</f>
        <v>763</v>
      </c>
      <c r="Q59" s="341" t="str">
        <f>IF(AP59=0,"",AP59)</f>
        <v/>
      </c>
      <c r="R59" s="341">
        <f>IF(AQ59=1505,"",AQ59)</f>
        <v>731</v>
      </c>
      <c r="S59" s="341" t="str">
        <f>IF(AR59=0,"",AR59)</f>
        <v/>
      </c>
      <c r="T59" s="341">
        <f>IF(AS59=1505,"",AS59)</f>
        <v>566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720</v>
      </c>
      <c r="AD59" s="358"/>
      <c r="AE59" s="357">
        <f>SUM(AE55:AE58)</f>
        <v>697</v>
      </c>
      <c r="AF59" s="358"/>
      <c r="AG59" s="357">
        <f>SUM(AG55:AG58)</f>
        <v>729</v>
      </c>
      <c r="AH59" s="358"/>
      <c r="AI59" s="357">
        <f>SUM(AI55:AI58)</f>
        <v>867</v>
      </c>
      <c r="AJ59" s="358"/>
      <c r="AK59" s="357">
        <f>SUM(AK55:AK58)</f>
        <v>599</v>
      </c>
      <c r="AL59" s="358"/>
      <c r="AM59" s="357">
        <f>SUM(AM55:AM58)</f>
        <v>756</v>
      </c>
      <c r="AN59" s="358"/>
      <c r="AO59" s="357">
        <f>SUM(AO55:AO58)</f>
        <v>763</v>
      </c>
      <c r="AP59" s="358"/>
      <c r="AQ59" s="357">
        <f>SUM(AQ55:AQ58)</f>
        <v>731</v>
      </c>
      <c r="AR59" s="358"/>
      <c r="AS59" s="357">
        <f>SUM(AS55:AS58)</f>
        <v>566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15.02./16.02.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15.02./16.02.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Regensburg Super Bowl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51">
        <f>IF(AD67="","",AD67)</f>
        <v>0</v>
      </c>
      <c r="F67" s="75">
        <f t="shared" ref="F67:F80" si="69">IF(AE67=0,"",AE67)</f>
        <v>254</v>
      </c>
      <c r="G67" s="351">
        <f>IF(AF67="","",AF67)</f>
        <v>1</v>
      </c>
      <c r="H67" s="75">
        <f t="shared" ref="H67:H80" si="70">IF(AG67=0,"",AG67)</f>
        <v>203</v>
      </c>
      <c r="I67" s="351">
        <f>IF(AH67="","",AH67)</f>
        <v>1</v>
      </c>
      <c r="J67" s="75">
        <f t="shared" ref="J67:J80" si="71">IF(AI67=0,"",AI67)</f>
        <v>246</v>
      </c>
      <c r="K67" s="351">
        <f>IF(AJ67="","",AJ67)</f>
        <v>1</v>
      </c>
      <c r="L67" s="75">
        <f t="shared" ref="L67:L80" si="72">IF(AK67=0,"",AK67)</f>
        <v>206</v>
      </c>
      <c r="M67" s="351">
        <f>IF(AL67="","",AL67)</f>
        <v>1</v>
      </c>
      <c r="N67" s="75">
        <f>IF(AM67=0,"",AM67)</f>
        <v>204</v>
      </c>
      <c r="O67" s="351">
        <f>IF(AN67="","",AN67)</f>
        <v>1</v>
      </c>
      <c r="P67" s="75">
        <f t="shared" ref="P67:P80" si="73">IF(AO67=0,"",AO67)</f>
        <v>204</v>
      </c>
      <c r="Q67" s="351">
        <f>IF(AP67="","",AP67)</f>
        <v>0</v>
      </c>
      <c r="R67" s="75">
        <f t="shared" ref="R67:R80" si="74">IF(AQ67=0,"",AQ67)</f>
        <v>236</v>
      </c>
      <c r="S67" s="351">
        <f>IF(AR67="","",AR67)</f>
        <v>1</v>
      </c>
      <c r="T67" s="75">
        <f t="shared" ref="T67:T80" si="75">IF(AS67=0,"",AS67)</f>
        <v>228</v>
      </c>
      <c r="U67" s="351">
        <f>IF(AT67="","",AT67)</f>
        <v>1</v>
      </c>
      <c r="V67" s="75">
        <f t="shared" ref="V67:V80" si="76">IF(AU67=0,"",AU67)</f>
        <v>1971</v>
      </c>
      <c r="W67" s="351">
        <f>IF(AV67="","",AV67)</f>
        <v>7</v>
      </c>
      <c r="Z67" s="354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51">
        <f>IF(AD70="","",AD70)</f>
        <v>0</v>
      </c>
      <c r="F70" s="75">
        <f t="shared" si="69"/>
        <v>189</v>
      </c>
      <c r="G70" s="351">
        <f>IF(AF70="","",AF70)</f>
        <v>0</v>
      </c>
      <c r="H70" s="75">
        <f t="shared" si="70"/>
        <v>179</v>
      </c>
      <c r="I70" s="351">
        <f>IF(AH70="","",AH70)</f>
        <v>1</v>
      </c>
      <c r="J70" s="75">
        <f t="shared" si="71"/>
        <v>231</v>
      </c>
      <c r="K70" s="351">
        <f>IF(AJ70="","",AJ70)</f>
        <v>1</v>
      </c>
      <c r="L70" s="75">
        <f t="shared" si="72"/>
        <v>217</v>
      </c>
      <c r="M70" s="351">
        <f>IF(AL70="","",AL70)</f>
        <v>1</v>
      </c>
      <c r="N70" s="75">
        <f t="shared" si="89"/>
        <v>212</v>
      </c>
      <c r="O70" s="351">
        <f>IF(AN70="","",AN70)</f>
        <v>1</v>
      </c>
      <c r="P70" s="75">
        <f t="shared" si="73"/>
        <v>180</v>
      </c>
      <c r="Q70" s="351">
        <f>IF(AP70="","",AP70)</f>
        <v>1</v>
      </c>
      <c r="R70" s="75">
        <f t="shared" si="74"/>
        <v>205</v>
      </c>
      <c r="S70" s="351">
        <f>IF(AR70="","",AR70)</f>
        <v>0</v>
      </c>
      <c r="T70" s="75">
        <f t="shared" si="75"/>
        <v>163</v>
      </c>
      <c r="U70" s="351">
        <f>IF(AT70="","",AT70)</f>
        <v>1</v>
      </c>
      <c r="V70" s="75">
        <f t="shared" si="76"/>
        <v>1729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51">
        <f>IF(AD73="","",AD73)</f>
        <v>1</v>
      </c>
      <c r="F73" s="75">
        <f t="shared" si="69"/>
        <v>216</v>
      </c>
      <c r="G73" s="351">
        <f>IF(AF73="","",AF73)</f>
        <v>1</v>
      </c>
      <c r="H73" s="75">
        <f t="shared" si="70"/>
        <v>246</v>
      </c>
      <c r="I73" s="351">
        <f>IF(AH73="","",AH73)</f>
        <v>1</v>
      </c>
      <c r="J73" s="75">
        <f t="shared" si="71"/>
        <v>177</v>
      </c>
      <c r="K73" s="351">
        <f>IF(AJ73="","",AJ73)</f>
        <v>1</v>
      </c>
      <c r="L73" s="75">
        <f t="shared" si="72"/>
        <v>198</v>
      </c>
      <c r="M73" s="351">
        <f>IF(AL73="","",AL73)</f>
        <v>1</v>
      </c>
      <c r="N73" s="75">
        <f t="shared" si="89"/>
        <v>182</v>
      </c>
      <c r="O73" s="351">
        <f>IF(AN73="","",AN73)</f>
        <v>0.5</v>
      </c>
      <c r="P73" s="75">
        <f t="shared" si="73"/>
        <v>201</v>
      </c>
      <c r="Q73" s="351">
        <f>IF(AP73="","",AP73)</f>
        <v>1</v>
      </c>
      <c r="R73" s="75">
        <f t="shared" si="74"/>
        <v>230</v>
      </c>
      <c r="S73" s="351">
        <f>IF(AR73="","",AR73)</f>
        <v>1</v>
      </c>
      <c r="T73" s="75">
        <f t="shared" si="75"/>
        <v>128</v>
      </c>
      <c r="U73" s="351">
        <f>IF(AT73="","",AT73)</f>
        <v>0</v>
      </c>
      <c r="V73" s="75">
        <f t="shared" si="76"/>
        <v>1787</v>
      </c>
      <c r="W73" s="351">
        <f>IF(AV73="","",AV73)</f>
        <v>7.5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51">
        <f>IF(AD76="","",AD76)</f>
        <v>1</v>
      </c>
      <c r="F76" s="75">
        <f t="shared" si="69"/>
        <v>171</v>
      </c>
      <c r="G76" s="351">
        <f>IF(AF76="","",AF76)</f>
        <v>0</v>
      </c>
      <c r="H76" s="75">
        <f t="shared" si="70"/>
        <v>190</v>
      </c>
      <c r="I76" s="351">
        <f>IF(AH76="","",AH76)</f>
        <v>1</v>
      </c>
      <c r="J76" s="75">
        <f t="shared" si="71"/>
        <v>178</v>
      </c>
      <c r="K76" s="351">
        <f>IF(AJ76="","",AJ76)</f>
        <v>0</v>
      </c>
      <c r="L76" s="75">
        <f t="shared" si="72"/>
        <v>151</v>
      </c>
      <c r="M76" s="351">
        <f>IF(AL76="","",AL76)</f>
        <v>0</v>
      </c>
      <c r="N76" s="75">
        <f t="shared" si="89"/>
        <v>168</v>
      </c>
      <c r="O76" s="351">
        <f>IF(AN76="","",AN76)</f>
        <v>0</v>
      </c>
      <c r="P76" s="75">
        <f t="shared" si="73"/>
        <v>178</v>
      </c>
      <c r="Q76" s="351">
        <f>IF(AP76="","",AP76)</f>
        <v>1</v>
      </c>
      <c r="R76" s="75">
        <f t="shared" si="74"/>
        <v>202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1686</v>
      </c>
      <c r="W76" s="351">
        <f>IF(AV76="","",AV76)</f>
        <v>5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8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5</v>
      </c>
      <c r="I82" s="349" t="str">
        <f t="shared" si="100"/>
        <v/>
      </c>
      <c r="J82" s="349">
        <f t="shared" si="100"/>
        <v>7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6</v>
      </c>
      <c r="O82" s="349" t="str">
        <f t="shared" si="101"/>
        <v/>
      </c>
      <c r="P82" s="349">
        <f t="shared" si="101"/>
        <v>2</v>
      </c>
      <c r="Q82" s="349" t="str">
        <f t="shared" si="101"/>
        <v/>
      </c>
      <c r="R82" s="349">
        <f t="shared" si="101"/>
        <v>1</v>
      </c>
      <c r="S82" s="349" t="str">
        <f t="shared" si="101"/>
        <v/>
      </c>
      <c r="T82" s="349">
        <f t="shared" si="101"/>
        <v>10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VLOOKUP($AA62,Schlüssel!$A$5:$DG$14,63)</f>
        <v>8</v>
      </c>
      <c r="AD82" s="374"/>
      <c r="AE82" s="373">
        <f>VLOOKUP($AA62,Schlüssel!$A$5:$EK$14,64)</f>
        <v>4</v>
      </c>
      <c r="AF82" s="374"/>
      <c r="AG82" s="373">
        <f>VLOOKUP($AA62,Schlüssel!$A$5:$EK$14,65)</f>
        <v>5</v>
      </c>
      <c r="AH82" s="374"/>
      <c r="AI82" s="373">
        <f>VLOOKUP($AA62,Schlüssel!$A$5:$EK$14,66)</f>
        <v>7</v>
      </c>
      <c r="AJ82" s="374"/>
      <c r="AK82" s="373">
        <f>VLOOKUP($AA62,Schlüssel!$A$5:$EK$14,67)</f>
        <v>9</v>
      </c>
      <c r="AL82" s="374"/>
      <c r="AM82" s="373">
        <f>VLOOKUP($AA62,Schlüssel!$A$5:$EK$14,68)</f>
        <v>6</v>
      </c>
      <c r="AN82" s="374"/>
      <c r="AO82" s="373">
        <f>VLOOKUP($AA62,Schlüssel!$A$5:$EK$14,69)</f>
        <v>2</v>
      </c>
      <c r="AP82" s="374"/>
      <c r="AQ82" s="373">
        <f>VLOOKUP($AA62,Schlüssel!$A$5:$EK$14,70)</f>
        <v>1</v>
      </c>
      <c r="AR82" s="374"/>
      <c r="AS82" s="373">
        <f>VLOOKUP($AA62,Schlüssel!$A$5:$EK$14,71)</f>
        <v>10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BC EMAX Unterföhring 2</v>
      </c>
      <c r="E83" s="347" t="str">
        <f t="shared" si="100"/>
        <v/>
      </c>
      <c r="F83" s="346" t="str">
        <f t="shared" si="100"/>
        <v>SG DJK Rimpar</v>
      </c>
      <c r="G83" s="347" t="str">
        <f t="shared" si="100"/>
        <v/>
      </c>
      <c r="H83" s="346" t="str">
        <f t="shared" si="100"/>
        <v>RW Lichtenhof Stein 1</v>
      </c>
      <c r="I83" s="347" t="str">
        <f t="shared" si="100"/>
        <v/>
      </c>
      <c r="J83" s="346" t="str">
        <f t="shared" si="100"/>
        <v>Schanzer Ingolstadt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SG Rottendorf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BC Comet Nürnberg</v>
      </c>
      <c r="S83" s="347" t="str">
        <f t="shared" si="101"/>
        <v/>
      </c>
      <c r="T83" s="346" t="str">
        <f t="shared" si="101"/>
        <v>High Roller Rosenheim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BC EMAX Unterföhring 2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Schanzer Ingolstadt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BC Comet Nürnberg</v>
      </c>
      <c r="AR83" s="347"/>
      <c r="AS83" s="346" t="str">
        <f>VLOOKUP(AS82,Schlüssel!$A$5:$K$14,2)</f>
        <v>High Roller Rosenheim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226</v>
      </c>
      <c r="E85" s="342" t="str">
        <f>IF(AD85=0,"",AD85)</f>
        <v/>
      </c>
      <c r="F85" s="342">
        <f>IF(AE85=301,"",AE85)</f>
        <v>224</v>
      </c>
      <c r="G85" s="342" t="str">
        <f>IF(AF85=0,"",AF85)</f>
        <v/>
      </c>
      <c r="H85" s="342">
        <f>IF(AG85=301,"",AG85)</f>
        <v>167</v>
      </c>
      <c r="I85" s="342" t="str">
        <f>IF(AH85=0,"",AH85)</f>
        <v/>
      </c>
      <c r="J85" s="342">
        <f>IF(AI85=301,"",AI85)</f>
        <v>120</v>
      </c>
      <c r="K85" s="342" t="str">
        <f>IF(AJ85=0,"",AJ85)</f>
        <v/>
      </c>
      <c r="L85" s="342">
        <f>IF(AK85=301,"",AK85)</f>
        <v>190</v>
      </c>
      <c r="M85" s="342" t="str">
        <f>IF(AL85=0,"",AL85)</f>
        <v/>
      </c>
      <c r="N85" s="342">
        <f>IF(AM85=301,"",AM85)</f>
        <v>158</v>
      </c>
      <c r="O85" s="342" t="str">
        <f>IF(AN85=0,"",AN85)</f>
        <v/>
      </c>
      <c r="P85" s="342">
        <f>IF(AO85=301,"",AO85)</f>
        <v>256</v>
      </c>
      <c r="Q85" s="342" t="str">
        <f>IF(AP85=0,"",AP85)</f>
        <v/>
      </c>
      <c r="R85" s="342">
        <f>IF(AQ85=301,"",AQ85)</f>
        <v>202</v>
      </c>
      <c r="S85" s="342" t="str">
        <f>IF(AR85=0,"",AR85)</f>
        <v/>
      </c>
      <c r="T85" s="342">
        <f>IF(AS85=301,"",AS85)</f>
        <v>209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226</v>
      </c>
      <c r="AD85" s="376"/>
      <c r="AE85" s="375">
        <f>ABS(INDEX(AE:AE,MATCH(AE82,$AA:$AA,0)+5)+INDEX(AE:AE,MATCH(AE82,$AA:$AA,0)+6)+INDEX(AE:AE,MATCH(AE82,$AA:$AA,0)+7))</f>
        <v>224</v>
      </c>
      <c r="AF85" s="376"/>
      <c r="AG85" s="375">
        <f>ABS(INDEX(AG:AG,MATCH(AG82,$AA:$AA,0)+5)+INDEX(AG:AG,MATCH(AG82,$AA:$AA,0)+6)+INDEX(AG:AG,MATCH(AG82,$AA:$AA,0)+7))</f>
        <v>167</v>
      </c>
      <c r="AH85" s="376"/>
      <c r="AI85" s="375">
        <f>ABS(INDEX(AI:AI,MATCH(AI82,$AA:$AA,0)+5)+INDEX(AI:AI,MATCH(AI82,$AA:$AA,0)+6)+INDEX(AI:AI,MATCH(AI82,$AA:$AA,0)+7))</f>
        <v>120</v>
      </c>
      <c r="AJ85" s="376"/>
      <c r="AK85" s="375">
        <f>ABS(INDEX(AK:AK,MATCH(AK82,$AA:$AA,0)+5)+INDEX(AK:AK,MATCH(AK82,$AA:$AA,0)+6)+INDEX(AK:AK,MATCH(AK82,$AA:$AA,0)+7))</f>
        <v>190</v>
      </c>
      <c r="AL85" s="376"/>
      <c r="AM85" s="375">
        <f>ABS(INDEX(AM:AM,MATCH(AM82,$AA:$AA,0)+5)+INDEX(AM:AM,MATCH(AM82,$AA:$AA,0)+6)+INDEX(AM:AM,MATCH(AM82,$AA:$AA,0)+7))</f>
        <v>158</v>
      </c>
      <c r="AN85" s="376"/>
      <c r="AO85" s="375">
        <f>ABS(INDEX(AO:AO,MATCH(AO82,$AA:$AA,0)+5)+INDEX(AO:AO,MATCH(AO82,$AA:$AA,0)+6)+INDEX(AO:AO,MATCH(AO82,$AA:$AA,0)+7))</f>
        <v>256</v>
      </c>
      <c r="AP85" s="376"/>
      <c r="AQ85" s="375">
        <f>ABS(INDEX(AQ:AQ,MATCH(AQ82,$AA:$AA,0)+5)+INDEX(AQ:AQ,MATCH(AQ82,$AA:$AA,0)+6)+INDEX(AQ:AQ,MATCH(AQ82,$AA:$AA,0)+7))</f>
        <v>202</v>
      </c>
      <c r="AR85" s="376"/>
      <c r="AS85" s="375">
        <f>ABS(INDEX(AS:AS,MATCH(AS82,$AA:$AA,0)+5)+INDEX(AS:AS,MATCH(AS82,$AA:$AA,0)+6)+INDEX(AS:AS,MATCH(AS82,$AA:$AA,0)+7))</f>
        <v>209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194</v>
      </c>
      <c r="E86" s="342" t="str">
        <f>IF(AD86=0,"",AD86)</f>
        <v/>
      </c>
      <c r="F86" s="342">
        <f>IF(AE86=301,"",AE86)</f>
        <v>233</v>
      </c>
      <c r="G86" s="342" t="str">
        <f>IF(AF86=0,"",AF86)</f>
        <v/>
      </c>
      <c r="H86" s="342">
        <f>IF(AG86=301,"",AG86)</f>
        <v>136</v>
      </c>
      <c r="I86" s="342" t="str">
        <f>IF(AH86=0,"",AH86)</f>
        <v/>
      </c>
      <c r="J86" s="342">
        <f>IF(AI86=301,"",AI86)</f>
        <v>167</v>
      </c>
      <c r="K86" s="342" t="str">
        <f>IF(AJ86=0,"",AJ86)</f>
        <v/>
      </c>
      <c r="L86" s="342">
        <f>IF(AK86=301,"",AK86)</f>
        <v>172</v>
      </c>
      <c r="M86" s="342" t="str">
        <f>IF(AL86=0,"",AL86)</f>
        <v/>
      </c>
      <c r="N86" s="342">
        <f>IF(AM86=301,"",AM86)</f>
        <v>157</v>
      </c>
      <c r="O86" s="342" t="str">
        <f>IF(AN86=0,"",AN86)</f>
        <v/>
      </c>
      <c r="P86" s="342">
        <f>IF(AO86=301,"",AO86)</f>
        <v>131</v>
      </c>
      <c r="Q86" s="342" t="str">
        <f>IF(AP86=0,"",AP86)</f>
        <v/>
      </c>
      <c r="R86" s="342">
        <f>IF(AQ86=301,"",AQ86)</f>
        <v>207</v>
      </c>
      <c r="S86" s="342" t="str">
        <f>IF(AR86=0,"",AR86)</f>
        <v/>
      </c>
      <c r="T86" s="342">
        <f>IF(AS86=301,"",AS86)</f>
        <v>159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194</v>
      </c>
      <c r="AD86" s="378"/>
      <c r="AE86" s="377">
        <f>ABS(INDEX(AE:AE,MATCH(AE82,$AA:$AA,0)+8)+INDEX(AE:AE,MATCH(AE82,$AA:$AA,0)+9)+INDEX(AE:AE,MATCH(AE82,$AA:$AA,0)+10))</f>
        <v>233</v>
      </c>
      <c r="AF86" s="378"/>
      <c r="AG86" s="377">
        <f>ABS(INDEX(AG:AG,MATCH(AG82,$AA:$AA,0)+8)+INDEX(AG:AG,MATCH(AG82,$AA:$AA,0)+9)+INDEX(AG:AG,MATCH(AG82,$AA:$AA,0)+10))</f>
        <v>136</v>
      </c>
      <c r="AH86" s="378"/>
      <c r="AI86" s="377">
        <f>ABS(INDEX(AI:AI,MATCH(AI82,$AA:$AA,0)+8)+INDEX(AI:AI,MATCH(AI82,$AA:$AA,0)+9)+INDEX(AI:AI,MATCH(AI82,$AA:$AA,0)+10))</f>
        <v>167</v>
      </c>
      <c r="AJ86" s="378"/>
      <c r="AK86" s="377">
        <f>ABS(INDEX(AK:AK,MATCH(AK82,$AA:$AA,0)+8)+INDEX(AK:AK,MATCH(AK82,$AA:$AA,0)+9)+INDEX(AK:AK,MATCH(AK82,$AA:$AA,0)+10))</f>
        <v>172</v>
      </c>
      <c r="AL86" s="378"/>
      <c r="AM86" s="377">
        <f>ABS(INDEX(AM:AM,MATCH(AM82,$AA:$AA,0)+8)+INDEX(AM:AM,MATCH(AM82,$AA:$AA,0)+9)+INDEX(AM:AM,MATCH(AM82,$AA:$AA,0)+10))</f>
        <v>157</v>
      </c>
      <c r="AN86" s="378"/>
      <c r="AO86" s="377">
        <f>ABS(INDEX(AO:AO,MATCH(AO82,$AA:$AA,0)+8)+INDEX(AO:AO,MATCH(AO82,$AA:$AA,0)+9)+INDEX(AO:AO,MATCH(AO82,$AA:$AA,0)+10))</f>
        <v>131</v>
      </c>
      <c r="AP86" s="378"/>
      <c r="AQ86" s="377">
        <f>ABS(INDEX(AQ:AQ,MATCH(AQ82,$AA:$AA,0)+8)+INDEX(AQ:AQ,MATCH(AQ82,$AA:$AA,0)+9)+INDEX(AQ:AQ,MATCH(AQ82,$AA:$AA,0)+10))</f>
        <v>207</v>
      </c>
      <c r="AR86" s="378"/>
      <c r="AS86" s="377">
        <f>ABS(INDEX(AS:AS,MATCH(AS82,$AA:$AA,0)+8)+INDEX(AS:AS,MATCH(AS82,$AA:$AA,0)+9)+INDEX(AS:AS,MATCH(AS82,$AA:$AA,0)+10))</f>
        <v>159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184</v>
      </c>
      <c r="E87" s="342" t="str">
        <f>IF(AD87=0,"",AD87)</f>
        <v/>
      </c>
      <c r="F87" s="342">
        <f>IF(AE87=301,"",AE87)</f>
        <v>172</v>
      </c>
      <c r="G87" s="342" t="str">
        <f>IF(AF87=0,"",AF87)</f>
        <v/>
      </c>
      <c r="H87" s="342">
        <f>IF(AG87=301,"",AG87)</f>
        <v>203</v>
      </c>
      <c r="I87" s="342" t="str">
        <f>IF(AH87=0,"",AH87)</f>
        <v/>
      </c>
      <c r="J87" s="342">
        <f>IF(AI87=301,"",AI87)</f>
        <v>170</v>
      </c>
      <c r="K87" s="342" t="str">
        <f>IF(AJ87=0,"",AJ87)</f>
        <v/>
      </c>
      <c r="L87" s="342">
        <f>IF(AK87=301,"",AK87)</f>
        <v>171</v>
      </c>
      <c r="M87" s="342" t="str">
        <f>IF(AL87=0,"",AL87)</f>
        <v/>
      </c>
      <c r="N87" s="342">
        <f>IF(AM87=301,"",AM87)</f>
        <v>182</v>
      </c>
      <c r="O87" s="342" t="str">
        <f>IF(AN87=0,"",AN87)</f>
        <v/>
      </c>
      <c r="P87" s="342">
        <f>IF(AO87=301,"",AO87)</f>
        <v>193</v>
      </c>
      <c r="Q87" s="342" t="str">
        <f>IF(AP87=0,"",AP87)</f>
        <v/>
      </c>
      <c r="R87" s="342">
        <f>IF(AQ87=301,"",AQ87)</f>
        <v>207</v>
      </c>
      <c r="S87" s="342" t="str">
        <f>IF(AR87=0,"",AR87)</f>
        <v/>
      </c>
      <c r="T87" s="342">
        <f>IF(AS87=301,"",AS87)</f>
        <v>151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184</v>
      </c>
      <c r="AD87" s="378"/>
      <c r="AE87" s="377">
        <f>ABS(INDEX(AE:AE,MATCH(AE82,$AA:$AA,0)+11)+INDEX(AE:AE,MATCH(AE82,$AA:$AA,0)+12)+INDEX(AE:AE,MATCH(AE82,$AA:$AA,0)+13))</f>
        <v>172</v>
      </c>
      <c r="AF87" s="378"/>
      <c r="AG87" s="377">
        <f>ABS(INDEX(AG:AG,MATCH(AG82,$AA:$AA,0)+11)+INDEX(AG:AG,MATCH(AG82,$AA:$AA,0)+12)+INDEX(AG:AG,MATCH(AG82,$AA:$AA,0)+13))</f>
        <v>203</v>
      </c>
      <c r="AH87" s="378"/>
      <c r="AI87" s="377">
        <f>ABS(INDEX(AI:AI,MATCH(AI82,$AA:$AA,0)+11)+INDEX(AI:AI,MATCH(AI82,$AA:$AA,0)+12)+INDEX(AI:AI,MATCH(AI82,$AA:$AA,0)+13))</f>
        <v>170</v>
      </c>
      <c r="AJ87" s="378"/>
      <c r="AK87" s="377">
        <f>ABS(INDEX(AK:AK,MATCH(AK82,$AA:$AA,0)+11)+INDEX(AK:AK,MATCH(AK82,$AA:$AA,0)+12)+INDEX(AK:AK,MATCH(AK82,$AA:$AA,0)+13))</f>
        <v>171</v>
      </c>
      <c r="AL87" s="378"/>
      <c r="AM87" s="377">
        <f>ABS(INDEX(AM:AM,MATCH(AM82,$AA:$AA,0)+11)+INDEX(AM:AM,MATCH(AM82,$AA:$AA,0)+12)+INDEX(AM:AM,MATCH(AM82,$AA:$AA,0)+13))</f>
        <v>182</v>
      </c>
      <c r="AN87" s="378"/>
      <c r="AO87" s="377">
        <f>ABS(INDEX(AO:AO,MATCH(AO82,$AA:$AA,0)+11)+INDEX(AO:AO,MATCH(AO82,$AA:$AA,0)+12)+INDEX(AO:AO,MATCH(AO82,$AA:$AA,0)+13))</f>
        <v>193</v>
      </c>
      <c r="AP87" s="378"/>
      <c r="AQ87" s="377">
        <f>ABS(INDEX(AQ:AQ,MATCH(AQ82,$AA:$AA,0)+11)+INDEX(AQ:AQ,MATCH(AQ82,$AA:$AA,0)+12)+INDEX(AQ:AQ,MATCH(AQ82,$AA:$AA,0)+13))</f>
        <v>207</v>
      </c>
      <c r="AR87" s="378"/>
      <c r="AS87" s="377">
        <f>ABS(INDEX(AS:AS,MATCH(AS82,$AA:$AA,0)+11)+INDEX(AS:AS,MATCH(AS82,$AA:$AA,0)+12)+INDEX(AS:AS,MATCH(AS82,$AA:$AA,0)+13))</f>
        <v>151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216</v>
      </c>
      <c r="E88" s="342" t="str">
        <f>IF(AD88=0,"",AD88)</f>
        <v/>
      </c>
      <c r="F88" s="342">
        <f>IF(AE88=301,"",AE88)</f>
        <v>244</v>
      </c>
      <c r="G88" s="342" t="str">
        <f>IF(AF88=0,"",AF88)</f>
        <v/>
      </c>
      <c r="H88" s="342">
        <f>IF(AG88=301,"",AG88)</f>
        <v>183</v>
      </c>
      <c r="I88" s="342" t="str">
        <f>IF(AH88=0,"",AH88)</f>
        <v/>
      </c>
      <c r="J88" s="342">
        <f>IF(AI88=301,"",AI88)</f>
        <v>180</v>
      </c>
      <c r="K88" s="342" t="str">
        <f>IF(AJ88=0,"",AJ88)</f>
        <v/>
      </c>
      <c r="L88" s="342">
        <f>IF(AK88=301,"",AK88)</f>
        <v>182</v>
      </c>
      <c r="M88" s="342" t="str">
        <f>IF(AL88=0,"",AL88)</f>
        <v/>
      </c>
      <c r="N88" s="342">
        <f>IF(AM88=301,"",AM88)</f>
        <v>203</v>
      </c>
      <c r="O88" s="342" t="str">
        <f>IF(AN88=0,"",AN88)</f>
        <v/>
      </c>
      <c r="P88" s="342">
        <f>IF(AO88=301,"",AO88)</f>
        <v>159</v>
      </c>
      <c r="Q88" s="342" t="str">
        <f>IF(AP88=0,"",AP88)</f>
        <v/>
      </c>
      <c r="R88" s="342">
        <f>IF(AQ88=301,"",AQ88)</f>
        <v>186</v>
      </c>
      <c r="S88" s="342" t="str">
        <f>IF(AR88=0,"",AR88)</f>
        <v/>
      </c>
      <c r="T88" s="342">
        <f>IF(AS88=301,"",AS88)</f>
        <v>141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216</v>
      </c>
      <c r="AD88" s="378"/>
      <c r="AE88" s="377">
        <f>ABS(INDEX(AE:AE,MATCH(AE82,$AA:$AA,0)+14)+INDEX(AE:AE,MATCH(AE82,$AA:$AA,0)+15)+INDEX(AE:AE,MATCH(AE82,$AA:$AA,0)+16))</f>
        <v>244</v>
      </c>
      <c r="AF88" s="378"/>
      <c r="AG88" s="377">
        <f>ABS(INDEX(AG:AG,MATCH(AG82,$AA:$AA,0)+14)+INDEX(AG:AG,MATCH(AG82,$AA:$AA,0)+15)+INDEX(AG:AG,MATCH(AG82,$AA:$AA,0)+16))</f>
        <v>183</v>
      </c>
      <c r="AH88" s="378"/>
      <c r="AI88" s="377">
        <f>ABS(INDEX(AI:AI,MATCH(AI82,$AA:$AA,0)+14)+INDEX(AI:AI,MATCH(AI82,$AA:$AA,0)+15)+INDEX(AI:AI,MATCH(AI82,$AA:$AA,0)+16))</f>
        <v>180</v>
      </c>
      <c r="AJ88" s="378"/>
      <c r="AK88" s="377">
        <f>ABS(INDEX(AK:AK,MATCH(AK82,$AA:$AA,0)+14)+INDEX(AK:AK,MATCH(AK82,$AA:$AA,0)+15)+INDEX(AK:AK,MATCH(AK82,$AA:$AA,0)+16))</f>
        <v>182</v>
      </c>
      <c r="AL88" s="378"/>
      <c r="AM88" s="377">
        <f>ABS(INDEX(AM:AM,MATCH(AM82,$AA:$AA,0)+14)+INDEX(AM:AM,MATCH(AM82,$AA:$AA,0)+15)+INDEX(AM:AM,MATCH(AM82,$AA:$AA,0)+16))</f>
        <v>203</v>
      </c>
      <c r="AN88" s="378"/>
      <c r="AO88" s="377">
        <f>ABS(INDEX(AO:AO,MATCH(AO82,$AA:$AA,0)+14)+INDEX(AO:AO,MATCH(AO82,$AA:$AA,0)+15)+INDEX(AO:AO,MATCH(AO82,$AA:$AA,0)+16))</f>
        <v>159</v>
      </c>
      <c r="AP88" s="378"/>
      <c r="AQ88" s="377">
        <f>ABS(INDEX(AQ:AQ,MATCH(AQ82,$AA:$AA,0)+14)+INDEX(AQ:AQ,MATCH(AQ82,$AA:$AA,0)+15)+INDEX(AQ:AQ,MATCH(AQ82,$AA:$AA,0)+16))</f>
        <v>186</v>
      </c>
      <c r="AR88" s="378"/>
      <c r="AS88" s="377">
        <f>ABS(INDEX(AS:AS,MATCH(AS82,$AA:$AA,0)+14)+INDEX(AS:AS,MATCH(AS82,$AA:$AA,0)+15)+INDEX(AS:AS,MATCH(AS82,$AA:$AA,0)+16))</f>
        <v>141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820</v>
      </c>
      <c r="E89" s="341" t="str">
        <f>IF(AD89=0,"",AD89)</f>
        <v/>
      </c>
      <c r="F89" s="341">
        <f>IF(AE89=1505,"",AE89)</f>
        <v>873</v>
      </c>
      <c r="G89" s="341" t="str">
        <f>IF(AF89=0,"",AF89)</f>
        <v/>
      </c>
      <c r="H89" s="341">
        <f>IF(AG89=1505,"",AG89)</f>
        <v>689</v>
      </c>
      <c r="I89" s="341" t="str">
        <f>IF(AH89=0,"",AH89)</f>
        <v/>
      </c>
      <c r="J89" s="341">
        <f>IF(AI89=1505,"",AI89)</f>
        <v>637</v>
      </c>
      <c r="K89" s="341" t="str">
        <f>IF(AJ89=0,"",AJ89)</f>
        <v/>
      </c>
      <c r="L89" s="341">
        <f>IF(AK89=1505,"",AK89)</f>
        <v>715</v>
      </c>
      <c r="M89" s="341" t="str">
        <f>IF(AL89=0,"",AL89)</f>
        <v/>
      </c>
      <c r="N89" s="341">
        <f>IF(AM89=1505,"",AM89)</f>
        <v>700</v>
      </c>
      <c r="O89" s="341" t="str">
        <f>IF(AN89=0,"",AN89)</f>
        <v/>
      </c>
      <c r="P89" s="341">
        <f>IF(AO89=1505,"",AO89)</f>
        <v>739</v>
      </c>
      <c r="Q89" s="341" t="str">
        <f>IF(AP89=0,"",AP89)</f>
        <v/>
      </c>
      <c r="R89" s="341">
        <f>IF(AQ89=1505,"",AQ89)</f>
        <v>802</v>
      </c>
      <c r="S89" s="341" t="str">
        <f>IF(AR89=0,"",AR89)</f>
        <v/>
      </c>
      <c r="T89" s="341">
        <f>IF(AS89=1505,"",AS89)</f>
        <v>660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820</v>
      </c>
      <c r="AD89" s="358"/>
      <c r="AE89" s="357">
        <f>SUM(AE85:AE88)</f>
        <v>873</v>
      </c>
      <c r="AF89" s="358"/>
      <c r="AG89" s="357">
        <f>SUM(AG85:AG88)</f>
        <v>689</v>
      </c>
      <c r="AH89" s="358"/>
      <c r="AI89" s="357">
        <f>SUM(AI85:AI88)</f>
        <v>637</v>
      </c>
      <c r="AJ89" s="358"/>
      <c r="AK89" s="357">
        <f>SUM(AK85:AK88)</f>
        <v>715</v>
      </c>
      <c r="AL89" s="358"/>
      <c r="AM89" s="357">
        <f>SUM(AM85:AM88)</f>
        <v>700</v>
      </c>
      <c r="AN89" s="358"/>
      <c r="AO89" s="357">
        <f>SUM(AO85:AO88)</f>
        <v>739</v>
      </c>
      <c r="AP89" s="358"/>
      <c r="AQ89" s="357">
        <f>SUM(AQ85:AQ88)</f>
        <v>802</v>
      </c>
      <c r="AR89" s="358"/>
      <c r="AS89" s="357">
        <f>SUM(AS85:AS88)</f>
        <v>660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15.02./16.02.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15.02./16.02.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Regensburg Super Bowl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51">
        <f>IF(AD97="","",AD97)</f>
        <v>1</v>
      </c>
      <c r="F97" s="75">
        <f t="shared" ref="F97:F110" si="103">IF(AE97=0,"",AE97)</f>
        <v>224</v>
      </c>
      <c r="G97" s="351">
        <f>IF(AF97="","",AF97)</f>
        <v>0</v>
      </c>
      <c r="H97" s="75">
        <f t="shared" ref="H97:H110" si="104">IF(AG97=0,"",AG97)</f>
        <v>177</v>
      </c>
      <c r="I97" s="351">
        <f>IF(AH97="","",AH97)</f>
        <v>1</v>
      </c>
      <c r="J97" s="75">
        <f t="shared" ref="J97:J110" si="105">IF(AI97=0,"",AI97)</f>
        <v>174</v>
      </c>
      <c r="K97" s="351">
        <f>IF(AJ97="","",AJ97)</f>
        <v>0</v>
      </c>
      <c r="L97" s="75">
        <f t="shared" ref="L97:L110" si="106">IF(AK97=0,"",AK97)</f>
        <v>192</v>
      </c>
      <c r="M97" s="351">
        <f>IF(AL97="","",AL97)</f>
        <v>0</v>
      </c>
      <c r="N97" s="75">
        <f>IF(AM97=0,"",AM97)</f>
        <v>246</v>
      </c>
      <c r="O97" s="351">
        <f>IF(AN97="","",AN97)</f>
        <v>1</v>
      </c>
      <c r="P97" s="75">
        <f t="shared" ref="P97:P110" si="107">IF(AO97=0,"",AO97)</f>
        <v>221</v>
      </c>
      <c r="Q97" s="351">
        <f>IF(AP97="","",AP97)</f>
        <v>1</v>
      </c>
      <c r="R97" s="75">
        <f t="shared" ref="R97:R110" si="108">IF(AQ97=0,"",AQ97)</f>
        <v>194</v>
      </c>
      <c r="S97" s="351">
        <f>IF(AR97="","",AR97)</f>
        <v>1</v>
      </c>
      <c r="T97" s="75">
        <f t="shared" ref="T97:T110" si="109">IF(AS97=0,"",AS97)</f>
        <v>203</v>
      </c>
      <c r="U97" s="351">
        <f>IF(AT97="","",AT97)</f>
        <v>1</v>
      </c>
      <c r="V97" s="75">
        <f t="shared" ref="V97:V110" si="110">IF(AU97=0,"",AU97)</f>
        <v>1829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51">
        <f>IF(AD100="","",AD100)</f>
        <v>1</v>
      </c>
      <c r="F100" s="75">
        <f t="shared" si="103"/>
        <v>233</v>
      </c>
      <c r="G100" s="351">
        <f>IF(AF100="","",AF100)</f>
        <v>1</v>
      </c>
      <c r="H100" s="75">
        <f t="shared" si="104"/>
        <v>215</v>
      </c>
      <c r="I100" s="351">
        <f>IF(AH100="","",AH100)</f>
        <v>1</v>
      </c>
      <c r="J100" s="75">
        <f t="shared" si="105"/>
        <v>164</v>
      </c>
      <c r="K100" s="351">
        <f>IF(AJ100="","",AJ100)</f>
        <v>1</v>
      </c>
      <c r="L100" s="75">
        <f t="shared" si="106"/>
        <v>191</v>
      </c>
      <c r="M100" s="351">
        <f>IF(AL100="","",AL100)</f>
        <v>0</v>
      </c>
      <c r="N100" s="75">
        <f t="shared" si="123"/>
        <v>254</v>
      </c>
      <c r="O100" s="351">
        <f>IF(AN100="","",AN100)</f>
        <v>1</v>
      </c>
      <c r="P100" s="75">
        <f t="shared" si="107"/>
        <v>153</v>
      </c>
      <c r="Q100" s="351">
        <f>IF(AP100="","",AP100)</f>
        <v>0</v>
      </c>
      <c r="R100" s="75" t="str">
        <f t="shared" si="108"/>
        <v/>
      </c>
      <c r="S100" s="351">
        <f>IF(AR100="","",AR100)</f>
        <v>1</v>
      </c>
      <c r="T100" s="75" t="str">
        <f t="shared" si="109"/>
        <v/>
      </c>
      <c r="U100" s="351">
        <f>IF(AT100="","",AT100)</f>
        <v>0</v>
      </c>
      <c r="V100" s="75">
        <f t="shared" si="110"/>
        <v>1387</v>
      </c>
      <c r="W100" s="351">
        <f>IF(AV100="","",AV100)</f>
        <v>6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>
        <f t="shared" si="108"/>
        <v>217</v>
      </c>
      <c r="S101" s="352"/>
      <c r="T101" s="78">
        <f t="shared" si="109"/>
        <v>124</v>
      </c>
      <c r="U101" s="352"/>
      <c r="V101" s="78">
        <f t="shared" si="110"/>
        <v>341</v>
      </c>
      <c r="W101" s="352"/>
      <c r="Z101" s="355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51">
        <f>IF(AD103="","",AD103)</f>
        <v>1</v>
      </c>
      <c r="F103" s="75">
        <f t="shared" si="103"/>
        <v>172</v>
      </c>
      <c r="G103" s="351">
        <f>IF(AF103="","",AF103)</f>
        <v>0</v>
      </c>
      <c r="H103" s="75">
        <f t="shared" si="104"/>
        <v>150</v>
      </c>
      <c r="I103" s="351">
        <f>IF(AH103="","",AH103)</f>
        <v>1</v>
      </c>
      <c r="J103" s="75" t="str">
        <f t="shared" si="105"/>
        <v/>
      </c>
      <c r="K103" s="351">
        <f>IF(AJ103="","",AJ103)</f>
        <v>1</v>
      </c>
      <c r="L103" s="75" t="str">
        <f t="shared" si="106"/>
        <v/>
      </c>
      <c r="M103" s="351">
        <f>IF(AL103="","",AL103)</f>
        <v>1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500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>
        <f t="shared" si="105"/>
        <v>225</v>
      </c>
      <c r="K104" s="352"/>
      <c r="L104" s="78">
        <f t="shared" si="106"/>
        <v>222</v>
      </c>
      <c r="M104" s="352"/>
      <c r="N104" s="78">
        <f t="shared" si="123"/>
        <v>196</v>
      </c>
      <c r="O104" s="352"/>
      <c r="P104" s="78">
        <f t="shared" si="107"/>
        <v>237</v>
      </c>
      <c r="Q104" s="352"/>
      <c r="R104" s="78">
        <f t="shared" si="108"/>
        <v>166</v>
      </c>
      <c r="S104" s="352"/>
      <c r="T104" s="78" t="str">
        <f t="shared" si="109"/>
        <v/>
      </c>
      <c r="U104" s="352"/>
      <c r="V104" s="78">
        <f t="shared" si="110"/>
        <v>1046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>
        <f t="shared" si="109"/>
        <v>167</v>
      </c>
      <c r="U105" s="353"/>
      <c r="V105" s="69">
        <f t="shared" si="110"/>
        <v>167</v>
      </c>
      <c r="W105" s="353"/>
      <c r="Z105" s="356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51">
        <f>IF(AD106="","",AD106)</f>
        <v>0</v>
      </c>
      <c r="F106" s="75" t="str">
        <f t="shared" si="103"/>
        <v/>
      </c>
      <c r="G106" s="351">
        <f>IF(AF106="","",AF106)</f>
        <v>1</v>
      </c>
      <c r="H106" s="75" t="str">
        <f t="shared" si="104"/>
        <v/>
      </c>
      <c r="I106" s="351">
        <f>IF(AH106="","",AH106)</f>
        <v>0</v>
      </c>
      <c r="J106" s="75" t="str">
        <f t="shared" si="105"/>
        <v/>
      </c>
      <c r="K106" s="351">
        <f>IF(AJ106="","",AJ106)</f>
        <v>0</v>
      </c>
      <c r="L106" s="75" t="str">
        <f t="shared" si="106"/>
        <v/>
      </c>
      <c r="M106" s="351">
        <f>IF(AL106="","",AL106)</f>
        <v>0</v>
      </c>
      <c r="N106" s="75" t="str">
        <f t="shared" si="123"/>
        <v/>
      </c>
      <c r="O106" s="351">
        <f>IF(AN106="","",AN106)</f>
        <v>1</v>
      </c>
      <c r="P106" s="75" t="str">
        <f t="shared" si="107"/>
        <v/>
      </c>
      <c r="Q106" s="351">
        <f>IF(AP106="","",AP106)</f>
        <v>1</v>
      </c>
      <c r="R106" s="75" t="str">
        <f t="shared" si="108"/>
        <v/>
      </c>
      <c r="S106" s="351">
        <f>IF(AR106="","",AR106)</f>
        <v>1</v>
      </c>
      <c r="T106" s="75" t="str">
        <f t="shared" si="109"/>
        <v/>
      </c>
      <c r="U106" s="351">
        <f>IF(AT106="","",AT106)</f>
        <v>0</v>
      </c>
      <c r="V106" s="75">
        <f t="shared" si="110"/>
        <v>167</v>
      </c>
      <c r="W106" s="351">
        <f>IF(AV106="","",AV106)</f>
        <v>4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52"/>
      <c r="F107" s="78">
        <f t="shared" si="103"/>
        <v>244</v>
      </c>
      <c r="G107" s="352"/>
      <c r="H107" s="78">
        <f t="shared" si="104"/>
        <v>140</v>
      </c>
      <c r="I107" s="352"/>
      <c r="J107" s="78">
        <f t="shared" si="105"/>
        <v>184</v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>
        <f t="shared" si="110"/>
        <v>568</v>
      </c>
      <c r="W107" s="352"/>
      <c r="Z107" s="355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>
        <f t="shared" si="106"/>
        <v>186</v>
      </c>
      <c r="M108" s="353"/>
      <c r="N108" s="69">
        <f t="shared" si="123"/>
        <v>219</v>
      </c>
      <c r="O108" s="353"/>
      <c r="P108" s="69">
        <f t="shared" si="107"/>
        <v>234</v>
      </c>
      <c r="Q108" s="353"/>
      <c r="R108" s="69">
        <f t="shared" si="108"/>
        <v>181</v>
      </c>
      <c r="S108" s="353"/>
      <c r="T108" s="69">
        <f t="shared" si="109"/>
        <v>147</v>
      </c>
      <c r="U108" s="353"/>
      <c r="V108" s="69">
        <f t="shared" si="110"/>
        <v>967</v>
      </c>
      <c r="W108" s="353"/>
      <c r="Z108" s="356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2</v>
      </c>
      <c r="E112" s="349" t="str">
        <f t="shared" si="134"/>
        <v/>
      </c>
      <c r="F112" s="349">
        <f t="shared" si="134"/>
        <v>3</v>
      </c>
      <c r="G112" s="349" t="str">
        <f t="shared" si="134"/>
        <v/>
      </c>
      <c r="H112" s="349">
        <f t="shared" si="134"/>
        <v>10</v>
      </c>
      <c r="I112" s="349" t="str">
        <f t="shared" si="134"/>
        <v/>
      </c>
      <c r="J112" s="349">
        <f t="shared" si="134"/>
        <v>1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si="135"/>
        <v>5</v>
      </c>
      <c r="S112" s="349" t="str">
        <f t="shared" si="135"/>
        <v/>
      </c>
      <c r="T112" s="349">
        <f t="shared" si="135"/>
        <v>6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VLOOKUP($AA92,Schlüssel!$A$5:$DG$14,63)</f>
        <v>2</v>
      </c>
      <c r="AD112" s="374"/>
      <c r="AE112" s="373">
        <f>VLOOKUP($AA92,Schlüssel!$A$5:$EK$14,64)</f>
        <v>3</v>
      </c>
      <c r="AF112" s="374"/>
      <c r="AG112" s="373">
        <f>VLOOKUP($AA92,Schlüssel!$A$5:$EK$14,65)</f>
        <v>10</v>
      </c>
      <c r="AH112" s="374"/>
      <c r="AI112" s="373">
        <f>VLOOKUP($AA92,Schlüssel!$A$5:$EK$14,66)</f>
        <v>1</v>
      </c>
      <c r="AJ112" s="374"/>
      <c r="AK112" s="373">
        <f>VLOOKUP($AA92,Schlüssel!$A$5:$EK$14,67)</f>
        <v>8</v>
      </c>
      <c r="AL112" s="374"/>
      <c r="AM112" s="373">
        <f>VLOOKUP($AA92,Schlüssel!$A$5:$EK$14,68)</f>
        <v>7</v>
      </c>
      <c r="AN112" s="374"/>
      <c r="AO112" s="373">
        <f>VLOOKUP($AA92,Schlüssel!$A$5:$EK$14,69)</f>
        <v>9</v>
      </c>
      <c r="AP112" s="374"/>
      <c r="AQ112" s="373">
        <f>VLOOKUP($AA92,Schlüssel!$A$5:$EK$14,70)</f>
        <v>5</v>
      </c>
      <c r="AR112" s="374"/>
      <c r="AS112" s="373">
        <f>VLOOKUP($AA92,Schlüssel!$A$5:$EK$14,71)</f>
        <v>6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Bajuwaren München 1</v>
      </c>
      <c r="E113" s="347" t="str">
        <f t="shared" si="134"/>
        <v/>
      </c>
      <c r="F113" s="346" t="str">
        <f t="shared" si="134"/>
        <v>BK München 3</v>
      </c>
      <c r="G113" s="347" t="str">
        <f t="shared" si="134"/>
        <v/>
      </c>
      <c r="H113" s="346" t="str">
        <f t="shared" si="134"/>
        <v>High Roller Rosenheim 1</v>
      </c>
      <c r="I113" s="347" t="str">
        <f t="shared" si="134"/>
        <v/>
      </c>
      <c r="J113" s="346" t="str">
        <f t="shared" si="134"/>
        <v>BC Comet Nürnberg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Schanzer Ingolstadt 1</v>
      </c>
      <c r="O113" s="347" t="str">
        <f t="shared" si="135"/>
        <v/>
      </c>
      <c r="P113" s="346" t="str">
        <f t="shared" si="135"/>
        <v>Bowlinghaus Bamberg 1</v>
      </c>
      <c r="Q113" s="347" t="str">
        <f t="shared" si="135"/>
        <v/>
      </c>
      <c r="R113" s="346" t="str">
        <f t="shared" si="135"/>
        <v>RW Lichtenhof Stein 1</v>
      </c>
      <c r="S113" s="347" t="str">
        <f t="shared" si="135"/>
        <v/>
      </c>
      <c r="T113" s="346" t="str">
        <f t="shared" si="135"/>
        <v>SG Rottendorf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Bajuwaren München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High Roller Rosenheim 1</v>
      </c>
      <c r="AH113" s="347"/>
      <c r="AI113" s="346" t="str">
        <f>VLOOKUP(AI112,Schlüssel!$A$5:$K$14,2)</f>
        <v>BC Comet Nürnberg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RW Lichtenhof Stein 1</v>
      </c>
      <c r="AR113" s="347"/>
      <c r="AS113" s="346" t="str">
        <f>VLOOKUP(AS112,Schlüssel!$A$5:$K$14,2)</f>
        <v>SG Rottendorf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254</v>
      </c>
      <c r="G115" s="342" t="str">
        <f>IF(AF115=0,"",AF115)</f>
        <v/>
      </c>
      <c r="H115" s="342">
        <f>IF(AG115=301,"",AG115)</f>
        <v>169</v>
      </c>
      <c r="I115" s="342" t="str">
        <f>IF(AH115=0,"",AH115)</f>
        <v/>
      </c>
      <c r="J115" s="342">
        <f>IF(AI115=301,"",AI115)</f>
        <v>203</v>
      </c>
      <c r="K115" s="342" t="str">
        <f>IF(AJ115=0,"",AJ115)</f>
        <v/>
      </c>
      <c r="L115" s="342">
        <f>IF(AK115=301,"",AK115)</f>
        <v>194</v>
      </c>
      <c r="M115" s="342" t="str">
        <f>IF(AL115=0,"",AL115)</f>
        <v/>
      </c>
      <c r="N115" s="342">
        <f>IF(AM115=301,"",AM115)</f>
        <v>190</v>
      </c>
      <c r="O115" s="342" t="str">
        <f>IF(AN115=0,"",AN115)</f>
        <v/>
      </c>
      <c r="P115" s="342">
        <f>IF(AO115=301,"",AO115)</f>
        <v>169</v>
      </c>
      <c r="Q115" s="342" t="str">
        <f>IF(AP115=0,"",AP115)</f>
        <v/>
      </c>
      <c r="R115" s="342">
        <f>IF(AQ115=301,"",AQ115)</f>
        <v>146</v>
      </c>
      <c r="S115" s="342" t="str">
        <f>IF(AR115=0,"",AR115)</f>
        <v/>
      </c>
      <c r="T115" s="342">
        <f>IF(AS115=301,"",AS115)</f>
        <v>161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254</v>
      </c>
      <c r="AF115" s="376"/>
      <c r="AG115" s="375">
        <f>ABS(INDEX(AG:AG,MATCH(AG112,$AA:$AA,0)+5)+INDEX(AG:AG,MATCH(AG112,$AA:$AA,0)+6)+INDEX(AG:AG,MATCH(AG112,$AA:$AA,0)+7))</f>
        <v>169</v>
      </c>
      <c r="AH115" s="376"/>
      <c r="AI115" s="375">
        <f>ABS(INDEX(AI:AI,MATCH(AI112,$AA:$AA,0)+5)+INDEX(AI:AI,MATCH(AI112,$AA:$AA,0)+6)+INDEX(AI:AI,MATCH(AI112,$AA:$AA,0)+7))</f>
        <v>203</v>
      </c>
      <c r="AJ115" s="376"/>
      <c r="AK115" s="375">
        <f>ABS(INDEX(AK:AK,MATCH(AK112,$AA:$AA,0)+5)+INDEX(AK:AK,MATCH(AK112,$AA:$AA,0)+6)+INDEX(AK:AK,MATCH(AK112,$AA:$AA,0)+7))</f>
        <v>194</v>
      </c>
      <c r="AL115" s="376"/>
      <c r="AM115" s="375">
        <f>ABS(INDEX(AM:AM,MATCH(AM112,$AA:$AA,0)+5)+INDEX(AM:AM,MATCH(AM112,$AA:$AA,0)+6)+INDEX(AM:AM,MATCH(AM112,$AA:$AA,0)+7))</f>
        <v>190</v>
      </c>
      <c r="AN115" s="376"/>
      <c r="AO115" s="375">
        <f>ABS(INDEX(AO:AO,MATCH(AO112,$AA:$AA,0)+5)+INDEX(AO:AO,MATCH(AO112,$AA:$AA,0)+6)+INDEX(AO:AO,MATCH(AO112,$AA:$AA,0)+7))</f>
        <v>169</v>
      </c>
      <c r="AP115" s="376"/>
      <c r="AQ115" s="375">
        <f>ABS(INDEX(AQ:AQ,MATCH(AQ112,$AA:$AA,0)+5)+INDEX(AQ:AQ,MATCH(AQ112,$AA:$AA,0)+6)+INDEX(AQ:AQ,MATCH(AQ112,$AA:$AA,0)+7))</f>
        <v>146</v>
      </c>
      <c r="AR115" s="376"/>
      <c r="AS115" s="375">
        <f>ABS(INDEX(AS:AS,MATCH(AS112,$AA:$AA,0)+5)+INDEX(AS:AS,MATCH(AS112,$AA:$AA,0)+6)+INDEX(AS:AS,MATCH(AS112,$AA:$AA,0)+7))</f>
        <v>161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149</v>
      </c>
      <c r="E116" s="342" t="str">
        <f>IF(AD116=0,"",AD116)</f>
        <v/>
      </c>
      <c r="F116" s="342">
        <f>IF(AE116=301,"",AE116)</f>
        <v>189</v>
      </c>
      <c r="G116" s="342" t="str">
        <f>IF(AF116=0,"",AF116)</f>
        <v/>
      </c>
      <c r="H116" s="342">
        <f>IF(AG116=301,"",AG116)</f>
        <v>152</v>
      </c>
      <c r="I116" s="342" t="str">
        <f>IF(AH116=0,"",AH116)</f>
        <v/>
      </c>
      <c r="J116" s="342">
        <f>IF(AI116=301,"",AI116)</f>
        <v>149</v>
      </c>
      <c r="K116" s="342" t="str">
        <f>IF(AJ116=0,"",AJ116)</f>
        <v/>
      </c>
      <c r="L116" s="342">
        <f>IF(AK116=301,"",AK116)</f>
        <v>200</v>
      </c>
      <c r="M116" s="342" t="str">
        <f>IF(AL116=0,"",AL116)</f>
        <v/>
      </c>
      <c r="N116" s="342">
        <f>IF(AM116=301,"",AM116)</f>
        <v>192</v>
      </c>
      <c r="O116" s="342" t="str">
        <f>IF(AN116=0,"",AN116)</f>
        <v/>
      </c>
      <c r="P116" s="342">
        <f>IF(AO116=301,"",AO116)</f>
        <v>172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158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149</v>
      </c>
      <c r="AD116" s="378"/>
      <c r="AE116" s="377">
        <f>ABS(INDEX(AE:AE,MATCH(AE112,$AA:$AA,0)+8)+INDEX(AE:AE,MATCH(AE112,$AA:$AA,0)+9)+INDEX(AE:AE,MATCH(AE112,$AA:$AA,0)+10))</f>
        <v>189</v>
      </c>
      <c r="AF116" s="378"/>
      <c r="AG116" s="377">
        <f>ABS(INDEX(AG:AG,MATCH(AG112,$AA:$AA,0)+8)+INDEX(AG:AG,MATCH(AG112,$AA:$AA,0)+9)+INDEX(AG:AG,MATCH(AG112,$AA:$AA,0)+10))</f>
        <v>152</v>
      </c>
      <c r="AH116" s="378"/>
      <c r="AI116" s="377">
        <f>ABS(INDEX(AI:AI,MATCH(AI112,$AA:$AA,0)+8)+INDEX(AI:AI,MATCH(AI112,$AA:$AA,0)+9)+INDEX(AI:AI,MATCH(AI112,$AA:$AA,0)+10))</f>
        <v>149</v>
      </c>
      <c r="AJ116" s="378"/>
      <c r="AK116" s="377">
        <f>ABS(INDEX(AK:AK,MATCH(AK112,$AA:$AA,0)+8)+INDEX(AK:AK,MATCH(AK112,$AA:$AA,0)+9)+INDEX(AK:AK,MATCH(AK112,$AA:$AA,0)+10))</f>
        <v>200</v>
      </c>
      <c r="AL116" s="378"/>
      <c r="AM116" s="377">
        <f>ABS(INDEX(AM:AM,MATCH(AM112,$AA:$AA,0)+8)+INDEX(AM:AM,MATCH(AM112,$AA:$AA,0)+9)+INDEX(AM:AM,MATCH(AM112,$AA:$AA,0)+10))</f>
        <v>192</v>
      </c>
      <c r="AN116" s="378"/>
      <c r="AO116" s="377">
        <f>ABS(INDEX(AO:AO,MATCH(AO112,$AA:$AA,0)+8)+INDEX(AO:AO,MATCH(AO112,$AA:$AA,0)+9)+INDEX(AO:AO,MATCH(AO112,$AA:$AA,0)+10))</f>
        <v>172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158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175</v>
      </c>
      <c r="E117" s="342" t="str">
        <f>IF(AD117=0,"",AD117)</f>
        <v/>
      </c>
      <c r="F117" s="342">
        <f>IF(AE117=301,"",AE117)</f>
        <v>216</v>
      </c>
      <c r="G117" s="342" t="str">
        <f>IF(AF117=0,"",AF117)</f>
        <v/>
      </c>
      <c r="H117" s="342">
        <f>IF(AG117=301,"",AG117)</f>
        <v>145</v>
      </c>
      <c r="I117" s="342" t="str">
        <f>IF(AH117=0,"",AH117)</f>
        <v/>
      </c>
      <c r="J117" s="342">
        <f>IF(AI117=301,"",AI117)</f>
        <v>168</v>
      </c>
      <c r="K117" s="342" t="str">
        <f>IF(AJ117=0,"",AJ117)</f>
        <v/>
      </c>
      <c r="L117" s="342">
        <f>IF(AK117=301,"",AK117)</f>
        <v>213</v>
      </c>
      <c r="M117" s="342" t="str">
        <f>IF(AL117=0,"",AL117)</f>
        <v/>
      </c>
      <c r="N117" s="342">
        <f>IF(AM117=301,"",AM117)</f>
        <v>219</v>
      </c>
      <c r="O117" s="342" t="str">
        <f>IF(AN117=0,"",AN117)</f>
        <v/>
      </c>
      <c r="P117" s="342">
        <f>IF(AO117=301,"",AO117)</f>
        <v>225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170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175</v>
      </c>
      <c r="AD117" s="378"/>
      <c r="AE117" s="377">
        <f>ABS(INDEX(AE:AE,MATCH(AE112,$AA:$AA,0)+11)+INDEX(AE:AE,MATCH(AE112,$AA:$AA,0)+12)+INDEX(AE:AE,MATCH(AE112,$AA:$AA,0)+13))</f>
        <v>216</v>
      </c>
      <c r="AF117" s="378"/>
      <c r="AG117" s="377">
        <f>ABS(INDEX(AG:AG,MATCH(AG112,$AA:$AA,0)+11)+INDEX(AG:AG,MATCH(AG112,$AA:$AA,0)+12)+INDEX(AG:AG,MATCH(AG112,$AA:$AA,0)+13))</f>
        <v>145</v>
      </c>
      <c r="AH117" s="378"/>
      <c r="AI117" s="377">
        <f>ABS(INDEX(AI:AI,MATCH(AI112,$AA:$AA,0)+11)+INDEX(AI:AI,MATCH(AI112,$AA:$AA,0)+12)+INDEX(AI:AI,MATCH(AI112,$AA:$AA,0)+13))</f>
        <v>168</v>
      </c>
      <c r="AJ117" s="378"/>
      <c r="AK117" s="377">
        <f>ABS(INDEX(AK:AK,MATCH(AK112,$AA:$AA,0)+11)+INDEX(AK:AK,MATCH(AK112,$AA:$AA,0)+12)+INDEX(AK:AK,MATCH(AK112,$AA:$AA,0)+13))</f>
        <v>213</v>
      </c>
      <c r="AL117" s="378"/>
      <c r="AM117" s="377">
        <f>ABS(INDEX(AM:AM,MATCH(AM112,$AA:$AA,0)+11)+INDEX(AM:AM,MATCH(AM112,$AA:$AA,0)+12)+INDEX(AM:AM,MATCH(AM112,$AA:$AA,0)+13))</f>
        <v>219</v>
      </c>
      <c r="AN117" s="378"/>
      <c r="AO117" s="377">
        <f>ABS(INDEX(AO:AO,MATCH(AO112,$AA:$AA,0)+11)+INDEX(AO:AO,MATCH(AO112,$AA:$AA,0)+12)+INDEX(AO:AO,MATCH(AO112,$AA:$AA,0)+13))</f>
        <v>225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170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176</v>
      </c>
      <c r="E118" s="342" t="str">
        <f>IF(AD118=0,"",AD118)</f>
        <v/>
      </c>
      <c r="F118" s="342">
        <f>IF(AE118=301,"",AE118)</f>
        <v>171</v>
      </c>
      <c r="G118" s="342" t="str">
        <f>IF(AF118=0,"",AF118)</f>
        <v/>
      </c>
      <c r="H118" s="342">
        <f>IF(AG118=301,"",AG118)</f>
        <v>184</v>
      </c>
      <c r="I118" s="342" t="str">
        <f>IF(AH118=0,"",AH118)</f>
        <v/>
      </c>
      <c r="J118" s="342">
        <f>IF(AI118=301,"",AI118)</f>
        <v>245</v>
      </c>
      <c r="K118" s="342" t="str">
        <f>IF(AJ118=0,"",AJ118)</f>
        <v/>
      </c>
      <c r="L118" s="342">
        <f>IF(AK118=301,"",AK118)</f>
        <v>243</v>
      </c>
      <c r="M118" s="342" t="str">
        <f>IF(AL118=0,"",AL118)</f>
        <v/>
      </c>
      <c r="N118" s="342">
        <f>IF(AM118=301,"",AM118)</f>
        <v>147</v>
      </c>
      <c r="O118" s="342" t="str">
        <f>IF(AN118=0,"",AN118)</f>
        <v/>
      </c>
      <c r="P118" s="342">
        <f>IF(AO118=301,"",AO118)</f>
        <v>173</v>
      </c>
      <c r="Q118" s="342" t="str">
        <f>IF(AP118=0,"",AP118)</f>
        <v/>
      </c>
      <c r="R118" s="342">
        <f>IF(AQ118=301,"",AQ118)</f>
        <v>176</v>
      </c>
      <c r="S118" s="342" t="str">
        <f>IF(AR118=0,"",AR118)</f>
        <v/>
      </c>
      <c r="T118" s="342">
        <f>IF(AS118=301,"",AS118)</f>
        <v>221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176</v>
      </c>
      <c r="AD118" s="378"/>
      <c r="AE118" s="377">
        <f>ABS(INDEX(AE:AE,MATCH(AE112,$AA:$AA,0)+14)+INDEX(AE:AE,MATCH(AE112,$AA:$AA,0)+15)+INDEX(AE:AE,MATCH(AE112,$AA:$AA,0)+16))</f>
        <v>171</v>
      </c>
      <c r="AF118" s="378"/>
      <c r="AG118" s="377">
        <f>ABS(INDEX(AG:AG,MATCH(AG112,$AA:$AA,0)+14)+INDEX(AG:AG,MATCH(AG112,$AA:$AA,0)+15)+INDEX(AG:AG,MATCH(AG112,$AA:$AA,0)+16))</f>
        <v>184</v>
      </c>
      <c r="AH118" s="378"/>
      <c r="AI118" s="377">
        <f>ABS(INDEX(AI:AI,MATCH(AI112,$AA:$AA,0)+14)+INDEX(AI:AI,MATCH(AI112,$AA:$AA,0)+15)+INDEX(AI:AI,MATCH(AI112,$AA:$AA,0)+16))</f>
        <v>245</v>
      </c>
      <c r="AJ118" s="378"/>
      <c r="AK118" s="377">
        <f>ABS(INDEX(AK:AK,MATCH(AK112,$AA:$AA,0)+14)+INDEX(AK:AK,MATCH(AK112,$AA:$AA,0)+15)+INDEX(AK:AK,MATCH(AK112,$AA:$AA,0)+16))</f>
        <v>243</v>
      </c>
      <c r="AL118" s="378"/>
      <c r="AM118" s="377">
        <f>ABS(INDEX(AM:AM,MATCH(AM112,$AA:$AA,0)+14)+INDEX(AM:AM,MATCH(AM112,$AA:$AA,0)+15)+INDEX(AM:AM,MATCH(AM112,$AA:$AA,0)+16))</f>
        <v>147</v>
      </c>
      <c r="AN118" s="378"/>
      <c r="AO118" s="377">
        <f>ABS(INDEX(AO:AO,MATCH(AO112,$AA:$AA,0)+14)+INDEX(AO:AO,MATCH(AO112,$AA:$AA,0)+15)+INDEX(AO:AO,MATCH(AO112,$AA:$AA,0)+16))</f>
        <v>173</v>
      </c>
      <c r="AP118" s="378"/>
      <c r="AQ118" s="377">
        <f>ABS(INDEX(AQ:AQ,MATCH(AQ112,$AA:$AA,0)+14)+INDEX(AQ:AQ,MATCH(AQ112,$AA:$AA,0)+15)+INDEX(AQ:AQ,MATCH(AQ112,$AA:$AA,0)+16))</f>
        <v>176</v>
      </c>
      <c r="AR118" s="378"/>
      <c r="AS118" s="377">
        <f>ABS(INDEX(AS:AS,MATCH(AS112,$AA:$AA,0)+14)+INDEX(AS:AS,MATCH(AS112,$AA:$AA,0)+15)+INDEX(AS:AS,MATCH(AS112,$AA:$AA,0)+16))</f>
        <v>221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672</v>
      </c>
      <c r="E119" s="341" t="str">
        <f>IF(AD119=0,"",AD119)</f>
        <v/>
      </c>
      <c r="F119" s="341">
        <f>IF(AE119=1505,"",AE119)</f>
        <v>830</v>
      </c>
      <c r="G119" s="341" t="str">
        <f>IF(AF119=0,"",AF119)</f>
        <v/>
      </c>
      <c r="H119" s="341">
        <f>IF(AG119=1505,"",AG119)</f>
        <v>650</v>
      </c>
      <c r="I119" s="341" t="str">
        <f>IF(AH119=0,"",AH119)</f>
        <v/>
      </c>
      <c r="J119" s="341">
        <f>IF(AI119=1505,"",AI119)</f>
        <v>765</v>
      </c>
      <c r="K119" s="341" t="str">
        <f>IF(AJ119=0,"",AJ119)</f>
        <v/>
      </c>
      <c r="L119" s="341">
        <f>IF(AK119=1505,"",AK119)</f>
        <v>850</v>
      </c>
      <c r="M119" s="341" t="str">
        <f>IF(AL119=0,"",AL119)</f>
        <v/>
      </c>
      <c r="N119" s="341">
        <f>IF(AM119=1505,"",AM119)</f>
        <v>748</v>
      </c>
      <c r="O119" s="341" t="str">
        <f>IF(AN119=0,"",AN119)</f>
        <v/>
      </c>
      <c r="P119" s="341">
        <f>IF(AO119=1505,"",AO119)</f>
        <v>739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710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672</v>
      </c>
      <c r="AD119" s="358"/>
      <c r="AE119" s="357">
        <f>SUM(AE115:AE118)</f>
        <v>830</v>
      </c>
      <c r="AF119" s="358"/>
      <c r="AG119" s="357">
        <f>SUM(AG115:AG118)</f>
        <v>650</v>
      </c>
      <c r="AH119" s="358"/>
      <c r="AI119" s="357">
        <f>SUM(AI115:AI118)</f>
        <v>765</v>
      </c>
      <c r="AJ119" s="358"/>
      <c r="AK119" s="357">
        <f>SUM(AK115:AK118)</f>
        <v>850</v>
      </c>
      <c r="AL119" s="358"/>
      <c r="AM119" s="357">
        <f>SUM(AM115:AM118)</f>
        <v>748</v>
      </c>
      <c r="AN119" s="358"/>
      <c r="AO119" s="357">
        <f>SUM(AO115:AO118)</f>
        <v>739</v>
      </c>
      <c r="AP119" s="358"/>
      <c r="AQ119" s="357">
        <f>SUM(AQ115:AQ118)</f>
        <v>660</v>
      </c>
      <c r="AR119" s="358"/>
      <c r="AS119" s="357">
        <f>SUM(AS115:AS118)</f>
        <v>710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15.02./16.02.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15.02./16.02.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Regensburg Super Bowl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51">
        <f>IF(AD127="","",AD127)</f>
        <v>1</v>
      </c>
      <c r="F127" s="75">
        <f t="shared" ref="F127:F140" si="137">IF(AE127=0,"",AE127)</f>
        <v>169</v>
      </c>
      <c r="G127" s="351">
        <f>IF(AF127="","",AF127)</f>
        <v>0</v>
      </c>
      <c r="H127" s="75">
        <f t="shared" ref="H127:H140" si="138">IF(AG127=0,"",AG127)</f>
        <v>167</v>
      </c>
      <c r="I127" s="351">
        <f>IF(AH127="","",AH127)</f>
        <v>0</v>
      </c>
      <c r="J127" s="75">
        <f t="shared" ref="J127:J140" si="139">IF(AI127=0,"",AI127)</f>
        <v>141</v>
      </c>
      <c r="K127" s="351">
        <f>IF(AJ127="","",AJ127)</f>
        <v>0</v>
      </c>
      <c r="L127" s="75">
        <f t="shared" ref="L127:L140" si="140">IF(AK127=0,"",AK127)</f>
        <v>171</v>
      </c>
      <c r="M127" s="351">
        <f>IF(AL127="","",AL127)</f>
        <v>1</v>
      </c>
      <c r="N127" s="75">
        <f>IF(AM127=0,"",AM127)</f>
        <v>182</v>
      </c>
      <c r="O127" s="351">
        <f>IF(AN127="","",AN127)</f>
        <v>1</v>
      </c>
      <c r="P127" s="75">
        <f t="shared" ref="P127:P140" si="141">IF(AO127=0,"",AO127)</f>
        <v>222</v>
      </c>
      <c r="Q127" s="351">
        <f>IF(AP127="","",AP127)</f>
        <v>1</v>
      </c>
      <c r="R127" s="75">
        <f t="shared" ref="R127:R140" si="142">IF(AQ127=0,"",AQ127)</f>
        <v>146</v>
      </c>
      <c r="S127" s="351">
        <f>IF(AR127="","",AR127)</f>
        <v>0</v>
      </c>
      <c r="T127" s="75">
        <f t="shared" ref="T127:T140" si="143">IF(AS127=0,"",AS127)</f>
        <v>162</v>
      </c>
      <c r="U127" s="351">
        <f>IF(AT127="","",AT127)</f>
        <v>0</v>
      </c>
      <c r="V127" s="75">
        <f t="shared" ref="V127:V140" si="144">IF(AU127=0,"",AU127)</f>
        <v>1575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 t="str">
        <f t="shared" si="142"/>
        <v/>
      </c>
      <c r="S128" s="352"/>
      <c r="T128" s="78" t="str">
        <f t="shared" si="143"/>
        <v/>
      </c>
      <c r="U128" s="352"/>
      <c r="V128" s="78" t="str">
        <f t="shared" si="144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51">
        <f>IF(AD130="","",AD130)</f>
        <v>0</v>
      </c>
      <c r="F130" s="75">
        <f t="shared" si="137"/>
        <v>137</v>
      </c>
      <c r="G130" s="351">
        <f>IF(AF130="","",AF130)</f>
        <v>0</v>
      </c>
      <c r="H130" s="75" t="str">
        <f t="shared" si="138"/>
        <v/>
      </c>
      <c r="I130" s="351">
        <f>IF(AH130="","",AH130)</f>
        <v>0</v>
      </c>
      <c r="J130" s="75" t="str">
        <f t="shared" si="139"/>
        <v/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 t="str">
        <f t="shared" si="157"/>
        <v/>
      </c>
      <c r="O130" s="351">
        <f>IF(AN130="","",AN130)</f>
        <v>0</v>
      </c>
      <c r="P130" s="75">
        <f t="shared" si="141"/>
        <v>172</v>
      </c>
      <c r="Q130" s="351">
        <f>IF(AP130="","",AP130)</f>
        <v>0</v>
      </c>
      <c r="R130" s="75">
        <f t="shared" si="142"/>
        <v>138</v>
      </c>
      <c r="S130" s="351">
        <f>IF(AR130="","",AR130)</f>
        <v>0</v>
      </c>
      <c r="T130" s="75">
        <f t="shared" si="143"/>
        <v>159</v>
      </c>
      <c r="U130" s="351">
        <f>IF(AT130="","",AT130)</f>
        <v>0</v>
      </c>
      <c r="V130" s="75">
        <f t="shared" si="144"/>
        <v>762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52"/>
      <c r="F131" s="78" t="str">
        <f t="shared" si="137"/>
        <v/>
      </c>
      <c r="G131" s="352"/>
      <c r="H131" s="78">
        <f t="shared" si="138"/>
        <v>136</v>
      </c>
      <c r="I131" s="352"/>
      <c r="J131" s="78">
        <f t="shared" si="139"/>
        <v>191</v>
      </c>
      <c r="K131" s="352"/>
      <c r="L131" s="78">
        <f t="shared" si="140"/>
        <v>136</v>
      </c>
      <c r="M131" s="352"/>
      <c r="N131" s="78">
        <f t="shared" si="157"/>
        <v>136</v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599</v>
      </c>
      <c r="W131" s="352"/>
      <c r="Z131" s="355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51">
        <f>IF(AD133="","",AD133)</f>
        <v>1</v>
      </c>
      <c r="F133" s="75">
        <f t="shared" si="137"/>
        <v>234</v>
      </c>
      <c r="G133" s="351">
        <f>IF(AF133="","",AF133)</f>
        <v>1</v>
      </c>
      <c r="H133" s="75">
        <f t="shared" si="138"/>
        <v>203</v>
      </c>
      <c r="I133" s="351">
        <f>IF(AH133="","",AH133)</f>
        <v>0</v>
      </c>
      <c r="J133" s="75">
        <f t="shared" si="139"/>
        <v>201</v>
      </c>
      <c r="K133" s="351">
        <f>IF(AJ133="","",AJ133)</f>
        <v>1</v>
      </c>
      <c r="L133" s="75">
        <f t="shared" si="140"/>
        <v>168</v>
      </c>
      <c r="M133" s="351">
        <f>IF(AL133="","",AL133)</f>
        <v>0</v>
      </c>
      <c r="N133" s="75">
        <f t="shared" si="157"/>
        <v>204</v>
      </c>
      <c r="O133" s="351">
        <f>IF(AN133="","",AN133)</f>
        <v>1</v>
      </c>
      <c r="P133" s="75">
        <f t="shared" si="141"/>
        <v>171</v>
      </c>
      <c r="Q133" s="351">
        <f>IF(AP133="","",AP133)</f>
        <v>0</v>
      </c>
      <c r="R133" s="75">
        <f t="shared" si="142"/>
        <v>200</v>
      </c>
      <c r="S133" s="351">
        <f>IF(AR133="","",AR133)</f>
        <v>1</v>
      </c>
      <c r="T133" s="75">
        <f t="shared" si="143"/>
        <v>177</v>
      </c>
      <c r="U133" s="351">
        <f>IF(AT133="","",AT133)</f>
        <v>0</v>
      </c>
      <c r="V133" s="75">
        <f t="shared" si="144"/>
        <v>1773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51">
        <f>IF(AD136="","",AD136)</f>
        <v>0</v>
      </c>
      <c r="F136" s="75">
        <f t="shared" si="137"/>
        <v>157</v>
      </c>
      <c r="G136" s="351">
        <f>IF(AF136="","",AF136)</f>
        <v>0</v>
      </c>
      <c r="H136" s="75">
        <f t="shared" si="138"/>
        <v>183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166</v>
      </c>
      <c r="M136" s="351">
        <f>IF(AL136="","",AL136)</f>
        <v>0</v>
      </c>
      <c r="N136" s="75">
        <f t="shared" si="157"/>
        <v>218</v>
      </c>
      <c r="O136" s="351">
        <f>IF(AN136="","",AN136)</f>
        <v>1</v>
      </c>
      <c r="P136" s="75">
        <f t="shared" si="141"/>
        <v>205</v>
      </c>
      <c r="Q136" s="351">
        <f>IF(AP136="","",AP136)</f>
        <v>1</v>
      </c>
      <c r="R136" s="75">
        <f t="shared" si="142"/>
        <v>176</v>
      </c>
      <c r="S136" s="351">
        <f>IF(AR136="","",AR136)</f>
        <v>0</v>
      </c>
      <c r="T136" s="75">
        <f t="shared" si="143"/>
        <v>189</v>
      </c>
      <c r="U136" s="351">
        <f>IF(AT136="","",AT136)</f>
        <v>0</v>
      </c>
      <c r="V136" s="75">
        <f t="shared" si="144"/>
        <v>1627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7</v>
      </c>
      <c r="E142" s="349" t="str">
        <f t="shared" si="168"/>
        <v/>
      </c>
      <c r="F142" s="349">
        <f t="shared" si="168"/>
        <v>2</v>
      </c>
      <c r="G142" s="349" t="str">
        <f t="shared" si="168"/>
        <v/>
      </c>
      <c r="H142" s="349">
        <f t="shared" si="168"/>
        <v>3</v>
      </c>
      <c r="I142" s="349" t="str">
        <f t="shared" si="168"/>
        <v/>
      </c>
      <c r="J142" s="349">
        <f t="shared" si="168"/>
        <v>8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9</v>
      </c>
      <c r="O142" s="349" t="str">
        <f t="shared" si="169"/>
        <v/>
      </c>
      <c r="P142" s="349">
        <f t="shared" si="169"/>
        <v>6</v>
      </c>
      <c r="Q142" s="349" t="str">
        <f t="shared" si="169"/>
        <v/>
      </c>
      <c r="R142" s="349">
        <f t="shared" si="169"/>
        <v>4</v>
      </c>
      <c r="S142" s="349" t="str">
        <f t="shared" si="169"/>
        <v/>
      </c>
      <c r="T142" s="349">
        <f t="shared" si="169"/>
        <v>1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VLOOKUP($AA122,Schlüssel!$A$5:$DG$14,63)</f>
        <v>7</v>
      </c>
      <c r="AD142" s="374"/>
      <c r="AE142" s="373">
        <f>VLOOKUP($AA122,Schlüssel!$A$5:$EK$14,64)</f>
        <v>2</v>
      </c>
      <c r="AF142" s="374"/>
      <c r="AG142" s="373">
        <f>VLOOKUP($AA122,Schlüssel!$A$5:$EK$14,65)</f>
        <v>3</v>
      </c>
      <c r="AH142" s="374"/>
      <c r="AI142" s="373">
        <f>VLOOKUP($AA122,Schlüssel!$A$5:$EK$14,66)</f>
        <v>8</v>
      </c>
      <c r="AJ142" s="374"/>
      <c r="AK142" s="373">
        <f>VLOOKUP($AA122,Schlüssel!$A$5:$EK$14,67)</f>
        <v>10</v>
      </c>
      <c r="AL142" s="374"/>
      <c r="AM142" s="373">
        <f>VLOOKUP($AA122,Schlüssel!$A$5:$EK$14,68)</f>
        <v>9</v>
      </c>
      <c r="AN142" s="374"/>
      <c r="AO142" s="373">
        <f>VLOOKUP($AA122,Schlüssel!$A$5:$EK$14,69)</f>
        <v>6</v>
      </c>
      <c r="AP142" s="374"/>
      <c r="AQ142" s="373">
        <f>VLOOKUP($AA122,Schlüssel!$A$5:$EK$14,70)</f>
        <v>4</v>
      </c>
      <c r="AR142" s="374"/>
      <c r="AS142" s="373">
        <f>VLOOKUP($AA122,Schlüssel!$A$5:$EK$14,71)</f>
        <v>1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Schanzer Ingolstadt 1</v>
      </c>
      <c r="E143" s="347" t="str">
        <f t="shared" si="168"/>
        <v/>
      </c>
      <c r="F143" s="346" t="str">
        <f t="shared" si="168"/>
        <v>Bajuwaren München 1</v>
      </c>
      <c r="G143" s="347" t="str">
        <f t="shared" si="168"/>
        <v/>
      </c>
      <c r="H143" s="346" t="str">
        <f t="shared" si="168"/>
        <v>BK München 3</v>
      </c>
      <c r="I143" s="347" t="str">
        <f t="shared" si="168"/>
        <v/>
      </c>
      <c r="J143" s="346" t="str">
        <f t="shared" si="168"/>
        <v>BC EMAX Unterföhring 2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Bowlinghaus Bamberg 1</v>
      </c>
      <c r="O143" s="347" t="str">
        <f t="shared" si="169"/>
        <v/>
      </c>
      <c r="P143" s="346" t="str">
        <f t="shared" si="169"/>
        <v>SG Rottendorf 1</v>
      </c>
      <c r="Q143" s="347" t="str">
        <f t="shared" si="169"/>
        <v/>
      </c>
      <c r="R143" s="346" t="str">
        <f t="shared" si="169"/>
        <v>SG DJK Rimpar</v>
      </c>
      <c r="S143" s="347" t="str">
        <f t="shared" si="169"/>
        <v/>
      </c>
      <c r="T143" s="346" t="str">
        <f t="shared" si="169"/>
        <v>BC Comet Nürnberg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Schanzer Ingolstadt 1</v>
      </c>
      <c r="AD143" s="347"/>
      <c r="AE143" s="346" t="str">
        <f>VLOOKUP(AE142,Schlüssel!$A$5:$K$14,2)</f>
        <v>Bajuwaren München 1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Bowlinghaus Bamberg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SG DJK Rimpar</v>
      </c>
      <c r="AR143" s="347"/>
      <c r="AS143" s="346" t="str">
        <f>VLOOKUP(AS142,Schlüssel!$A$5:$K$14,2)</f>
        <v>BC Comet Nürnberg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148</v>
      </c>
      <c r="E145" s="342" t="str">
        <f>IF(AD145=0,"",AD145)</f>
        <v/>
      </c>
      <c r="F145" s="342">
        <f>IF(AE145=301,"",AE145)</f>
        <v>209</v>
      </c>
      <c r="G145" s="342" t="str">
        <f>IF(AF145=0,"",AF145)</f>
        <v/>
      </c>
      <c r="H145" s="342">
        <f>IF(AG145=301,"",AG145)</f>
        <v>203</v>
      </c>
      <c r="I145" s="342" t="str">
        <f>IF(AH145=0,"",AH145)</f>
        <v/>
      </c>
      <c r="J145" s="342">
        <f>IF(AI145=301,"",AI145)</f>
        <v>164</v>
      </c>
      <c r="K145" s="342" t="str">
        <f>IF(AJ145=0,"",AJ145)</f>
        <v/>
      </c>
      <c r="L145" s="342">
        <f>IF(AK145=301,"",AK145)</f>
        <v>142</v>
      </c>
      <c r="M145" s="342" t="str">
        <f>IF(AL145=0,"",AL145)</f>
        <v/>
      </c>
      <c r="N145" s="342">
        <f>IF(AM145=301,"",AM145)</f>
        <v>160</v>
      </c>
      <c r="O145" s="342" t="str">
        <f>IF(AN145=0,"",AN145)</f>
        <v/>
      </c>
      <c r="P145" s="342">
        <f>IF(AO145=301,"",AO145)</f>
        <v>158</v>
      </c>
      <c r="Q145" s="342" t="str">
        <f>IF(AP145=0,"",AP145)</f>
        <v/>
      </c>
      <c r="R145" s="342">
        <f>IF(AQ145=301,"",AQ145)</f>
        <v>194</v>
      </c>
      <c r="S145" s="342" t="str">
        <f>IF(AR145=0,"",AR145)</f>
        <v/>
      </c>
      <c r="T145" s="342">
        <f>IF(AS145=301,"",AS145)</f>
        <v>183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148</v>
      </c>
      <c r="AD145" s="376"/>
      <c r="AE145" s="375">
        <f>ABS(INDEX(AE:AE,MATCH(AE142,$AA:$AA,0)+5)+INDEX(AE:AE,MATCH(AE142,$AA:$AA,0)+6)+INDEX(AE:AE,MATCH(AE142,$AA:$AA,0)+7))</f>
        <v>209</v>
      </c>
      <c r="AF145" s="376"/>
      <c r="AG145" s="375">
        <f>ABS(INDEX(AG:AG,MATCH(AG142,$AA:$AA,0)+5)+INDEX(AG:AG,MATCH(AG142,$AA:$AA,0)+6)+INDEX(AG:AG,MATCH(AG142,$AA:$AA,0)+7))</f>
        <v>203</v>
      </c>
      <c r="AH145" s="376"/>
      <c r="AI145" s="375">
        <f>ABS(INDEX(AI:AI,MATCH(AI142,$AA:$AA,0)+5)+INDEX(AI:AI,MATCH(AI142,$AA:$AA,0)+6)+INDEX(AI:AI,MATCH(AI142,$AA:$AA,0)+7))</f>
        <v>164</v>
      </c>
      <c r="AJ145" s="376"/>
      <c r="AK145" s="375">
        <f>ABS(INDEX(AK:AK,MATCH(AK142,$AA:$AA,0)+5)+INDEX(AK:AK,MATCH(AK142,$AA:$AA,0)+6)+INDEX(AK:AK,MATCH(AK142,$AA:$AA,0)+7))</f>
        <v>142</v>
      </c>
      <c r="AL145" s="376"/>
      <c r="AM145" s="375">
        <f>ABS(INDEX(AM:AM,MATCH(AM142,$AA:$AA,0)+5)+INDEX(AM:AM,MATCH(AM142,$AA:$AA,0)+6)+INDEX(AM:AM,MATCH(AM142,$AA:$AA,0)+7))</f>
        <v>160</v>
      </c>
      <c r="AN145" s="376"/>
      <c r="AO145" s="375">
        <f>ABS(INDEX(AO:AO,MATCH(AO142,$AA:$AA,0)+5)+INDEX(AO:AO,MATCH(AO142,$AA:$AA,0)+6)+INDEX(AO:AO,MATCH(AO142,$AA:$AA,0)+7))</f>
        <v>158</v>
      </c>
      <c r="AP145" s="376"/>
      <c r="AQ145" s="375">
        <f>ABS(INDEX(AQ:AQ,MATCH(AQ142,$AA:$AA,0)+5)+INDEX(AQ:AQ,MATCH(AQ142,$AA:$AA,0)+6)+INDEX(AQ:AQ,MATCH(AQ142,$AA:$AA,0)+7))</f>
        <v>194</v>
      </c>
      <c r="AR145" s="376"/>
      <c r="AS145" s="375">
        <f>ABS(INDEX(AS:AS,MATCH(AS142,$AA:$AA,0)+5)+INDEX(AS:AS,MATCH(AS142,$AA:$AA,0)+6)+INDEX(AS:AS,MATCH(AS142,$AA:$AA,0)+7))</f>
        <v>183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161</v>
      </c>
      <c r="E146" s="342" t="str">
        <f>IF(AD146=0,"",AD146)</f>
        <v/>
      </c>
      <c r="F146" s="342">
        <f>IF(AE146=301,"",AE146)</f>
        <v>154</v>
      </c>
      <c r="G146" s="342" t="str">
        <f>IF(AF146=0,"",AF146)</f>
        <v/>
      </c>
      <c r="H146" s="342">
        <f>IF(AG146=301,"",AG146)</f>
        <v>179</v>
      </c>
      <c r="I146" s="342" t="str">
        <f>IF(AH146=0,"",AH146)</f>
        <v/>
      </c>
      <c r="J146" s="342">
        <f>IF(AI146=301,"",AI146)</f>
        <v>169</v>
      </c>
      <c r="K146" s="342" t="str">
        <f>IF(AJ146=0,"",AJ146)</f>
        <v/>
      </c>
      <c r="L146" s="342">
        <f>IF(AK146=301,"",AK146)</f>
        <v>202</v>
      </c>
      <c r="M146" s="342" t="str">
        <f>IF(AL146=0,"",AL146)</f>
        <v/>
      </c>
      <c r="N146" s="342">
        <f>IF(AM146=301,"",AM146)</f>
        <v>179</v>
      </c>
      <c r="O146" s="342" t="str">
        <f>IF(AN146=0,"",AN146)</f>
        <v/>
      </c>
      <c r="P146" s="342">
        <f>IF(AO146=301,"",AO146)</f>
        <v>195</v>
      </c>
      <c r="Q146" s="342" t="str">
        <f>IF(AP146=0,"",AP146)</f>
        <v/>
      </c>
      <c r="R146" s="342">
        <f>IF(AQ146=301,"",AQ146)</f>
        <v>217</v>
      </c>
      <c r="S146" s="342" t="str">
        <f>IF(AR146=0,"",AR146)</f>
        <v/>
      </c>
      <c r="T146" s="342">
        <f>IF(AS146=301,"",AS146)</f>
        <v>197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161</v>
      </c>
      <c r="AD146" s="378"/>
      <c r="AE146" s="377">
        <f>ABS(INDEX(AE:AE,MATCH(AE142,$AA:$AA,0)+8)+INDEX(AE:AE,MATCH(AE142,$AA:$AA,0)+9)+INDEX(AE:AE,MATCH(AE142,$AA:$AA,0)+10))</f>
        <v>154</v>
      </c>
      <c r="AF146" s="378"/>
      <c r="AG146" s="377">
        <f>ABS(INDEX(AG:AG,MATCH(AG142,$AA:$AA,0)+8)+INDEX(AG:AG,MATCH(AG142,$AA:$AA,0)+9)+INDEX(AG:AG,MATCH(AG142,$AA:$AA,0)+10))</f>
        <v>179</v>
      </c>
      <c r="AH146" s="378"/>
      <c r="AI146" s="377">
        <f>ABS(INDEX(AI:AI,MATCH(AI142,$AA:$AA,0)+8)+INDEX(AI:AI,MATCH(AI142,$AA:$AA,0)+9)+INDEX(AI:AI,MATCH(AI142,$AA:$AA,0)+10))</f>
        <v>169</v>
      </c>
      <c r="AJ146" s="378"/>
      <c r="AK146" s="377">
        <f>ABS(INDEX(AK:AK,MATCH(AK142,$AA:$AA,0)+8)+INDEX(AK:AK,MATCH(AK142,$AA:$AA,0)+9)+INDEX(AK:AK,MATCH(AK142,$AA:$AA,0)+10))</f>
        <v>202</v>
      </c>
      <c r="AL146" s="378"/>
      <c r="AM146" s="377">
        <f>ABS(INDEX(AM:AM,MATCH(AM142,$AA:$AA,0)+8)+INDEX(AM:AM,MATCH(AM142,$AA:$AA,0)+9)+INDEX(AM:AM,MATCH(AM142,$AA:$AA,0)+10))</f>
        <v>179</v>
      </c>
      <c r="AN146" s="378"/>
      <c r="AO146" s="377">
        <f>ABS(INDEX(AO:AO,MATCH(AO142,$AA:$AA,0)+8)+INDEX(AO:AO,MATCH(AO142,$AA:$AA,0)+9)+INDEX(AO:AO,MATCH(AO142,$AA:$AA,0)+10))</f>
        <v>195</v>
      </c>
      <c r="AP146" s="378"/>
      <c r="AQ146" s="377">
        <f>ABS(INDEX(AQ:AQ,MATCH(AQ142,$AA:$AA,0)+8)+INDEX(AQ:AQ,MATCH(AQ142,$AA:$AA,0)+9)+INDEX(AQ:AQ,MATCH(AQ142,$AA:$AA,0)+10))</f>
        <v>217</v>
      </c>
      <c r="AR146" s="378"/>
      <c r="AS146" s="377">
        <f>ABS(INDEX(AS:AS,MATCH(AS142,$AA:$AA,0)+8)+INDEX(AS:AS,MATCH(AS142,$AA:$AA,0)+9)+INDEX(AS:AS,MATCH(AS142,$AA:$AA,0)+10))</f>
        <v>197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149</v>
      </c>
      <c r="E147" s="342" t="str">
        <f>IF(AD147=0,"",AD147)</f>
        <v/>
      </c>
      <c r="F147" s="342">
        <f>IF(AE147=301,"",AE147)</f>
        <v>208</v>
      </c>
      <c r="G147" s="342" t="str">
        <f>IF(AF147=0,"",AF147)</f>
        <v/>
      </c>
      <c r="H147" s="342">
        <f>IF(AG147=301,"",AG147)</f>
        <v>246</v>
      </c>
      <c r="I147" s="342" t="str">
        <f>IF(AH147=0,"",AH147)</f>
        <v/>
      </c>
      <c r="J147" s="342">
        <f>IF(AI147=301,"",AI147)</f>
        <v>148</v>
      </c>
      <c r="K147" s="342" t="str">
        <f>IF(AJ147=0,"",AJ147)</f>
        <v/>
      </c>
      <c r="L147" s="342">
        <f>IF(AK147=301,"",AK147)</f>
        <v>184</v>
      </c>
      <c r="M147" s="342" t="str">
        <f>IF(AL147=0,"",AL147)</f>
        <v/>
      </c>
      <c r="N147" s="342">
        <f>IF(AM147=301,"",AM147)</f>
        <v>184</v>
      </c>
      <c r="O147" s="342" t="str">
        <f>IF(AN147=0,"",AN147)</f>
        <v/>
      </c>
      <c r="P147" s="342">
        <f>IF(AO147=301,"",AO147)</f>
        <v>182</v>
      </c>
      <c r="Q147" s="342" t="str">
        <f>IF(AP147=0,"",AP147)</f>
        <v/>
      </c>
      <c r="R147" s="342">
        <f>IF(AQ147=301,"",AQ147)</f>
        <v>166</v>
      </c>
      <c r="S147" s="342" t="str">
        <f>IF(AR147=0,"",AR147)</f>
        <v/>
      </c>
      <c r="T147" s="342">
        <f>IF(AS147=301,"",AS147)</f>
        <v>193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149</v>
      </c>
      <c r="AD147" s="378"/>
      <c r="AE147" s="377">
        <f>ABS(INDEX(AE:AE,MATCH(AE142,$AA:$AA,0)+11)+INDEX(AE:AE,MATCH(AE142,$AA:$AA,0)+12)+INDEX(AE:AE,MATCH(AE142,$AA:$AA,0)+13))</f>
        <v>208</v>
      </c>
      <c r="AF147" s="378"/>
      <c r="AG147" s="377">
        <f>ABS(INDEX(AG:AG,MATCH(AG142,$AA:$AA,0)+11)+INDEX(AG:AG,MATCH(AG142,$AA:$AA,0)+12)+INDEX(AG:AG,MATCH(AG142,$AA:$AA,0)+13))</f>
        <v>246</v>
      </c>
      <c r="AH147" s="378"/>
      <c r="AI147" s="377">
        <f>ABS(INDEX(AI:AI,MATCH(AI142,$AA:$AA,0)+11)+INDEX(AI:AI,MATCH(AI142,$AA:$AA,0)+12)+INDEX(AI:AI,MATCH(AI142,$AA:$AA,0)+13))</f>
        <v>148</v>
      </c>
      <c r="AJ147" s="378"/>
      <c r="AK147" s="377">
        <f>ABS(INDEX(AK:AK,MATCH(AK142,$AA:$AA,0)+11)+INDEX(AK:AK,MATCH(AK142,$AA:$AA,0)+12)+INDEX(AK:AK,MATCH(AK142,$AA:$AA,0)+13))</f>
        <v>184</v>
      </c>
      <c r="AL147" s="378"/>
      <c r="AM147" s="377">
        <f>ABS(INDEX(AM:AM,MATCH(AM142,$AA:$AA,0)+11)+INDEX(AM:AM,MATCH(AM142,$AA:$AA,0)+12)+INDEX(AM:AM,MATCH(AM142,$AA:$AA,0)+13))</f>
        <v>184</v>
      </c>
      <c r="AN147" s="378"/>
      <c r="AO147" s="377">
        <f>ABS(INDEX(AO:AO,MATCH(AO142,$AA:$AA,0)+11)+INDEX(AO:AO,MATCH(AO142,$AA:$AA,0)+12)+INDEX(AO:AO,MATCH(AO142,$AA:$AA,0)+13))</f>
        <v>182</v>
      </c>
      <c r="AP147" s="378"/>
      <c r="AQ147" s="377">
        <f>ABS(INDEX(AQ:AQ,MATCH(AQ142,$AA:$AA,0)+11)+INDEX(AQ:AQ,MATCH(AQ142,$AA:$AA,0)+12)+INDEX(AQ:AQ,MATCH(AQ142,$AA:$AA,0)+13))</f>
        <v>166</v>
      </c>
      <c r="AR147" s="378"/>
      <c r="AS147" s="377">
        <f>ABS(INDEX(AS:AS,MATCH(AS142,$AA:$AA,0)+11)+INDEX(AS:AS,MATCH(AS142,$AA:$AA,0)+12)+INDEX(AS:AS,MATCH(AS142,$AA:$AA,0)+13))</f>
        <v>193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185</v>
      </c>
      <c r="E148" s="342" t="str">
        <f>IF(AD148=0,"",AD148)</f>
        <v/>
      </c>
      <c r="F148" s="342">
        <f>IF(AE148=301,"",AE148)</f>
        <v>236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181</v>
      </c>
      <c r="K148" s="342" t="str">
        <f>IF(AJ148=0,"",AJ148)</f>
        <v/>
      </c>
      <c r="L148" s="342">
        <f>IF(AK148=301,"",AK148)</f>
        <v>178</v>
      </c>
      <c r="M148" s="342" t="str">
        <f>IF(AL148=0,"",AL148)</f>
        <v/>
      </c>
      <c r="N148" s="342">
        <f>IF(AM148=301,"",AM148)</f>
        <v>170</v>
      </c>
      <c r="O148" s="342" t="str">
        <f>IF(AN148=0,"",AN148)</f>
        <v/>
      </c>
      <c r="P148" s="342">
        <f>IF(AO148=301,"",AO148)</f>
        <v>166</v>
      </c>
      <c r="Q148" s="342" t="str">
        <f>IF(AP148=0,"",AP148)</f>
        <v/>
      </c>
      <c r="R148" s="342">
        <f>IF(AQ148=301,"",AQ148)</f>
        <v>181</v>
      </c>
      <c r="S148" s="342" t="str">
        <f>IF(AR148=0,"",AR148)</f>
        <v/>
      </c>
      <c r="T148" s="342">
        <f>IF(AS148=301,"",AS148)</f>
        <v>190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185</v>
      </c>
      <c r="AD148" s="378"/>
      <c r="AE148" s="377">
        <f>ABS(INDEX(AE:AE,MATCH(AE142,$AA:$AA,0)+14)+INDEX(AE:AE,MATCH(AE142,$AA:$AA,0)+15)+INDEX(AE:AE,MATCH(AE142,$AA:$AA,0)+16))</f>
        <v>236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181</v>
      </c>
      <c r="AJ148" s="378"/>
      <c r="AK148" s="377">
        <f>ABS(INDEX(AK:AK,MATCH(AK142,$AA:$AA,0)+14)+INDEX(AK:AK,MATCH(AK142,$AA:$AA,0)+15)+INDEX(AK:AK,MATCH(AK142,$AA:$AA,0)+16))</f>
        <v>178</v>
      </c>
      <c r="AL148" s="378"/>
      <c r="AM148" s="377">
        <f>ABS(INDEX(AM:AM,MATCH(AM142,$AA:$AA,0)+14)+INDEX(AM:AM,MATCH(AM142,$AA:$AA,0)+15)+INDEX(AM:AM,MATCH(AM142,$AA:$AA,0)+16))</f>
        <v>170</v>
      </c>
      <c r="AN148" s="378"/>
      <c r="AO148" s="377">
        <f>ABS(INDEX(AO:AO,MATCH(AO142,$AA:$AA,0)+14)+INDEX(AO:AO,MATCH(AO142,$AA:$AA,0)+15)+INDEX(AO:AO,MATCH(AO142,$AA:$AA,0)+16))</f>
        <v>166</v>
      </c>
      <c r="AP148" s="378"/>
      <c r="AQ148" s="377">
        <f>ABS(INDEX(AQ:AQ,MATCH(AQ142,$AA:$AA,0)+14)+INDEX(AQ:AQ,MATCH(AQ142,$AA:$AA,0)+15)+INDEX(AQ:AQ,MATCH(AQ142,$AA:$AA,0)+16))</f>
        <v>181</v>
      </c>
      <c r="AR148" s="378"/>
      <c r="AS148" s="377">
        <f>ABS(INDEX(AS:AS,MATCH(AS142,$AA:$AA,0)+14)+INDEX(AS:AS,MATCH(AS142,$AA:$AA,0)+15)+INDEX(AS:AS,MATCH(AS142,$AA:$AA,0)+16))</f>
        <v>190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643</v>
      </c>
      <c r="E149" s="341" t="str">
        <f>IF(AD149=0,"",AD149)</f>
        <v/>
      </c>
      <c r="F149" s="341">
        <f>IF(AE149=1505,"",AE149)</f>
        <v>807</v>
      </c>
      <c r="G149" s="341" t="str">
        <f>IF(AF149=0,"",AF149)</f>
        <v/>
      </c>
      <c r="H149" s="341">
        <f>IF(AG149=1505,"",AG149)</f>
        <v>818</v>
      </c>
      <c r="I149" s="341" t="str">
        <f>IF(AH149=0,"",AH149)</f>
        <v/>
      </c>
      <c r="J149" s="341">
        <f>IF(AI149=1505,"",AI149)</f>
        <v>662</v>
      </c>
      <c r="K149" s="341" t="str">
        <f>IF(AJ149=0,"",AJ149)</f>
        <v/>
      </c>
      <c r="L149" s="341">
        <f>IF(AK149=1505,"",AK149)</f>
        <v>706</v>
      </c>
      <c r="M149" s="341" t="str">
        <f>IF(AL149=0,"",AL149)</f>
        <v/>
      </c>
      <c r="N149" s="341">
        <f>IF(AM149=1505,"",AM149)</f>
        <v>693</v>
      </c>
      <c r="O149" s="341" t="str">
        <f>IF(AN149=0,"",AN149)</f>
        <v/>
      </c>
      <c r="P149" s="341">
        <f>IF(AO149=1505,"",AO149)</f>
        <v>701</v>
      </c>
      <c r="Q149" s="341" t="str">
        <f>IF(AP149=0,"",AP149)</f>
        <v/>
      </c>
      <c r="R149" s="341">
        <f>IF(AQ149=1505,"",AQ149)</f>
        <v>758</v>
      </c>
      <c r="S149" s="341" t="str">
        <f>IF(AR149=0,"",AR149)</f>
        <v/>
      </c>
      <c r="T149" s="341">
        <f>IF(AS149=1505,"",AS149)</f>
        <v>763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643</v>
      </c>
      <c r="AD149" s="358"/>
      <c r="AE149" s="357">
        <f>SUM(AE145:AE148)</f>
        <v>807</v>
      </c>
      <c r="AF149" s="358"/>
      <c r="AG149" s="357">
        <f>SUM(AG145:AG148)</f>
        <v>818</v>
      </c>
      <c r="AH149" s="358"/>
      <c r="AI149" s="357">
        <f>SUM(AI145:AI148)</f>
        <v>662</v>
      </c>
      <c r="AJ149" s="358"/>
      <c r="AK149" s="357">
        <f>SUM(AK145:AK148)</f>
        <v>706</v>
      </c>
      <c r="AL149" s="358"/>
      <c r="AM149" s="357">
        <f>SUM(AM145:AM148)</f>
        <v>693</v>
      </c>
      <c r="AN149" s="358"/>
      <c r="AO149" s="357">
        <f>SUM(AO145:AO148)</f>
        <v>701</v>
      </c>
      <c r="AP149" s="358"/>
      <c r="AQ149" s="357">
        <f>SUM(AQ145:AQ148)</f>
        <v>758</v>
      </c>
      <c r="AR149" s="358"/>
      <c r="AS149" s="357">
        <f>SUM(AS145:AS148)</f>
        <v>763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15.02./16.02.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15.02./16.02.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Regensburg Super Bowl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51">
        <f>IF(AD157="","",AD157)</f>
        <v>0</v>
      </c>
      <c r="F157" s="75">
        <f t="shared" ref="F157:F170" si="171">IF(AE157=0,"",AE157)</f>
        <v>168</v>
      </c>
      <c r="G157" s="351">
        <f>IF(AF157="","",AF157)</f>
        <v>1</v>
      </c>
      <c r="H157" s="75">
        <f t="shared" ref="H157:H170" si="172">IF(AG157=0,"",AG157)</f>
        <v>158</v>
      </c>
      <c r="I157" s="351">
        <f>IF(AH157="","",AH157)</f>
        <v>0</v>
      </c>
      <c r="J157" s="75">
        <f t="shared" ref="J157:J170" si="173">IF(AI157=0,"",AI157)</f>
        <v>211</v>
      </c>
      <c r="K157" s="351">
        <f>IF(AJ157="","",AJ157)</f>
        <v>0</v>
      </c>
      <c r="L157" s="75">
        <f t="shared" ref="L157:L170" si="174">IF(AK157=0,"",AK157)</f>
        <v>157</v>
      </c>
      <c r="M157" s="351">
        <f>IF(AL157="","",AL157)</f>
        <v>0</v>
      </c>
      <c r="N157" s="75">
        <f>IF(AM157=0,"",AM157)</f>
        <v>158</v>
      </c>
      <c r="O157" s="351">
        <f>IF(AN157="","",AN157)</f>
        <v>0</v>
      </c>
      <c r="P157" s="75">
        <f t="shared" ref="P157:P170" si="175">IF(AO157=0,"",AO157)</f>
        <v>158</v>
      </c>
      <c r="Q157" s="351">
        <f>IF(AP157="","",AP157)</f>
        <v>0</v>
      </c>
      <c r="R157" s="75">
        <f t="shared" ref="R157:R170" si="176">IF(AQ157=0,"",AQ157)</f>
        <v>180</v>
      </c>
      <c r="S157" s="351">
        <f>IF(AR157="","",AR157)</f>
        <v>1</v>
      </c>
      <c r="T157" s="75">
        <f t="shared" ref="T157:T170" si="177">IF(AS157=0,"",AS157)</f>
        <v>161</v>
      </c>
      <c r="U157" s="351">
        <f>IF(AT157="","",AT157)</f>
        <v>0</v>
      </c>
      <c r="V157" s="75">
        <f t="shared" ref="V157:V170" si="178">IF(AU157=0,"",AU157)</f>
        <v>1500</v>
      </c>
      <c r="W157" s="351">
        <f>IF(AV157="","",AV157)</f>
        <v>2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51">
        <f>IF(AD160="","",AD160)</f>
        <v>1</v>
      </c>
      <c r="F160" s="75">
        <f t="shared" si="171"/>
        <v>174</v>
      </c>
      <c r="G160" s="351">
        <f>IF(AF160="","",AF160)</f>
        <v>1</v>
      </c>
      <c r="H160" s="75">
        <f t="shared" si="172"/>
        <v>158</v>
      </c>
      <c r="I160" s="351">
        <f>IF(AH160="","",AH160)</f>
        <v>1</v>
      </c>
      <c r="J160" s="75">
        <f t="shared" si="173"/>
        <v>258</v>
      </c>
      <c r="K160" s="351">
        <f>IF(AJ160="","",AJ160)</f>
        <v>1</v>
      </c>
      <c r="L160" s="75">
        <f t="shared" si="174"/>
        <v>173</v>
      </c>
      <c r="M160" s="351">
        <f>IF(AL160="","",AL160)</f>
        <v>1</v>
      </c>
      <c r="N160" s="75">
        <f t="shared" si="191"/>
        <v>157</v>
      </c>
      <c r="O160" s="351">
        <f>IF(AN160="","",AN160)</f>
        <v>0</v>
      </c>
      <c r="P160" s="75">
        <f t="shared" si="175"/>
        <v>195</v>
      </c>
      <c r="Q160" s="351">
        <f>IF(AP160="","",AP160)</f>
        <v>1</v>
      </c>
      <c r="R160" s="75">
        <f t="shared" si="176"/>
        <v>165</v>
      </c>
      <c r="S160" s="351">
        <f>IF(AR160="","",AR160)</f>
        <v>1</v>
      </c>
      <c r="T160" s="75">
        <f t="shared" si="177"/>
        <v>158</v>
      </c>
      <c r="U160" s="351">
        <f>IF(AT160="","",AT160)</f>
        <v>1</v>
      </c>
      <c r="V160" s="75">
        <f t="shared" si="178"/>
        <v>1615</v>
      </c>
      <c r="W160" s="351">
        <f>IF(AV160="","",AV160)</f>
        <v>8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51">
        <f>IF(AD163="","",AD163)</f>
        <v>0.5</v>
      </c>
      <c r="F163" s="75">
        <f t="shared" si="171"/>
        <v>215</v>
      </c>
      <c r="G163" s="351">
        <f>IF(AF163="","",AF163)</f>
        <v>1</v>
      </c>
      <c r="H163" s="75">
        <f t="shared" si="172"/>
        <v>152</v>
      </c>
      <c r="I163" s="351">
        <f>IF(AH163="","",AH163)</f>
        <v>0</v>
      </c>
      <c r="J163" s="75">
        <f t="shared" si="173"/>
        <v>208</v>
      </c>
      <c r="K163" s="351">
        <f>IF(AJ163="","",AJ163)</f>
        <v>1</v>
      </c>
      <c r="L163" s="75">
        <f t="shared" si="174"/>
        <v>157</v>
      </c>
      <c r="M163" s="351">
        <f>IF(AL163="","",AL163)</f>
        <v>0</v>
      </c>
      <c r="N163" s="75">
        <f t="shared" si="191"/>
        <v>182</v>
      </c>
      <c r="O163" s="351">
        <f>IF(AN163="","",AN163)</f>
        <v>0.5</v>
      </c>
      <c r="P163" s="75">
        <f t="shared" si="175"/>
        <v>182</v>
      </c>
      <c r="Q163" s="351">
        <f>IF(AP163="","",AP163)</f>
        <v>1</v>
      </c>
      <c r="R163" s="75">
        <f t="shared" si="176"/>
        <v>221</v>
      </c>
      <c r="S163" s="351">
        <f>IF(AR163="","",AR163)</f>
        <v>1</v>
      </c>
      <c r="T163" s="75">
        <f t="shared" si="177"/>
        <v>170</v>
      </c>
      <c r="U163" s="351">
        <f>IF(AT163="","",AT163)</f>
        <v>1</v>
      </c>
      <c r="V163" s="75">
        <f t="shared" si="178"/>
        <v>1692</v>
      </c>
      <c r="W163" s="351">
        <f>IF(AV163="","",AV163)</f>
        <v>6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 t="str">
        <f t="shared" si="176"/>
        <v/>
      </c>
      <c r="S164" s="352"/>
      <c r="T164" s="78" t="str">
        <f t="shared" si="177"/>
        <v/>
      </c>
      <c r="U164" s="352"/>
      <c r="V164" s="78" t="str">
        <f t="shared" si="178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51">
        <f>IF(AD166="","",AD166)</f>
        <v>1</v>
      </c>
      <c r="F166" s="75">
        <f t="shared" si="171"/>
        <v>232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190</v>
      </c>
      <c r="K166" s="351">
        <f>IF(AJ166="","",AJ166)</f>
        <v>1</v>
      </c>
      <c r="L166" s="75">
        <f t="shared" si="174"/>
        <v>178</v>
      </c>
      <c r="M166" s="351">
        <f>IF(AL166="","",AL166)</f>
        <v>0</v>
      </c>
      <c r="N166" s="75">
        <f t="shared" si="191"/>
        <v>203</v>
      </c>
      <c r="O166" s="351">
        <f>IF(AN166="","",AN166)</f>
        <v>1</v>
      </c>
      <c r="P166" s="75">
        <f t="shared" si="175"/>
        <v>166</v>
      </c>
      <c r="Q166" s="351">
        <f>IF(AP166="","",AP166)</f>
        <v>0</v>
      </c>
      <c r="R166" s="75">
        <f t="shared" si="176"/>
        <v>162</v>
      </c>
      <c r="S166" s="351">
        <f>IF(AR166="","",AR166)</f>
        <v>0</v>
      </c>
      <c r="T166" s="75">
        <f t="shared" si="177"/>
        <v>221</v>
      </c>
      <c r="U166" s="351">
        <f>IF(AT166="","",AT166)</f>
        <v>1</v>
      </c>
      <c r="V166" s="75">
        <f t="shared" si="178"/>
        <v>1694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 t="str">
        <f t="shared" si="175"/>
        <v/>
      </c>
      <c r="Q167" s="352"/>
      <c r="R167" s="78" t="str">
        <f t="shared" si="176"/>
        <v/>
      </c>
      <c r="S167" s="352"/>
      <c r="T167" s="78" t="str">
        <f t="shared" si="177"/>
        <v/>
      </c>
      <c r="U167" s="352"/>
      <c r="V167" s="78" t="str">
        <f t="shared" si="178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9</v>
      </c>
      <c r="E172" s="349" t="str">
        <f t="shared" si="202"/>
        <v/>
      </c>
      <c r="F172" s="349">
        <f t="shared" si="202"/>
        <v>10</v>
      </c>
      <c r="G172" s="349" t="str">
        <f t="shared" si="202"/>
        <v/>
      </c>
      <c r="H172" s="349">
        <f t="shared" si="202"/>
        <v>8</v>
      </c>
      <c r="I172" s="349" t="str">
        <f t="shared" si="202"/>
        <v/>
      </c>
      <c r="J172" s="349">
        <f t="shared" si="202"/>
        <v>2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3</v>
      </c>
      <c r="O172" s="349" t="str">
        <f t="shared" si="203"/>
        <v/>
      </c>
      <c r="P172" s="349">
        <f t="shared" si="203"/>
        <v>5</v>
      </c>
      <c r="Q172" s="349" t="str">
        <f t="shared" si="203"/>
        <v/>
      </c>
      <c r="R172" s="349">
        <f t="shared" si="203"/>
        <v>7</v>
      </c>
      <c r="S172" s="349" t="str">
        <f t="shared" si="203"/>
        <v/>
      </c>
      <c r="T172" s="349">
        <f t="shared" si="203"/>
        <v>4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VLOOKUP($AA152,Schlüssel!$A$5:$DG$14,63)</f>
        <v>9</v>
      </c>
      <c r="AD172" s="374"/>
      <c r="AE172" s="373">
        <f>VLOOKUP($AA152,Schlüssel!$A$5:$EK$14,64)</f>
        <v>10</v>
      </c>
      <c r="AF172" s="374"/>
      <c r="AG172" s="373">
        <f>VLOOKUP($AA152,Schlüssel!$A$5:$EK$14,65)</f>
        <v>8</v>
      </c>
      <c r="AH172" s="374"/>
      <c r="AI172" s="373">
        <f>VLOOKUP($AA152,Schlüssel!$A$5:$EK$14,66)</f>
        <v>2</v>
      </c>
      <c r="AJ172" s="374"/>
      <c r="AK172" s="373">
        <f>VLOOKUP($AA152,Schlüssel!$A$5:$EK$14,67)</f>
        <v>1</v>
      </c>
      <c r="AL172" s="374"/>
      <c r="AM172" s="373">
        <f>VLOOKUP($AA152,Schlüssel!$A$5:$EK$14,68)</f>
        <v>3</v>
      </c>
      <c r="AN172" s="374"/>
      <c r="AO172" s="373">
        <f>VLOOKUP($AA152,Schlüssel!$A$5:$EK$14,69)</f>
        <v>5</v>
      </c>
      <c r="AP172" s="374"/>
      <c r="AQ172" s="373">
        <f>VLOOKUP($AA152,Schlüssel!$A$5:$EK$14,70)</f>
        <v>7</v>
      </c>
      <c r="AR172" s="374"/>
      <c r="AS172" s="373">
        <f>VLOOKUP($AA152,Schlüssel!$A$5:$EK$14,71)</f>
        <v>4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Bowlinghaus Bamberg 1</v>
      </c>
      <c r="E173" s="347" t="str">
        <f t="shared" si="202"/>
        <v/>
      </c>
      <c r="F173" s="346" t="str">
        <f t="shared" si="202"/>
        <v>High Roller Rosenheim 1</v>
      </c>
      <c r="G173" s="347" t="str">
        <f t="shared" si="202"/>
        <v/>
      </c>
      <c r="H173" s="346" t="str">
        <f t="shared" si="202"/>
        <v>BC EMAX Unterföhring 2</v>
      </c>
      <c r="I173" s="347" t="str">
        <f t="shared" si="202"/>
        <v/>
      </c>
      <c r="J173" s="346" t="str">
        <f t="shared" si="202"/>
        <v>Bajuwaren München 1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BK München 3</v>
      </c>
      <c r="O173" s="347" t="str">
        <f t="shared" si="203"/>
        <v/>
      </c>
      <c r="P173" s="346" t="str">
        <f t="shared" si="203"/>
        <v>RW Lichtenhof Stein 1</v>
      </c>
      <c r="Q173" s="347" t="str">
        <f t="shared" si="203"/>
        <v/>
      </c>
      <c r="R173" s="346" t="str">
        <f t="shared" si="203"/>
        <v>Schanzer Ingolstadt 1</v>
      </c>
      <c r="S173" s="347" t="str">
        <f t="shared" si="203"/>
        <v/>
      </c>
      <c r="T173" s="346" t="str">
        <f t="shared" si="203"/>
        <v>SG DJK Rimpar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Bowlinghaus Bamberg 1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BC EMAX Unterföhring 2</v>
      </c>
      <c r="AH173" s="347"/>
      <c r="AI173" s="346" t="str">
        <f>VLOOKUP(AI172,Schlüssel!$A$5:$K$14,2)</f>
        <v>Bajuwaren München 1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SG DJK Rimpar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160</v>
      </c>
      <c r="E175" s="342" t="str">
        <f>IF(AD175=0,"",AD175)</f>
        <v/>
      </c>
      <c r="F175" s="342">
        <f>IF(AE175=301,"",AE175)</f>
        <v>160</v>
      </c>
      <c r="G175" s="342" t="str">
        <f>IF(AF175=0,"",AF175)</f>
        <v/>
      </c>
      <c r="H175" s="342">
        <f>IF(AG175=301,"",AG175)</f>
        <v>205</v>
      </c>
      <c r="I175" s="342" t="str">
        <f>IF(AH175=0,"",AH175)</f>
        <v/>
      </c>
      <c r="J175" s="342">
        <f>IF(AI175=301,"",AI175)</f>
        <v>221</v>
      </c>
      <c r="K175" s="342" t="str">
        <f>IF(AJ175=0,"",AJ175)</f>
        <v/>
      </c>
      <c r="L175" s="342">
        <f>IF(AK175=301,"",AK175)</f>
        <v>192</v>
      </c>
      <c r="M175" s="342" t="str">
        <f>IF(AL175=0,"",AL175)</f>
        <v/>
      </c>
      <c r="N175" s="342">
        <f>IF(AM175=301,"",AM175)</f>
        <v>204</v>
      </c>
      <c r="O175" s="342" t="str">
        <f>IF(AN175=0,"",AN175)</f>
        <v/>
      </c>
      <c r="P175" s="342">
        <f>IF(AO175=301,"",AO175)</f>
        <v>222</v>
      </c>
      <c r="Q175" s="342" t="str">
        <f>IF(AP175=0,"",AP175)</f>
        <v/>
      </c>
      <c r="R175" s="342">
        <f>IF(AQ175=301,"",AQ175)</f>
        <v>170</v>
      </c>
      <c r="S175" s="342" t="str">
        <f>IF(AR175=0,"",AR175)</f>
        <v/>
      </c>
      <c r="T175" s="342">
        <f>IF(AS175=301,"",AS175)</f>
        <v>203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160</v>
      </c>
      <c r="AD175" s="376"/>
      <c r="AE175" s="375">
        <f>ABS(INDEX(AE:AE,MATCH(AE172,$AA:$AA,0)+5)+INDEX(AE:AE,MATCH(AE172,$AA:$AA,0)+6)+INDEX(AE:AE,MATCH(AE172,$AA:$AA,0)+7))</f>
        <v>160</v>
      </c>
      <c r="AF175" s="376"/>
      <c r="AG175" s="375">
        <f>ABS(INDEX(AG:AG,MATCH(AG172,$AA:$AA,0)+5)+INDEX(AG:AG,MATCH(AG172,$AA:$AA,0)+6)+INDEX(AG:AG,MATCH(AG172,$AA:$AA,0)+7))</f>
        <v>205</v>
      </c>
      <c r="AH175" s="376"/>
      <c r="AI175" s="375">
        <f>ABS(INDEX(AI:AI,MATCH(AI172,$AA:$AA,0)+5)+INDEX(AI:AI,MATCH(AI172,$AA:$AA,0)+6)+INDEX(AI:AI,MATCH(AI172,$AA:$AA,0)+7))</f>
        <v>221</v>
      </c>
      <c r="AJ175" s="376"/>
      <c r="AK175" s="375">
        <f>ABS(INDEX(AK:AK,MATCH(AK172,$AA:$AA,0)+5)+INDEX(AK:AK,MATCH(AK172,$AA:$AA,0)+6)+INDEX(AK:AK,MATCH(AK172,$AA:$AA,0)+7))</f>
        <v>192</v>
      </c>
      <c r="AL175" s="376"/>
      <c r="AM175" s="375">
        <f>ABS(INDEX(AM:AM,MATCH(AM172,$AA:$AA,0)+5)+INDEX(AM:AM,MATCH(AM172,$AA:$AA,0)+6)+INDEX(AM:AM,MATCH(AM172,$AA:$AA,0)+7))</f>
        <v>204</v>
      </c>
      <c r="AN175" s="376"/>
      <c r="AO175" s="375">
        <f>ABS(INDEX(AO:AO,MATCH(AO172,$AA:$AA,0)+5)+INDEX(AO:AO,MATCH(AO172,$AA:$AA,0)+6)+INDEX(AO:AO,MATCH(AO172,$AA:$AA,0)+7))</f>
        <v>222</v>
      </c>
      <c r="AP175" s="376"/>
      <c r="AQ175" s="375">
        <f>ABS(INDEX(AQ:AQ,MATCH(AQ172,$AA:$AA,0)+5)+INDEX(AQ:AQ,MATCH(AQ172,$AA:$AA,0)+6)+INDEX(AQ:AQ,MATCH(AQ172,$AA:$AA,0)+7))</f>
        <v>170</v>
      </c>
      <c r="AR175" s="376"/>
      <c r="AS175" s="375">
        <f>ABS(INDEX(AS:AS,MATCH(AS172,$AA:$AA,0)+5)+INDEX(AS:AS,MATCH(AS172,$AA:$AA,0)+6)+INDEX(AS:AS,MATCH(AS172,$AA:$AA,0)+7))</f>
        <v>203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145</v>
      </c>
      <c r="E176" s="342" t="str">
        <f>IF(AD176=0,"",AD176)</f>
        <v/>
      </c>
      <c r="F176" s="342">
        <f>IF(AE176=301,"",AE176)</f>
        <v>164</v>
      </c>
      <c r="G176" s="342" t="str">
        <f>IF(AF176=0,"",AF176)</f>
        <v/>
      </c>
      <c r="H176" s="342">
        <f>IF(AG176=301,"",AG176)</f>
        <v>134</v>
      </c>
      <c r="I176" s="342" t="str">
        <f>IF(AH176=0,"",AH176)</f>
        <v/>
      </c>
      <c r="J176" s="342">
        <f>IF(AI176=301,"",AI176)</f>
        <v>191</v>
      </c>
      <c r="K176" s="342" t="str">
        <f>IF(AJ176=0,"",AJ176)</f>
        <v/>
      </c>
      <c r="L176" s="342">
        <f>IF(AK176=301,"",AK176)</f>
        <v>171</v>
      </c>
      <c r="M176" s="342" t="str">
        <f>IF(AL176=0,"",AL176)</f>
        <v/>
      </c>
      <c r="N176" s="342">
        <f>IF(AM176=301,"",AM176)</f>
        <v>212</v>
      </c>
      <c r="O176" s="342" t="str">
        <f>IF(AN176=0,"",AN176)</f>
        <v/>
      </c>
      <c r="P176" s="342">
        <f>IF(AO176=301,"",AO176)</f>
        <v>172</v>
      </c>
      <c r="Q176" s="342" t="str">
        <f>IF(AP176=0,"",AP176)</f>
        <v/>
      </c>
      <c r="R176" s="342">
        <f>IF(AQ176=301,"",AQ176)</f>
        <v>128</v>
      </c>
      <c r="S176" s="342" t="str">
        <f>IF(AR176=0,"",AR176)</f>
        <v/>
      </c>
      <c r="T176" s="342">
        <f>IF(AS176=301,"",AS176)</f>
        <v>124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145</v>
      </c>
      <c r="AD176" s="378"/>
      <c r="AE176" s="377">
        <f>ABS(INDEX(AE:AE,MATCH(AE172,$AA:$AA,0)+8)+INDEX(AE:AE,MATCH(AE172,$AA:$AA,0)+9)+INDEX(AE:AE,MATCH(AE172,$AA:$AA,0)+10))</f>
        <v>164</v>
      </c>
      <c r="AF176" s="378"/>
      <c r="AG176" s="377">
        <f>ABS(INDEX(AG:AG,MATCH(AG172,$AA:$AA,0)+8)+INDEX(AG:AG,MATCH(AG172,$AA:$AA,0)+9)+INDEX(AG:AG,MATCH(AG172,$AA:$AA,0)+10))</f>
        <v>134</v>
      </c>
      <c r="AH176" s="378"/>
      <c r="AI176" s="377">
        <f>ABS(INDEX(AI:AI,MATCH(AI172,$AA:$AA,0)+8)+INDEX(AI:AI,MATCH(AI172,$AA:$AA,0)+9)+INDEX(AI:AI,MATCH(AI172,$AA:$AA,0)+10))</f>
        <v>191</v>
      </c>
      <c r="AJ176" s="378"/>
      <c r="AK176" s="377">
        <f>ABS(INDEX(AK:AK,MATCH(AK172,$AA:$AA,0)+8)+INDEX(AK:AK,MATCH(AK172,$AA:$AA,0)+9)+INDEX(AK:AK,MATCH(AK172,$AA:$AA,0)+10))</f>
        <v>171</v>
      </c>
      <c r="AL176" s="378"/>
      <c r="AM176" s="377">
        <f>ABS(INDEX(AM:AM,MATCH(AM172,$AA:$AA,0)+8)+INDEX(AM:AM,MATCH(AM172,$AA:$AA,0)+9)+INDEX(AM:AM,MATCH(AM172,$AA:$AA,0)+10))</f>
        <v>212</v>
      </c>
      <c r="AN176" s="378"/>
      <c r="AO176" s="377">
        <f>ABS(INDEX(AO:AO,MATCH(AO172,$AA:$AA,0)+8)+INDEX(AO:AO,MATCH(AO172,$AA:$AA,0)+9)+INDEX(AO:AO,MATCH(AO172,$AA:$AA,0)+10))</f>
        <v>172</v>
      </c>
      <c r="AP176" s="378"/>
      <c r="AQ176" s="377">
        <f>ABS(INDEX(AQ:AQ,MATCH(AQ172,$AA:$AA,0)+8)+INDEX(AQ:AQ,MATCH(AQ172,$AA:$AA,0)+9)+INDEX(AQ:AQ,MATCH(AQ172,$AA:$AA,0)+10))</f>
        <v>128</v>
      </c>
      <c r="AR176" s="378"/>
      <c r="AS176" s="377">
        <f>ABS(INDEX(AS:AS,MATCH(AS172,$AA:$AA,0)+8)+INDEX(AS:AS,MATCH(AS172,$AA:$AA,0)+9)+INDEX(AS:AS,MATCH(AS172,$AA:$AA,0)+10))</f>
        <v>124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205</v>
      </c>
      <c r="E177" s="342" t="str">
        <f>IF(AD177=0,"",AD177)</f>
        <v/>
      </c>
      <c r="F177" s="342">
        <f>IF(AE177=301,"",AE177)</f>
        <v>181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170</v>
      </c>
      <c r="K177" s="342" t="str">
        <f>IF(AJ177=0,"",AJ177)</f>
        <v/>
      </c>
      <c r="L177" s="342">
        <f>IF(AK177=301,"",AK177)</f>
        <v>180</v>
      </c>
      <c r="M177" s="342" t="str">
        <f>IF(AL177=0,"",AL177)</f>
        <v/>
      </c>
      <c r="N177" s="342">
        <f>IF(AM177=301,"",AM177)</f>
        <v>182</v>
      </c>
      <c r="O177" s="342" t="str">
        <f>IF(AN177=0,"",AN177)</f>
        <v/>
      </c>
      <c r="P177" s="342">
        <f>IF(AO177=301,"",AO177)</f>
        <v>171</v>
      </c>
      <c r="Q177" s="342" t="str">
        <f>IF(AP177=0,"",AP177)</f>
        <v/>
      </c>
      <c r="R177" s="342">
        <f>IF(AQ177=301,"",AQ177)</f>
        <v>131</v>
      </c>
      <c r="S177" s="342" t="str">
        <f>IF(AR177=0,"",AR177)</f>
        <v/>
      </c>
      <c r="T177" s="342">
        <f>IF(AS177=301,"",AS177)</f>
        <v>167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205</v>
      </c>
      <c r="AD177" s="378"/>
      <c r="AE177" s="377">
        <f>ABS(INDEX(AE:AE,MATCH(AE172,$AA:$AA,0)+11)+INDEX(AE:AE,MATCH(AE172,$AA:$AA,0)+12)+INDEX(AE:AE,MATCH(AE172,$AA:$AA,0)+13))</f>
        <v>181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170</v>
      </c>
      <c r="AJ177" s="378"/>
      <c r="AK177" s="377">
        <f>ABS(INDEX(AK:AK,MATCH(AK172,$AA:$AA,0)+11)+INDEX(AK:AK,MATCH(AK172,$AA:$AA,0)+12)+INDEX(AK:AK,MATCH(AK172,$AA:$AA,0)+13))</f>
        <v>180</v>
      </c>
      <c r="AL177" s="378"/>
      <c r="AM177" s="377">
        <f>ABS(INDEX(AM:AM,MATCH(AM172,$AA:$AA,0)+11)+INDEX(AM:AM,MATCH(AM172,$AA:$AA,0)+12)+INDEX(AM:AM,MATCH(AM172,$AA:$AA,0)+13))</f>
        <v>182</v>
      </c>
      <c r="AN177" s="378"/>
      <c r="AO177" s="377">
        <f>ABS(INDEX(AO:AO,MATCH(AO172,$AA:$AA,0)+11)+INDEX(AO:AO,MATCH(AO172,$AA:$AA,0)+12)+INDEX(AO:AO,MATCH(AO172,$AA:$AA,0)+13))</f>
        <v>171</v>
      </c>
      <c r="AP177" s="378"/>
      <c r="AQ177" s="377">
        <f>ABS(INDEX(AQ:AQ,MATCH(AQ172,$AA:$AA,0)+11)+INDEX(AQ:AQ,MATCH(AQ172,$AA:$AA,0)+12)+INDEX(AQ:AQ,MATCH(AQ172,$AA:$AA,0)+13))</f>
        <v>131</v>
      </c>
      <c r="AR177" s="378"/>
      <c r="AS177" s="377">
        <f>ABS(INDEX(AS:AS,MATCH(AS172,$AA:$AA,0)+11)+INDEX(AS:AS,MATCH(AS172,$AA:$AA,0)+12)+INDEX(AS:AS,MATCH(AS172,$AA:$AA,0)+13))</f>
        <v>167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136</v>
      </c>
      <c r="E178" s="342" t="str">
        <f>IF(AD178=0,"",AD178)</f>
        <v/>
      </c>
      <c r="F178" s="342">
        <f>IF(AE178=301,"",AE178)</f>
        <v>159</v>
      </c>
      <c r="G178" s="342" t="str">
        <f>IF(AF178=0,"",AF178)</f>
        <v/>
      </c>
      <c r="H178" s="342">
        <f>IF(AG178=301,"",AG178)</f>
        <v>169</v>
      </c>
      <c r="I178" s="342" t="str">
        <f>IF(AH178=0,"",AH178)</f>
        <v/>
      </c>
      <c r="J178" s="342">
        <f>IF(AI178=301,"",AI178)</f>
        <v>185</v>
      </c>
      <c r="K178" s="342" t="str">
        <f>IF(AJ178=0,"",AJ178)</f>
        <v/>
      </c>
      <c r="L178" s="342">
        <f>IF(AK178=301,"",AK178)</f>
        <v>214</v>
      </c>
      <c r="M178" s="342" t="str">
        <f>IF(AL178=0,"",AL178)</f>
        <v/>
      </c>
      <c r="N178" s="342">
        <f>IF(AM178=301,"",AM178)</f>
        <v>168</v>
      </c>
      <c r="O178" s="342" t="str">
        <f>IF(AN178=0,"",AN178)</f>
        <v/>
      </c>
      <c r="P178" s="342">
        <f>IF(AO178=301,"",AO178)</f>
        <v>205</v>
      </c>
      <c r="Q178" s="342" t="str">
        <f>IF(AP178=0,"",AP178)</f>
        <v/>
      </c>
      <c r="R178" s="342">
        <f>IF(AQ178=301,"",AQ178)</f>
        <v>174</v>
      </c>
      <c r="S178" s="342" t="str">
        <f>IF(AR178=0,"",AR178)</f>
        <v/>
      </c>
      <c r="T178" s="342">
        <f>IF(AS178=301,"",AS178)</f>
        <v>147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136</v>
      </c>
      <c r="AD178" s="378"/>
      <c r="AE178" s="377">
        <f>ABS(INDEX(AE:AE,MATCH(AE172,$AA:$AA,0)+14)+INDEX(AE:AE,MATCH(AE172,$AA:$AA,0)+15)+INDEX(AE:AE,MATCH(AE172,$AA:$AA,0)+16))</f>
        <v>159</v>
      </c>
      <c r="AF178" s="378"/>
      <c r="AG178" s="377">
        <f>ABS(INDEX(AG:AG,MATCH(AG172,$AA:$AA,0)+14)+INDEX(AG:AG,MATCH(AG172,$AA:$AA,0)+15)+INDEX(AG:AG,MATCH(AG172,$AA:$AA,0)+16))</f>
        <v>169</v>
      </c>
      <c r="AH178" s="378"/>
      <c r="AI178" s="377">
        <f>ABS(INDEX(AI:AI,MATCH(AI172,$AA:$AA,0)+14)+INDEX(AI:AI,MATCH(AI172,$AA:$AA,0)+15)+INDEX(AI:AI,MATCH(AI172,$AA:$AA,0)+16))</f>
        <v>185</v>
      </c>
      <c r="AJ178" s="378"/>
      <c r="AK178" s="377">
        <f>ABS(INDEX(AK:AK,MATCH(AK172,$AA:$AA,0)+14)+INDEX(AK:AK,MATCH(AK172,$AA:$AA,0)+15)+INDEX(AK:AK,MATCH(AK172,$AA:$AA,0)+16))</f>
        <v>214</v>
      </c>
      <c r="AL178" s="378"/>
      <c r="AM178" s="377">
        <f>ABS(INDEX(AM:AM,MATCH(AM172,$AA:$AA,0)+14)+INDEX(AM:AM,MATCH(AM172,$AA:$AA,0)+15)+INDEX(AM:AM,MATCH(AM172,$AA:$AA,0)+16))</f>
        <v>168</v>
      </c>
      <c r="AN178" s="378"/>
      <c r="AO178" s="377">
        <f>ABS(INDEX(AO:AO,MATCH(AO172,$AA:$AA,0)+14)+INDEX(AO:AO,MATCH(AO172,$AA:$AA,0)+15)+INDEX(AO:AO,MATCH(AO172,$AA:$AA,0)+16))</f>
        <v>205</v>
      </c>
      <c r="AP178" s="378"/>
      <c r="AQ178" s="377">
        <f>ABS(INDEX(AQ:AQ,MATCH(AQ172,$AA:$AA,0)+14)+INDEX(AQ:AQ,MATCH(AQ172,$AA:$AA,0)+15)+INDEX(AQ:AQ,MATCH(AQ172,$AA:$AA,0)+16))</f>
        <v>174</v>
      </c>
      <c r="AR178" s="378"/>
      <c r="AS178" s="377">
        <f>ABS(INDEX(AS:AS,MATCH(AS172,$AA:$AA,0)+14)+INDEX(AS:AS,MATCH(AS172,$AA:$AA,0)+15)+INDEX(AS:AS,MATCH(AS172,$AA:$AA,0)+16))</f>
        <v>147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646</v>
      </c>
      <c r="E179" s="341" t="str">
        <f>IF(AD179=0,"",AD179)</f>
        <v/>
      </c>
      <c r="F179" s="341">
        <f>IF(AE179=1505,"",AE179)</f>
        <v>664</v>
      </c>
      <c r="G179" s="341" t="str">
        <f>IF(AF179=0,"",AF179)</f>
        <v/>
      </c>
      <c r="H179" s="341">
        <f>IF(AG179=1505,"",AG179)</f>
        <v>669</v>
      </c>
      <c r="I179" s="341" t="str">
        <f>IF(AH179=0,"",AH179)</f>
        <v/>
      </c>
      <c r="J179" s="341">
        <f>IF(AI179=1505,"",AI179)</f>
        <v>767</v>
      </c>
      <c r="K179" s="341" t="str">
        <f>IF(AJ179=0,"",AJ179)</f>
        <v/>
      </c>
      <c r="L179" s="341">
        <f>IF(AK179=1505,"",AK179)</f>
        <v>757</v>
      </c>
      <c r="M179" s="341" t="str">
        <f>IF(AL179=0,"",AL179)</f>
        <v/>
      </c>
      <c r="N179" s="341">
        <f>IF(AM179=1505,"",AM179)</f>
        <v>766</v>
      </c>
      <c r="O179" s="341" t="str">
        <f>IF(AN179=0,"",AN179)</f>
        <v/>
      </c>
      <c r="P179" s="341">
        <f>IF(AO179=1505,"",AO179)</f>
        <v>770</v>
      </c>
      <c r="Q179" s="341" t="str">
        <f>IF(AP179=0,"",AP179)</f>
        <v/>
      </c>
      <c r="R179" s="341">
        <f>IF(AQ179=1505,"",AQ179)</f>
        <v>603</v>
      </c>
      <c r="S179" s="341" t="str">
        <f>IF(AR179=0,"",AR179)</f>
        <v/>
      </c>
      <c r="T179" s="341">
        <f>IF(AS179=1505,"",AS179)</f>
        <v>641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646</v>
      </c>
      <c r="AD179" s="358"/>
      <c r="AE179" s="357">
        <f>SUM(AE175:AE178)</f>
        <v>664</v>
      </c>
      <c r="AF179" s="358"/>
      <c r="AG179" s="357">
        <f>SUM(AG175:AG178)</f>
        <v>669</v>
      </c>
      <c r="AH179" s="358"/>
      <c r="AI179" s="357">
        <f>SUM(AI175:AI178)</f>
        <v>767</v>
      </c>
      <c r="AJ179" s="358"/>
      <c r="AK179" s="357">
        <f>SUM(AK175:AK178)</f>
        <v>757</v>
      </c>
      <c r="AL179" s="358"/>
      <c r="AM179" s="357">
        <f>SUM(AM175:AM178)</f>
        <v>766</v>
      </c>
      <c r="AN179" s="358"/>
      <c r="AO179" s="357">
        <f>SUM(AO175:AO178)</f>
        <v>770</v>
      </c>
      <c r="AP179" s="358"/>
      <c r="AQ179" s="357">
        <f>SUM(AQ175:AQ178)</f>
        <v>603</v>
      </c>
      <c r="AR179" s="358"/>
      <c r="AS179" s="357">
        <f>SUM(AS175:AS178)</f>
        <v>641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15.02./16.02.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15.02./16.02.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Regensburg Super Bowl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51">
        <f>IF(AD187="","",AD187)</f>
        <v>0</v>
      </c>
      <c r="F187" s="75">
        <f t="shared" ref="F187:F200" si="205">IF(AE187=0,"",AE187)</f>
        <v>161</v>
      </c>
      <c r="G187" s="351">
        <f>IF(AF187="","",AF187)</f>
        <v>0</v>
      </c>
      <c r="H187" s="75">
        <f t="shared" ref="H187:H200" si="206">IF(AG187=0,"",AG187)</f>
        <v>152</v>
      </c>
      <c r="I187" s="351">
        <f>IF(AH187="","",AH187)</f>
        <v>0</v>
      </c>
      <c r="J187" s="75">
        <f t="shared" ref="J187:J200" si="207">IF(AI187=0,"",AI187)</f>
        <v>120</v>
      </c>
      <c r="K187" s="351">
        <f>IF(AJ187="","",AJ187)</f>
        <v>0</v>
      </c>
      <c r="L187" s="75">
        <f t="shared" ref="L187:L200" si="208">IF(AK187=0,"",AK187)</f>
        <v>182</v>
      </c>
      <c r="M187" s="351">
        <f>IF(AL187="","",AL187)</f>
        <v>1</v>
      </c>
      <c r="N187" s="75">
        <f>IF(AM187=0,"",AM187)</f>
        <v>190</v>
      </c>
      <c r="O187" s="351">
        <f>IF(AN187="","",AN187)</f>
        <v>0</v>
      </c>
      <c r="P187" s="75">
        <f t="shared" ref="P187:P200" si="209">IF(AO187=0,"",AO187)</f>
        <v>174</v>
      </c>
      <c r="Q187" s="351">
        <f>IF(AP187="","",AP187)</f>
        <v>1</v>
      </c>
      <c r="R187" s="75">
        <f t="shared" ref="R187:R200" si="210">IF(AQ187=0,"",AQ187)</f>
        <v>170</v>
      </c>
      <c r="S187" s="351">
        <f>IF(AR187="","",AR187)</f>
        <v>0</v>
      </c>
      <c r="T187" s="75">
        <f t="shared" ref="T187:T200" si="211">IF(AS187=0,"",AS187)</f>
        <v>159</v>
      </c>
      <c r="U187" s="351">
        <f>IF(AT187="","",AT187)</f>
        <v>0</v>
      </c>
      <c r="V187" s="75">
        <f t="shared" ref="V187:V200" si="212">IF(AU187=0,"",AU187)</f>
        <v>1456</v>
      </c>
      <c r="W187" s="351">
        <f>IF(AV187="","",AV187)</f>
        <v>2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51">
        <f>IF(AD190="","",AD190)</f>
        <v>1</v>
      </c>
      <c r="F190" s="75">
        <f t="shared" si="205"/>
        <v>150</v>
      </c>
      <c r="G190" s="351">
        <f>IF(AF190="","",AF190)</f>
        <v>0</v>
      </c>
      <c r="H190" s="75">
        <f t="shared" si="206"/>
        <v>137</v>
      </c>
      <c r="I190" s="351">
        <f>IF(AH190="","",AH190)</f>
        <v>0</v>
      </c>
      <c r="J190" s="75">
        <f t="shared" si="207"/>
        <v>167</v>
      </c>
      <c r="K190" s="351">
        <f>IF(AJ190="","",AJ190)</f>
        <v>0</v>
      </c>
      <c r="L190" s="75">
        <f t="shared" si="208"/>
        <v>136</v>
      </c>
      <c r="M190" s="351">
        <f>IF(AL190="","",AL190)</f>
        <v>0</v>
      </c>
      <c r="N190" s="75">
        <f t="shared" si="225"/>
        <v>192</v>
      </c>
      <c r="O190" s="351">
        <f>IF(AN190="","",AN190)</f>
        <v>0</v>
      </c>
      <c r="P190" s="75">
        <f t="shared" si="209"/>
        <v>203</v>
      </c>
      <c r="Q190" s="351">
        <f>IF(AP190="","",AP190)</f>
        <v>1</v>
      </c>
      <c r="R190" s="75">
        <f t="shared" si="210"/>
        <v>128</v>
      </c>
      <c r="S190" s="351">
        <f>IF(AR190="","",AR190)</f>
        <v>0</v>
      </c>
      <c r="T190" s="75">
        <f t="shared" si="211"/>
        <v>124</v>
      </c>
      <c r="U190" s="351">
        <f>IF(AT190="","",AT190)</f>
        <v>0</v>
      </c>
      <c r="V190" s="75">
        <f t="shared" si="212"/>
        <v>1398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51">
        <f>IF(AD193="","",AD193)</f>
        <v>0</v>
      </c>
      <c r="F193" s="75">
        <f t="shared" si="205"/>
        <v>202</v>
      </c>
      <c r="G193" s="351">
        <f>IF(AF193="","",AF193)</f>
        <v>1</v>
      </c>
      <c r="H193" s="75">
        <f t="shared" si="206"/>
        <v>157</v>
      </c>
      <c r="I193" s="351">
        <f>IF(AH193="","",AH193)</f>
        <v>0</v>
      </c>
      <c r="J193" s="75">
        <f t="shared" si="207"/>
        <v>170</v>
      </c>
      <c r="K193" s="351">
        <f>IF(AJ193="","",AJ193)</f>
        <v>0</v>
      </c>
      <c r="L193" s="75">
        <f t="shared" si="208"/>
        <v>153</v>
      </c>
      <c r="M193" s="351">
        <f>IF(AL193="","",AL193)</f>
        <v>1</v>
      </c>
      <c r="N193" s="75">
        <f t="shared" si="225"/>
        <v>219</v>
      </c>
      <c r="O193" s="351">
        <f>IF(AN193="","",AN193)</f>
        <v>1</v>
      </c>
      <c r="P193" s="75">
        <f t="shared" si="209"/>
        <v>156</v>
      </c>
      <c r="Q193" s="351">
        <f>IF(AP193="","",AP193)</f>
        <v>0</v>
      </c>
      <c r="R193" s="75">
        <f t="shared" si="210"/>
        <v>131</v>
      </c>
      <c r="S193" s="351">
        <f>IF(AR193="","",AR193)</f>
        <v>0</v>
      </c>
      <c r="T193" s="75">
        <f t="shared" si="211"/>
        <v>268</v>
      </c>
      <c r="U193" s="351">
        <f>IF(AT193="","",AT193)</f>
        <v>1</v>
      </c>
      <c r="V193" s="75">
        <f t="shared" si="212"/>
        <v>1605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51">
        <f>IF(AD196="","",AD196)</f>
        <v>1</v>
      </c>
      <c r="F196" s="75">
        <f t="shared" si="205"/>
        <v>234</v>
      </c>
      <c r="G196" s="351">
        <f>IF(AF196="","",AF196)</f>
        <v>1</v>
      </c>
      <c r="H196" s="75">
        <f t="shared" si="206"/>
        <v>202</v>
      </c>
      <c r="I196" s="351">
        <f>IF(AH196="","",AH196)</f>
        <v>0</v>
      </c>
      <c r="J196" s="75">
        <f t="shared" si="207"/>
        <v>180</v>
      </c>
      <c r="K196" s="351">
        <f>IF(AJ196="","",AJ196)</f>
        <v>1</v>
      </c>
      <c r="L196" s="75">
        <f t="shared" si="208"/>
        <v>128</v>
      </c>
      <c r="M196" s="351">
        <f>IF(AL196="","",AL196)</f>
        <v>0</v>
      </c>
      <c r="N196" s="75">
        <f t="shared" si="225"/>
        <v>147</v>
      </c>
      <c r="O196" s="351">
        <f>IF(AN196="","",AN196)</f>
        <v>0</v>
      </c>
      <c r="P196" s="75">
        <f t="shared" si="209"/>
        <v>216</v>
      </c>
      <c r="Q196" s="351">
        <f>IF(AP196="","",AP196)</f>
        <v>1</v>
      </c>
      <c r="R196" s="75">
        <f t="shared" si="210"/>
        <v>174</v>
      </c>
      <c r="S196" s="351">
        <f>IF(AR196="","",AR196)</f>
        <v>1</v>
      </c>
      <c r="T196" s="75">
        <f t="shared" si="211"/>
        <v>197</v>
      </c>
      <c r="U196" s="351">
        <f>IF(AT196="","",AT196)</f>
        <v>0</v>
      </c>
      <c r="V196" s="75">
        <f t="shared" si="212"/>
        <v>1663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5</v>
      </c>
      <c r="E202" s="349" t="str">
        <f t="shared" si="236"/>
        <v/>
      </c>
      <c r="F202" s="349">
        <f t="shared" si="236"/>
        <v>8</v>
      </c>
      <c r="G202" s="349" t="str">
        <f t="shared" si="236"/>
        <v/>
      </c>
      <c r="H202" s="349">
        <f t="shared" si="236"/>
        <v>1</v>
      </c>
      <c r="I202" s="349" t="str">
        <f t="shared" si="236"/>
        <v/>
      </c>
      <c r="J202" s="349">
        <f t="shared" si="236"/>
        <v>3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4</v>
      </c>
      <c r="O202" s="349" t="str">
        <f t="shared" si="237"/>
        <v/>
      </c>
      <c r="P202" s="349">
        <f t="shared" si="237"/>
        <v>10</v>
      </c>
      <c r="Q202" s="349" t="str">
        <f t="shared" si="237"/>
        <v/>
      </c>
      <c r="R202" s="349">
        <f t="shared" si="237"/>
        <v>6</v>
      </c>
      <c r="S202" s="349" t="str">
        <f t="shared" si="237"/>
        <v/>
      </c>
      <c r="T202" s="349">
        <f t="shared" si="237"/>
        <v>9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VLOOKUP($AA182,Schlüssel!$A$5:$DG$14,63)</f>
        <v>5</v>
      </c>
      <c r="AD202" s="374"/>
      <c r="AE202" s="373">
        <f>VLOOKUP($AA182,Schlüssel!$A$5:$EK$14,64)</f>
        <v>8</v>
      </c>
      <c r="AF202" s="374"/>
      <c r="AG202" s="373">
        <f>VLOOKUP($AA182,Schlüssel!$A$5:$EK$14,65)</f>
        <v>1</v>
      </c>
      <c r="AH202" s="374"/>
      <c r="AI202" s="373">
        <f>VLOOKUP($AA182,Schlüssel!$A$5:$EK$14,66)</f>
        <v>3</v>
      </c>
      <c r="AJ202" s="374"/>
      <c r="AK202" s="373">
        <f>VLOOKUP($AA182,Schlüssel!$A$5:$EK$14,67)</f>
        <v>2</v>
      </c>
      <c r="AL202" s="374"/>
      <c r="AM202" s="373">
        <f>VLOOKUP($AA182,Schlüssel!$A$5:$EK$14,68)</f>
        <v>4</v>
      </c>
      <c r="AN202" s="374"/>
      <c r="AO202" s="373">
        <f>VLOOKUP($AA182,Schlüssel!$A$5:$EK$14,69)</f>
        <v>10</v>
      </c>
      <c r="AP202" s="374"/>
      <c r="AQ202" s="373">
        <f>VLOOKUP($AA182,Schlüssel!$A$5:$EK$14,70)</f>
        <v>6</v>
      </c>
      <c r="AR202" s="374"/>
      <c r="AS202" s="373">
        <f>VLOOKUP($AA182,Schlüssel!$A$5:$EK$14,71)</f>
        <v>9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RW Lichtenhof Stein 1</v>
      </c>
      <c r="E203" s="347" t="str">
        <f t="shared" si="236"/>
        <v/>
      </c>
      <c r="F203" s="346" t="str">
        <f t="shared" si="236"/>
        <v>BC EMAX Unterföhring 2</v>
      </c>
      <c r="G203" s="347" t="str">
        <f t="shared" si="236"/>
        <v/>
      </c>
      <c r="H203" s="346" t="str">
        <f t="shared" si="236"/>
        <v>BC Comet Nürnberg</v>
      </c>
      <c r="I203" s="347" t="str">
        <f t="shared" si="236"/>
        <v/>
      </c>
      <c r="J203" s="346" t="str">
        <f t="shared" si="236"/>
        <v>BK München 3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SG DJK Rimpar</v>
      </c>
      <c r="O203" s="347" t="str">
        <f t="shared" si="237"/>
        <v/>
      </c>
      <c r="P203" s="346" t="str">
        <f t="shared" si="237"/>
        <v>High Roller Rosenheim 1</v>
      </c>
      <c r="Q203" s="347" t="str">
        <f t="shared" si="237"/>
        <v/>
      </c>
      <c r="R203" s="346" t="str">
        <f t="shared" si="237"/>
        <v>SG Rottendorf 1</v>
      </c>
      <c r="S203" s="347" t="str">
        <f t="shared" si="237"/>
        <v/>
      </c>
      <c r="T203" s="346" t="str">
        <f t="shared" si="237"/>
        <v>Bowlinghaus Bamberg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RW Lichtenhof Stein 1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BC Comet Nürnberg</v>
      </c>
      <c r="AH203" s="347"/>
      <c r="AI203" s="346" t="str">
        <f>VLOOKUP(AI202,Schlüssel!$A$5:$K$14,2)</f>
        <v>BK München 3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Bowlinghaus Bamberg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215</v>
      </c>
      <c r="E205" s="342" t="str">
        <f>IF(AD205=0,"",AD205)</f>
        <v/>
      </c>
      <c r="F205" s="342">
        <f>IF(AE205=301,"",AE205)</f>
        <v>214</v>
      </c>
      <c r="G205" s="342" t="str">
        <f>IF(AF205=0,"",AF205)</f>
        <v/>
      </c>
      <c r="H205" s="342">
        <f>IF(AG205=301,"",AG205)</f>
        <v>164</v>
      </c>
      <c r="I205" s="342" t="str">
        <f>IF(AH205=0,"",AH205)</f>
        <v/>
      </c>
      <c r="J205" s="342">
        <f>IF(AI205=301,"",AI205)</f>
        <v>246</v>
      </c>
      <c r="K205" s="342" t="str">
        <f>IF(AJ205=0,"",AJ205)</f>
        <v/>
      </c>
      <c r="L205" s="342">
        <f>IF(AK205=301,"",AK205)</f>
        <v>180</v>
      </c>
      <c r="M205" s="342" t="str">
        <f>IF(AL205=0,"",AL205)</f>
        <v/>
      </c>
      <c r="N205" s="342">
        <f>IF(AM205=301,"",AM205)</f>
        <v>246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180</v>
      </c>
      <c r="S205" s="342" t="str">
        <f>IF(AR205=0,"",AR205)</f>
        <v/>
      </c>
      <c r="T205" s="342">
        <f>IF(AS205=301,"",AS205)</f>
        <v>171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215</v>
      </c>
      <c r="AD205" s="376"/>
      <c r="AE205" s="375">
        <f>ABS(INDEX(AE:AE,MATCH(AE202,$AA:$AA,0)+5)+INDEX(AE:AE,MATCH(AE202,$AA:$AA,0)+6)+INDEX(AE:AE,MATCH(AE202,$AA:$AA,0)+7))</f>
        <v>214</v>
      </c>
      <c r="AF205" s="376"/>
      <c r="AG205" s="375">
        <f>ABS(INDEX(AG:AG,MATCH(AG202,$AA:$AA,0)+5)+INDEX(AG:AG,MATCH(AG202,$AA:$AA,0)+6)+INDEX(AG:AG,MATCH(AG202,$AA:$AA,0)+7))</f>
        <v>164</v>
      </c>
      <c r="AH205" s="376"/>
      <c r="AI205" s="375">
        <f>ABS(INDEX(AI:AI,MATCH(AI202,$AA:$AA,0)+5)+INDEX(AI:AI,MATCH(AI202,$AA:$AA,0)+6)+INDEX(AI:AI,MATCH(AI202,$AA:$AA,0)+7))</f>
        <v>246</v>
      </c>
      <c r="AJ205" s="376"/>
      <c r="AK205" s="375">
        <f>ABS(INDEX(AK:AK,MATCH(AK202,$AA:$AA,0)+5)+INDEX(AK:AK,MATCH(AK202,$AA:$AA,0)+6)+INDEX(AK:AK,MATCH(AK202,$AA:$AA,0)+7))</f>
        <v>180</v>
      </c>
      <c r="AL205" s="376"/>
      <c r="AM205" s="375">
        <f>ABS(INDEX(AM:AM,MATCH(AM202,$AA:$AA,0)+5)+INDEX(AM:AM,MATCH(AM202,$AA:$AA,0)+6)+INDEX(AM:AM,MATCH(AM202,$AA:$AA,0)+7))</f>
        <v>246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180</v>
      </c>
      <c r="AR205" s="376"/>
      <c r="AS205" s="375">
        <f>ABS(INDEX(AS:AS,MATCH(AS202,$AA:$AA,0)+5)+INDEX(AS:AS,MATCH(AS202,$AA:$AA,0)+6)+INDEX(AS:AS,MATCH(AS202,$AA:$AA,0)+7))</f>
        <v>171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156</v>
      </c>
      <c r="E206" s="342" t="str">
        <f>IF(AD206=0,"",AD206)</f>
        <v/>
      </c>
      <c r="F206" s="342">
        <f>IF(AE206=301,"",AE206)</f>
        <v>181</v>
      </c>
      <c r="G206" s="342" t="str">
        <f>IF(AF206=0,"",AF206)</f>
        <v/>
      </c>
      <c r="H206" s="342">
        <f>IF(AG206=301,"",AG206)</f>
        <v>175</v>
      </c>
      <c r="I206" s="342" t="str">
        <f>IF(AH206=0,"",AH206)</f>
        <v/>
      </c>
      <c r="J206" s="342">
        <f>IF(AI206=301,"",AI206)</f>
        <v>231</v>
      </c>
      <c r="K206" s="342" t="str">
        <f>IF(AJ206=0,"",AJ206)</f>
        <v/>
      </c>
      <c r="L206" s="342">
        <f>IF(AK206=301,"",AK206)</f>
        <v>184</v>
      </c>
      <c r="M206" s="342" t="str">
        <f>IF(AL206=0,"",AL206)</f>
        <v/>
      </c>
      <c r="N206" s="342">
        <f>IF(AM206=301,"",AM206)</f>
        <v>254</v>
      </c>
      <c r="O206" s="342" t="str">
        <f>IF(AN206=0,"",AN206)</f>
        <v/>
      </c>
      <c r="P206" s="342">
        <f>IF(AO206=301,"",AO206)</f>
        <v>149</v>
      </c>
      <c r="Q206" s="342" t="str">
        <f>IF(AP206=0,"",AP206)</f>
        <v/>
      </c>
      <c r="R206" s="342">
        <f>IF(AQ206=301,"",AQ206)</f>
        <v>165</v>
      </c>
      <c r="S206" s="342" t="str">
        <f>IF(AR206=0,"",AR206)</f>
        <v/>
      </c>
      <c r="T206" s="342">
        <f>IF(AS206=301,"",AS206)</f>
        <v>168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156</v>
      </c>
      <c r="AD206" s="378"/>
      <c r="AE206" s="377">
        <f>ABS(INDEX(AE:AE,MATCH(AE202,$AA:$AA,0)+8)+INDEX(AE:AE,MATCH(AE202,$AA:$AA,0)+9)+INDEX(AE:AE,MATCH(AE202,$AA:$AA,0)+10))</f>
        <v>181</v>
      </c>
      <c r="AF206" s="378"/>
      <c r="AG206" s="377">
        <f>ABS(INDEX(AG:AG,MATCH(AG202,$AA:$AA,0)+8)+INDEX(AG:AG,MATCH(AG202,$AA:$AA,0)+9)+INDEX(AG:AG,MATCH(AG202,$AA:$AA,0)+10))</f>
        <v>175</v>
      </c>
      <c r="AH206" s="378"/>
      <c r="AI206" s="377">
        <f>ABS(INDEX(AI:AI,MATCH(AI202,$AA:$AA,0)+8)+INDEX(AI:AI,MATCH(AI202,$AA:$AA,0)+9)+INDEX(AI:AI,MATCH(AI202,$AA:$AA,0)+10))</f>
        <v>231</v>
      </c>
      <c r="AJ206" s="378"/>
      <c r="AK206" s="377">
        <f>ABS(INDEX(AK:AK,MATCH(AK202,$AA:$AA,0)+8)+INDEX(AK:AK,MATCH(AK202,$AA:$AA,0)+9)+INDEX(AK:AK,MATCH(AK202,$AA:$AA,0)+10))</f>
        <v>184</v>
      </c>
      <c r="AL206" s="378"/>
      <c r="AM206" s="377">
        <f>ABS(INDEX(AM:AM,MATCH(AM202,$AA:$AA,0)+8)+INDEX(AM:AM,MATCH(AM202,$AA:$AA,0)+9)+INDEX(AM:AM,MATCH(AM202,$AA:$AA,0)+10))</f>
        <v>254</v>
      </c>
      <c r="AN206" s="378"/>
      <c r="AO206" s="377">
        <f>ABS(INDEX(AO:AO,MATCH(AO202,$AA:$AA,0)+8)+INDEX(AO:AO,MATCH(AO202,$AA:$AA,0)+9)+INDEX(AO:AO,MATCH(AO202,$AA:$AA,0)+10))</f>
        <v>149</v>
      </c>
      <c r="AP206" s="378"/>
      <c r="AQ206" s="377">
        <f>ABS(INDEX(AQ:AQ,MATCH(AQ202,$AA:$AA,0)+8)+INDEX(AQ:AQ,MATCH(AQ202,$AA:$AA,0)+9)+INDEX(AQ:AQ,MATCH(AQ202,$AA:$AA,0)+10))</f>
        <v>165</v>
      </c>
      <c r="AR206" s="378"/>
      <c r="AS206" s="377">
        <f>ABS(INDEX(AS:AS,MATCH(AS202,$AA:$AA,0)+8)+INDEX(AS:AS,MATCH(AS202,$AA:$AA,0)+9)+INDEX(AS:AS,MATCH(AS202,$AA:$AA,0)+10))</f>
        <v>168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158</v>
      </c>
      <c r="G207" s="342" t="str">
        <f>IF(AF207=0,"",AF207)</f>
        <v/>
      </c>
      <c r="H207" s="342">
        <f>IF(AG207=301,"",AG207)</f>
        <v>201</v>
      </c>
      <c r="I207" s="342" t="str">
        <f>IF(AH207=0,"",AH207)</f>
        <v/>
      </c>
      <c r="J207" s="342">
        <f>IF(AI207=301,"",AI207)</f>
        <v>177</v>
      </c>
      <c r="K207" s="342" t="str">
        <f>IF(AJ207=0,"",AJ207)</f>
        <v/>
      </c>
      <c r="L207" s="342">
        <f>IF(AK207=301,"",AK207)</f>
        <v>124</v>
      </c>
      <c r="M207" s="342" t="str">
        <f>IF(AL207=0,"",AL207)</f>
        <v/>
      </c>
      <c r="N207" s="342">
        <f>IF(AM207=301,"",AM207)</f>
        <v>196</v>
      </c>
      <c r="O207" s="342" t="str">
        <f>IF(AN207=0,"",AN207)</f>
        <v/>
      </c>
      <c r="P207" s="342">
        <f>IF(AO207=301,"",AO207)</f>
        <v>177</v>
      </c>
      <c r="Q207" s="342" t="str">
        <f>IF(AP207=0,"",AP207)</f>
        <v/>
      </c>
      <c r="R207" s="342">
        <f>IF(AQ207=301,"",AQ207)</f>
        <v>221</v>
      </c>
      <c r="S207" s="342" t="str">
        <f>IF(AR207=0,"",AR207)</f>
        <v/>
      </c>
      <c r="T207" s="342">
        <f>IF(AS207=301,"",AS207)</f>
        <v>178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158</v>
      </c>
      <c r="AF207" s="378"/>
      <c r="AG207" s="377">
        <f>ABS(INDEX(AG:AG,MATCH(AG202,$AA:$AA,0)+11)+INDEX(AG:AG,MATCH(AG202,$AA:$AA,0)+12)+INDEX(AG:AG,MATCH(AG202,$AA:$AA,0)+13))</f>
        <v>201</v>
      </c>
      <c r="AH207" s="378"/>
      <c r="AI207" s="377">
        <f>ABS(INDEX(AI:AI,MATCH(AI202,$AA:$AA,0)+11)+INDEX(AI:AI,MATCH(AI202,$AA:$AA,0)+12)+INDEX(AI:AI,MATCH(AI202,$AA:$AA,0)+13))</f>
        <v>177</v>
      </c>
      <c r="AJ207" s="378"/>
      <c r="AK207" s="377">
        <f>ABS(INDEX(AK:AK,MATCH(AK202,$AA:$AA,0)+11)+INDEX(AK:AK,MATCH(AK202,$AA:$AA,0)+12)+INDEX(AK:AK,MATCH(AK202,$AA:$AA,0)+13))</f>
        <v>124</v>
      </c>
      <c r="AL207" s="378"/>
      <c r="AM207" s="377">
        <f>ABS(INDEX(AM:AM,MATCH(AM202,$AA:$AA,0)+11)+INDEX(AM:AM,MATCH(AM202,$AA:$AA,0)+12)+INDEX(AM:AM,MATCH(AM202,$AA:$AA,0)+13))</f>
        <v>196</v>
      </c>
      <c r="AN207" s="378"/>
      <c r="AO207" s="377">
        <f>ABS(INDEX(AO:AO,MATCH(AO202,$AA:$AA,0)+11)+INDEX(AO:AO,MATCH(AO202,$AA:$AA,0)+12)+INDEX(AO:AO,MATCH(AO202,$AA:$AA,0)+13))</f>
        <v>177</v>
      </c>
      <c r="AP207" s="378"/>
      <c r="AQ207" s="377">
        <f>ABS(INDEX(AQ:AQ,MATCH(AQ202,$AA:$AA,0)+11)+INDEX(AQ:AQ,MATCH(AQ202,$AA:$AA,0)+12)+INDEX(AQ:AQ,MATCH(AQ202,$AA:$AA,0)+13))</f>
        <v>221</v>
      </c>
      <c r="AR207" s="378"/>
      <c r="AS207" s="377">
        <f>ABS(INDEX(AS:AS,MATCH(AS202,$AA:$AA,0)+11)+INDEX(AS:AS,MATCH(AS202,$AA:$AA,0)+12)+INDEX(AS:AS,MATCH(AS202,$AA:$AA,0)+13))</f>
        <v>178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159</v>
      </c>
      <c r="E208" s="342" t="str">
        <f>IF(AD208=0,"",AD208)</f>
        <v/>
      </c>
      <c r="F208" s="342">
        <f>IF(AE208=301,"",AE208)</f>
        <v>221</v>
      </c>
      <c r="G208" s="342" t="str">
        <f>IF(AF208=0,"",AF208)</f>
        <v/>
      </c>
      <c r="H208" s="342">
        <f>IF(AG208=301,"",AG208)</f>
        <v>206</v>
      </c>
      <c r="I208" s="342" t="str">
        <f>IF(AH208=0,"",AH208)</f>
        <v/>
      </c>
      <c r="J208" s="342">
        <f>IF(AI208=301,"",AI208)</f>
        <v>178</v>
      </c>
      <c r="K208" s="342" t="str">
        <f>IF(AJ208=0,"",AJ208)</f>
        <v/>
      </c>
      <c r="L208" s="342">
        <f>IF(AK208=301,"",AK208)</f>
        <v>161</v>
      </c>
      <c r="M208" s="342" t="str">
        <f>IF(AL208=0,"",AL208)</f>
        <v/>
      </c>
      <c r="N208" s="342">
        <f>IF(AM208=301,"",AM208)</f>
        <v>219</v>
      </c>
      <c r="O208" s="342" t="str">
        <f>IF(AN208=0,"",AN208)</f>
        <v/>
      </c>
      <c r="P208" s="342">
        <f>IF(AO208=301,"",AO208)</f>
        <v>172</v>
      </c>
      <c r="Q208" s="342" t="str">
        <f>IF(AP208=0,"",AP208)</f>
        <v/>
      </c>
      <c r="R208" s="342">
        <f>IF(AQ208=301,"",AQ208)</f>
        <v>162</v>
      </c>
      <c r="S208" s="342" t="str">
        <f>IF(AR208=0,"",AR208)</f>
        <v/>
      </c>
      <c r="T208" s="342">
        <f>IF(AS208=301,"",AS208)</f>
        <v>202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159</v>
      </c>
      <c r="AD208" s="378"/>
      <c r="AE208" s="377">
        <f>ABS(INDEX(AE:AE,MATCH(AE202,$AA:$AA,0)+14)+INDEX(AE:AE,MATCH(AE202,$AA:$AA,0)+15)+INDEX(AE:AE,MATCH(AE202,$AA:$AA,0)+16))</f>
        <v>221</v>
      </c>
      <c r="AF208" s="378"/>
      <c r="AG208" s="377">
        <f>ABS(INDEX(AG:AG,MATCH(AG202,$AA:$AA,0)+14)+INDEX(AG:AG,MATCH(AG202,$AA:$AA,0)+15)+INDEX(AG:AG,MATCH(AG202,$AA:$AA,0)+16))</f>
        <v>206</v>
      </c>
      <c r="AH208" s="378"/>
      <c r="AI208" s="377">
        <f>ABS(INDEX(AI:AI,MATCH(AI202,$AA:$AA,0)+14)+INDEX(AI:AI,MATCH(AI202,$AA:$AA,0)+15)+INDEX(AI:AI,MATCH(AI202,$AA:$AA,0)+16))</f>
        <v>178</v>
      </c>
      <c r="AJ208" s="378"/>
      <c r="AK208" s="377">
        <f>ABS(INDEX(AK:AK,MATCH(AK202,$AA:$AA,0)+14)+INDEX(AK:AK,MATCH(AK202,$AA:$AA,0)+15)+INDEX(AK:AK,MATCH(AK202,$AA:$AA,0)+16))</f>
        <v>161</v>
      </c>
      <c r="AL208" s="378"/>
      <c r="AM208" s="377">
        <f>ABS(INDEX(AM:AM,MATCH(AM202,$AA:$AA,0)+14)+INDEX(AM:AM,MATCH(AM202,$AA:$AA,0)+15)+INDEX(AM:AM,MATCH(AM202,$AA:$AA,0)+16))</f>
        <v>219</v>
      </c>
      <c r="AN208" s="378"/>
      <c r="AO208" s="377">
        <f>ABS(INDEX(AO:AO,MATCH(AO202,$AA:$AA,0)+14)+INDEX(AO:AO,MATCH(AO202,$AA:$AA,0)+15)+INDEX(AO:AO,MATCH(AO202,$AA:$AA,0)+16))</f>
        <v>172</v>
      </c>
      <c r="AP208" s="378"/>
      <c r="AQ208" s="377">
        <f>ABS(INDEX(AQ:AQ,MATCH(AQ202,$AA:$AA,0)+14)+INDEX(AQ:AQ,MATCH(AQ202,$AA:$AA,0)+15)+INDEX(AQ:AQ,MATCH(AQ202,$AA:$AA,0)+16))</f>
        <v>162</v>
      </c>
      <c r="AR208" s="378"/>
      <c r="AS208" s="377">
        <f>ABS(INDEX(AS:AS,MATCH(AS202,$AA:$AA,0)+14)+INDEX(AS:AS,MATCH(AS202,$AA:$AA,0)+15)+INDEX(AS:AS,MATCH(AS202,$AA:$AA,0)+16))</f>
        <v>202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745</v>
      </c>
      <c r="E209" s="341" t="str">
        <f>IF(AD209=0,"",AD209)</f>
        <v/>
      </c>
      <c r="F209" s="341">
        <f>IF(AE209=1505,"",AE209)</f>
        <v>774</v>
      </c>
      <c r="G209" s="341" t="str">
        <f>IF(AF209=0,"",AF209)</f>
        <v/>
      </c>
      <c r="H209" s="341">
        <f>IF(AG209=1505,"",AG209)</f>
        <v>746</v>
      </c>
      <c r="I209" s="341" t="str">
        <f>IF(AH209=0,"",AH209)</f>
        <v/>
      </c>
      <c r="J209" s="341">
        <f>IF(AI209=1505,"",AI209)</f>
        <v>832</v>
      </c>
      <c r="K209" s="341" t="str">
        <f>IF(AJ209=0,"",AJ209)</f>
        <v/>
      </c>
      <c r="L209" s="341">
        <f>IF(AK209=1505,"",AK209)</f>
        <v>649</v>
      </c>
      <c r="M209" s="341" t="str">
        <f>IF(AL209=0,"",AL209)</f>
        <v/>
      </c>
      <c r="N209" s="341">
        <f>IF(AM209=1505,"",AM209)</f>
        <v>915</v>
      </c>
      <c r="O209" s="341" t="str">
        <f>IF(AN209=0,"",AN209)</f>
        <v/>
      </c>
      <c r="P209" s="341">
        <f>IF(AO209=1505,"",AO209)</f>
        <v>670</v>
      </c>
      <c r="Q209" s="341" t="str">
        <f>IF(AP209=0,"",AP209)</f>
        <v/>
      </c>
      <c r="R209" s="341">
        <f>IF(AQ209=1505,"",AQ209)</f>
        <v>728</v>
      </c>
      <c r="S209" s="341" t="str">
        <f>IF(AR209=0,"",AR209)</f>
        <v/>
      </c>
      <c r="T209" s="341">
        <f>IF(AS209=1505,"",AS209)</f>
        <v>719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745</v>
      </c>
      <c r="AD209" s="358"/>
      <c r="AE209" s="357">
        <f>SUM(AE205:AE208)</f>
        <v>774</v>
      </c>
      <c r="AF209" s="358"/>
      <c r="AG209" s="357">
        <f>SUM(AG205:AG208)</f>
        <v>746</v>
      </c>
      <c r="AH209" s="358"/>
      <c r="AI209" s="357">
        <f>SUM(AI205:AI208)</f>
        <v>832</v>
      </c>
      <c r="AJ209" s="358"/>
      <c r="AK209" s="357">
        <f>SUM(AK205:AK208)</f>
        <v>649</v>
      </c>
      <c r="AL209" s="358"/>
      <c r="AM209" s="357">
        <f>SUM(AM205:AM208)</f>
        <v>915</v>
      </c>
      <c r="AN209" s="358"/>
      <c r="AO209" s="357">
        <f>SUM(AO205:AO208)</f>
        <v>670</v>
      </c>
      <c r="AP209" s="358"/>
      <c r="AQ209" s="357">
        <f>SUM(AQ205:AQ208)</f>
        <v>728</v>
      </c>
      <c r="AR209" s="358"/>
      <c r="AS209" s="357">
        <f>SUM(AS205:AS208)</f>
        <v>719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15.02./16.02.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15.02./16.02.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Regensburg Super Bowl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51">
        <f>IF(AD217="","",AD217)</f>
        <v>1</v>
      </c>
      <c r="F217" s="75">
        <f t="shared" ref="F217:F230" si="239">IF(AE217=0,"",AE217)</f>
        <v>214</v>
      </c>
      <c r="G217" s="351">
        <f>IF(AF217="","",AF217)</f>
        <v>1</v>
      </c>
      <c r="H217" s="75">
        <f t="shared" ref="H217:H230" si="240">IF(AG217=0,"",AG217)</f>
        <v>205</v>
      </c>
      <c r="I217" s="351">
        <f>IF(AH217="","",AH217)</f>
        <v>1</v>
      </c>
      <c r="J217" s="75">
        <f t="shared" ref="J217:J230" si="241">IF(AI217=0,"",AI217)</f>
        <v>164</v>
      </c>
      <c r="K217" s="351">
        <f>IF(AJ217="","",AJ217)</f>
        <v>1</v>
      </c>
      <c r="L217" s="75">
        <f t="shared" ref="L217:L230" si="242">IF(AK217=0,"",AK217)</f>
        <v>194</v>
      </c>
      <c r="M217" s="351">
        <f>IF(AL217="","",AL217)</f>
        <v>1</v>
      </c>
      <c r="N217" s="75">
        <f>IF(AM217=0,"",AM217)</f>
        <v>153</v>
      </c>
      <c r="O217" s="351">
        <f>IF(AN217="","",AN217)</f>
        <v>1</v>
      </c>
      <c r="P217" s="75">
        <f t="shared" ref="P217:P230" si="243">IF(AO217=0,"",AO217)</f>
        <v>166</v>
      </c>
      <c r="Q217" s="351">
        <f>IF(AP217="","",AP217)</f>
        <v>0</v>
      </c>
      <c r="R217" s="75" t="str">
        <f t="shared" ref="R217:R230" si="244">IF(AQ217=0,"",AQ217)</f>
        <v/>
      </c>
      <c r="S217" s="351">
        <f>IF(AR217="","",AR217)</f>
        <v>0</v>
      </c>
      <c r="T217" s="75" t="str">
        <f t="shared" ref="T217:T230" si="245">IF(AS217=0,"",AS217)</f>
        <v/>
      </c>
      <c r="U217" s="351">
        <f>IF(AT217="","",AT217)</f>
        <v>0</v>
      </c>
      <c r="V217" s="75">
        <f t="shared" ref="V217:V230" si="246">IF(AU217=0,"",AU217)</f>
        <v>1322</v>
      </c>
      <c r="W217" s="351">
        <f>IF(AV217="","",AV217)</f>
        <v>6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 t="str">
        <f t="shared" si="243"/>
        <v/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 t="str">
        <f t="shared" si="246"/>
        <v/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289">
        <v>0</v>
      </c>
      <c r="AR218" s="112"/>
      <c r="AS218" s="289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181</v>
      </c>
      <c r="G220" s="351">
        <f>IF(AF220="","",AF220)</f>
        <v>1</v>
      </c>
      <c r="H220" s="75" t="str">
        <f t="shared" si="240"/>
        <v/>
      </c>
      <c r="I220" s="351">
        <f>IF(AH220="","",AH220)</f>
        <v>0</v>
      </c>
      <c r="J220" s="75" t="str">
        <f t="shared" si="241"/>
        <v/>
      </c>
      <c r="K220" s="351">
        <f>IF(AJ220="","",AJ220)</f>
        <v>0</v>
      </c>
      <c r="L220" s="75">
        <f t="shared" si="242"/>
        <v>200</v>
      </c>
      <c r="M220" s="351">
        <f>IF(AL220="","",AL220)</f>
        <v>1</v>
      </c>
      <c r="N220" s="75">
        <f t="shared" si="259"/>
        <v>155</v>
      </c>
      <c r="O220" s="351">
        <f>IF(AN220="","",AN220)</f>
        <v>0</v>
      </c>
      <c r="P220" s="75">
        <f t="shared" si="243"/>
        <v>144</v>
      </c>
      <c r="Q220" s="351">
        <f>IF(AP220="","",AP220)</f>
        <v>0</v>
      </c>
      <c r="R220" s="75" t="str">
        <f t="shared" si="244"/>
        <v/>
      </c>
      <c r="S220" s="351">
        <f>IF(AR220="","",AR220)</f>
        <v>0</v>
      </c>
      <c r="T220" s="75" t="str">
        <f t="shared" si="245"/>
        <v/>
      </c>
      <c r="U220" s="351">
        <f>IF(AT220="","",AT220)</f>
        <v>1</v>
      </c>
      <c r="V220" s="75">
        <f t="shared" si="246"/>
        <v>874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52"/>
      <c r="F221" s="78" t="str">
        <f t="shared" si="239"/>
        <v/>
      </c>
      <c r="G221" s="352"/>
      <c r="H221" s="78">
        <f t="shared" si="240"/>
        <v>134</v>
      </c>
      <c r="I221" s="352"/>
      <c r="J221" s="78">
        <f t="shared" si="241"/>
        <v>169</v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>
        <f t="shared" si="244"/>
        <v>175</v>
      </c>
      <c r="S221" s="352"/>
      <c r="T221" s="78">
        <f t="shared" si="245"/>
        <v>226</v>
      </c>
      <c r="U221" s="352"/>
      <c r="V221" s="78">
        <f t="shared" si="246"/>
        <v>704</v>
      </c>
      <c r="W221" s="352"/>
      <c r="Z221" s="355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290">
        <v>175</v>
      </c>
      <c r="AR221" s="112"/>
      <c r="AS221" s="2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51">
        <f>IF(AD223="","",AD223)</f>
        <v>0</v>
      </c>
      <c r="F223" s="75">
        <f t="shared" si="239"/>
        <v>158</v>
      </c>
      <c r="G223" s="351">
        <f>IF(AF223="","",AF223)</f>
        <v>0</v>
      </c>
      <c r="H223" s="75" t="str">
        <f t="shared" si="240"/>
        <v/>
      </c>
      <c r="I223" s="351">
        <f>IF(AH223="","",AH223)</f>
        <v>1</v>
      </c>
      <c r="J223" s="75" t="str">
        <f t="shared" si="241"/>
        <v/>
      </c>
      <c r="K223" s="351">
        <f>IF(AJ223="","",AJ223)</f>
        <v>0</v>
      </c>
      <c r="L223" s="75">
        <f t="shared" si="242"/>
        <v>213</v>
      </c>
      <c r="M223" s="351">
        <f>IF(AL223="","",AL223)</f>
        <v>0</v>
      </c>
      <c r="N223" s="75">
        <f t="shared" si="259"/>
        <v>245</v>
      </c>
      <c r="O223" s="351">
        <f>IF(AN223="","",AN223)</f>
        <v>1</v>
      </c>
      <c r="P223" s="75">
        <f t="shared" si="243"/>
        <v>172</v>
      </c>
      <c r="Q223" s="351">
        <f>IF(AP223="","",AP223)</f>
        <v>0</v>
      </c>
      <c r="R223" s="75">
        <f t="shared" si="244"/>
        <v>254</v>
      </c>
      <c r="S223" s="351">
        <f>IF(AR223="","",AR223)</f>
        <v>1</v>
      </c>
      <c r="T223" s="75">
        <f t="shared" si="245"/>
        <v>188</v>
      </c>
      <c r="U223" s="351">
        <f>IF(AT223="","",AT223)</f>
        <v>1</v>
      </c>
      <c r="V223" s="75">
        <f t="shared" si="246"/>
        <v>1414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52"/>
      <c r="F224" s="78" t="str">
        <f t="shared" si="239"/>
        <v/>
      </c>
      <c r="G224" s="352"/>
      <c r="H224" s="78">
        <f t="shared" si="240"/>
        <v>161</v>
      </c>
      <c r="I224" s="352"/>
      <c r="J224" s="78">
        <f t="shared" si="241"/>
        <v>148</v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>
        <f t="shared" si="246"/>
        <v>309</v>
      </c>
      <c r="W224" s="352"/>
      <c r="Z224" s="355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51">
        <f>IF(AD226="","",AD226)</f>
        <v>0</v>
      </c>
      <c r="F226" s="75">
        <f t="shared" si="239"/>
        <v>221</v>
      </c>
      <c r="G226" s="351">
        <f>IF(AF226="","",AF226)</f>
        <v>0</v>
      </c>
      <c r="H226" s="75">
        <f t="shared" si="240"/>
        <v>169</v>
      </c>
      <c r="I226" s="351">
        <f>IF(AH226="","",AH226)</f>
        <v>0</v>
      </c>
      <c r="J226" s="75">
        <f t="shared" si="241"/>
        <v>181</v>
      </c>
      <c r="K226" s="351">
        <f>IF(AJ226="","",AJ226)</f>
        <v>1</v>
      </c>
      <c r="L226" s="75">
        <f t="shared" si="242"/>
        <v>243</v>
      </c>
      <c r="M226" s="351">
        <f>IF(AL226="","",AL226)</f>
        <v>1</v>
      </c>
      <c r="N226" s="75">
        <f t="shared" si="259"/>
        <v>182</v>
      </c>
      <c r="O226" s="351">
        <f>IF(AN226="","",AN226)</f>
        <v>0</v>
      </c>
      <c r="P226" s="75">
        <f t="shared" si="243"/>
        <v>164</v>
      </c>
      <c r="Q226" s="351">
        <f>IF(AP226="","",AP226)</f>
        <v>0</v>
      </c>
      <c r="R226" s="75">
        <f t="shared" si="244"/>
        <v>266</v>
      </c>
      <c r="S226" s="351">
        <f>IF(AR226="","",AR226)</f>
        <v>1</v>
      </c>
      <c r="T226" s="75">
        <f t="shared" si="245"/>
        <v>152</v>
      </c>
      <c r="U226" s="351">
        <f>IF(AT226="","",AT226)</f>
        <v>0</v>
      </c>
      <c r="V226" s="75">
        <f t="shared" si="246"/>
        <v>1794</v>
      </c>
      <c r="W226" s="351">
        <f>IF(AV226="","",AV226)</f>
        <v>3</v>
      </c>
      <c r="Z226" s="354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 t="str">
        <f t="shared" si="242"/>
        <v/>
      </c>
      <c r="M227" s="352"/>
      <c r="N227" s="78" t="str">
        <f t="shared" si="259"/>
        <v/>
      </c>
      <c r="O227" s="352"/>
      <c r="P227" s="78" t="str">
        <f t="shared" si="243"/>
        <v/>
      </c>
      <c r="Q227" s="352"/>
      <c r="R227" s="78" t="str">
        <f t="shared" si="244"/>
        <v/>
      </c>
      <c r="S227" s="352"/>
      <c r="T227" s="78" t="str">
        <f t="shared" si="245"/>
        <v/>
      </c>
      <c r="U227" s="352"/>
      <c r="V227" s="78" t="str">
        <f t="shared" si="246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3</v>
      </c>
      <c r="E232" s="349" t="str">
        <f t="shared" si="270"/>
        <v/>
      </c>
      <c r="F232" s="349">
        <f t="shared" si="270"/>
        <v>7</v>
      </c>
      <c r="G232" s="349" t="str">
        <f t="shared" si="270"/>
        <v/>
      </c>
      <c r="H232" s="349">
        <f t="shared" si="270"/>
        <v>6</v>
      </c>
      <c r="I232" s="349" t="str">
        <f t="shared" si="270"/>
        <v/>
      </c>
      <c r="J232" s="349">
        <f t="shared" si="270"/>
        <v>5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10</v>
      </c>
      <c r="O232" s="349" t="str">
        <f t="shared" si="271"/>
        <v/>
      </c>
      <c r="P232" s="349">
        <f t="shared" si="271"/>
        <v>1</v>
      </c>
      <c r="Q232" s="349" t="str">
        <f t="shared" si="271"/>
        <v/>
      </c>
      <c r="R232" s="349">
        <f t="shared" si="271"/>
        <v>9</v>
      </c>
      <c r="S232" s="349" t="str">
        <f t="shared" si="271"/>
        <v/>
      </c>
      <c r="T232" s="349">
        <f t="shared" si="271"/>
        <v>2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VLOOKUP($AA212,Schlüssel!$A$5:$DG$14,63)</f>
        <v>3</v>
      </c>
      <c r="AD232" s="374"/>
      <c r="AE232" s="373">
        <f>VLOOKUP($AA212,Schlüssel!$A$5:$EK$14,64)</f>
        <v>7</v>
      </c>
      <c r="AF232" s="374"/>
      <c r="AG232" s="373">
        <f>VLOOKUP($AA212,Schlüssel!$A$5:$EK$14,65)</f>
        <v>6</v>
      </c>
      <c r="AH232" s="374"/>
      <c r="AI232" s="373">
        <f>VLOOKUP($AA212,Schlüssel!$A$5:$EK$14,66)</f>
        <v>5</v>
      </c>
      <c r="AJ232" s="374"/>
      <c r="AK232" s="373">
        <f>VLOOKUP($AA212,Schlüssel!$A$5:$EK$14,67)</f>
        <v>4</v>
      </c>
      <c r="AL232" s="374"/>
      <c r="AM232" s="373">
        <f>VLOOKUP($AA212,Schlüssel!$A$5:$EK$14,68)</f>
        <v>10</v>
      </c>
      <c r="AN232" s="374"/>
      <c r="AO232" s="373">
        <f>VLOOKUP($AA212,Schlüssel!$A$5:$EK$14,69)</f>
        <v>1</v>
      </c>
      <c r="AP232" s="374"/>
      <c r="AQ232" s="373">
        <f>VLOOKUP($AA212,Schlüssel!$A$5:$EK$14,70)</f>
        <v>9</v>
      </c>
      <c r="AR232" s="374"/>
      <c r="AS232" s="373">
        <f>VLOOKUP($AA212,Schlüssel!$A$5:$EK$14,71)</f>
        <v>2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BK München 3</v>
      </c>
      <c r="E233" s="347" t="str">
        <f t="shared" si="270"/>
        <v/>
      </c>
      <c r="F233" s="346" t="str">
        <f t="shared" si="270"/>
        <v>Schanzer Ingolstadt 1</v>
      </c>
      <c r="G233" s="347" t="str">
        <f t="shared" si="270"/>
        <v/>
      </c>
      <c r="H233" s="346" t="str">
        <f t="shared" si="270"/>
        <v>SG Rottendorf 1</v>
      </c>
      <c r="I233" s="347" t="str">
        <f t="shared" si="270"/>
        <v/>
      </c>
      <c r="J233" s="346" t="str">
        <f t="shared" si="270"/>
        <v>RW Lichtenhof Stein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High Roller Rosenheim 1</v>
      </c>
      <c r="O233" s="347" t="str">
        <f t="shared" si="271"/>
        <v/>
      </c>
      <c r="P233" s="346" t="str">
        <f t="shared" si="271"/>
        <v>BC Comet Nürnberg</v>
      </c>
      <c r="Q233" s="347" t="str">
        <f t="shared" si="271"/>
        <v/>
      </c>
      <c r="R233" s="346" t="str">
        <f t="shared" si="271"/>
        <v>Bowlinghaus Bamberg 1</v>
      </c>
      <c r="S233" s="347" t="str">
        <f t="shared" si="271"/>
        <v/>
      </c>
      <c r="T233" s="346" t="str">
        <f t="shared" si="271"/>
        <v>Bajuwaren München 1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BK München 3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SG Rottendorf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High Roller Rosenheim 1</v>
      </c>
      <c r="AN233" s="347"/>
      <c r="AO233" s="346" t="str">
        <f>VLOOKUP(AO232,Schlüssel!$A$5:$K$14,2)</f>
        <v>BC Comet Nürnberg</v>
      </c>
      <c r="AP233" s="347"/>
      <c r="AQ233" s="346" t="str">
        <f>VLOOKUP(AQ232,Schlüssel!$A$5:$K$14,2)</f>
        <v>Bowlinghaus Bamberg 1</v>
      </c>
      <c r="AR233" s="347"/>
      <c r="AS233" s="346" t="str">
        <f>VLOOKUP(AS232,Schlüssel!$A$5:$K$14,2)</f>
        <v>Bajuwaren München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190</v>
      </c>
      <c r="E235" s="342" t="str">
        <f>IF(AD235=0,"",AD235)</f>
        <v/>
      </c>
      <c r="F235" s="342">
        <f>IF(AE235=301,"",AE235)</f>
        <v>161</v>
      </c>
      <c r="G235" s="342" t="str">
        <f>IF(AF235=0,"",AF235)</f>
        <v/>
      </c>
      <c r="H235" s="342">
        <f>IF(AG235=301,"",AG235)</f>
        <v>158</v>
      </c>
      <c r="I235" s="342" t="str">
        <f>IF(AH235=0,"",AH235)</f>
        <v/>
      </c>
      <c r="J235" s="342">
        <f>IF(AI235=301,"",AI235)</f>
        <v>141</v>
      </c>
      <c r="K235" s="342" t="str">
        <f>IF(AJ235=0,"",AJ235)</f>
        <v/>
      </c>
      <c r="L235" s="342">
        <f>IF(AK235=301,"",AK235)</f>
        <v>192</v>
      </c>
      <c r="M235" s="342" t="str">
        <f>IF(AL235=0,"",AL235)</f>
        <v/>
      </c>
      <c r="N235" s="342">
        <f>IF(AM235=301,"",AM235)</f>
        <v>130</v>
      </c>
      <c r="O235" s="342" t="str">
        <f>IF(AN235=0,"",AN235)</f>
        <v/>
      </c>
      <c r="P235" s="342">
        <f>IF(AO235=301,"",AO235)</f>
        <v>172</v>
      </c>
      <c r="Q235" s="342" t="str">
        <f>IF(AP235=0,"",AP235)</f>
        <v/>
      </c>
      <c r="R235" s="342">
        <f>IF(AQ235=301,"",AQ235)</f>
        <v>182</v>
      </c>
      <c r="S235" s="342" t="str">
        <f>IF(AR235=0,"",AR235)</f>
        <v/>
      </c>
      <c r="T235" s="342">
        <f>IF(AS235=301,"",AS235)</f>
        <v>143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190</v>
      </c>
      <c r="AD235" s="376"/>
      <c r="AE235" s="375">
        <f>ABS(INDEX(AE:AE,MATCH(AE232,$AA:$AA,0)+5)+INDEX(AE:AE,MATCH(AE232,$AA:$AA,0)+6)+INDEX(AE:AE,MATCH(AE232,$AA:$AA,0)+7))</f>
        <v>161</v>
      </c>
      <c r="AF235" s="376"/>
      <c r="AG235" s="375">
        <f>ABS(INDEX(AG:AG,MATCH(AG232,$AA:$AA,0)+5)+INDEX(AG:AG,MATCH(AG232,$AA:$AA,0)+6)+INDEX(AG:AG,MATCH(AG232,$AA:$AA,0)+7))</f>
        <v>158</v>
      </c>
      <c r="AH235" s="376"/>
      <c r="AI235" s="375">
        <f>ABS(INDEX(AI:AI,MATCH(AI232,$AA:$AA,0)+5)+INDEX(AI:AI,MATCH(AI232,$AA:$AA,0)+6)+INDEX(AI:AI,MATCH(AI232,$AA:$AA,0)+7))</f>
        <v>141</v>
      </c>
      <c r="AJ235" s="376"/>
      <c r="AK235" s="375">
        <f>ABS(INDEX(AK:AK,MATCH(AK232,$AA:$AA,0)+5)+INDEX(AK:AK,MATCH(AK232,$AA:$AA,0)+6)+INDEX(AK:AK,MATCH(AK232,$AA:$AA,0)+7))</f>
        <v>192</v>
      </c>
      <c r="AL235" s="376"/>
      <c r="AM235" s="375">
        <f>ABS(INDEX(AM:AM,MATCH(AM232,$AA:$AA,0)+5)+INDEX(AM:AM,MATCH(AM232,$AA:$AA,0)+6)+INDEX(AM:AM,MATCH(AM232,$AA:$AA,0)+7))</f>
        <v>130</v>
      </c>
      <c r="AN235" s="376"/>
      <c r="AO235" s="375">
        <f>ABS(INDEX(AO:AO,MATCH(AO232,$AA:$AA,0)+5)+INDEX(AO:AO,MATCH(AO232,$AA:$AA,0)+6)+INDEX(AO:AO,MATCH(AO232,$AA:$AA,0)+7))</f>
        <v>172</v>
      </c>
      <c r="AP235" s="376"/>
      <c r="AQ235" s="375">
        <f>ABS(INDEX(AQ:AQ,MATCH(AQ232,$AA:$AA,0)+5)+INDEX(AQ:AQ,MATCH(AQ232,$AA:$AA,0)+6)+INDEX(AQ:AQ,MATCH(AQ232,$AA:$AA,0)+7))</f>
        <v>182</v>
      </c>
      <c r="AR235" s="376"/>
      <c r="AS235" s="375">
        <f>ABS(INDEX(AS:AS,MATCH(AS232,$AA:$AA,0)+5)+INDEX(AS:AS,MATCH(AS232,$AA:$AA,0)+6)+INDEX(AS:AS,MATCH(AS232,$AA:$AA,0)+7))</f>
        <v>143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153</v>
      </c>
      <c r="E236" s="342" t="str">
        <f>IF(AD236=0,"",AD236)</f>
        <v/>
      </c>
      <c r="F236" s="342">
        <f>IF(AE236=301,"",AE236)</f>
        <v>150</v>
      </c>
      <c r="G236" s="342" t="str">
        <f>IF(AF236=0,"",AF236)</f>
        <v/>
      </c>
      <c r="H236" s="342">
        <f>IF(AG236=301,"",AG236)</f>
        <v>158</v>
      </c>
      <c r="I236" s="342" t="str">
        <f>IF(AH236=0,"",AH236)</f>
        <v/>
      </c>
      <c r="J236" s="342">
        <f>IF(AI236=301,"",AI236)</f>
        <v>191</v>
      </c>
      <c r="K236" s="342" t="str">
        <f>IF(AJ236=0,"",AJ236)</f>
        <v/>
      </c>
      <c r="L236" s="342">
        <f>IF(AK236=301,"",AK236)</f>
        <v>191</v>
      </c>
      <c r="M236" s="342" t="str">
        <f>IF(AL236=0,"",AL236)</f>
        <v/>
      </c>
      <c r="N236" s="342">
        <f>IF(AM236=301,"",AM236)</f>
        <v>247</v>
      </c>
      <c r="O236" s="342" t="str">
        <f>IF(AN236=0,"",AN236)</f>
        <v/>
      </c>
      <c r="P236" s="342">
        <f>IF(AO236=301,"",AO236)</f>
        <v>204</v>
      </c>
      <c r="Q236" s="342" t="str">
        <f>IF(AP236=0,"",AP236)</f>
        <v/>
      </c>
      <c r="R236" s="342">
        <f>IF(AQ236=301,"",AQ236)</f>
        <v>197</v>
      </c>
      <c r="S236" s="342" t="str">
        <f>IF(AR236=0,"",AR236)</f>
        <v/>
      </c>
      <c r="T236" s="342">
        <f>IF(AS236=301,"",AS236)</f>
        <v>148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153</v>
      </c>
      <c r="AD236" s="378"/>
      <c r="AE236" s="377">
        <f>ABS(INDEX(AE:AE,MATCH(AE232,$AA:$AA,0)+8)+INDEX(AE:AE,MATCH(AE232,$AA:$AA,0)+9)+INDEX(AE:AE,MATCH(AE232,$AA:$AA,0)+10))</f>
        <v>150</v>
      </c>
      <c r="AF236" s="378"/>
      <c r="AG236" s="377">
        <f>ABS(INDEX(AG:AG,MATCH(AG232,$AA:$AA,0)+8)+INDEX(AG:AG,MATCH(AG232,$AA:$AA,0)+9)+INDEX(AG:AG,MATCH(AG232,$AA:$AA,0)+10))</f>
        <v>158</v>
      </c>
      <c r="AH236" s="378"/>
      <c r="AI236" s="377">
        <f>ABS(INDEX(AI:AI,MATCH(AI232,$AA:$AA,0)+8)+INDEX(AI:AI,MATCH(AI232,$AA:$AA,0)+9)+INDEX(AI:AI,MATCH(AI232,$AA:$AA,0)+10))</f>
        <v>191</v>
      </c>
      <c r="AJ236" s="378"/>
      <c r="AK236" s="377">
        <f>ABS(INDEX(AK:AK,MATCH(AK232,$AA:$AA,0)+8)+INDEX(AK:AK,MATCH(AK232,$AA:$AA,0)+9)+INDEX(AK:AK,MATCH(AK232,$AA:$AA,0)+10))</f>
        <v>191</v>
      </c>
      <c r="AL236" s="378"/>
      <c r="AM236" s="377">
        <f>ABS(INDEX(AM:AM,MATCH(AM232,$AA:$AA,0)+8)+INDEX(AM:AM,MATCH(AM232,$AA:$AA,0)+9)+INDEX(AM:AM,MATCH(AM232,$AA:$AA,0)+10))</f>
        <v>247</v>
      </c>
      <c r="AN236" s="378"/>
      <c r="AO236" s="377">
        <f>ABS(INDEX(AO:AO,MATCH(AO232,$AA:$AA,0)+8)+INDEX(AO:AO,MATCH(AO232,$AA:$AA,0)+9)+INDEX(AO:AO,MATCH(AO232,$AA:$AA,0)+10))</f>
        <v>204</v>
      </c>
      <c r="AP236" s="378"/>
      <c r="AQ236" s="377">
        <f>ABS(INDEX(AQ:AQ,MATCH(AQ232,$AA:$AA,0)+8)+INDEX(AQ:AQ,MATCH(AQ232,$AA:$AA,0)+9)+INDEX(AQ:AQ,MATCH(AQ232,$AA:$AA,0)+10))</f>
        <v>197</v>
      </c>
      <c r="AR236" s="378"/>
      <c r="AS236" s="377">
        <f>ABS(INDEX(AS:AS,MATCH(AS232,$AA:$AA,0)+8)+INDEX(AS:AS,MATCH(AS232,$AA:$AA,0)+9)+INDEX(AS:AS,MATCH(AS232,$AA:$AA,0)+10))</f>
        <v>148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209</v>
      </c>
      <c r="E237" s="342" t="str">
        <f>IF(AD237=0,"",AD237)</f>
        <v/>
      </c>
      <c r="F237" s="342">
        <f>IF(AE237=301,"",AE237)</f>
        <v>202</v>
      </c>
      <c r="G237" s="342" t="str">
        <f>IF(AF237=0,"",AF237)</f>
        <v/>
      </c>
      <c r="H237" s="342">
        <f>IF(AG237=301,"",AG237)</f>
        <v>152</v>
      </c>
      <c r="I237" s="342" t="str">
        <f>IF(AH237=0,"",AH237)</f>
        <v/>
      </c>
      <c r="J237" s="342">
        <f>IF(AI237=301,"",AI237)</f>
        <v>201</v>
      </c>
      <c r="K237" s="342" t="str">
        <f>IF(AJ237=0,"",AJ237)</f>
        <v/>
      </c>
      <c r="L237" s="342">
        <f>IF(AK237=301,"",AK237)</f>
        <v>222</v>
      </c>
      <c r="M237" s="342" t="str">
        <f>IF(AL237=0,"",AL237)</f>
        <v/>
      </c>
      <c r="N237" s="342">
        <f>IF(AM237=301,"",AM237)</f>
        <v>132</v>
      </c>
      <c r="O237" s="342" t="str">
        <f>IF(AN237=0,"",AN237)</f>
        <v/>
      </c>
      <c r="P237" s="342">
        <f>IF(AO237=301,"",AO237)</f>
        <v>199</v>
      </c>
      <c r="Q237" s="342" t="str">
        <f>IF(AP237=0,"",AP237)</f>
        <v/>
      </c>
      <c r="R237" s="342">
        <f>IF(AQ237=301,"",AQ237)</f>
        <v>153</v>
      </c>
      <c r="S237" s="342" t="str">
        <f>IF(AR237=0,"",AR237)</f>
        <v/>
      </c>
      <c r="T237" s="342">
        <f>IF(AS237=301,"",AS237)</f>
        <v>166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209</v>
      </c>
      <c r="AD237" s="378"/>
      <c r="AE237" s="377">
        <f>ABS(INDEX(AE:AE,MATCH(AE232,$AA:$AA,0)+11)+INDEX(AE:AE,MATCH(AE232,$AA:$AA,0)+12)+INDEX(AE:AE,MATCH(AE232,$AA:$AA,0)+13))</f>
        <v>202</v>
      </c>
      <c r="AF237" s="378"/>
      <c r="AG237" s="377">
        <f>ABS(INDEX(AG:AG,MATCH(AG232,$AA:$AA,0)+11)+INDEX(AG:AG,MATCH(AG232,$AA:$AA,0)+12)+INDEX(AG:AG,MATCH(AG232,$AA:$AA,0)+13))</f>
        <v>152</v>
      </c>
      <c r="AH237" s="378"/>
      <c r="AI237" s="377">
        <f>ABS(INDEX(AI:AI,MATCH(AI232,$AA:$AA,0)+11)+INDEX(AI:AI,MATCH(AI232,$AA:$AA,0)+12)+INDEX(AI:AI,MATCH(AI232,$AA:$AA,0)+13))</f>
        <v>201</v>
      </c>
      <c r="AJ237" s="378"/>
      <c r="AK237" s="377">
        <f>ABS(INDEX(AK:AK,MATCH(AK232,$AA:$AA,0)+11)+INDEX(AK:AK,MATCH(AK232,$AA:$AA,0)+12)+INDEX(AK:AK,MATCH(AK232,$AA:$AA,0)+13))</f>
        <v>222</v>
      </c>
      <c r="AL237" s="378"/>
      <c r="AM237" s="377">
        <f>ABS(INDEX(AM:AM,MATCH(AM232,$AA:$AA,0)+11)+INDEX(AM:AM,MATCH(AM232,$AA:$AA,0)+12)+INDEX(AM:AM,MATCH(AM232,$AA:$AA,0)+13))</f>
        <v>132</v>
      </c>
      <c r="AN237" s="378"/>
      <c r="AO237" s="377">
        <f>ABS(INDEX(AO:AO,MATCH(AO232,$AA:$AA,0)+11)+INDEX(AO:AO,MATCH(AO232,$AA:$AA,0)+12)+INDEX(AO:AO,MATCH(AO232,$AA:$AA,0)+13))</f>
        <v>199</v>
      </c>
      <c r="AP237" s="378"/>
      <c r="AQ237" s="377">
        <f>ABS(INDEX(AQ:AQ,MATCH(AQ232,$AA:$AA,0)+11)+INDEX(AQ:AQ,MATCH(AQ232,$AA:$AA,0)+12)+INDEX(AQ:AQ,MATCH(AQ232,$AA:$AA,0)+13))</f>
        <v>153</v>
      </c>
      <c r="AR237" s="378"/>
      <c r="AS237" s="377">
        <f>ABS(INDEX(AS:AS,MATCH(AS232,$AA:$AA,0)+11)+INDEX(AS:AS,MATCH(AS232,$AA:$AA,0)+12)+INDEX(AS:AS,MATCH(AS232,$AA:$AA,0)+13))</f>
        <v>166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246</v>
      </c>
      <c r="E238" s="342" t="str">
        <f>IF(AD238=0,"",AD238)</f>
        <v/>
      </c>
      <c r="F238" s="342">
        <f>IF(AE238=301,"",AE238)</f>
        <v>234</v>
      </c>
      <c r="G238" s="342" t="str">
        <f>IF(AF238=0,"",AF238)</f>
        <v/>
      </c>
      <c r="H238" s="342">
        <f>IF(AG238=301,"",AG238)</f>
        <v>190</v>
      </c>
      <c r="I238" s="342" t="str">
        <f>IF(AH238=0,"",AH238)</f>
        <v/>
      </c>
      <c r="J238" s="342">
        <f>IF(AI238=301,"",AI238)</f>
        <v>174</v>
      </c>
      <c r="K238" s="342" t="str">
        <f>IF(AJ238=0,"",AJ238)</f>
        <v/>
      </c>
      <c r="L238" s="342">
        <f>IF(AK238=301,"",AK238)</f>
        <v>186</v>
      </c>
      <c r="M238" s="342" t="str">
        <f>IF(AL238=0,"",AL238)</f>
        <v/>
      </c>
      <c r="N238" s="342">
        <f>IF(AM238=301,"",AM238)</f>
        <v>187</v>
      </c>
      <c r="O238" s="342" t="str">
        <f>IF(AN238=0,"",AN238)</f>
        <v/>
      </c>
      <c r="P238" s="342">
        <f>IF(AO238=301,"",AO238)</f>
        <v>193</v>
      </c>
      <c r="Q238" s="342" t="str">
        <f>IF(AP238=0,"",AP238)</f>
        <v/>
      </c>
      <c r="R238" s="342">
        <f>IF(AQ238=301,"",AQ238)</f>
        <v>201</v>
      </c>
      <c r="S238" s="342" t="str">
        <f>IF(AR238=0,"",AR238)</f>
        <v/>
      </c>
      <c r="T238" s="342">
        <f>IF(AS238=301,"",AS238)</f>
        <v>176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246</v>
      </c>
      <c r="AD238" s="378"/>
      <c r="AE238" s="377">
        <f>ABS(INDEX(AE:AE,MATCH(AE232,$AA:$AA,0)+14)+INDEX(AE:AE,MATCH(AE232,$AA:$AA,0)+15)+INDEX(AE:AE,MATCH(AE232,$AA:$AA,0)+16))</f>
        <v>234</v>
      </c>
      <c r="AF238" s="378"/>
      <c r="AG238" s="377">
        <f>ABS(INDEX(AG:AG,MATCH(AG232,$AA:$AA,0)+14)+INDEX(AG:AG,MATCH(AG232,$AA:$AA,0)+15)+INDEX(AG:AG,MATCH(AG232,$AA:$AA,0)+16))</f>
        <v>190</v>
      </c>
      <c r="AH238" s="378"/>
      <c r="AI238" s="377">
        <f>ABS(INDEX(AI:AI,MATCH(AI232,$AA:$AA,0)+14)+INDEX(AI:AI,MATCH(AI232,$AA:$AA,0)+15)+INDEX(AI:AI,MATCH(AI232,$AA:$AA,0)+16))</f>
        <v>174</v>
      </c>
      <c r="AJ238" s="378"/>
      <c r="AK238" s="377">
        <f>ABS(INDEX(AK:AK,MATCH(AK232,$AA:$AA,0)+14)+INDEX(AK:AK,MATCH(AK232,$AA:$AA,0)+15)+INDEX(AK:AK,MATCH(AK232,$AA:$AA,0)+16))</f>
        <v>186</v>
      </c>
      <c r="AL238" s="378"/>
      <c r="AM238" s="377">
        <f>ABS(INDEX(AM:AM,MATCH(AM232,$AA:$AA,0)+14)+INDEX(AM:AM,MATCH(AM232,$AA:$AA,0)+15)+INDEX(AM:AM,MATCH(AM232,$AA:$AA,0)+16))</f>
        <v>187</v>
      </c>
      <c r="AN238" s="378"/>
      <c r="AO238" s="377">
        <f>ABS(INDEX(AO:AO,MATCH(AO232,$AA:$AA,0)+14)+INDEX(AO:AO,MATCH(AO232,$AA:$AA,0)+15)+INDEX(AO:AO,MATCH(AO232,$AA:$AA,0)+16))</f>
        <v>193</v>
      </c>
      <c r="AP238" s="378"/>
      <c r="AQ238" s="377">
        <f>ABS(INDEX(AQ:AQ,MATCH(AQ232,$AA:$AA,0)+14)+INDEX(AQ:AQ,MATCH(AQ232,$AA:$AA,0)+15)+INDEX(AQ:AQ,MATCH(AQ232,$AA:$AA,0)+16))</f>
        <v>201</v>
      </c>
      <c r="AR238" s="378"/>
      <c r="AS238" s="377">
        <f>ABS(INDEX(AS:AS,MATCH(AS232,$AA:$AA,0)+14)+INDEX(AS:AS,MATCH(AS232,$AA:$AA,0)+15)+INDEX(AS:AS,MATCH(AS232,$AA:$AA,0)+16))</f>
        <v>176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798</v>
      </c>
      <c r="E239" s="341" t="str">
        <f>IF(AD239=0,"",AD239)</f>
        <v/>
      </c>
      <c r="F239" s="341">
        <f>IF(AE239=1505,"",AE239)</f>
        <v>747</v>
      </c>
      <c r="G239" s="341" t="str">
        <f>IF(AF239=0,"",AF239)</f>
        <v/>
      </c>
      <c r="H239" s="341">
        <f>IF(AG239=1505,"",AG239)</f>
        <v>658</v>
      </c>
      <c r="I239" s="341" t="str">
        <f>IF(AH239=0,"",AH239)</f>
        <v/>
      </c>
      <c r="J239" s="341">
        <f>IF(AI239=1505,"",AI239)</f>
        <v>707</v>
      </c>
      <c r="K239" s="341" t="str">
        <f>IF(AJ239=0,"",AJ239)</f>
        <v/>
      </c>
      <c r="L239" s="341">
        <f>IF(AK239=1505,"",AK239)</f>
        <v>791</v>
      </c>
      <c r="M239" s="341" t="str">
        <f>IF(AL239=0,"",AL239)</f>
        <v/>
      </c>
      <c r="N239" s="341">
        <f>IF(AM239=1505,"",AM239)</f>
        <v>696</v>
      </c>
      <c r="O239" s="341" t="str">
        <f>IF(AN239=0,"",AN239)</f>
        <v/>
      </c>
      <c r="P239" s="341">
        <f>IF(AO239=1505,"",AO239)</f>
        <v>768</v>
      </c>
      <c r="Q239" s="341" t="str">
        <f>IF(AP239=0,"",AP239)</f>
        <v/>
      </c>
      <c r="R239" s="341">
        <f>IF(AQ239=1505,"",AQ239)</f>
        <v>733</v>
      </c>
      <c r="S239" s="341" t="str">
        <f>IF(AR239=0,"",AR239)</f>
        <v/>
      </c>
      <c r="T239" s="341">
        <f>IF(AS239=1505,"",AS239)</f>
        <v>633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798</v>
      </c>
      <c r="AD239" s="358"/>
      <c r="AE239" s="357">
        <f>SUM(AE235:AE238)</f>
        <v>747</v>
      </c>
      <c r="AF239" s="358"/>
      <c r="AG239" s="357">
        <f>SUM(AG235:AG238)</f>
        <v>658</v>
      </c>
      <c r="AH239" s="358"/>
      <c r="AI239" s="357">
        <f>SUM(AI235:AI238)</f>
        <v>707</v>
      </c>
      <c r="AJ239" s="358"/>
      <c r="AK239" s="357">
        <f>SUM(AK235:AK238)</f>
        <v>791</v>
      </c>
      <c r="AL239" s="358"/>
      <c r="AM239" s="357">
        <f>SUM(AM235:AM238)</f>
        <v>696</v>
      </c>
      <c r="AN239" s="358"/>
      <c r="AO239" s="357">
        <f>SUM(AO235:AO238)</f>
        <v>768</v>
      </c>
      <c r="AP239" s="358"/>
      <c r="AQ239" s="357">
        <f>SUM(AQ235:AQ238)</f>
        <v>733</v>
      </c>
      <c r="AR239" s="358"/>
      <c r="AS239" s="357">
        <f>SUM(AS235:AS238)</f>
        <v>633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15.02./16.02.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15.02./16.02.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Regensburg Super Bowl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51">
        <f>IF(AD247="","",AD247)</f>
        <v>1</v>
      </c>
      <c r="F247" s="75">
        <f t="shared" ref="F247:F260" si="273">IF(AE247=0,"",AE247)</f>
        <v>195</v>
      </c>
      <c r="G247" s="351">
        <f>IF(AF247="","",AF247)</f>
        <v>0</v>
      </c>
      <c r="H247" s="75">
        <f t="shared" ref="H247:H260" si="274">IF(AG247=0,"",AG247)</f>
        <v>180</v>
      </c>
      <c r="I247" s="351">
        <f>IF(AH247="","",AH247)</f>
        <v>0</v>
      </c>
      <c r="J247" s="75">
        <f t="shared" ref="J247:J260" si="275">IF(AI247=0,"",AI247)</f>
        <v>201</v>
      </c>
      <c r="K247" s="351">
        <f>IF(AJ247="","",AJ247)</f>
        <v>1</v>
      </c>
      <c r="L247" s="75">
        <f t="shared" ref="L247:L260" si="276">IF(AK247=0,"",AK247)</f>
        <v>190</v>
      </c>
      <c r="M247" s="351">
        <f>IF(AL247="","",AL247)</f>
        <v>0</v>
      </c>
      <c r="N247" s="75">
        <f>IF(AM247=0,"",AM247)</f>
        <v>160</v>
      </c>
      <c r="O247" s="351">
        <f>IF(AN247="","",AN247)</f>
        <v>0</v>
      </c>
      <c r="P247" s="75">
        <f t="shared" ref="P247:P260" si="277">IF(AO247=0,"",AO247)</f>
        <v>169</v>
      </c>
      <c r="Q247" s="351">
        <f>IF(AP247="","",AP247)</f>
        <v>0</v>
      </c>
      <c r="R247" s="75">
        <f t="shared" ref="R247:R260" si="278">IF(AQ247=0,"",AQ247)</f>
        <v>182</v>
      </c>
      <c r="S247" s="351">
        <f>IF(AR247="","",AR247)</f>
        <v>1</v>
      </c>
      <c r="T247" s="75">
        <f t="shared" ref="T247:T260" si="279">IF(AS247=0,"",AS247)</f>
        <v>171</v>
      </c>
      <c r="U247" s="351">
        <f>IF(AT247="","",AT247)</f>
        <v>1</v>
      </c>
      <c r="V247" s="75">
        <f t="shared" ref="V247:V260" si="280">IF(AU247=0,"",AU247)</f>
        <v>1608</v>
      </c>
      <c r="W247" s="351">
        <f>IF(AV247="","",AV247)</f>
        <v>4</v>
      </c>
      <c r="Z247" s="354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2"/>
      <c r="F248" s="78" t="str">
        <f t="shared" si="273"/>
        <v/>
      </c>
      <c r="G248" s="352"/>
      <c r="H248" s="78" t="str">
        <f t="shared" si="274"/>
        <v/>
      </c>
      <c r="I248" s="352"/>
      <c r="J248" s="78" t="str">
        <f t="shared" si="275"/>
        <v/>
      </c>
      <c r="K248" s="352"/>
      <c r="L248" s="78" t="str">
        <f t="shared" si="276"/>
        <v/>
      </c>
      <c r="M248" s="352"/>
      <c r="N248" s="78" t="str">
        <f t="shared" ref="N248:N260" si="293">IF(AM248=0,"",AM248)</f>
        <v/>
      </c>
      <c r="O248" s="352"/>
      <c r="P248" s="78" t="str">
        <f t="shared" si="277"/>
        <v/>
      </c>
      <c r="Q248" s="352"/>
      <c r="R248" s="78" t="str">
        <f t="shared" si="278"/>
        <v/>
      </c>
      <c r="S248" s="352"/>
      <c r="T248" s="78" t="str">
        <f t="shared" si="279"/>
        <v/>
      </c>
      <c r="U248" s="352"/>
      <c r="V248" s="78" t="str">
        <f t="shared" si="280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51">
        <f>IF(AD250="","",AD250)</f>
        <v>0</v>
      </c>
      <c r="F250" s="75" t="str">
        <f t="shared" si="273"/>
        <v/>
      </c>
      <c r="G250" s="351">
        <f>IF(AF250="","",AF250)</f>
        <v>0</v>
      </c>
      <c r="H250" s="75" t="str">
        <f t="shared" si="274"/>
        <v/>
      </c>
      <c r="I250" s="351">
        <f>IF(AH250="","",AH250)</f>
        <v>0</v>
      </c>
      <c r="J250" s="75" t="str">
        <f t="shared" si="275"/>
        <v/>
      </c>
      <c r="K250" s="351">
        <f>IF(AJ250="","",AJ250)</f>
        <v>1</v>
      </c>
      <c r="L250" s="75" t="str">
        <f t="shared" si="276"/>
        <v/>
      </c>
      <c r="M250" s="351">
        <f>IF(AL250="","",AL250)</f>
        <v>0</v>
      </c>
      <c r="N250" s="75" t="str">
        <f t="shared" si="293"/>
        <v/>
      </c>
      <c r="O250" s="351">
        <f>IF(AN250="","",AN250)</f>
        <v>1</v>
      </c>
      <c r="P250" s="75" t="str">
        <f t="shared" si="277"/>
        <v/>
      </c>
      <c r="Q250" s="351">
        <f>IF(AP250="","",AP250)</f>
        <v>1</v>
      </c>
      <c r="R250" s="75">
        <f t="shared" si="278"/>
        <v>197</v>
      </c>
      <c r="S250" s="351">
        <f>IF(AR250="","",AR250)</f>
        <v>1</v>
      </c>
      <c r="T250" s="75">
        <f t="shared" si="279"/>
        <v>168</v>
      </c>
      <c r="U250" s="351">
        <f>IF(AT250="","",AT250)</f>
        <v>1</v>
      </c>
      <c r="V250" s="75">
        <f t="shared" si="280"/>
        <v>510</v>
      </c>
      <c r="W250" s="351">
        <f>IF(AV250="","",AV250)</f>
        <v>5</v>
      </c>
      <c r="Z250" s="354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52"/>
      <c r="F251" s="78">
        <f t="shared" si="273"/>
        <v>148</v>
      </c>
      <c r="G251" s="352"/>
      <c r="H251" s="78">
        <f t="shared" si="274"/>
        <v>178</v>
      </c>
      <c r="I251" s="352"/>
      <c r="J251" s="78">
        <f t="shared" si="275"/>
        <v>192</v>
      </c>
      <c r="K251" s="352"/>
      <c r="L251" s="78">
        <f t="shared" si="276"/>
        <v>172</v>
      </c>
      <c r="M251" s="352"/>
      <c r="N251" s="78">
        <f t="shared" si="293"/>
        <v>179</v>
      </c>
      <c r="O251" s="352"/>
      <c r="P251" s="78">
        <f t="shared" si="277"/>
        <v>172</v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>
        <f t="shared" si="280"/>
        <v>1041</v>
      </c>
      <c r="W251" s="352"/>
      <c r="Z251" s="355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51">
        <f>IF(AD253="","",AD253)</f>
        <v>0.5</v>
      </c>
      <c r="F253" s="75">
        <f t="shared" si="273"/>
        <v>215</v>
      </c>
      <c r="G253" s="351">
        <f>IF(AF253="","",AF253)</f>
        <v>1</v>
      </c>
      <c r="H253" s="75">
        <f t="shared" si="274"/>
        <v>171</v>
      </c>
      <c r="I253" s="351">
        <f>IF(AH253="","",AH253)</f>
        <v>0</v>
      </c>
      <c r="J253" s="75">
        <f t="shared" si="275"/>
        <v>170</v>
      </c>
      <c r="K253" s="351">
        <f>IF(AJ253="","",AJ253)</f>
        <v>0</v>
      </c>
      <c r="L253" s="75">
        <f t="shared" si="276"/>
        <v>171</v>
      </c>
      <c r="M253" s="351">
        <f>IF(AL253="","",AL253)</f>
        <v>0</v>
      </c>
      <c r="N253" s="75">
        <f t="shared" si="293"/>
        <v>184</v>
      </c>
      <c r="O253" s="351">
        <f>IF(AN253="","",AN253)</f>
        <v>0</v>
      </c>
      <c r="P253" s="75">
        <f t="shared" si="277"/>
        <v>225</v>
      </c>
      <c r="Q253" s="351">
        <f>IF(AP253="","",AP253)</f>
        <v>0</v>
      </c>
      <c r="R253" s="75">
        <f t="shared" si="278"/>
        <v>153</v>
      </c>
      <c r="S253" s="351">
        <f>IF(AR253="","",AR253)</f>
        <v>0</v>
      </c>
      <c r="T253" s="75">
        <f t="shared" si="279"/>
        <v>178</v>
      </c>
      <c r="U253" s="351">
        <f>IF(AT253="","",AT253)</f>
        <v>0</v>
      </c>
      <c r="V253" s="75">
        <f t="shared" si="280"/>
        <v>1672</v>
      </c>
      <c r="W253" s="351">
        <f>IF(AV253="","",AV253)</f>
        <v>1.5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52"/>
      <c r="F254" s="78" t="str">
        <f t="shared" si="273"/>
        <v/>
      </c>
      <c r="G254" s="352"/>
      <c r="H254" s="78" t="str">
        <f t="shared" si="274"/>
        <v/>
      </c>
      <c r="I254" s="352"/>
      <c r="J254" s="78" t="str">
        <f t="shared" si="275"/>
        <v/>
      </c>
      <c r="K254" s="352"/>
      <c r="L254" s="78" t="str">
        <f t="shared" si="276"/>
        <v/>
      </c>
      <c r="M254" s="352"/>
      <c r="N254" s="78" t="str">
        <f t="shared" si="293"/>
        <v/>
      </c>
      <c r="O254" s="352"/>
      <c r="P254" s="78" t="str">
        <f t="shared" si="277"/>
        <v/>
      </c>
      <c r="Q254" s="352"/>
      <c r="R254" s="78" t="str">
        <f t="shared" si="278"/>
        <v/>
      </c>
      <c r="S254" s="352"/>
      <c r="T254" s="78" t="str">
        <f t="shared" si="279"/>
        <v/>
      </c>
      <c r="U254" s="352"/>
      <c r="V254" s="78" t="str">
        <f t="shared" si="280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51">
        <f>IF(AD256="","",AD256)</f>
        <v>0</v>
      </c>
      <c r="F256" s="75">
        <f t="shared" si="273"/>
        <v>258</v>
      </c>
      <c r="G256" s="351">
        <f>IF(AF256="","",AF256)</f>
        <v>1</v>
      </c>
      <c r="H256" s="75">
        <f t="shared" si="274"/>
        <v>200</v>
      </c>
      <c r="I256" s="351">
        <f>IF(AH256="","",AH256)</f>
        <v>1</v>
      </c>
      <c r="J256" s="75">
        <f t="shared" si="275"/>
        <v>162</v>
      </c>
      <c r="K256" s="351">
        <f>IF(AJ256="","",AJ256)</f>
        <v>0</v>
      </c>
      <c r="L256" s="75">
        <f t="shared" si="276"/>
        <v>182</v>
      </c>
      <c r="M256" s="351">
        <f>IF(AL256="","",AL256)</f>
        <v>1</v>
      </c>
      <c r="N256" s="75">
        <f t="shared" si="293"/>
        <v>170</v>
      </c>
      <c r="O256" s="351">
        <f>IF(AN256="","",AN256)</f>
        <v>0</v>
      </c>
      <c r="P256" s="75">
        <f t="shared" si="277"/>
        <v>173</v>
      </c>
      <c r="Q256" s="351">
        <f>IF(AP256="","",AP256)</f>
        <v>0</v>
      </c>
      <c r="R256" s="75">
        <f t="shared" si="278"/>
        <v>201</v>
      </c>
      <c r="S256" s="351">
        <f>IF(AR256="","",AR256)</f>
        <v>0</v>
      </c>
      <c r="T256" s="75">
        <f t="shared" si="279"/>
        <v>202</v>
      </c>
      <c r="U256" s="351">
        <f>IF(AT256="","",AT256)</f>
        <v>1</v>
      </c>
      <c r="V256" s="75">
        <f t="shared" si="280"/>
        <v>1684</v>
      </c>
      <c r="W256" s="351">
        <f>IF(AV256="","",AV256)</f>
        <v>4</v>
      </c>
      <c r="Z256" s="354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6</v>
      </c>
      <c r="E262" s="349" t="str">
        <f t="shared" si="304"/>
        <v/>
      </c>
      <c r="F262" s="349">
        <f t="shared" si="304"/>
        <v>1</v>
      </c>
      <c r="G262" s="349" t="str">
        <f t="shared" si="304"/>
        <v/>
      </c>
      <c r="H262" s="349">
        <f t="shared" si="304"/>
        <v>2</v>
      </c>
      <c r="I262" s="349" t="str">
        <f t="shared" si="304"/>
        <v/>
      </c>
      <c r="J262" s="349">
        <f t="shared" si="304"/>
        <v>10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5</v>
      </c>
      <c r="O262" s="349" t="str">
        <f t="shared" si="305"/>
        <v/>
      </c>
      <c r="P262" s="349">
        <f t="shared" si="305"/>
        <v>4</v>
      </c>
      <c r="Q262" s="349" t="str">
        <f t="shared" si="305"/>
        <v/>
      </c>
      <c r="R262" s="349">
        <f t="shared" si="305"/>
        <v>8</v>
      </c>
      <c r="S262" s="349" t="str">
        <f t="shared" si="305"/>
        <v/>
      </c>
      <c r="T262" s="349">
        <f t="shared" si="305"/>
        <v>7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VLOOKUP($AA242,Schlüssel!$A$5:$DG$14,63)</f>
        <v>6</v>
      </c>
      <c r="AD262" s="374"/>
      <c r="AE262" s="373">
        <f>VLOOKUP($AA242,Schlüssel!$A$5:$EK$14,64)</f>
        <v>1</v>
      </c>
      <c r="AF262" s="374"/>
      <c r="AG262" s="373">
        <f>VLOOKUP($AA242,Schlüssel!$A$5:$EK$14,65)</f>
        <v>2</v>
      </c>
      <c r="AH262" s="374"/>
      <c r="AI262" s="373">
        <f>VLOOKUP($AA242,Schlüssel!$A$5:$EK$14,66)</f>
        <v>10</v>
      </c>
      <c r="AJ262" s="374"/>
      <c r="AK262" s="373">
        <f>VLOOKUP($AA242,Schlüssel!$A$5:$EK$14,67)</f>
        <v>3</v>
      </c>
      <c r="AL262" s="374"/>
      <c r="AM262" s="373">
        <f>VLOOKUP($AA242,Schlüssel!$A$5:$EK$14,68)</f>
        <v>5</v>
      </c>
      <c r="AN262" s="374"/>
      <c r="AO262" s="373">
        <f>VLOOKUP($AA242,Schlüssel!$A$5:$EK$14,69)</f>
        <v>4</v>
      </c>
      <c r="AP262" s="374"/>
      <c r="AQ262" s="373">
        <f>VLOOKUP($AA242,Schlüssel!$A$5:$EK$14,70)</f>
        <v>8</v>
      </c>
      <c r="AR262" s="374"/>
      <c r="AS262" s="373">
        <f>VLOOKUP($AA242,Schlüssel!$A$5:$EK$14,71)</f>
        <v>7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SG Rottendorf 1</v>
      </c>
      <c r="E263" s="347" t="str">
        <f t="shared" si="304"/>
        <v/>
      </c>
      <c r="F263" s="346" t="str">
        <f t="shared" si="304"/>
        <v>BC Comet Nürnberg</v>
      </c>
      <c r="G263" s="347" t="str">
        <f t="shared" si="304"/>
        <v/>
      </c>
      <c r="H263" s="346" t="str">
        <f t="shared" si="304"/>
        <v>Bajuwaren München 1</v>
      </c>
      <c r="I263" s="347" t="str">
        <f t="shared" si="304"/>
        <v/>
      </c>
      <c r="J263" s="346" t="str">
        <f t="shared" si="304"/>
        <v>High Roller Rosenheim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RW Lichtenhof Stein 1</v>
      </c>
      <c r="O263" s="347" t="str">
        <f t="shared" si="305"/>
        <v/>
      </c>
      <c r="P263" s="346" t="str">
        <f t="shared" si="305"/>
        <v>SG DJK Rimpar</v>
      </c>
      <c r="Q263" s="347" t="str">
        <f t="shared" si="305"/>
        <v/>
      </c>
      <c r="R263" s="346" t="str">
        <f t="shared" si="305"/>
        <v>BC EMAX Unterföhring 2</v>
      </c>
      <c r="S263" s="347" t="str">
        <f t="shared" si="305"/>
        <v/>
      </c>
      <c r="T263" s="346" t="str">
        <f t="shared" si="305"/>
        <v>Schanzer Ingolstadt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SG Rottendorf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Bajuwaren München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RW Lichtenhof Stein 1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EMAX Unterföhring 2</v>
      </c>
      <c r="AR263" s="347"/>
      <c r="AS263" s="346" t="str">
        <f>VLOOKUP(AS262,Schlüssel!$A$5:$K$14,2)</f>
        <v>Schanzer Ingolstadt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149</v>
      </c>
      <c r="E265" s="342" t="str">
        <f>IF(AD265=0,"",AD265)</f>
        <v/>
      </c>
      <c r="F265" s="342">
        <f>IF(AE265=301,"",AE265)</f>
        <v>231</v>
      </c>
      <c r="G265" s="342" t="str">
        <f>IF(AF265=0,"",AF265)</f>
        <v/>
      </c>
      <c r="H265" s="342">
        <f>IF(AG265=301,"",AG265)</f>
        <v>199</v>
      </c>
      <c r="I265" s="342" t="str">
        <f>IF(AH265=0,"",AH265)</f>
        <v/>
      </c>
      <c r="J265" s="342">
        <f>IF(AI265=301,"",AI265)</f>
        <v>197</v>
      </c>
      <c r="K265" s="342" t="str">
        <f>IF(AJ265=0,"",AJ265)</f>
        <v/>
      </c>
      <c r="L265" s="342">
        <f>IF(AK265=301,"",AK265)</f>
        <v>206</v>
      </c>
      <c r="M265" s="342" t="str">
        <f>IF(AL265=0,"",AL265)</f>
        <v/>
      </c>
      <c r="N265" s="342">
        <f>IF(AM265=301,"",AM265)</f>
        <v>182</v>
      </c>
      <c r="O265" s="342" t="str">
        <f>IF(AN265=0,"",AN265)</f>
        <v/>
      </c>
      <c r="P265" s="342">
        <f>IF(AO265=301,"",AO265)</f>
        <v>221</v>
      </c>
      <c r="Q265" s="342" t="str">
        <f>IF(AP265=0,"",AP265)</f>
        <v/>
      </c>
      <c r="R265" s="342">
        <f>IF(AQ265=301,"",AQ265)</f>
        <v>0</v>
      </c>
      <c r="S265" s="342" t="str">
        <f>IF(AR265=0,"",AR265)</f>
        <v/>
      </c>
      <c r="T265" s="342">
        <f>IF(AS265=301,"",AS265)</f>
        <v>159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149</v>
      </c>
      <c r="AD265" s="376"/>
      <c r="AE265" s="375">
        <f>ABS(INDEX(AE:AE,MATCH(AE262,$AA:$AA,0)+5)+INDEX(AE:AE,MATCH(AE262,$AA:$AA,0)+6)+INDEX(AE:AE,MATCH(AE262,$AA:$AA,0)+7))</f>
        <v>231</v>
      </c>
      <c r="AF265" s="376"/>
      <c r="AG265" s="375">
        <f>ABS(INDEX(AG:AG,MATCH(AG262,$AA:$AA,0)+5)+INDEX(AG:AG,MATCH(AG262,$AA:$AA,0)+6)+INDEX(AG:AG,MATCH(AG262,$AA:$AA,0)+7))</f>
        <v>199</v>
      </c>
      <c r="AH265" s="376"/>
      <c r="AI265" s="375">
        <f>ABS(INDEX(AI:AI,MATCH(AI262,$AA:$AA,0)+5)+INDEX(AI:AI,MATCH(AI262,$AA:$AA,0)+6)+INDEX(AI:AI,MATCH(AI262,$AA:$AA,0)+7))</f>
        <v>197</v>
      </c>
      <c r="AJ265" s="376"/>
      <c r="AK265" s="375">
        <f>ABS(INDEX(AK:AK,MATCH(AK262,$AA:$AA,0)+5)+INDEX(AK:AK,MATCH(AK262,$AA:$AA,0)+6)+INDEX(AK:AK,MATCH(AK262,$AA:$AA,0)+7))</f>
        <v>206</v>
      </c>
      <c r="AL265" s="376"/>
      <c r="AM265" s="375">
        <f>ABS(INDEX(AM:AM,MATCH(AM262,$AA:$AA,0)+5)+INDEX(AM:AM,MATCH(AM262,$AA:$AA,0)+6)+INDEX(AM:AM,MATCH(AM262,$AA:$AA,0)+7))</f>
        <v>182</v>
      </c>
      <c r="AN265" s="376"/>
      <c r="AO265" s="375">
        <f>ABS(INDEX(AO:AO,MATCH(AO262,$AA:$AA,0)+5)+INDEX(AO:AO,MATCH(AO262,$AA:$AA,0)+6)+INDEX(AO:AO,MATCH(AO262,$AA:$AA,0)+7))</f>
        <v>221</v>
      </c>
      <c r="AP265" s="376"/>
      <c r="AQ265" s="375">
        <f>ABS(INDEX(AQ:AQ,MATCH(AQ262,$AA:$AA,0)+5)+INDEX(AQ:AQ,MATCH(AQ262,$AA:$AA,0)+6)+INDEX(AQ:AQ,MATCH(AQ262,$AA:$AA,0)+7))</f>
        <v>0</v>
      </c>
      <c r="AR265" s="376"/>
      <c r="AS265" s="375">
        <f>ABS(INDEX(AS:AS,MATCH(AS262,$AA:$AA,0)+5)+INDEX(AS:AS,MATCH(AS262,$AA:$AA,0)+6)+INDEX(AS:AS,MATCH(AS262,$AA:$AA,0)+7))</f>
        <v>159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177</v>
      </c>
      <c r="E266" s="342" t="str">
        <f>IF(AD266=0,"",AD266)</f>
        <v/>
      </c>
      <c r="F266" s="342">
        <f>IF(AE266=301,"",AE266)</f>
        <v>198</v>
      </c>
      <c r="G266" s="342" t="str">
        <f>IF(AF266=0,"",AF266)</f>
        <v/>
      </c>
      <c r="H266" s="342">
        <f>IF(AG266=301,"",AG266)</f>
        <v>242</v>
      </c>
      <c r="I266" s="342" t="str">
        <f>IF(AH266=0,"",AH266)</f>
        <v/>
      </c>
      <c r="J266" s="342">
        <f>IF(AI266=301,"",AI266)</f>
        <v>163</v>
      </c>
      <c r="K266" s="342" t="str">
        <f>IF(AJ266=0,"",AJ266)</f>
        <v/>
      </c>
      <c r="L266" s="342">
        <f>IF(AK266=301,"",AK266)</f>
        <v>217</v>
      </c>
      <c r="M266" s="342" t="str">
        <f>IF(AL266=0,"",AL266)</f>
        <v/>
      </c>
      <c r="N266" s="342">
        <f>IF(AM266=301,"",AM266)</f>
        <v>136</v>
      </c>
      <c r="O266" s="342" t="str">
        <f>IF(AN266=0,"",AN266)</f>
        <v/>
      </c>
      <c r="P266" s="342">
        <f>IF(AO266=301,"",AO266)</f>
        <v>153</v>
      </c>
      <c r="Q266" s="342" t="str">
        <f>IF(AP266=0,"",AP266)</f>
        <v/>
      </c>
      <c r="R266" s="342">
        <f>IF(AQ266=301,"",AQ266)</f>
        <v>175</v>
      </c>
      <c r="S266" s="342" t="str">
        <f>IF(AR266=0,"",AR266)</f>
        <v/>
      </c>
      <c r="T266" s="342">
        <f>IF(AS266=301,"",AS266)</f>
        <v>124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177</v>
      </c>
      <c r="AD266" s="378"/>
      <c r="AE266" s="377">
        <f>ABS(INDEX(AE:AE,MATCH(AE262,$AA:$AA,0)+8)+INDEX(AE:AE,MATCH(AE262,$AA:$AA,0)+9)+INDEX(AE:AE,MATCH(AE262,$AA:$AA,0)+10))</f>
        <v>198</v>
      </c>
      <c r="AF266" s="378"/>
      <c r="AG266" s="377">
        <f>ABS(INDEX(AG:AG,MATCH(AG262,$AA:$AA,0)+8)+INDEX(AG:AG,MATCH(AG262,$AA:$AA,0)+9)+INDEX(AG:AG,MATCH(AG262,$AA:$AA,0)+10))</f>
        <v>242</v>
      </c>
      <c r="AH266" s="378"/>
      <c r="AI266" s="377">
        <f>ABS(INDEX(AI:AI,MATCH(AI262,$AA:$AA,0)+8)+INDEX(AI:AI,MATCH(AI262,$AA:$AA,0)+9)+INDEX(AI:AI,MATCH(AI262,$AA:$AA,0)+10))</f>
        <v>163</v>
      </c>
      <c r="AJ266" s="378"/>
      <c r="AK266" s="377">
        <f>ABS(INDEX(AK:AK,MATCH(AK262,$AA:$AA,0)+8)+INDEX(AK:AK,MATCH(AK262,$AA:$AA,0)+9)+INDEX(AK:AK,MATCH(AK262,$AA:$AA,0)+10))</f>
        <v>217</v>
      </c>
      <c r="AL266" s="378"/>
      <c r="AM266" s="377">
        <f>ABS(INDEX(AM:AM,MATCH(AM262,$AA:$AA,0)+8)+INDEX(AM:AM,MATCH(AM262,$AA:$AA,0)+9)+INDEX(AM:AM,MATCH(AM262,$AA:$AA,0)+10))</f>
        <v>136</v>
      </c>
      <c r="AN266" s="378"/>
      <c r="AO266" s="377">
        <f>ABS(INDEX(AO:AO,MATCH(AO262,$AA:$AA,0)+8)+INDEX(AO:AO,MATCH(AO262,$AA:$AA,0)+9)+INDEX(AO:AO,MATCH(AO262,$AA:$AA,0)+10))</f>
        <v>153</v>
      </c>
      <c r="AP266" s="378"/>
      <c r="AQ266" s="377">
        <f>ABS(INDEX(AQ:AQ,MATCH(AQ262,$AA:$AA,0)+8)+INDEX(AQ:AQ,MATCH(AQ262,$AA:$AA,0)+9)+INDEX(AQ:AQ,MATCH(AQ262,$AA:$AA,0)+10))</f>
        <v>175</v>
      </c>
      <c r="AR266" s="378"/>
      <c r="AS266" s="377">
        <f>ABS(INDEX(AS:AS,MATCH(AS262,$AA:$AA,0)+8)+INDEX(AS:AS,MATCH(AS262,$AA:$AA,0)+9)+INDEX(AS:AS,MATCH(AS262,$AA:$AA,0)+10))</f>
        <v>124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205</v>
      </c>
      <c r="E267" s="342" t="str">
        <f>IF(AD267=0,"",AD267)</f>
        <v/>
      </c>
      <c r="F267" s="342">
        <f>IF(AE267=301,"",AE267)</f>
        <v>193</v>
      </c>
      <c r="G267" s="342" t="str">
        <f>IF(AF267=0,"",AF267)</f>
        <v/>
      </c>
      <c r="H267" s="342">
        <f>IF(AG267=301,"",AG267)</f>
        <v>213</v>
      </c>
      <c r="I267" s="342" t="str">
        <f>IF(AH267=0,"",AH267)</f>
        <v/>
      </c>
      <c r="J267" s="342">
        <f>IF(AI267=301,"",AI267)</f>
        <v>174</v>
      </c>
      <c r="K267" s="342" t="str">
        <f>IF(AJ267=0,"",AJ267)</f>
        <v/>
      </c>
      <c r="L267" s="342">
        <f>IF(AK267=301,"",AK267)</f>
        <v>198</v>
      </c>
      <c r="M267" s="342" t="str">
        <f>IF(AL267=0,"",AL267)</f>
        <v/>
      </c>
      <c r="N267" s="342">
        <f>IF(AM267=301,"",AM267)</f>
        <v>204</v>
      </c>
      <c r="O267" s="342" t="str">
        <f>IF(AN267=0,"",AN267)</f>
        <v/>
      </c>
      <c r="P267" s="342">
        <f>IF(AO267=301,"",AO267)</f>
        <v>237</v>
      </c>
      <c r="Q267" s="342" t="str">
        <f>IF(AP267=0,"",AP267)</f>
        <v/>
      </c>
      <c r="R267" s="342">
        <f>IF(AQ267=301,"",AQ267)</f>
        <v>254</v>
      </c>
      <c r="S267" s="342" t="str">
        <f>IF(AR267=0,"",AR267)</f>
        <v/>
      </c>
      <c r="T267" s="342">
        <f>IF(AS267=301,"",AS267)</f>
        <v>268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205</v>
      </c>
      <c r="AD267" s="378"/>
      <c r="AE267" s="377">
        <f>ABS(INDEX(AE:AE,MATCH(AE262,$AA:$AA,0)+11)+INDEX(AE:AE,MATCH(AE262,$AA:$AA,0)+12)+INDEX(AE:AE,MATCH(AE262,$AA:$AA,0)+13))</f>
        <v>193</v>
      </c>
      <c r="AF267" s="378"/>
      <c r="AG267" s="377">
        <f>ABS(INDEX(AG:AG,MATCH(AG262,$AA:$AA,0)+11)+INDEX(AG:AG,MATCH(AG262,$AA:$AA,0)+12)+INDEX(AG:AG,MATCH(AG262,$AA:$AA,0)+13))</f>
        <v>213</v>
      </c>
      <c r="AH267" s="378"/>
      <c r="AI267" s="377">
        <f>ABS(INDEX(AI:AI,MATCH(AI262,$AA:$AA,0)+11)+INDEX(AI:AI,MATCH(AI262,$AA:$AA,0)+12)+INDEX(AI:AI,MATCH(AI262,$AA:$AA,0)+13))</f>
        <v>174</v>
      </c>
      <c r="AJ267" s="378"/>
      <c r="AK267" s="377">
        <f>ABS(INDEX(AK:AK,MATCH(AK262,$AA:$AA,0)+11)+INDEX(AK:AK,MATCH(AK262,$AA:$AA,0)+12)+INDEX(AK:AK,MATCH(AK262,$AA:$AA,0)+13))</f>
        <v>198</v>
      </c>
      <c r="AL267" s="378"/>
      <c r="AM267" s="377">
        <f>ABS(INDEX(AM:AM,MATCH(AM262,$AA:$AA,0)+11)+INDEX(AM:AM,MATCH(AM262,$AA:$AA,0)+12)+INDEX(AM:AM,MATCH(AM262,$AA:$AA,0)+13))</f>
        <v>204</v>
      </c>
      <c r="AN267" s="378"/>
      <c r="AO267" s="377">
        <f>ABS(INDEX(AO:AO,MATCH(AO262,$AA:$AA,0)+11)+INDEX(AO:AO,MATCH(AO262,$AA:$AA,0)+12)+INDEX(AO:AO,MATCH(AO262,$AA:$AA,0)+13))</f>
        <v>237</v>
      </c>
      <c r="AP267" s="378"/>
      <c r="AQ267" s="377">
        <f>ABS(INDEX(AQ:AQ,MATCH(AQ262,$AA:$AA,0)+11)+INDEX(AQ:AQ,MATCH(AQ262,$AA:$AA,0)+12)+INDEX(AQ:AQ,MATCH(AQ262,$AA:$AA,0)+13))</f>
        <v>254</v>
      </c>
      <c r="AR267" s="378"/>
      <c r="AS267" s="377">
        <f>ABS(INDEX(AS:AS,MATCH(AS262,$AA:$AA,0)+11)+INDEX(AS:AS,MATCH(AS262,$AA:$AA,0)+12)+INDEX(AS:AS,MATCH(AS262,$AA:$AA,0)+13))</f>
        <v>268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152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181</v>
      </c>
      <c r="I268" s="342" t="str">
        <f>IF(AH268=0,"",AH268)</f>
        <v/>
      </c>
      <c r="J268" s="342">
        <f>IF(AI268=301,"",AI268)</f>
        <v>170</v>
      </c>
      <c r="K268" s="342" t="str">
        <f>IF(AJ268=0,"",AJ268)</f>
        <v/>
      </c>
      <c r="L268" s="342">
        <f>IF(AK268=301,"",AK268)</f>
        <v>151</v>
      </c>
      <c r="M268" s="342" t="str">
        <f>IF(AL268=0,"",AL268)</f>
        <v/>
      </c>
      <c r="N268" s="342">
        <f>IF(AM268=301,"",AM268)</f>
        <v>218</v>
      </c>
      <c r="O268" s="342" t="str">
        <f>IF(AN268=0,"",AN268)</f>
        <v/>
      </c>
      <c r="P268" s="342">
        <f>IF(AO268=301,"",AO268)</f>
        <v>234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197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152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181</v>
      </c>
      <c r="AH268" s="378"/>
      <c r="AI268" s="377">
        <f>ABS(INDEX(AI:AI,MATCH(AI262,$AA:$AA,0)+14)+INDEX(AI:AI,MATCH(AI262,$AA:$AA,0)+15)+INDEX(AI:AI,MATCH(AI262,$AA:$AA,0)+16))</f>
        <v>170</v>
      </c>
      <c r="AJ268" s="378"/>
      <c r="AK268" s="377">
        <f>ABS(INDEX(AK:AK,MATCH(AK262,$AA:$AA,0)+14)+INDEX(AK:AK,MATCH(AK262,$AA:$AA,0)+15)+INDEX(AK:AK,MATCH(AK262,$AA:$AA,0)+16))</f>
        <v>151</v>
      </c>
      <c r="AL268" s="378"/>
      <c r="AM268" s="377">
        <f>ABS(INDEX(AM:AM,MATCH(AM262,$AA:$AA,0)+14)+INDEX(AM:AM,MATCH(AM262,$AA:$AA,0)+15)+INDEX(AM:AM,MATCH(AM262,$AA:$AA,0)+16))</f>
        <v>218</v>
      </c>
      <c r="AN268" s="378"/>
      <c r="AO268" s="377">
        <f>ABS(INDEX(AO:AO,MATCH(AO262,$AA:$AA,0)+14)+INDEX(AO:AO,MATCH(AO262,$AA:$AA,0)+15)+INDEX(AO:AO,MATCH(AO262,$AA:$AA,0)+16))</f>
        <v>234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197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683</v>
      </c>
      <c r="E269" s="341" t="str">
        <f>IF(AD269=0,"",AD269)</f>
        <v/>
      </c>
      <c r="F269" s="341">
        <f>IF(AE269=1505,"",AE269)</f>
        <v>834</v>
      </c>
      <c r="G269" s="341" t="str">
        <f>IF(AF269=0,"",AF269)</f>
        <v/>
      </c>
      <c r="H269" s="341">
        <f>IF(AG269=1505,"",AG269)</f>
        <v>835</v>
      </c>
      <c r="I269" s="341" t="str">
        <f>IF(AH269=0,"",AH269)</f>
        <v/>
      </c>
      <c r="J269" s="341">
        <f>IF(AI269=1505,"",AI269)</f>
        <v>704</v>
      </c>
      <c r="K269" s="341" t="str">
        <f>IF(AJ269=0,"",AJ269)</f>
        <v/>
      </c>
      <c r="L269" s="341">
        <f>IF(AK269=1505,"",AK269)</f>
        <v>772</v>
      </c>
      <c r="M269" s="341" t="str">
        <f>IF(AL269=0,"",AL269)</f>
        <v/>
      </c>
      <c r="N269" s="341">
        <f>IF(AM269=1505,"",AM269)</f>
        <v>740</v>
      </c>
      <c r="O269" s="341" t="str">
        <f>IF(AN269=0,"",AN269)</f>
        <v/>
      </c>
      <c r="P269" s="341">
        <f>IF(AO269=1505,"",AO269)</f>
        <v>845</v>
      </c>
      <c r="Q269" s="341" t="str">
        <f>IF(AP269=0,"",AP269)</f>
        <v/>
      </c>
      <c r="R269" s="341">
        <f>IF(AQ269=1505,"",AQ269)</f>
        <v>695</v>
      </c>
      <c r="S269" s="341" t="str">
        <f>IF(AR269=0,"",AR269)</f>
        <v/>
      </c>
      <c r="T269" s="341">
        <f>IF(AS269=1505,"",AS269)</f>
        <v>748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683</v>
      </c>
      <c r="AD269" s="358"/>
      <c r="AE269" s="357">
        <f>SUM(AE265:AE268)</f>
        <v>834</v>
      </c>
      <c r="AF269" s="358"/>
      <c r="AG269" s="357">
        <f>SUM(AG265:AG268)</f>
        <v>835</v>
      </c>
      <c r="AH269" s="358"/>
      <c r="AI269" s="357">
        <f>SUM(AI265:AI268)</f>
        <v>704</v>
      </c>
      <c r="AJ269" s="358"/>
      <c r="AK269" s="357">
        <f>SUM(AK265:AK268)</f>
        <v>772</v>
      </c>
      <c r="AL269" s="358"/>
      <c r="AM269" s="357">
        <f>SUM(AM265:AM268)</f>
        <v>740</v>
      </c>
      <c r="AN269" s="358"/>
      <c r="AO269" s="357">
        <f>SUM(AO265:AO268)</f>
        <v>845</v>
      </c>
      <c r="AP269" s="358"/>
      <c r="AQ269" s="357">
        <f>SUM(AQ265:AQ268)</f>
        <v>695</v>
      </c>
      <c r="AR269" s="358"/>
      <c r="AS269" s="357">
        <f>SUM(AS265:AS268)</f>
        <v>748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15.02./16.02.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15.02./16.02.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Regensburg Super Bowl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51">
        <f>IF(AD277="","",AD277)</f>
        <v>0</v>
      </c>
      <c r="F277" s="75">
        <f t="shared" ref="F277:F290" si="307">IF(AE277=0,"",AE277)</f>
        <v>160</v>
      </c>
      <c r="G277" s="351">
        <f>IF(AF277="","",AF277)</f>
        <v>0</v>
      </c>
      <c r="H277" s="75">
        <f t="shared" ref="H277:H290" si="308">IF(AG277=0,"",AG277)</f>
        <v>169</v>
      </c>
      <c r="I277" s="351">
        <f>IF(AH277="","",AH277)</f>
        <v>0</v>
      </c>
      <c r="J277" s="75">
        <f t="shared" ref="J277:J290" si="309">IF(AI277=0,"",AI277)</f>
        <v>197</v>
      </c>
      <c r="K277" s="351">
        <f>IF(AJ277="","",AJ277)</f>
        <v>0</v>
      </c>
      <c r="L277" s="75">
        <f t="shared" ref="L277:L290" si="310">IF(AK277=0,"",AK277)</f>
        <v>142</v>
      </c>
      <c r="M277" s="351">
        <f>IF(AL277="","",AL277)</f>
        <v>0</v>
      </c>
      <c r="N277" s="75">
        <f>IF(AM277=0,"",AM277)</f>
        <v>130</v>
      </c>
      <c r="O277" s="351">
        <f>IF(AN277="","",AN277)</f>
        <v>0</v>
      </c>
      <c r="P277" s="75">
        <f t="shared" ref="P277:P290" si="311">IF(AO277=0,"",AO277)</f>
        <v>172</v>
      </c>
      <c r="Q277" s="351">
        <f>IF(AP277="","",AP277)</f>
        <v>0</v>
      </c>
      <c r="R277" s="75">
        <f t="shared" ref="R277:R290" si="312">IF(AQ277=0,"",AQ277)</f>
        <v>189</v>
      </c>
      <c r="S277" s="351">
        <f>IF(AR277="","",AR277)</f>
        <v>1</v>
      </c>
      <c r="T277" s="75">
        <f t="shared" ref="T277:T290" si="313">IF(AS277=0,"",AS277)</f>
        <v>209</v>
      </c>
      <c r="U277" s="351">
        <f>IF(AT277="","",AT277)</f>
        <v>0</v>
      </c>
      <c r="V277" s="75">
        <f t="shared" ref="V277:V290" si="314">IF(AU277=0,"",AU277)</f>
        <v>1521</v>
      </c>
      <c r="W277" s="351">
        <f>IF(AV277="","",AV277)</f>
        <v>1</v>
      </c>
      <c r="Z277" s="354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 t="str">
        <f t="shared" si="310"/>
        <v/>
      </c>
      <c r="M278" s="352"/>
      <c r="N278" s="78" t="str">
        <f t="shared" ref="N278:N290" si="327">IF(AM278=0,"",AM278)</f>
        <v/>
      </c>
      <c r="O278" s="352"/>
      <c r="P278" s="78" t="str">
        <f t="shared" si="311"/>
        <v/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 t="str">
        <f t="shared" si="314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 t="str">
        <f t="shared" si="312"/>
        <v/>
      </c>
      <c r="S279" s="353"/>
      <c r="T279" s="69" t="str">
        <f t="shared" si="313"/>
        <v/>
      </c>
      <c r="U279" s="353"/>
      <c r="V279" s="69" t="str">
        <f t="shared" si="314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51">
        <f>IF(AD280="","",AD280)</f>
        <v>1</v>
      </c>
      <c r="F280" s="75">
        <f t="shared" si="307"/>
        <v>164</v>
      </c>
      <c r="G280" s="351">
        <f>IF(AF280="","",AF280)</f>
        <v>0</v>
      </c>
      <c r="H280" s="75">
        <f t="shared" si="308"/>
        <v>152</v>
      </c>
      <c r="I280" s="351">
        <f>IF(AH280="","",AH280)</f>
        <v>0</v>
      </c>
      <c r="J280" s="75">
        <f t="shared" si="309"/>
        <v>163</v>
      </c>
      <c r="K280" s="351">
        <f>IF(AJ280="","",AJ280)</f>
        <v>0</v>
      </c>
      <c r="L280" s="75">
        <f t="shared" si="310"/>
        <v>202</v>
      </c>
      <c r="M280" s="351">
        <f>IF(AL280="","",AL280)</f>
        <v>1</v>
      </c>
      <c r="N280" s="75">
        <f t="shared" si="327"/>
        <v>247</v>
      </c>
      <c r="O280" s="351">
        <f>IF(AN280="","",AN280)</f>
        <v>1</v>
      </c>
      <c r="P280" s="75">
        <f t="shared" si="311"/>
        <v>149</v>
      </c>
      <c r="Q280" s="351">
        <f>IF(AP280="","",AP280)</f>
        <v>0</v>
      </c>
      <c r="R280" s="75">
        <f t="shared" si="312"/>
        <v>161</v>
      </c>
      <c r="S280" s="351">
        <f>IF(AR280="","",AR280)</f>
        <v>1</v>
      </c>
      <c r="T280" s="75">
        <f t="shared" si="313"/>
        <v>159</v>
      </c>
      <c r="U280" s="351">
        <f>IF(AT280="","",AT280)</f>
        <v>0</v>
      </c>
      <c r="V280" s="75">
        <f t="shared" si="314"/>
        <v>1561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51">
        <f>IF(AD283="","",AD283)</f>
        <v>1</v>
      </c>
      <c r="F283" s="75">
        <f t="shared" si="307"/>
        <v>181</v>
      </c>
      <c r="G283" s="351">
        <f>IF(AF283="","",AF283)</f>
        <v>0</v>
      </c>
      <c r="H283" s="75" t="str">
        <f t="shared" si="308"/>
        <v/>
      </c>
      <c r="I283" s="351">
        <f>IF(AH283="","",AH283)</f>
        <v>0</v>
      </c>
      <c r="J283" s="75" t="str">
        <f t="shared" si="309"/>
        <v/>
      </c>
      <c r="K283" s="351">
        <f>IF(AJ283="","",AJ283)</f>
        <v>1</v>
      </c>
      <c r="L283" s="75" t="str">
        <f t="shared" si="310"/>
        <v/>
      </c>
      <c r="M283" s="351">
        <f>IF(AL283="","",AL283)</f>
        <v>1</v>
      </c>
      <c r="N283" s="75" t="str">
        <f t="shared" si="327"/>
        <v/>
      </c>
      <c r="O283" s="351">
        <f>IF(AN283="","",AN283)</f>
        <v>0</v>
      </c>
      <c r="P283" s="75">
        <f t="shared" si="311"/>
        <v>177</v>
      </c>
      <c r="Q283" s="351">
        <f>IF(AP283="","",AP283)</f>
        <v>1</v>
      </c>
      <c r="R283" s="75">
        <f t="shared" si="312"/>
        <v>203</v>
      </c>
      <c r="S283" s="351">
        <f>IF(AR283="","",AR283)</f>
        <v>1</v>
      </c>
      <c r="T283" s="75">
        <f t="shared" si="313"/>
        <v>151</v>
      </c>
      <c r="U283" s="351">
        <f>IF(AT283="","",AT283)</f>
        <v>1</v>
      </c>
      <c r="V283" s="75">
        <f t="shared" si="314"/>
        <v>892</v>
      </c>
      <c r="W283" s="351">
        <f>IF(AV283="","",AV283)</f>
        <v>6</v>
      </c>
      <c r="Z283" s="354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52"/>
      <c r="F284" s="78" t="str">
        <f t="shared" si="307"/>
        <v/>
      </c>
      <c r="G284" s="352"/>
      <c r="H284" s="78">
        <f t="shared" si="308"/>
        <v>145</v>
      </c>
      <c r="I284" s="352"/>
      <c r="J284" s="78">
        <f t="shared" si="309"/>
        <v>174</v>
      </c>
      <c r="K284" s="352"/>
      <c r="L284" s="78">
        <f t="shared" si="310"/>
        <v>184</v>
      </c>
      <c r="M284" s="352"/>
      <c r="N284" s="78">
        <f t="shared" si="327"/>
        <v>132</v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>
        <f t="shared" si="314"/>
        <v>635</v>
      </c>
      <c r="W284" s="352"/>
      <c r="Z284" s="355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51">
        <f>IF(AD286="","",AD286)</f>
        <v>0</v>
      </c>
      <c r="F286" s="75">
        <f t="shared" si="307"/>
        <v>159</v>
      </c>
      <c r="G286" s="351">
        <f>IF(AF286="","",AF286)</f>
        <v>0</v>
      </c>
      <c r="H286" s="75">
        <f t="shared" si="308"/>
        <v>184</v>
      </c>
      <c r="I286" s="351">
        <f>IF(AH286="","",AH286)</f>
        <v>1</v>
      </c>
      <c r="J286" s="75">
        <f t="shared" si="309"/>
        <v>170</v>
      </c>
      <c r="K286" s="351">
        <f>IF(AJ286="","",AJ286)</f>
        <v>1</v>
      </c>
      <c r="L286" s="75">
        <f t="shared" si="310"/>
        <v>178</v>
      </c>
      <c r="M286" s="351">
        <f>IF(AL286="","",AL286)</f>
        <v>1</v>
      </c>
      <c r="N286" s="75">
        <f t="shared" si="327"/>
        <v>187</v>
      </c>
      <c r="O286" s="351">
        <f>IF(AN286="","",AN286)</f>
        <v>1</v>
      </c>
      <c r="P286" s="75">
        <f t="shared" si="311"/>
        <v>172</v>
      </c>
      <c r="Q286" s="351">
        <f>IF(AP286="","",AP286)</f>
        <v>0</v>
      </c>
      <c r="R286" s="75">
        <f t="shared" si="312"/>
        <v>178</v>
      </c>
      <c r="S286" s="351">
        <f>IF(AR286="","",AR286)</f>
        <v>1</v>
      </c>
      <c r="T286" s="75">
        <f t="shared" si="313"/>
        <v>141</v>
      </c>
      <c r="U286" s="351">
        <f>IF(AT286="","",AT286)</f>
        <v>0</v>
      </c>
      <c r="V286" s="75">
        <f t="shared" si="314"/>
        <v>1543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52"/>
      <c r="F287" s="78" t="str">
        <f t="shared" si="307"/>
        <v/>
      </c>
      <c r="G287" s="352"/>
      <c r="H287" s="78" t="str">
        <f t="shared" si="308"/>
        <v/>
      </c>
      <c r="I287" s="352"/>
      <c r="J287" s="78" t="str">
        <f t="shared" si="309"/>
        <v/>
      </c>
      <c r="K287" s="352"/>
      <c r="L287" s="78" t="str">
        <f t="shared" si="310"/>
        <v/>
      </c>
      <c r="M287" s="352"/>
      <c r="N287" s="78" t="str">
        <f t="shared" si="327"/>
        <v/>
      </c>
      <c r="O287" s="352"/>
      <c r="P287" s="78" t="str">
        <f t="shared" si="311"/>
        <v/>
      </c>
      <c r="Q287" s="352"/>
      <c r="R287" s="78" t="str">
        <f t="shared" si="312"/>
        <v/>
      </c>
      <c r="S287" s="352"/>
      <c r="T287" s="78" t="str">
        <f t="shared" si="313"/>
        <v/>
      </c>
      <c r="U287" s="352"/>
      <c r="V287" s="78" t="str">
        <f t="shared" si="314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1</v>
      </c>
      <c r="E292" s="349" t="str">
        <f t="shared" si="338"/>
        <v/>
      </c>
      <c r="F292" s="349">
        <f t="shared" si="338"/>
        <v>6</v>
      </c>
      <c r="G292" s="349" t="str">
        <f t="shared" si="338"/>
        <v/>
      </c>
      <c r="H292" s="349">
        <f t="shared" si="338"/>
        <v>4</v>
      </c>
      <c r="I292" s="349" t="str">
        <f t="shared" si="338"/>
        <v/>
      </c>
      <c r="J292" s="349">
        <f t="shared" si="338"/>
        <v>9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8</v>
      </c>
      <c r="O292" s="349" t="str">
        <f t="shared" si="339"/>
        <v/>
      </c>
      <c r="P292" s="349">
        <f t="shared" si="339"/>
        <v>7</v>
      </c>
      <c r="Q292" s="349" t="str">
        <f t="shared" si="339"/>
        <v/>
      </c>
      <c r="R292" s="349">
        <f t="shared" si="339"/>
        <v>2</v>
      </c>
      <c r="S292" s="349" t="str">
        <f t="shared" si="339"/>
        <v/>
      </c>
      <c r="T292" s="349">
        <f t="shared" si="339"/>
        <v>3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VLOOKUP($AA272,Schlüssel!$A$5:$DG$14,63)</f>
        <v>1</v>
      </c>
      <c r="AD292" s="374"/>
      <c r="AE292" s="373">
        <f>VLOOKUP($AA272,Schlüssel!$A$5:$EK$14,64)</f>
        <v>6</v>
      </c>
      <c r="AF292" s="374"/>
      <c r="AG292" s="373">
        <f>VLOOKUP($AA272,Schlüssel!$A$5:$EK$14,65)</f>
        <v>4</v>
      </c>
      <c r="AH292" s="374"/>
      <c r="AI292" s="373">
        <f>VLOOKUP($AA272,Schlüssel!$A$5:$EK$14,66)</f>
        <v>9</v>
      </c>
      <c r="AJ292" s="374"/>
      <c r="AK292" s="373">
        <f>VLOOKUP($AA272,Schlüssel!$A$5:$EK$14,67)</f>
        <v>5</v>
      </c>
      <c r="AL292" s="374"/>
      <c r="AM292" s="373">
        <f>VLOOKUP($AA272,Schlüssel!$A$5:$EK$14,68)</f>
        <v>8</v>
      </c>
      <c r="AN292" s="374"/>
      <c r="AO292" s="373">
        <f>VLOOKUP($AA272,Schlüssel!$A$5:$EK$14,69)</f>
        <v>7</v>
      </c>
      <c r="AP292" s="374"/>
      <c r="AQ292" s="373">
        <f>VLOOKUP($AA272,Schlüssel!$A$5:$EK$14,70)</f>
        <v>2</v>
      </c>
      <c r="AR292" s="374"/>
      <c r="AS292" s="373">
        <f>VLOOKUP($AA272,Schlüssel!$A$5:$EK$14,71)</f>
        <v>3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BC Comet Nürnberg</v>
      </c>
      <c r="E293" s="347" t="str">
        <f t="shared" si="338"/>
        <v/>
      </c>
      <c r="F293" s="346" t="str">
        <f t="shared" si="338"/>
        <v>SG Rottendorf 1</v>
      </c>
      <c r="G293" s="347" t="str">
        <f t="shared" si="338"/>
        <v/>
      </c>
      <c r="H293" s="346" t="str">
        <f t="shared" si="338"/>
        <v>SG DJK Rimpar</v>
      </c>
      <c r="I293" s="347" t="str">
        <f t="shared" si="338"/>
        <v/>
      </c>
      <c r="J293" s="346" t="str">
        <f t="shared" si="338"/>
        <v>Bowlinghaus Bamberg 1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BC EMAX Unterföhring 2</v>
      </c>
      <c r="O293" s="347" t="str">
        <f t="shared" si="339"/>
        <v/>
      </c>
      <c r="P293" s="346" t="str">
        <f t="shared" si="339"/>
        <v>Schanzer Ingolstadt 1</v>
      </c>
      <c r="Q293" s="347" t="str">
        <f t="shared" si="339"/>
        <v/>
      </c>
      <c r="R293" s="346" t="str">
        <f t="shared" si="339"/>
        <v>Bajuwaren München 1</v>
      </c>
      <c r="S293" s="347" t="str">
        <f t="shared" si="339"/>
        <v/>
      </c>
      <c r="T293" s="346" t="str">
        <f t="shared" si="339"/>
        <v>BK München 3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BC Comet Nürnberg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SG DJK Rimpar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BC EMAX Unterföhring 2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Bajuwaren München 1</v>
      </c>
      <c r="AR293" s="347"/>
      <c r="AS293" s="346" t="str">
        <f>VLOOKUP(AS292,Schlüssel!$A$5:$K$14,2)</f>
        <v>BK München 3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236</v>
      </c>
      <c r="E295" s="342" t="str">
        <f>IF(AD295=0,"",AD295)</f>
        <v/>
      </c>
      <c r="F295" s="342">
        <f>IF(AE295=301,"",AE295)</f>
        <v>168</v>
      </c>
      <c r="G295" s="342" t="str">
        <f>IF(AF295=0,"",AF295)</f>
        <v/>
      </c>
      <c r="H295" s="342">
        <f>IF(AG295=301,"",AG295)</f>
        <v>177</v>
      </c>
      <c r="I295" s="342" t="str">
        <f>IF(AH295=0,"",AH295)</f>
        <v/>
      </c>
      <c r="J295" s="342">
        <f>IF(AI295=301,"",AI295)</f>
        <v>201</v>
      </c>
      <c r="K295" s="342" t="str">
        <f>IF(AJ295=0,"",AJ295)</f>
        <v/>
      </c>
      <c r="L295" s="342">
        <f>IF(AK295=301,"",AK295)</f>
        <v>171</v>
      </c>
      <c r="M295" s="342" t="str">
        <f>IF(AL295=0,"",AL295)</f>
        <v/>
      </c>
      <c r="N295" s="342">
        <f>IF(AM295=301,"",AM295)</f>
        <v>153</v>
      </c>
      <c r="O295" s="342" t="str">
        <f>IF(AN295=0,"",AN295)</f>
        <v/>
      </c>
      <c r="P295" s="342">
        <f>IF(AO295=301,"",AO295)</f>
        <v>174</v>
      </c>
      <c r="Q295" s="342" t="str">
        <f>IF(AP295=0,"",AP295)</f>
        <v/>
      </c>
      <c r="R295" s="342">
        <f>IF(AQ295=301,"",AQ295)</f>
        <v>181</v>
      </c>
      <c r="S295" s="342" t="str">
        <f>IF(AR295=0,"",AR295)</f>
        <v/>
      </c>
      <c r="T295" s="342">
        <f>IF(AS295=301,"",AS295)</f>
        <v>228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236</v>
      </c>
      <c r="AD295" s="376"/>
      <c r="AE295" s="375">
        <f>ABS(INDEX(AE:AE,MATCH(AE292,$AA:$AA,0)+5)+INDEX(AE:AE,MATCH(AE292,$AA:$AA,0)+6)+INDEX(AE:AE,MATCH(AE292,$AA:$AA,0)+7))</f>
        <v>168</v>
      </c>
      <c r="AF295" s="376"/>
      <c r="AG295" s="375">
        <f>ABS(INDEX(AG:AG,MATCH(AG292,$AA:$AA,0)+5)+INDEX(AG:AG,MATCH(AG292,$AA:$AA,0)+6)+INDEX(AG:AG,MATCH(AG292,$AA:$AA,0)+7))</f>
        <v>177</v>
      </c>
      <c r="AH295" s="376"/>
      <c r="AI295" s="375">
        <f>ABS(INDEX(AI:AI,MATCH(AI292,$AA:$AA,0)+5)+INDEX(AI:AI,MATCH(AI292,$AA:$AA,0)+6)+INDEX(AI:AI,MATCH(AI292,$AA:$AA,0)+7))</f>
        <v>201</v>
      </c>
      <c r="AJ295" s="376"/>
      <c r="AK295" s="375">
        <f>ABS(INDEX(AK:AK,MATCH(AK292,$AA:$AA,0)+5)+INDEX(AK:AK,MATCH(AK292,$AA:$AA,0)+6)+INDEX(AK:AK,MATCH(AK292,$AA:$AA,0)+7))</f>
        <v>171</v>
      </c>
      <c r="AL295" s="376"/>
      <c r="AM295" s="375">
        <f>ABS(INDEX(AM:AM,MATCH(AM292,$AA:$AA,0)+5)+INDEX(AM:AM,MATCH(AM292,$AA:$AA,0)+6)+INDEX(AM:AM,MATCH(AM292,$AA:$AA,0)+7))</f>
        <v>153</v>
      </c>
      <c r="AN295" s="376"/>
      <c r="AO295" s="375">
        <f>ABS(INDEX(AO:AO,MATCH(AO292,$AA:$AA,0)+5)+INDEX(AO:AO,MATCH(AO292,$AA:$AA,0)+6)+INDEX(AO:AO,MATCH(AO292,$AA:$AA,0)+7))</f>
        <v>174</v>
      </c>
      <c r="AP295" s="376"/>
      <c r="AQ295" s="375">
        <f>ABS(INDEX(AQ:AQ,MATCH(AQ292,$AA:$AA,0)+5)+INDEX(AQ:AQ,MATCH(AQ292,$AA:$AA,0)+6)+INDEX(AQ:AQ,MATCH(AQ292,$AA:$AA,0)+7))</f>
        <v>181</v>
      </c>
      <c r="AR295" s="376"/>
      <c r="AS295" s="375">
        <f>ABS(INDEX(AS:AS,MATCH(AS292,$AA:$AA,0)+5)+INDEX(AS:AS,MATCH(AS292,$AA:$AA,0)+6)+INDEX(AS:AS,MATCH(AS292,$AA:$AA,0)+7))</f>
        <v>228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161</v>
      </c>
      <c r="E296" s="342" t="str">
        <f>IF(AD296=0,"",AD296)</f>
        <v/>
      </c>
      <c r="F296" s="342">
        <f>IF(AE296=301,"",AE296)</f>
        <v>174</v>
      </c>
      <c r="G296" s="342" t="str">
        <f>IF(AF296=0,"",AF296)</f>
        <v/>
      </c>
      <c r="H296" s="342">
        <f>IF(AG296=301,"",AG296)</f>
        <v>215</v>
      </c>
      <c r="I296" s="342" t="str">
        <f>IF(AH296=0,"",AH296)</f>
        <v/>
      </c>
      <c r="J296" s="342">
        <f>IF(AI296=301,"",AI296)</f>
        <v>192</v>
      </c>
      <c r="K296" s="342" t="str">
        <f>IF(AJ296=0,"",AJ296)</f>
        <v/>
      </c>
      <c r="L296" s="342">
        <f>IF(AK296=301,"",AK296)</f>
        <v>136</v>
      </c>
      <c r="M296" s="342" t="str">
        <f>IF(AL296=0,"",AL296)</f>
        <v/>
      </c>
      <c r="N296" s="342">
        <f>IF(AM296=301,"",AM296)</f>
        <v>155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134</v>
      </c>
      <c r="S296" s="342" t="str">
        <f>IF(AR296=0,"",AR296)</f>
        <v/>
      </c>
      <c r="T296" s="342">
        <f>IF(AS296=301,"",AS296)</f>
        <v>163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161</v>
      </c>
      <c r="AD296" s="378"/>
      <c r="AE296" s="377">
        <f>ABS(INDEX(AE:AE,MATCH(AE292,$AA:$AA,0)+8)+INDEX(AE:AE,MATCH(AE292,$AA:$AA,0)+9)+INDEX(AE:AE,MATCH(AE292,$AA:$AA,0)+10))</f>
        <v>174</v>
      </c>
      <c r="AF296" s="378"/>
      <c r="AG296" s="377">
        <f>ABS(INDEX(AG:AG,MATCH(AG292,$AA:$AA,0)+8)+INDEX(AG:AG,MATCH(AG292,$AA:$AA,0)+9)+INDEX(AG:AG,MATCH(AG292,$AA:$AA,0)+10))</f>
        <v>215</v>
      </c>
      <c r="AH296" s="378"/>
      <c r="AI296" s="377">
        <f>ABS(INDEX(AI:AI,MATCH(AI292,$AA:$AA,0)+8)+INDEX(AI:AI,MATCH(AI292,$AA:$AA,0)+9)+INDEX(AI:AI,MATCH(AI292,$AA:$AA,0)+10))</f>
        <v>192</v>
      </c>
      <c r="AJ296" s="378"/>
      <c r="AK296" s="377">
        <f>ABS(INDEX(AK:AK,MATCH(AK292,$AA:$AA,0)+8)+INDEX(AK:AK,MATCH(AK292,$AA:$AA,0)+9)+INDEX(AK:AK,MATCH(AK292,$AA:$AA,0)+10))</f>
        <v>136</v>
      </c>
      <c r="AL296" s="378"/>
      <c r="AM296" s="377">
        <f>ABS(INDEX(AM:AM,MATCH(AM292,$AA:$AA,0)+8)+INDEX(AM:AM,MATCH(AM292,$AA:$AA,0)+9)+INDEX(AM:AM,MATCH(AM292,$AA:$AA,0)+10))</f>
        <v>155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134</v>
      </c>
      <c r="AR296" s="378"/>
      <c r="AS296" s="377">
        <f>ABS(INDEX(AS:AS,MATCH(AS292,$AA:$AA,0)+8)+INDEX(AS:AS,MATCH(AS292,$AA:$AA,0)+9)+INDEX(AS:AS,MATCH(AS292,$AA:$AA,0)+10))</f>
        <v>163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173</v>
      </c>
      <c r="E297" s="342" t="str">
        <f>IF(AD297=0,"",AD297)</f>
        <v/>
      </c>
      <c r="F297" s="342">
        <f>IF(AE297=301,"",AE297)</f>
        <v>215</v>
      </c>
      <c r="G297" s="342" t="str">
        <f>IF(AF297=0,"",AF297)</f>
        <v/>
      </c>
      <c r="H297" s="342">
        <f>IF(AG297=301,"",AG297)</f>
        <v>150</v>
      </c>
      <c r="I297" s="342" t="str">
        <f>IF(AH297=0,"",AH297)</f>
        <v/>
      </c>
      <c r="J297" s="342">
        <f>IF(AI297=301,"",AI297)</f>
        <v>170</v>
      </c>
      <c r="K297" s="342" t="str">
        <f>IF(AJ297=0,"",AJ297)</f>
        <v/>
      </c>
      <c r="L297" s="342">
        <f>IF(AK297=301,"",AK297)</f>
        <v>168</v>
      </c>
      <c r="M297" s="342" t="str">
        <f>IF(AL297=0,"",AL297)</f>
        <v/>
      </c>
      <c r="N297" s="342">
        <f>IF(AM297=301,"",AM297)</f>
        <v>245</v>
      </c>
      <c r="O297" s="342" t="str">
        <f>IF(AN297=0,"",AN297)</f>
        <v/>
      </c>
      <c r="P297" s="342">
        <f>IF(AO297=301,"",AO297)</f>
        <v>156</v>
      </c>
      <c r="Q297" s="342" t="str">
        <f>IF(AP297=0,"",AP297)</f>
        <v/>
      </c>
      <c r="R297" s="342">
        <f>IF(AQ297=301,"",AQ297)</f>
        <v>181</v>
      </c>
      <c r="S297" s="342" t="str">
        <f>IF(AR297=0,"",AR297)</f>
        <v/>
      </c>
      <c r="T297" s="342">
        <f>IF(AS297=301,"",AS297)</f>
        <v>128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173</v>
      </c>
      <c r="AD297" s="378"/>
      <c r="AE297" s="377">
        <f>ABS(INDEX(AE:AE,MATCH(AE292,$AA:$AA,0)+11)+INDEX(AE:AE,MATCH(AE292,$AA:$AA,0)+12)+INDEX(AE:AE,MATCH(AE292,$AA:$AA,0)+13))</f>
        <v>215</v>
      </c>
      <c r="AF297" s="378"/>
      <c r="AG297" s="377">
        <f>ABS(INDEX(AG:AG,MATCH(AG292,$AA:$AA,0)+11)+INDEX(AG:AG,MATCH(AG292,$AA:$AA,0)+12)+INDEX(AG:AG,MATCH(AG292,$AA:$AA,0)+13))</f>
        <v>150</v>
      </c>
      <c r="AH297" s="378"/>
      <c r="AI297" s="377">
        <f>ABS(INDEX(AI:AI,MATCH(AI292,$AA:$AA,0)+11)+INDEX(AI:AI,MATCH(AI292,$AA:$AA,0)+12)+INDEX(AI:AI,MATCH(AI292,$AA:$AA,0)+13))</f>
        <v>170</v>
      </c>
      <c r="AJ297" s="378"/>
      <c r="AK297" s="377">
        <f>ABS(INDEX(AK:AK,MATCH(AK292,$AA:$AA,0)+11)+INDEX(AK:AK,MATCH(AK292,$AA:$AA,0)+12)+INDEX(AK:AK,MATCH(AK292,$AA:$AA,0)+13))</f>
        <v>168</v>
      </c>
      <c r="AL297" s="378"/>
      <c r="AM297" s="377">
        <f>ABS(INDEX(AM:AM,MATCH(AM292,$AA:$AA,0)+11)+INDEX(AM:AM,MATCH(AM292,$AA:$AA,0)+12)+INDEX(AM:AM,MATCH(AM292,$AA:$AA,0)+13))</f>
        <v>245</v>
      </c>
      <c r="AN297" s="378"/>
      <c r="AO297" s="377">
        <f>ABS(INDEX(AO:AO,MATCH(AO292,$AA:$AA,0)+11)+INDEX(AO:AO,MATCH(AO292,$AA:$AA,0)+12)+INDEX(AO:AO,MATCH(AO292,$AA:$AA,0)+13))</f>
        <v>156</v>
      </c>
      <c r="AP297" s="378"/>
      <c r="AQ297" s="377">
        <f>ABS(INDEX(AQ:AQ,MATCH(AQ292,$AA:$AA,0)+11)+INDEX(AQ:AQ,MATCH(AQ292,$AA:$AA,0)+12)+INDEX(AQ:AQ,MATCH(AQ292,$AA:$AA,0)+13))</f>
        <v>181</v>
      </c>
      <c r="AR297" s="378"/>
      <c r="AS297" s="377">
        <f>ABS(INDEX(AS:AS,MATCH(AS292,$AA:$AA,0)+11)+INDEX(AS:AS,MATCH(AS292,$AA:$AA,0)+12)+INDEX(AS:AS,MATCH(AS292,$AA:$AA,0)+13))</f>
        <v>128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208</v>
      </c>
      <c r="E298" s="342" t="str">
        <f>IF(AD298=0,"",AD298)</f>
        <v/>
      </c>
      <c r="F298" s="342">
        <f>IF(AE298=301,"",AE298)</f>
        <v>232</v>
      </c>
      <c r="G298" s="342" t="str">
        <f>IF(AF298=0,"",AF298)</f>
        <v/>
      </c>
      <c r="H298" s="342">
        <f>IF(AG298=301,"",AG298)</f>
        <v>140</v>
      </c>
      <c r="I298" s="342" t="str">
        <f>IF(AH298=0,"",AH298)</f>
        <v/>
      </c>
      <c r="J298" s="342">
        <f>IF(AI298=301,"",AI298)</f>
        <v>162</v>
      </c>
      <c r="K298" s="342" t="str">
        <f>IF(AJ298=0,"",AJ298)</f>
        <v/>
      </c>
      <c r="L298" s="342">
        <f>IF(AK298=301,"",AK298)</f>
        <v>166</v>
      </c>
      <c r="M298" s="342" t="str">
        <f>IF(AL298=0,"",AL298)</f>
        <v/>
      </c>
      <c r="N298" s="342">
        <f>IF(AM298=301,"",AM298)</f>
        <v>182</v>
      </c>
      <c r="O298" s="342" t="str">
        <f>IF(AN298=0,"",AN298)</f>
        <v/>
      </c>
      <c r="P298" s="342">
        <f>IF(AO298=301,"",AO298)</f>
        <v>216</v>
      </c>
      <c r="Q298" s="342" t="str">
        <f>IF(AP298=0,"",AP298)</f>
        <v/>
      </c>
      <c r="R298" s="342">
        <f>IF(AQ298=301,"",AQ298)</f>
        <v>169</v>
      </c>
      <c r="S298" s="342" t="str">
        <f>IF(AR298=0,"",AR298)</f>
        <v/>
      </c>
      <c r="T298" s="342">
        <f>IF(AS298=301,"",AS298)</f>
        <v>202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208</v>
      </c>
      <c r="AD298" s="378"/>
      <c r="AE298" s="377">
        <f>ABS(INDEX(AE:AE,MATCH(AE292,$AA:$AA,0)+14)+INDEX(AE:AE,MATCH(AE292,$AA:$AA,0)+15)+INDEX(AE:AE,MATCH(AE292,$AA:$AA,0)+16))</f>
        <v>232</v>
      </c>
      <c r="AF298" s="378"/>
      <c r="AG298" s="377">
        <f>ABS(INDEX(AG:AG,MATCH(AG292,$AA:$AA,0)+14)+INDEX(AG:AG,MATCH(AG292,$AA:$AA,0)+15)+INDEX(AG:AG,MATCH(AG292,$AA:$AA,0)+16))</f>
        <v>140</v>
      </c>
      <c r="AH298" s="378"/>
      <c r="AI298" s="377">
        <f>ABS(INDEX(AI:AI,MATCH(AI292,$AA:$AA,0)+14)+INDEX(AI:AI,MATCH(AI292,$AA:$AA,0)+15)+INDEX(AI:AI,MATCH(AI292,$AA:$AA,0)+16))</f>
        <v>162</v>
      </c>
      <c r="AJ298" s="378"/>
      <c r="AK298" s="377">
        <f>ABS(INDEX(AK:AK,MATCH(AK292,$AA:$AA,0)+14)+INDEX(AK:AK,MATCH(AK292,$AA:$AA,0)+15)+INDEX(AK:AK,MATCH(AK292,$AA:$AA,0)+16))</f>
        <v>166</v>
      </c>
      <c r="AL298" s="378"/>
      <c r="AM298" s="377">
        <f>ABS(INDEX(AM:AM,MATCH(AM292,$AA:$AA,0)+14)+INDEX(AM:AM,MATCH(AM292,$AA:$AA,0)+15)+INDEX(AM:AM,MATCH(AM292,$AA:$AA,0)+16))</f>
        <v>182</v>
      </c>
      <c r="AN298" s="378"/>
      <c r="AO298" s="377">
        <f>ABS(INDEX(AO:AO,MATCH(AO292,$AA:$AA,0)+14)+INDEX(AO:AO,MATCH(AO292,$AA:$AA,0)+15)+INDEX(AO:AO,MATCH(AO292,$AA:$AA,0)+16))</f>
        <v>216</v>
      </c>
      <c r="AP298" s="378"/>
      <c r="AQ298" s="377">
        <f>ABS(INDEX(AQ:AQ,MATCH(AQ292,$AA:$AA,0)+14)+INDEX(AQ:AQ,MATCH(AQ292,$AA:$AA,0)+15)+INDEX(AQ:AQ,MATCH(AQ292,$AA:$AA,0)+16))</f>
        <v>169</v>
      </c>
      <c r="AR298" s="378"/>
      <c r="AS298" s="377">
        <f>ABS(INDEX(AS:AS,MATCH(AS292,$AA:$AA,0)+14)+INDEX(AS:AS,MATCH(AS292,$AA:$AA,0)+15)+INDEX(AS:AS,MATCH(AS292,$AA:$AA,0)+16))</f>
        <v>202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778</v>
      </c>
      <c r="E299" s="341" t="str">
        <f>IF(AD299=0,"",AD299)</f>
        <v/>
      </c>
      <c r="F299" s="341">
        <f>IF(AE299=1505,"",AE299)</f>
        <v>789</v>
      </c>
      <c r="G299" s="341" t="str">
        <f>IF(AF299=0,"",AF299)</f>
        <v/>
      </c>
      <c r="H299" s="341">
        <f>IF(AG299=1505,"",AG299)</f>
        <v>682</v>
      </c>
      <c r="I299" s="341" t="str">
        <f>IF(AH299=0,"",AH299)</f>
        <v/>
      </c>
      <c r="J299" s="341">
        <f>IF(AI299=1505,"",AI299)</f>
        <v>725</v>
      </c>
      <c r="K299" s="341" t="str">
        <f>IF(AJ299=0,"",AJ299)</f>
        <v/>
      </c>
      <c r="L299" s="341">
        <f>IF(AK299=1505,"",AK299)</f>
        <v>641</v>
      </c>
      <c r="M299" s="341" t="str">
        <f>IF(AL299=0,"",AL299)</f>
        <v/>
      </c>
      <c r="N299" s="341">
        <f>IF(AM299=1505,"",AM299)</f>
        <v>735</v>
      </c>
      <c r="O299" s="341" t="str">
        <f>IF(AN299=0,"",AN299)</f>
        <v/>
      </c>
      <c r="P299" s="341">
        <f>IF(AO299=1505,"",AO299)</f>
        <v>749</v>
      </c>
      <c r="Q299" s="341" t="str">
        <f>IF(AP299=0,"",AP299)</f>
        <v/>
      </c>
      <c r="R299" s="341">
        <f>IF(AQ299=1505,"",AQ299)</f>
        <v>665</v>
      </c>
      <c r="S299" s="341" t="str">
        <f>IF(AR299=0,"",AR299)</f>
        <v/>
      </c>
      <c r="T299" s="341">
        <f>IF(AS299=1505,"",AS299)</f>
        <v>721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778</v>
      </c>
      <c r="AD299" s="358"/>
      <c r="AE299" s="357">
        <f>SUM(AE295:AE298)</f>
        <v>789</v>
      </c>
      <c r="AF299" s="358"/>
      <c r="AG299" s="357">
        <f>SUM(AG295:AG298)</f>
        <v>682</v>
      </c>
      <c r="AH299" s="358"/>
      <c r="AI299" s="357">
        <f>SUM(AI295:AI298)</f>
        <v>725</v>
      </c>
      <c r="AJ299" s="358"/>
      <c r="AK299" s="357">
        <f>SUM(AK295:AK298)</f>
        <v>641</v>
      </c>
      <c r="AL299" s="358"/>
      <c r="AM299" s="357">
        <f>SUM(AM295:AM298)</f>
        <v>735</v>
      </c>
      <c r="AN299" s="358"/>
      <c r="AO299" s="357">
        <f>SUM(AO295:AO298)</f>
        <v>749</v>
      </c>
      <c r="AP299" s="358"/>
      <c r="AQ299" s="357">
        <f>SUM(AQ295:AQ298)</f>
        <v>665</v>
      </c>
      <c r="AR299" s="358"/>
      <c r="AS299" s="357">
        <f>SUM(AS295:AS298)</f>
        <v>721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7.7773437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"&amp;Erfassung4!AS2&amp;"     -     "&amp;Erfassung4!AT1</f>
        <v>Saison 2024/2025     -     Spieltag 4     -     15.02./16.02.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+Erfassung4!AE2</f>
        <v>Regensburg Super Bowl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79" t="str">
        <f>IFERROR(ROUND(INDEX(Erfassung4!BW:BW,MATCH(1,Erfassung4!BZ:BZ,0)),0),"")&amp;"  /  "&amp;ROUND(IFERROR(ROUND(INDEX(Erfassung4!BW:BW,MATCH(1,Erfassung4!BZ:BZ,0)),0),"")/9,2)</f>
        <v>1971  /  219</v>
      </c>
      <c r="O24" s="379"/>
      <c r="P24" s="379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6" width="8.6640625" customWidth="1"/>
    <col min="7" max="7" width="7.7773437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"&amp;Erfassung4!AS2&amp;"     -     "&amp;Erfassung4!AT1</f>
        <v>Saison 2024/2025     -     Spieltag 4     -     15.02./16.02.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93"/>
      <c r="K4" s="393"/>
      <c r="L4" s="30"/>
      <c r="M4" s="27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82" t="s">
        <v>1799</v>
      </c>
      <c r="L5" s="383"/>
      <c r="M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5"/>
    </row>
    <row r="7" spans="1:31" ht="42" customHeight="1" thickBot="1" x14ac:dyDescent="0.3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5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5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5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5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5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5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5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5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5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5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5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5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5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5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5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5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5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5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5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5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5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5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5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5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5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38907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5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+Spielzettel5!T2</f>
        <v>5</v>
      </c>
      <c r="F6" s="320"/>
      <c r="P6" s="140" t="s">
        <v>1838</v>
      </c>
      <c r="Q6" s="321" t="str">
        <f>+Spielzettel5!U1</f>
        <v>15.03./16.03.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+Spielzettel5!F2</f>
        <v>Brunnthal Max Munich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+Spielzettel5!F1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4" t="s">
        <v>2574</v>
      </c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6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2553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2575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Schlüssel!$CO$1</f>
        <v>15.03./16.03.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Schlüssel!$CE$2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VLOOKUP(B2,Schlüssel!$A$5:$DZ$14,83)</f>
        <v>2</v>
      </c>
      <c r="E22" s="349"/>
      <c r="F22" s="349">
        <f>VLOOKUP(B2,Schlüssel!$A$5:$DZ$14,84)</f>
        <v>6</v>
      </c>
      <c r="G22" s="349"/>
      <c r="H22" s="349">
        <f>VLOOKUP(B2,Schlüssel!$A$5:$DZ$14,85)</f>
        <v>10</v>
      </c>
      <c r="I22" s="349"/>
      <c r="J22" s="349">
        <f>VLOOKUP(B2,Schlüssel!$A$5:$DZ$14,86)</f>
        <v>9</v>
      </c>
      <c r="K22" s="349"/>
      <c r="L22" s="349">
        <f>VLOOKUP(B2,Schlüssel!$A$5:$DZ$14,87)</f>
        <v>4</v>
      </c>
      <c r="M22" s="349"/>
      <c r="N22" s="349">
        <f>VLOOKUP(B2,Schlüssel!$A$5:$DZ$14,88)</f>
        <v>3</v>
      </c>
      <c r="O22" s="349"/>
      <c r="P22" s="349">
        <f>VLOOKUP(B2,Schlüssel!$A$5:$DZ$14,89)</f>
        <v>5</v>
      </c>
      <c r="Q22" s="349"/>
      <c r="R22" s="349">
        <f>VLOOKUP(B2,Schlüssel!$A$5:$DZ$14,90)</f>
        <v>8</v>
      </c>
      <c r="S22" s="349"/>
      <c r="T22" s="349">
        <f>VLOOKUP(B2,Schlüssel!$A$5:$DZ$14,91)</f>
        <v>7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Bajuwaren München 1</v>
      </c>
      <c r="E23" s="347"/>
      <c r="F23" s="346" t="str">
        <f>VLOOKUP(F22,Schlüssel!$A$5:$K$14,2)</f>
        <v>SG Rottendorf 1</v>
      </c>
      <c r="G23" s="347"/>
      <c r="H23" s="346" t="str">
        <f>VLOOKUP(H22,Schlüssel!$A$5:$K$14,2)</f>
        <v>High Roller Rosenheim 1</v>
      </c>
      <c r="I23" s="347"/>
      <c r="J23" s="346" t="str">
        <f>VLOOKUP(J22,Schlüssel!$A$5:$K$14,2)</f>
        <v>Bowlinghaus Bamberg 1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BK München 3</v>
      </c>
      <c r="O23" s="347"/>
      <c r="P23" s="346" t="str">
        <f>VLOOKUP(P22,Schlüssel!$A$5:$K$14,2)</f>
        <v>RW Lichtenhof Stein 1</v>
      </c>
      <c r="Q23" s="347"/>
      <c r="R23" s="346" t="str">
        <f>VLOOKUP(R22,Schlüssel!$A$5:$K$14,2)</f>
        <v>BC EMAX Unterföhring 2</v>
      </c>
      <c r="S23" s="347"/>
      <c r="T23" s="346" t="str">
        <f>VLOOKUP(T22,Schlüssel!$A$5:$K$14,2)</f>
        <v>Schanzer Ingolstadt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Schlüssel!$CO$1</f>
        <v>15.03./16.03.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Schlüssel!$CE$2</f>
        <v>Brunnthal Max Munich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VLOOKUP(B31,Schlüssel!$A$5:$DZ$14,83)</f>
        <v>1</v>
      </c>
      <c r="E51" s="349"/>
      <c r="F51" s="349">
        <f>VLOOKUP(B31,Schlüssel!$A$5:$DZ$14,84)</f>
        <v>9</v>
      </c>
      <c r="G51" s="349"/>
      <c r="H51" s="349">
        <f>VLOOKUP(B31,Schlüssel!$A$5:$DZ$14,85)</f>
        <v>3</v>
      </c>
      <c r="I51" s="349"/>
      <c r="J51" s="349">
        <f>VLOOKUP(B31,Schlüssel!$A$5:$DZ$14,86)</f>
        <v>10</v>
      </c>
      <c r="K51" s="349"/>
      <c r="L51" s="349">
        <f>VLOOKUP(B31,Schlüssel!$A$5:$DZ$14,87)</f>
        <v>6</v>
      </c>
      <c r="M51" s="349"/>
      <c r="N51" s="349">
        <f>VLOOKUP(B31,Schlüssel!$A$5:$DZ$14,88)</f>
        <v>7</v>
      </c>
      <c r="O51" s="349"/>
      <c r="P51" s="349">
        <f>VLOOKUP(B31,Schlüssel!$A$5:$DZ$14,89)</f>
        <v>8</v>
      </c>
      <c r="Q51" s="349"/>
      <c r="R51" s="349">
        <f>VLOOKUP(B31,Schlüssel!$A$5:$DZ$14,90)</f>
        <v>4</v>
      </c>
      <c r="S51" s="349"/>
      <c r="T51" s="349">
        <f>VLOOKUP(B31,Schlüssel!$A$5:$DZ$14,91)</f>
        <v>5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Comet Nürnberg</v>
      </c>
      <c r="E52" s="347"/>
      <c r="F52" s="346" t="str">
        <f>VLOOKUP(F51,Schlüssel!$A$5:$K$14,2)</f>
        <v>Bowlinghaus Bamberg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High Roller Rosenheim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RW Lichtenhof Stein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Schlüssel!$CO$1</f>
        <v>15.03./16.03.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Schlüssel!$CE$2</f>
        <v>Brunnthal Max Munich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VLOOKUP(B60,Schlüssel!$A$5:$DZ$14,83)</f>
        <v>4</v>
      </c>
      <c r="E80" s="349"/>
      <c r="F80" s="349">
        <f>VLOOKUP(B60,Schlüssel!$A$5:$DZ$14,84)</f>
        <v>7</v>
      </c>
      <c r="G80" s="349"/>
      <c r="H80" s="349">
        <f>VLOOKUP(B60,Schlüssel!$A$5:$DZ$14,85)</f>
        <v>2</v>
      </c>
      <c r="I80" s="349"/>
      <c r="J80" s="349">
        <f>VLOOKUP(B60,Schlüssel!$A$5:$DZ$14,86)</f>
        <v>5</v>
      </c>
      <c r="K80" s="349"/>
      <c r="L80" s="349">
        <f>VLOOKUP(B60,Schlüssel!$A$5:$DZ$14,87)</f>
        <v>8</v>
      </c>
      <c r="M80" s="349"/>
      <c r="N80" s="349">
        <f>VLOOKUP(B60,Schlüssel!$A$5:$DZ$14,88)</f>
        <v>1</v>
      </c>
      <c r="O80" s="349"/>
      <c r="P80" s="349">
        <f>VLOOKUP(B60,Schlüssel!$A$5:$DZ$14,89)</f>
        <v>10</v>
      </c>
      <c r="Q80" s="349"/>
      <c r="R80" s="349">
        <f>VLOOKUP(B60,Schlüssel!$A$5:$DZ$14,90)</f>
        <v>9</v>
      </c>
      <c r="S80" s="349"/>
      <c r="T80" s="349">
        <f>VLOOKUP(B60,Schlüssel!$A$5:$DZ$14,91)</f>
        <v>6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DJK Rimpar</v>
      </c>
      <c r="E81" s="347"/>
      <c r="F81" s="346" t="str">
        <f>VLOOKUP(F80,Schlüssel!$A$5:$K$14,2)</f>
        <v>Schanzer Ingolstadt 1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RW Lichtenhof Stein 1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BC Comet Nürnberg</v>
      </c>
      <c r="O81" s="347"/>
      <c r="P81" s="346" t="str">
        <f>VLOOKUP(P80,Schlüssel!$A$5:$K$14,2)</f>
        <v>High Roller Rosenheim 1</v>
      </c>
      <c r="Q81" s="347"/>
      <c r="R81" s="346" t="str">
        <f>VLOOKUP(R80,Schlüssel!$A$5:$K$14,2)</f>
        <v>Bowlinghaus Bamberg 1</v>
      </c>
      <c r="S81" s="347"/>
      <c r="T81" s="346" t="str">
        <f>VLOOKUP(T80,Schlüssel!$A$5:$K$14,2)</f>
        <v>SG Rottendorf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Schlüssel!$CO$1</f>
        <v>15.03./16.03.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Schlüssel!$CE$2</f>
        <v>Brunnthal Max Munich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VLOOKUP(B89,Schlüssel!$A$5:$DZ$14,83)</f>
        <v>3</v>
      </c>
      <c r="E109" s="349"/>
      <c r="F109" s="349">
        <f>VLOOKUP(B89,Schlüssel!$A$5:$DZ$14,84)</f>
        <v>8</v>
      </c>
      <c r="G109" s="349"/>
      <c r="H109" s="349">
        <f>VLOOKUP(B89,Schlüssel!$A$5:$DZ$14,85)</f>
        <v>5</v>
      </c>
      <c r="I109" s="349"/>
      <c r="J109" s="349">
        <f>VLOOKUP(B89,Schlüssel!$A$5:$DZ$14,86)</f>
        <v>7</v>
      </c>
      <c r="K109" s="349"/>
      <c r="L109" s="349">
        <f>VLOOKUP(B89,Schlüssel!$A$5:$DZ$14,87)</f>
        <v>1</v>
      </c>
      <c r="M109" s="349"/>
      <c r="N109" s="349">
        <f>VLOOKUP(B89,Schlüssel!$A$5:$DZ$14,88)</f>
        <v>10</v>
      </c>
      <c r="O109" s="349"/>
      <c r="P109" s="349">
        <f>VLOOKUP(B89,Schlüssel!$A$5:$DZ$14,89)</f>
        <v>6</v>
      </c>
      <c r="Q109" s="349"/>
      <c r="R109" s="349">
        <f>VLOOKUP(B89,Schlüssel!$A$5:$DZ$14,90)</f>
        <v>2</v>
      </c>
      <c r="S109" s="349"/>
      <c r="T109" s="349">
        <f>VLOOKUP(B89,Schlüssel!$A$5:$DZ$14,91)</f>
        <v>9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BK München 3</v>
      </c>
      <c r="E110" s="347"/>
      <c r="F110" s="346" t="str">
        <f>VLOOKUP(F109,Schlüssel!$A$5:$K$14,2)</f>
        <v>BC EMAX Unterföhring 2</v>
      </c>
      <c r="G110" s="347"/>
      <c r="H110" s="346" t="str">
        <f>VLOOKUP(H109,Schlüssel!$A$5:$K$14,2)</f>
        <v>RW Lichtenhof Stein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SG Rottendorf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Bowlinghaus Bamberg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Schlüssel!$CO$1</f>
        <v>15.03./16.03.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Schlüssel!$CE$2</f>
        <v>Brunnthal Max Munich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VLOOKUP(B118,Schlüssel!$A$5:$DZ$14,83)</f>
        <v>6</v>
      </c>
      <c r="E138" s="349"/>
      <c r="F138" s="349">
        <f>VLOOKUP(B118,Schlüssel!$A$5:$DZ$14,84)</f>
        <v>10</v>
      </c>
      <c r="G138" s="349"/>
      <c r="H138" s="349">
        <f>VLOOKUP(B118,Schlüssel!$A$5:$DZ$14,85)</f>
        <v>4</v>
      </c>
      <c r="I138" s="349"/>
      <c r="J138" s="349">
        <f>VLOOKUP(B118,Schlüssel!$A$5:$DZ$14,86)</f>
        <v>3</v>
      </c>
      <c r="K138" s="349"/>
      <c r="L138" s="349">
        <f>VLOOKUP(B118,Schlüssel!$A$5:$DZ$14,87)</f>
        <v>9</v>
      </c>
      <c r="M138" s="349"/>
      <c r="N138" s="349">
        <f>VLOOKUP(B118,Schlüssel!$A$5:$DZ$14,88)</f>
        <v>8</v>
      </c>
      <c r="O138" s="349"/>
      <c r="P138" s="349">
        <f>VLOOKUP(B118,Schlüssel!$A$5:$DZ$14,89)</f>
        <v>1</v>
      </c>
      <c r="Q138" s="349"/>
      <c r="R138" s="349">
        <f>VLOOKUP(B118,Schlüssel!$A$5:$DZ$14,90)</f>
        <v>7</v>
      </c>
      <c r="S138" s="349"/>
      <c r="T138" s="349">
        <f>VLOOKUP(B118,Schlüssel!$A$5:$DZ$14,91)</f>
        <v>2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Rottendorf 1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DJK Rimpar</v>
      </c>
      <c r="I139" s="347"/>
      <c r="J139" s="346" t="str">
        <f>VLOOKUP(J138,Schlüssel!$A$5:$K$14,2)</f>
        <v>BK München 3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BC Comet Nürnberg</v>
      </c>
      <c r="Q139" s="347"/>
      <c r="R139" s="346" t="str">
        <f>VLOOKUP(R138,Schlüssel!$A$5:$K$14,2)</f>
        <v>Schanzer Ingolstadt 1</v>
      </c>
      <c r="S139" s="347"/>
      <c r="T139" s="346" t="str">
        <f>VLOOKUP(T138,Schlüssel!$A$5:$K$14,2)</f>
        <v>Bajuwaren München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Schlüssel!$CO$1</f>
        <v>15.03./16.03.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Schlüssel!$CE$2</f>
        <v>Brunnthal Max Munich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VLOOKUP(B147,Schlüssel!$A$5:$DZ$14,83)</f>
        <v>5</v>
      </c>
      <c r="E167" s="349"/>
      <c r="F167" s="349">
        <f>VLOOKUP(B147,Schlüssel!$A$5:$DZ$14,84)</f>
        <v>1</v>
      </c>
      <c r="G167" s="349"/>
      <c r="H167" s="349">
        <f>VLOOKUP(B147,Schlüssel!$A$5:$DZ$14,85)</f>
        <v>7</v>
      </c>
      <c r="I167" s="349"/>
      <c r="J167" s="349">
        <f>VLOOKUP(B147,Schlüssel!$A$5:$DZ$14,86)</f>
        <v>8</v>
      </c>
      <c r="K167" s="349"/>
      <c r="L167" s="349">
        <f>VLOOKUP(B147,Schlüssel!$A$5:$DZ$14,87)</f>
        <v>2</v>
      </c>
      <c r="M167" s="349"/>
      <c r="N167" s="349">
        <f>VLOOKUP(B147,Schlüssel!$A$5:$DZ$14,88)</f>
        <v>9</v>
      </c>
      <c r="O167" s="349"/>
      <c r="P167" s="349">
        <f>VLOOKUP(B147,Schlüssel!$A$5:$DZ$14,89)</f>
        <v>4</v>
      </c>
      <c r="Q167" s="349"/>
      <c r="R167" s="349">
        <f>VLOOKUP(B147,Schlüssel!$A$5:$DZ$14,90)</f>
        <v>10</v>
      </c>
      <c r="S167" s="349"/>
      <c r="T167" s="349">
        <f>VLOOKUP(B147,Schlüssel!$A$5:$DZ$14,91)</f>
        <v>3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RW Lichtenhof Stein 1</v>
      </c>
      <c r="E168" s="347"/>
      <c r="F168" s="346" t="str">
        <f>VLOOKUP(F167,Schlüssel!$A$5:$K$14,2)</f>
        <v>BC Comet Nürnberg</v>
      </c>
      <c r="G168" s="347"/>
      <c r="H168" s="346" t="str">
        <f>VLOOKUP(H167,Schlüssel!$A$5:$K$14,2)</f>
        <v>Schanzer Ingolstadt 1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Bowlinghaus Bamberg 1</v>
      </c>
      <c r="O168" s="347"/>
      <c r="P168" s="346" t="str">
        <f>VLOOKUP(P167,Schlüssel!$A$5:$K$14,2)</f>
        <v>SG DJK Rimpar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BK München 3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Schlüssel!$CO$1</f>
        <v>15.03./16.03.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Schlüssel!$CE$2</f>
        <v>Brunnthal Max Munich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VLOOKUP(B176,Schlüssel!$A$5:$DZ$14,83)</f>
        <v>8</v>
      </c>
      <c r="E196" s="349"/>
      <c r="F196" s="349">
        <f>VLOOKUP(B176,Schlüssel!$A$5:$DZ$14,84)</f>
        <v>3</v>
      </c>
      <c r="G196" s="349"/>
      <c r="H196" s="349">
        <f>VLOOKUP(B176,Schlüssel!$A$5:$DZ$14,85)</f>
        <v>6</v>
      </c>
      <c r="I196" s="349"/>
      <c r="J196" s="349">
        <f>VLOOKUP(B176,Schlüssel!$A$5:$DZ$14,86)</f>
        <v>4</v>
      </c>
      <c r="K196" s="349"/>
      <c r="L196" s="349">
        <f>VLOOKUP(B176,Schlüssel!$A$5:$DZ$14,87)</f>
        <v>10</v>
      </c>
      <c r="M196" s="349"/>
      <c r="N196" s="349">
        <f>VLOOKUP(B176,Schlüssel!$A$5:$DZ$14,88)</f>
        <v>2</v>
      </c>
      <c r="O196" s="349"/>
      <c r="P196" s="349">
        <f>VLOOKUP(B176,Schlüssel!$A$5:$DZ$14,89)</f>
        <v>9</v>
      </c>
      <c r="Q196" s="349"/>
      <c r="R196" s="349">
        <f>VLOOKUP(B176,Schlüssel!$A$5:$DZ$14,90)</f>
        <v>5</v>
      </c>
      <c r="S196" s="349"/>
      <c r="T196" s="349">
        <f>VLOOKUP(B176,Schlüssel!$A$5:$DZ$14,91)</f>
        <v>1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EMAX Unterföhring 2</v>
      </c>
      <c r="E197" s="347"/>
      <c r="F197" s="346" t="str">
        <f>VLOOKUP(F196,Schlüssel!$A$5:$K$14,2)</f>
        <v>BK München 3</v>
      </c>
      <c r="G197" s="347"/>
      <c r="H197" s="346" t="str">
        <f>VLOOKUP(H196,Schlüssel!$A$5:$K$14,2)</f>
        <v>SG Rottendorf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RW Lichtenhof Stein 1</v>
      </c>
      <c r="S197" s="347"/>
      <c r="T197" s="346" t="str">
        <f>VLOOKUP(T196,Schlüssel!$A$5:$K$14,2)</f>
        <v>BC Comet Nürnberg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Schlüssel!$CO$1</f>
        <v>15.03./16.03.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Schlüssel!$CE$2</f>
        <v>Brunnthal Max Munich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VLOOKUP(B205,Schlüssel!$A$5:$DZ$14,83)</f>
        <v>7</v>
      </c>
      <c r="E225" s="349"/>
      <c r="F225" s="349">
        <f>VLOOKUP(B205,Schlüssel!$A$5:$DZ$14,84)</f>
        <v>4</v>
      </c>
      <c r="G225" s="349"/>
      <c r="H225" s="349">
        <f>VLOOKUP(B205,Schlüssel!$A$5:$DZ$14,85)</f>
        <v>9</v>
      </c>
      <c r="I225" s="349"/>
      <c r="J225" s="349">
        <f>VLOOKUP(B205,Schlüssel!$A$5:$DZ$14,86)</f>
        <v>6</v>
      </c>
      <c r="K225" s="349"/>
      <c r="L225" s="349">
        <f>VLOOKUP(B205,Schlüssel!$A$5:$DZ$14,87)</f>
        <v>3</v>
      </c>
      <c r="M225" s="349"/>
      <c r="N225" s="349">
        <f>VLOOKUP(B205,Schlüssel!$A$5:$DZ$14,88)</f>
        <v>5</v>
      </c>
      <c r="O225" s="349"/>
      <c r="P225" s="349">
        <f>VLOOKUP(B205,Schlüssel!$A$5:$DZ$14,89)</f>
        <v>2</v>
      </c>
      <c r="Q225" s="349"/>
      <c r="R225" s="349">
        <f>VLOOKUP(B205,Schlüssel!$A$5:$DZ$14,90)</f>
        <v>1</v>
      </c>
      <c r="S225" s="349"/>
      <c r="T225" s="349">
        <f>VLOOKUP(B205,Schlüssel!$A$5:$DZ$14,91)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Schanzer Ingolstadt 1</v>
      </c>
      <c r="E226" s="347"/>
      <c r="F226" s="346" t="str">
        <f>VLOOKUP(F225,Schlüssel!$A$5:$K$14,2)</f>
        <v>SG DJK Rimpar</v>
      </c>
      <c r="G226" s="347"/>
      <c r="H226" s="346" t="str">
        <f>VLOOKUP(H225,Schlüssel!$A$5:$K$14,2)</f>
        <v>Bowlinghaus Bamberg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BC Comet Nürnberg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Schlüssel!$CO$1</f>
        <v>15.03./16.03.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Schlüssel!$CE$2</f>
        <v>Brunnthal Max Munich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VLOOKUP(B234,Schlüssel!$A$5:$DZ$14,83)</f>
        <v>10</v>
      </c>
      <c r="E254" s="349"/>
      <c r="F254" s="349">
        <f>VLOOKUP(B234,Schlüssel!$A$5:$DZ$14,84)</f>
        <v>2</v>
      </c>
      <c r="G254" s="349"/>
      <c r="H254" s="349">
        <f>VLOOKUP(B234,Schlüssel!$A$5:$DZ$14,85)</f>
        <v>8</v>
      </c>
      <c r="I254" s="349"/>
      <c r="J254" s="349">
        <f>VLOOKUP(B234,Schlüssel!$A$5:$DZ$14,86)</f>
        <v>1</v>
      </c>
      <c r="K254" s="349"/>
      <c r="L254" s="349">
        <f>VLOOKUP(B234,Schlüssel!$A$5:$DZ$14,87)</f>
        <v>5</v>
      </c>
      <c r="M254" s="349"/>
      <c r="N254" s="349">
        <f>VLOOKUP(B234,Schlüssel!$A$5:$DZ$14,88)</f>
        <v>6</v>
      </c>
      <c r="O254" s="349"/>
      <c r="P254" s="349">
        <f>VLOOKUP(B234,Schlüssel!$A$5:$DZ$14,89)</f>
        <v>7</v>
      </c>
      <c r="Q254" s="349"/>
      <c r="R254" s="349">
        <f>VLOOKUP(B234,Schlüssel!$A$5:$DZ$14,90)</f>
        <v>3</v>
      </c>
      <c r="S254" s="349"/>
      <c r="T254" s="349">
        <f>VLOOKUP(B234,Schlüssel!$A$5:$DZ$14,91)</f>
        <v>4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High Roller Rosenheim 1</v>
      </c>
      <c r="E255" s="347"/>
      <c r="F255" s="346" t="str">
        <f>VLOOKUP(F254,Schlüssel!$A$5:$K$14,2)</f>
        <v>Bajuwaren München 1</v>
      </c>
      <c r="G255" s="347"/>
      <c r="H255" s="346" t="str">
        <f>VLOOKUP(H254,Schlüssel!$A$5:$K$14,2)</f>
        <v>BC EMAX Unterföhring 2</v>
      </c>
      <c r="I255" s="347"/>
      <c r="J255" s="346" t="str">
        <f>VLOOKUP(J254,Schlüssel!$A$5:$K$14,2)</f>
        <v>BC Comet Nürnberg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SG Rottendorf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BK München 3</v>
      </c>
      <c r="S255" s="347"/>
      <c r="T255" s="346" t="str">
        <f>VLOOKUP(T254,Schlüssel!$A$5:$K$14,2)</f>
        <v>SG DJK Rimpar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Schlüssel!$CO$1</f>
        <v>15.03./16.03.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Schlüssel!$CE$2</f>
        <v>Brunnthal Max Munich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VLOOKUP(B263,Schlüssel!$A$5:$DZ$14,83)</f>
        <v>9</v>
      </c>
      <c r="E283" s="349"/>
      <c r="F283" s="349">
        <f>VLOOKUP(B263,Schlüssel!$A$5:$DZ$14,84)</f>
        <v>5</v>
      </c>
      <c r="G283" s="349"/>
      <c r="H283" s="349">
        <f>VLOOKUP(B263,Schlüssel!$A$5:$DZ$14,85)</f>
        <v>1</v>
      </c>
      <c r="I283" s="349"/>
      <c r="J283" s="349">
        <f>VLOOKUP(B263,Schlüssel!$A$5:$DZ$14,86)</f>
        <v>2</v>
      </c>
      <c r="K283" s="349"/>
      <c r="L283" s="349">
        <f>VLOOKUP(B263,Schlüssel!$A$5:$DZ$14,87)</f>
        <v>7</v>
      </c>
      <c r="M283" s="349"/>
      <c r="N283" s="349">
        <f>VLOOKUP(B263,Schlüssel!$A$5:$DZ$14,88)</f>
        <v>4</v>
      </c>
      <c r="O283" s="349"/>
      <c r="P283" s="349">
        <f>VLOOKUP(B263,Schlüssel!$A$5:$DZ$14,89)</f>
        <v>3</v>
      </c>
      <c r="Q283" s="349"/>
      <c r="R283" s="349">
        <f>VLOOKUP(B263,Schlüssel!$A$5:$DZ$14,90)</f>
        <v>6</v>
      </c>
      <c r="S283" s="349"/>
      <c r="T283" s="349">
        <f>VLOOKUP(B263,Schlüssel!$A$5:$DZ$14,91)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Bowlinghaus Bamberg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BC Comet Nürnberg</v>
      </c>
      <c r="I284" s="347"/>
      <c r="J284" s="346" t="str">
        <f>VLOOKUP(J283,Schlüssel!$A$5:$K$14,2)</f>
        <v>Bajuwaren München 1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BK München 3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15.03./16.03.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15.03./16.03.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176</v>
      </c>
      <c r="E7" s="351">
        <f>IF(AD7="","",AD7)</f>
        <v>1</v>
      </c>
      <c r="F7" s="75">
        <f t="shared" ref="F7:F20" si="0">IF(AE7=0,"",AE7)</f>
        <v>300</v>
      </c>
      <c r="G7" s="351">
        <f>IF(AF7="","",AF7)</f>
        <v>1</v>
      </c>
      <c r="H7" s="75">
        <f t="shared" ref="H7:H20" si="1">IF(AG7=0,"",AG7)</f>
        <v>217</v>
      </c>
      <c r="I7" s="351">
        <f>IF(AH7="","",AH7)</f>
        <v>1</v>
      </c>
      <c r="J7" s="75">
        <f t="shared" ref="J7:J20" si="2">IF(AI7=0,"",AI7)</f>
        <v>204</v>
      </c>
      <c r="K7" s="351">
        <f>IF(AJ7="","",AJ7)</f>
        <v>0</v>
      </c>
      <c r="L7" s="75">
        <f t="shared" ref="L7:L20" si="3">IF(AK7=0,"",AK7)</f>
        <v>266</v>
      </c>
      <c r="M7" s="351">
        <f>IF(AL7="","",AL7)</f>
        <v>1</v>
      </c>
      <c r="N7" s="75">
        <f>IF(AM7=0,"",AM7)</f>
        <v>200</v>
      </c>
      <c r="O7" s="351">
        <f>IF(AN7="","",AN7)</f>
        <v>0</v>
      </c>
      <c r="P7" s="75">
        <f t="shared" ref="P7:P20" si="4">IF(AO7=0,"",AO7)</f>
        <v>279</v>
      </c>
      <c r="Q7" s="351">
        <f>IF(AP7="","",AP7)</f>
        <v>1</v>
      </c>
      <c r="R7" s="75">
        <f t="shared" ref="R7:R20" si="5">IF(AQ7=0,"",AQ7)</f>
        <v>179</v>
      </c>
      <c r="S7" s="351">
        <f>IF(AR7="","",AR7)</f>
        <v>0</v>
      </c>
      <c r="T7" s="75">
        <f t="shared" ref="T7:T20" si="6">IF(AS7=0,"",AS7)</f>
        <v>189</v>
      </c>
      <c r="U7" s="351">
        <f>IF(AT7="","",AT7)</f>
        <v>0.5</v>
      </c>
      <c r="V7" s="75">
        <f t="shared" ref="V7:V20" si="7">IF(AU7=0,"",AU7)</f>
        <v>2010</v>
      </c>
      <c r="W7" s="351">
        <f>IF(AV7="","",AV7)</f>
        <v>5.5</v>
      </c>
      <c r="Z7" s="354" t="s">
        <v>0</v>
      </c>
      <c r="AA7" s="108" t="str">
        <f>IF(AB7=0,"",VLOOKUP(AB7,Starter!$A$1:$D$199,2,FALSE))</f>
        <v>Schwarz, Jan</v>
      </c>
      <c r="AB7" s="99">
        <v>7734</v>
      </c>
      <c r="AC7" s="185">
        <v>176</v>
      </c>
      <c r="AD7" s="109">
        <f>IF(SUM(AC7:AC9)+AC25=0,0,IF(SUM(AC7:AC9)=AC25,0.5,IF(SUM(AC7:AC9)&gt;AC25,1,0)))</f>
        <v>1</v>
      </c>
      <c r="AE7" s="185">
        <v>300</v>
      </c>
      <c r="AF7" s="109">
        <f>IF(SUM(AE7:AE9)+AE25=0,0,IF(SUM(AE7:AE9)=AE25,0.5,IF(SUM(AE7:AE9)&gt;AE25,1,0)))</f>
        <v>1</v>
      </c>
      <c r="AG7" s="185">
        <v>217</v>
      </c>
      <c r="AH7" s="109">
        <f>IF(SUM(AG7:AG9)+AG25=0,0,IF(SUM(AG7:AG9)=AG25,0.5,IF(SUM(AG7:AG9)&gt;AG25,1,0)))</f>
        <v>1</v>
      </c>
      <c r="AI7" s="185">
        <v>204</v>
      </c>
      <c r="AJ7" s="109">
        <f>IF(SUM(AI7:AI9)+AI25=0,0,IF(SUM(AI7:AI9)=AI25,0.5,IF(SUM(AI7:AI9)&gt;AI25,1,0)))</f>
        <v>0</v>
      </c>
      <c r="AK7" s="185">
        <v>266</v>
      </c>
      <c r="AL7" s="109">
        <f>IF(SUM(AK7:AK9)+AK25=0,0,IF(SUM(AK7:AK9)=AK25,0.5,IF(SUM(AK7:AK9)&gt;AK25,1,0)))</f>
        <v>1</v>
      </c>
      <c r="AM7" s="185">
        <v>200</v>
      </c>
      <c r="AN7" s="109">
        <f>IF(SUM(AM7:AM9)+AM25=0,0,IF(SUM(AM7:AM9)=AM25,0.5,IF(SUM(AM7:AM9)&gt;AM25,1,0)))</f>
        <v>0</v>
      </c>
      <c r="AO7" s="185">
        <v>279</v>
      </c>
      <c r="AP7" s="109">
        <f>IF(SUM(AO7:AO9)+AO25=0,0,IF(SUM(AO7:AO9)=AO25,0.5,IF(SUM(AO7:AO9)&gt;AO25,1,0)))</f>
        <v>1</v>
      </c>
      <c r="AQ7" s="185">
        <v>179</v>
      </c>
      <c r="AR7" s="109">
        <f>IF(SUM(AQ7:AQ9)+AQ25=0,0,IF(SUM(AQ7:AQ9)=AQ25,0.5,IF(SUM(AQ7:AQ9)&gt;AQ25,1,0)))</f>
        <v>0</v>
      </c>
      <c r="AS7" s="185">
        <v>189</v>
      </c>
      <c r="AT7" s="109">
        <f>IF(SUM(AS7:AS9)+AS25=0,0,IF(SUM(AS7:AS9)=AS25,0.5,IF(SUM(AS7:AS9)&gt;AS25,1,0)))</f>
        <v>0.5</v>
      </c>
      <c r="AU7" s="110">
        <f t="shared" ref="AU7:AU18" si="8">ABS(SUM(AC7:AC7))+ABS(SUM(AE7:AE7))+ABS(SUM(AG7:AG7))+ABS(SUM(AI7:AI7))+ABS(SUM(AK7:AK7))+ABS(SUM(AM7:AM7))+ABS(SUM(AO7:AO7))+ABS(SUM(AQ7:AQ7))+ABS(SUM(AS7:AS7))</f>
        <v>2010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2010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176</v>
      </c>
      <c r="BI7" s="215">
        <f t="shared" ref="BI7:BI18" si="10">IF(AE7=0,"",AE7)</f>
        <v>300</v>
      </c>
      <c r="BJ7" s="215">
        <f t="shared" ref="BJ7:BJ18" si="11">IF(AG7=0,"",AG7)</f>
        <v>217</v>
      </c>
      <c r="BK7" s="215">
        <f t="shared" ref="BK7:BK18" si="12">IF(AI7=0,"",AI7)</f>
        <v>204</v>
      </c>
      <c r="BL7" s="215">
        <f t="shared" ref="BL7:BL18" si="13">IF(AK7=0,"",AK7)</f>
        <v>266</v>
      </c>
      <c r="BM7" s="215">
        <f t="shared" ref="BM7:BM18" si="14">IF(AM7=0,"",AM7)</f>
        <v>200</v>
      </c>
      <c r="BN7" s="215">
        <f t="shared" ref="BN7:BN18" si="15">IF(AO7=0,"",AO7)</f>
        <v>279</v>
      </c>
      <c r="BO7" s="215">
        <f t="shared" ref="BO7:BO18" si="16">IF(AQ7=0,"",AQ7)</f>
        <v>179</v>
      </c>
      <c r="BP7" s="215">
        <f t="shared" ref="BP7:BP18" si="17">IF(AS7=0,"",AS7)</f>
        <v>189</v>
      </c>
      <c r="BQ7" s="216"/>
      <c r="BR7" s="214"/>
      <c r="BS7" s="215">
        <f>MAX(BH7:BP7)</f>
        <v>300</v>
      </c>
      <c r="BT7" s="215">
        <f>IF(BS7&lt;MAX(BS:BS),0,BS7+ROW()/1000000000)</f>
        <v>300.00000000699998</v>
      </c>
      <c r="BU7" s="215" t="str">
        <f>+AA3</f>
        <v>BC Comet Nürnberg</v>
      </c>
      <c r="BV7" s="214">
        <f>RANK(BT7,BT:BT)</f>
        <v>2</v>
      </c>
      <c r="BW7" s="215">
        <f>SUMIF(BH7:BP7,"&gt;0")</f>
        <v>2010</v>
      </c>
      <c r="BX7" s="215">
        <f>IF(COUNTIF(BH7:BP7,"&gt;0")&lt;Spielorte!$A$23,0,BE7/Spielorte!$A$23)</f>
        <v>223.33333333333334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3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3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220</v>
      </c>
      <c r="E10" s="351">
        <f>IF(AD10="","",AD10)</f>
        <v>1</v>
      </c>
      <c r="F10" s="75">
        <f t="shared" si="0"/>
        <v>224</v>
      </c>
      <c r="G10" s="351">
        <f>IF(AF10="","",AF10)</f>
        <v>0</v>
      </c>
      <c r="H10" s="75">
        <f t="shared" si="1"/>
        <v>188</v>
      </c>
      <c r="I10" s="351">
        <f>IF(AH10="","",AH10)</f>
        <v>0</v>
      </c>
      <c r="J10" s="75">
        <f t="shared" si="2"/>
        <v>174</v>
      </c>
      <c r="K10" s="351">
        <f>IF(AJ10="","",AJ10)</f>
        <v>0</v>
      </c>
      <c r="L10" s="75">
        <f t="shared" si="3"/>
        <v>224</v>
      </c>
      <c r="M10" s="351">
        <f>IF(AL10="","",AL10)</f>
        <v>0</v>
      </c>
      <c r="N10" s="75">
        <f t="shared" si="20"/>
        <v>236</v>
      </c>
      <c r="O10" s="351">
        <f>IF(AN10="","",AN10)</f>
        <v>1</v>
      </c>
      <c r="P10" s="75">
        <f t="shared" si="4"/>
        <v>216</v>
      </c>
      <c r="Q10" s="351">
        <f>IF(AP10="","",AP10)</f>
        <v>1</v>
      </c>
      <c r="R10" s="75">
        <f t="shared" si="5"/>
        <v>210</v>
      </c>
      <c r="S10" s="351">
        <f>IF(AR10="","",AR10)</f>
        <v>0</v>
      </c>
      <c r="T10" s="75">
        <f t="shared" si="6"/>
        <v>245</v>
      </c>
      <c r="U10" s="351">
        <f>IF(AT10="","",AT10)</f>
        <v>1</v>
      </c>
      <c r="V10" s="75">
        <f t="shared" si="7"/>
        <v>1937</v>
      </c>
      <c r="W10" s="351">
        <f>IF(AV10="","",AV10)</f>
        <v>4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220</v>
      </c>
      <c r="AD10" s="109">
        <f>IF(SUM(AC10:AC12)+AC26=0,0,IF(SUM(AC10:AC12)=AC26,0.5,IF(SUM(AC10:AC12)&gt;AC26,1,0)))</f>
        <v>1</v>
      </c>
      <c r="AE10" s="188">
        <v>224</v>
      </c>
      <c r="AF10" s="109">
        <f>IF(SUM(AE10:AE12)+AE26=0,0,IF(SUM(AE10:AE12)=AE26,0.5,IF(SUM(AE10:AE12)&gt;AE26,1,0)))</f>
        <v>0</v>
      </c>
      <c r="AG10" s="188">
        <v>188</v>
      </c>
      <c r="AH10" s="109">
        <f>IF(SUM(AG10:AG12)+AG26=0,0,IF(SUM(AG10:AG12)=AG26,0.5,IF(SUM(AG10:AG12)&gt;AG26,1,0)))</f>
        <v>0</v>
      </c>
      <c r="AI10" s="188">
        <v>174</v>
      </c>
      <c r="AJ10" s="109">
        <f>IF(SUM(AI10:AI12)+AI26=0,0,IF(SUM(AI10:AI12)=AI26,0.5,IF(SUM(AI10:AI12)&gt;AI26,1,0)))</f>
        <v>0</v>
      </c>
      <c r="AK10" s="188">
        <v>224</v>
      </c>
      <c r="AL10" s="109">
        <f>IF(SUM(AK10:AK12)+AK26=0,0,IF(SUM(AK10:AK12)=AK26,0.5,IF(SUM(AK10:AK12)&gt;AK26,1,0)))</f>
        <v>0</v>
      </c>
      <c r="AM10" s="188">
        <v>236</v>
      </c>
      <c r="AN10" s="109">
        <f>IF(SUM(AM10:AM12)+AM26=0,0,IF(SUM(AM10:AM12)=AM26,0.5,IF(SUM(AM10:AM12)&gt;AM26,1,0)))</f>
        <v>1</v>
      </c>
      <c r="AO10" s="188">
        <v>216</v>
      </c>
      <c r="AP10" s="109">
        <f>IF(SUM(AO10:AO12)+AO26=0,0,IF(SUM(AO10:AO12)=AO26,0.5,IF(SUM(AO10:AO12)&gt;AO26,1,0)))</f>
        <v>1</v>
      </c>
      <c r="AQ10" s="188">
        <v>210</v>
      </c>
      <c r="AR10" s="109">
        <f>IF(SUM(AQ10:AQ12)+AQ26=0,0,IF(SUM(AQ10:AQ12)=AQ26,0.5,IF(SUM(AQ10:AQ12)&gt;AQ26,1,0)))</f>
        <v>0</v>
      </c>
      <c r="AS10" s="188">
        <v>245</v>
      </c>
      <c r="AT10" s="109">
        <f>IF(SUM(AS10:AS12)+AS26=0,0,IF(SUM(AS10:AS12)=AS26,0.5,IF(SUM(AS10:AS12)&gt;AS26,1,0)))</f>
        <v>1</v>
      </c>
      <c r="AU10" s="110">
        <f t="shared" si="8"/>
        <v>1937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1937</v>
      </c>
      <c r="BF10" s="215">
        <f t="shared" si="23"/>
        <v>9</v>
      </c>
      <c r="BG10" s="215">
        <f t="shared" si="24"/>
        <v>9</v>
      </c>
      <c r="BH10" s="215">
        <f t="shared" si="9"/>
        <v>220</v>
      </c>
      <c r="BI10" s="215">
        <f t="shared" si="10"/>
        <v>224</v>
      </c>
      <c r="BJ10" s="215">
        <f t="shared" si="11"/>
        <v>188</v>
      </c>
      <c r="BK10" s="215">
        <f t="shared" si="12"/>
        <v>174</v>
      </c>
      <c r="BL10" s="215">
        <f t="shared" si="13"/>
        <v>224</v>
      </c>
      <c r="BM10" s="215">
        <f t="shared" si="14"/>
        <v>236</v>
      </c>
      <c r="BN10" s="215">
        <f t="shared" si="15"/>
        <v>216</v>
      </c>
      <c r="BO10" s="215">
        <f t="shared" si="16"/>
        <v>210</v>
      </c>
      <c r="BP10" s="215">
        <f t="shared" si="17"/>
        <v>245</v>
      </c>
      <c r="BQ10" s="216"/>
      <c r="BR10" s="214"/>
      <c r="BS10" s="215">
        <f t="shared" si="25"/>
        <v>245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3</v>
      </c>
      <c r="BW10" s="215">
        <f t="shared" si="29"/>
        <v>1937</v>
      </c>
      <c r="BX10" s="215">
        <f>IF(COUNTIF(BH10:BP10,"&gt;0")&lt;Spielorte!$A$23,0,BE10/Spielorte!$A$23)</f>
        <v>215.22222222222223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3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3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162</v>
      </c>
      <c r="E13" s="351">
        <f>IF(AD13="","",AD13)</f>
        <v>0</v>
      </c>
      <c r="F13" s="75" t="str">
        <f t="shared" si="0"/>
        <v/>
      </c>
      <c r="G13" s="351">
        <f>IF(AF13="","",AF13)</f>
        <v>1</v>
      </c>
      <c r="H13" s="75" t="str">
        <f t="shared" si="1"/>
        <v/>
      </c>
      <c r="I13" s="351">
        <f>IF(AH13="","",AH13)</f>
        <v>1</v>
      </c>
      <c r="J13" s="75" t="str">
        <f t="shared" si="2"/>
        <v/>
      </c>
      <c r="K13" s="351">
        <f>IF(AJ13="","",AJ13)</f>
        <v>1</v>
      </c>
      <c r="L13" s="75" t="str">
        <f t="shared" si="3"/>
        <v/>
      </c>
      <c r="M13" s="351">
        <f>IF(AL13="","",AL13)</f>
        <v>1</v>
      </c>
      <c r="N13" s="75" t="str">
        <f t="shared" si="20"/>
        <v/>
      </c>
      <c r="O13" s="351">
        <f>IF(AN13="","",AN13)</f>
        <v>1</v>
      </c>
      <c r="P13" s="75" t="str">
        <f t="shared" si="4"/>
        <v/>
      </c>
      <c r="Q13" s="351">
        <f>IF(AP13="","",AP13)</f>
        <v>0</v>
      </c>
      <c r="R13" s="75" t="str">
        <f t="shared" si="5"/>
        <v/>
      </c>
      <c r="S13" s="351">
        <f>IF(AR13="","",AR13)</f>
        <v>1</v>
      </c>
      <c r="T13" s="75" t="str">
        <f t="shared" si="6"/>
        <v/>
      </c>
      <c r="U13" s="351">
        <f>IF(AT13="","",AT13)</f>
        <v>0</v>
      </c>
      <c r="V13" s="75">
        <f t="shared" si="7"/>
        <v>162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162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1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162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162</v>
      </c>
      <c r="BF13" s="215">
        <f t="shared" si="23"/>
        <v>1</v>
      </c>
      <c r="BG13" s="215">
        <f t="shared" si="24"/>
        <v>1</v>
      </c>
      <c r="BH13" s="215">
        <f t="shared" si="9"/>
        <v>162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162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3</v>
      </c>
      <c r="BW13" s="215">
        <f t="shared" si="29"/>
        <v>162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>Schlick, Christian</v>
      </c>
      <c r="C14" s="77">
        <f t="shared" si="19"/>
        <v>7724</v>
      </c>
      <c r="D14" s="78" t="str">
        <f t="shared" si="19"/>
        <v/>
      </c>
      <c r="E14" s="352"/>
      <c r="F14" s="78">
        <f t="shared" si="0"/>
        <v>214</v>
      </c>
      <c r="G14" s="352"/>
      <c r="H14" s="78">
        <f t="shared" si="1"/>
        <v>209</v>
      </c>
      <c r="I14" s="352"/>
      <c r="J14" s="78">
        <f t="shared" si="2"/>
        <v>199</v>
      </c>
      <c r="K14" s="352"/>
      <c r="L14" s="78">
        <f t="shared" si="3"/>
        <v>228</v>
      </c>
      <c r="M14" s="352"/>
      <c r="N14" s="78">
        <f t="shared" si="20"/>
        <v>222</v>
      </c>
      <c r="O14" s="352"/>
      <c r="P14" s="78">
        <f t="shared" si="4"/>
        <v>180</v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>
        <f t="shared" si="7"/>
        <v>1252</v>
      </c>
      <c r="W14" s="352"/>
      <c r="Z14" s="355"/>
      <c r="AA14" s="108" t="str">
        <f>IF(AB14=0,"",VLOOKUP(AB14,Starter!$A$1:$D$199,2,FALSE))</f>
        <v>Schlick, Christian</v>
      </c>
      <c r="AB14" s="98">
        <v>7724</v>
      </c>
      <c r="AC14" s="186"/>
      <c r="AD14" s="112"/>
      <c r="AE14" s="186">
        <v>214</v>
      </c>
      <c r="AF14" s="112"/>
      <c r="AG14" s="186">
        <v>209</v>
      </c>
      <c r="AH14" s="112"/>
      <c r="AI14" s="186">
        <v>199</v>
      </c>
      <c r="AJ14" s="112"/>
      <c r="AK14" s="186">
        <v>228</v>
      </c>
      <c r="AL14" s="112"/>
      <c r="AM14" s="186">
        <v>222</v>
      </c>
      <c r="AN14" s="112"/>
      <c r="AO14" s="186">
        <v>180</v>
      </c>
      <c r="AP14" s="112"/>
      <c r="AQ14" s="186"/>
      <c r="AR14" s="112"/>
      <c r="AS14" s="186"/>
      <c r="AT14" s="112"/>
      <c r="AU14" s="113">
        <f t="shared" si="8"/>
        <v>1252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7724</v>
      </c>
      <c r="BE14" s="213">
        <f t="shared" si="22"/>
        <v>1252</v>
      </c>
      <c r="BF14" s="215">
        <f t="shared" si="23"/>
        <v>6</v>
      </c>
      <c r="BG14" s="215">
        <f t="shared" si="24"/>
        <v>6</v>
      </c>
      <c r="BH14" s="215" t="str">
        <f t="shared" si="9"/>
        <v/>
      </c>
      <c r="BI14" s="215">
        <f t="shared" si="10"/>
        <v>214</v>
      </c>
      <c r="BJ14" s="215">
        <f t="shared" si="11"/>
        <v>209</v>
      </c>
      <c r="BK14" s="215">
        <f t="shared" si="12"/>
        <v>199</v>
      </c>
      <c r="BL14" s="215">
        <f t="shared" si="13"/>
        <v>228</v>
      </c>
      <c r="BM14" s="215">
        <f t="shared" si="14"/>
        <v>222</v>
      </c>
      <c r="BN14" s="215">
        <f t="shared" si="15"/>
        <v>180</v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228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3</v>
      </c>
      <c r="BW14" s="215">
        <f t="shared" si="29"/>
        <v>1252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>Mittelmaier, Andreas</v>
      </c>
      <c r="C15" s="80">
        <f t="shared" si="19"/>
        <v>16896</v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>
        <f t="shared" si="5"/>
        <v>210</v>
      </c>
      <c r="S15" s="353"/>
      <c r="T15" s="69">
        <f t="shared" si="6"/>
        <v>211</v>
      </c>
      <c r="U15" s="353"/>
      <c r="V15" s="69">
        <f t="shared" si="7"/>
        <v>421</v>
      </c>
      <c r="W15" s="353"/>
      <c r="Z15" s="356"/>
      <c r="AA15" s="118" t="str">
        <f>IF(AB15=0,"",VLOOKUP(AB15,Starter!$A$1:$D$199,2,FALSE))</f>
        <v>Mittelmaier, Andreas</v>
      </c>
      <c r="AB15" s="100">
        <v>16896</v>
      </c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>
        <v>210</v>
      </c>
      <c r="AR15" s="119"/>
      <c r="AS15" s="189">
        <v>211</v>
      </c>
      <c r="AT15" s="119"/>
      <c r="AU15" s="116">
        <f t="shared" si="8"/>
        <v>421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16896</v>
      </c>
      <c r="BE15" s="213">
        <f t="shared" si="22"/>
        <v>421</v>
      </c>
      <c r="BF15" s="215">
        <f t="shared" si="23"/>
        <v>2</v>
      </c>
      <c r="BG15" s="215">
        <f t="shared" si="24"/>
        <v>2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>
        <f t="shared" si="16"/>
        <v>210</v>
      </c>
      <c r="BP15" s="215">
        <f t="shared" si="17"/>
        <v>211</v>
      </c>
      <c r="BQ15" s="216"/>
      <c r="BR15" s="214"/>
      <c r="BS15" s="215">
        <f t="shared" si="25"/>
        <v>211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3</v>
      </c>
      <c r="BW15" s="215">
        <f t="shared" si="29"/>
        <v>421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232</v>
      </c>
      <c r="E16" s="351">
        <f>IF(AD16="","",AD16)</f>
        <v>1</v>
      </c>
      <c r="F16" s="75">
        <f t="shared" si="0"/>
        <v>233</v>
      </c>
      <c r="G16" s="351">
        <f>IF(AF16="","",AF16)</f>
        <v>1</v>
      </c>
      <c r="H16" s="75">
        <f t="shared" si="1"/>
        <v>265</v>
      </c>
      <c r="I16" s="351">
        <f>IF(AH16="","",AH16)</f>
        <v>1</v>
      </c>
      <c r="J16" s="75">
        <f t="shared" si="2"/>
        <v>215</v>
      </c>
      <c r="K16" s="351">
        <f>IF(AJ16="","",AJ16)</f>
        <v>0</v>
      </c>
      <c r="L16" s="75">
        <f t="shared" si="3"/>
        <v>200</v>
      </c>
      <c r="M16" s="351">
        <f>IF(AL16="","",AL16)</f>
        <v>1</v>
      </c>
      <c r="N16" s="75">
        <f t="shared" si="20"/>
        <v>184</v>
      </c>
      <c r="O16" s="351">
        <f>IF(AN16="","",AN16)</f>
        <v>0</v>
      </c>
      <c r="P16" s="75">
        <f t="shared" si="4"/>
        <v>213</v>
      </c>
      <c r="Q16" s="351">
        <f>IF(AP16="","",AP16)</f>
        <v>0</v>
      </c>
      <c r="R16" s="75">
        <f t="shared" si="5"/>
        <v>214</v>
      </c>
      <c r="S16" s="351">
        <f>IF(AR16="","",AR16)</f>
        <v>0</v>
      </c>
      <c r="T16" s="75">
        <f t="shared" si="6"/>
        <v>170</v>
      </c>
      <c r="U16" s="351">
        <f>IF(AT16="","",AT16)</f>
        <v>0</v>
      </c>
      <c r="V16" s="75">
        <f t="shared" si="7"/>
        <v>1926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232</v>
      </c>
      <c r="AD16" s="109">
        <f>IF(SUM(AC16:AC18)+AC28=0,0,IF(SUM(AC16:AC18)=AC28,0.5,IF(SUM(AC16:AC18)&gt;AC28,1,0)))</f>
        <v>1</v>
      </c>
      <c r="AE16" s="188">
        <v>233</v>
      </c>
      <c r="AF16" s="109">
        <f>IF(SUM(AE16:AE18)+AE28=0,0,IF(SUM(AE16:AE18)=AE28,0.5,IF(SUM(AE16:AE18)&gt;AE28,1,0)))</f>
        <v>1</v>
      </c>
      <c r="AG16" s="188">
        <v>265</v>
      </c>
      <c r="AH16" s="109">
        <f>IF(SUM(AG16:AG18)+AG28=0,0,IF(SUM(AG16:AG18)=AG28,0.5,IF(SUM(AG16:AG18)&gt;AG28,1,0)))</f>
        <v>1</v>
      </c>
      <c r="AI16" s="188">
        <v>215</v>
      </c>
      <c r="AJ16" s="109">
        <f>IF(SUM(AI16:AI18)+AI28=0,0,IF(SUM(AI16:AI18)=AI28,0.5,IF(SUM(AI16:AI18)&gt;AI28,1,0)))</f>
        <v>0</v>
      </c>
      <c r="AK16" s="188">
        <v>200</v>
      </c>
      <c r="AL16" s="109">
        <f>IF(SUM(AK16:AK18)+AK28=0,0,IF(SUM(AK16:AK18)=AK28,0.5,IF(SUM(AK16:AK18)&gt;AK28,1,0)))</f>
        <v>1</v>
      </c>
      <c r="AM16" s="188">
        <v>184</v>
      </c>
      <c r="AN16" s="109">
        <f>IF(SUM(AM16:AM18)+AM28=0,0,IF(SUM(AM16:AM18)=AM28,0.5,IF(SUM(AM16:AM18)&gt;AM28,1,0)))</f>
        <v>0</v>
      </c>
      <c r="AO16" s="188">
        <v>213</v>
      </c>
      <c r="AP16" s="109">
        <f>IF(SUM(AO16:AO18)+AO28=0,0,IF(SUM(AO16:AO18)=AO28,0.5,IF(SUM(AO16:AO18)&gt;AO28,1,0)))</f>
        <v>0</v>
      </c>
      <c r="AQ16" s="188">
        <v>214</v>
      </c>
      <c r="AR16" s="109">
        <f>IF(SUM(AQ16:AQ18)+AQ28=0,0,IF(SUM(AQ16:AQ18)=AQ28,0.5,IF(SUM(AQ16:AQ18)&gt;AQ28,1,0)))</f>
        <v>0</v>
      </c>
      <c r="AS16" s="188">
        <v>170</v>
      </c>
      <c r="AT16" s="109">
        <f>IF(SUM(AS16:AS18)+AS28=0,0,IF(SUM(AS16:AS18)=AS28,0.5,IF(SUM(AS16:AS18)&gt;AS28,1,0)))</f>
        <v>0</v>
      </c>
      <c r="AU16" s="110">
        <f t="shared" si="8"/>
        <v>1926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1926</v>
      </c>
      <c r="BF16" s="215">
        <f t="shared" si="23"/>
        <v>9</v>
      </c>
      <c r="BG16" s="215">
        <f t="shared" si="24"/>
        <v>9</v>
      </c>
      <c r="BH16" s="215">
        <f t="shared" si="9"/>
        <v>232</v>
      </c>
      <c r="BI16" s="215">
        <f t="shared" si="10"/>
        <v>233</v>
      </c>
      <c r="BJ16" s="215">
        <f t="shared" si="11"/>
        <v>265</v>
      </c>
      <c r="BK16" s="215">
        <f t="shared" si="12"/>
        <v>215</v>
      </c>
      <c r="BL16" s="215">
        <f t="shared" si="13"/>
        <v>200</v>
      </c>
      <c r="BM16" s="215">
        <f t="shared" si="14"/>
        <v>184</v>
      </c>
      <c r="BN16" s="215">
        <f t="shared" si="15"/>
        <v>213</v>
      </c>
      <c r="BO16" s="215">
        <f t="shared" si="16"/>
        <v>214</v>
      </c>
      <c r="BP16" s="215">
        <f t="shared" si="17"/>
        <v>170</v>
      </c>
      <c r="BQ16" s="216"/>
      <c r="BR16" s="214"/>
      <c r="BS16" s="215">
        <f t="shared" si="25"/>
        <v>265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3</v>
      </c>
      <c r="BW16" s="215">
        <f t="shared" si="29"/>
        <v>1926</v>
      </c>
      <c r="BX16" s="215">
        <f>IF(COUNTIF(BH16:BP16,"&gt;0")&lt;Spielorte!$A$23,0,BE16/Spielorte!$A$23)</f>
        <v>214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3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3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790</v>
      </c>
      <c r="E19" s="84">
        <f>IF(AD19="","",AD19)</f>
        <v>2</v>
      </c>
      <c r="F19" s="83">
        <f t="shared" si="0"/>
        <v>971</v>
      </c>
      <c r="G19" s="84">
        <f>IF(AF19="","",AF19)</f>
        <v>2</v>
      </c>
      <c r="H19" s="83">
        <f t="shared" si="1"/>
        <v>879</v>
      </c>
      <c r="I19" s="84">
        <f>IF(AH19="","",AH19)</f>
        <v>2</v>
      </c>
      <c r="J19" s="83">
        <f t="shared" si="2"/>
        <v>792</v>
      </c>
      <c r="K19" s="84">
        <f>IF(AJ19="","",AJ19)</f>
        <v>0</v>
      </c>
      <c r="L19" s="83">
        <f t="shared" si="3"/>
        <v>918</v>
      </c>
      <c r="M19" s="84">
        <f>IF(AL19="","",AL19)</f>
        <v>2</v>
      </c>
      <c r="N19" s="83">
        <f t="shared" si="20"/>
        <v>842</v>
      </c>
      <c r="O19" s="84">
        <f>IF(AN19="","",AN19)</f>
        <v>2</v>
      </c>
      <c r="P19" s="83">
        <f t="shared" si="4"/>
        <v>888</v>
      </c>
      <c r="Q19" s="84">
        <f>IF(AP19="","",AP19)</f>
        <v>0</v>
      </c>
      <c r="R19" s="83">
        <f t="shared" si="5"/>
        <v>813</v>
      </c>
      <c r="S19" s="84">
        <f>IF(AR19="","",AR19)</f>
        <v>2</v>
      </c>
      <c r="T19" s="83">
        <f t="shared" si="6"/>
        <v>815</v>
      </c>
      <c r="U19" s="84">
        <f>IF(AT19="","",AT19)</f>
        <v>2</v>
      </c>
      <c r="V19" s="83">
        <f t="shared" si="7"/>
        <v>7708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790</v>
      </c>
      <c r="AD19" s="121">
        <f>IF(AC19+AC29=0,0,IF(AC19=AC29,1,IF(AC19&gt;AC29,2,0)))</f>
        <v>2</v>
      </c>
      <c r="AE19" s="211">
        <f>ABS(SUM(AE7:AE9))+ABS(SUM(AE10:AE12))+ABS(SUM(AE13:AE15))+ABS(SUM(AE16:AE18))</f>
        <v>971</v>
      </c>
      <c r="AF19" s="121">
        <f>IF(AE19+AE29=0,0,IF(AE19=AE29,1,IF(AE19&gt;AE29,2,0)))</f>
        <v>2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792</v>
      </c>
      <c r="AJ19" s="121">
        <f>IF(AI19+AI29=0,0,IF(AI19=AI29,1,IF(AI19&gt;AI29,2,0)))</f>
        <v>0</v>
      </c>
      <c r="AK19" s="211">
        <f>ABS(SUM(AK7:AK9))+ABS(SUM(AK10:AK12))+ABS(SUM(AK13:AK15))+ABS(SUM(AK16:AK18))</f>
        <v>918</v>
      </c>
      <c r="AL19" s="121">
        <f>IF(AK19+AK29=0,0,IF(AK19=AK29,1,IF(AK19&gt;AK29,2,0)))</f>
        <v>2</v>
      </c>
      <c r="AM19" s="211">
        <f>ABS(SUM(AM7:AM9))+ABS(SUM(AM10:AM12))+ABS(SUM(AM13:AM15))+ABS(SUM(AM16:AM18))</f>
        <v>842</v>
      </c>
      <c r="AN19" s="121">
        <f>IF(AM19+AM29=0,0,IF(AM19=AM29,1,IF(AM19&gt;AM29,2,0)))</f>
        <v>2</v>
      </c>
      <c r="AO19" s="211">
        <f>ABS(SUM(AO7:AO9))+ABS(SUM(AO10:AO12))+ABS(SUM(AO13:AO15))+ABS(SUM(AO16:AO18))</f>
        <v>888</v>
      </c>
      <c r="AP19" s="121">
        <f>IF(AO19+AO29=0,0,IF(AO19=AO29,1,IF(AO19&gt;AO29,2,0)))</f>
        <v>0</v>
      </c>
      <c r="AQ19" s="211">
        <f>ABS(SUM(AQ7:AQ9))+ABS(SUM(AQ10:AQ12))+ABS(SUM(AQ13:AQ15))+ABS(SUM(AQ16:AQ18))</f>
        <v>813</v>
      </c>
      <c r="AR19" s="121">
        <f>IF(AQ19+AQ29=0,0,IF(AQ19=AQ29,1,IF(AQ19&gt;AQ29,2,0)))</f>
        <v>2</v>
      </c>
      <c r="AS19" s="211">
        <f>ABS(SUM(AS7:AS9))+ABS(SUM(AS10:AS12))+ABS(SUM(AS13:AS15))+ABS(SUM(AS16:AS18))</f>
        <v>815</v>
      </c>
      <c r="AT19" s="121">
        <f>IF(AS19+AS29=0,0,IF(AS19=AS29,1,IF(AS19&gt;AS29,2,0)))</f>
        <v>2</v>
      </c>
      <c r="AU19" s="122">
        <f>SUM(AC19+AE19+AG19+AI19+AK19+AM19+AO19+AQ19+AS19)</f>
        <v>7708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3</v>
      </c>
      <c r="T20" s="86" t="str">
        <f t="shared" si="6"/>
        <v/>
      </c>
      <c r="U20" s="87">
        <f>IF(AT20="","",AT20)</f>
        <v>3.5</v>
      </c>
      <c r="V20" s="86" t="str">
        <f t="shared" si="7"/>
        <v/>
      </c>
      <c r="W20" s="87">
        <f>IF(AV20="","",AV20)</f>
        <v>33.5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1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2</v>
      </c>
      <c r="AQ20" s="86"/>
      <c r="AR20" s="124">
        <f>SUM(AR7:AR19)</f>
        <v>3</v>
      </c>
      <c r="AS20" s="86"/>
      <c r="AT20" s="124">
        <f>SUM(AT7:AT19)</f>
        <v>3.5</v>
      </c>
      <c r="AU20" s="86"/>
      <c r="AV20" s="125">
        <f>SUM(AV7:AV19)</f>
        <v>33.5</v>
      </c>
      <c r="AW20" s="101"/>
      <c r="AX20" s="102"/>
      <c r="BA20" s="212">
        <f>+AV20</f>
        <v>33.5</v>
      </c>
      <c r="BB20" s="213">
        <f>+AU19</f>
        <v>7708</v>
      </c>
      <c r="BC20" s="214">
        <f>+AA2</f>
        <v>1</v>
      </c>
      <c r="BF20" s="215">
        <f>SUM(BF1:BF19)</f>
        <v>36</v>
      </c>
      <c r="BQ20" s="212">
        <f>+BB20/1000000+BA20</f>
        <v>33.507708000000001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2</v>
      </c>
      <c r="E22" s="349" t="str">
        <f t="shared" si="31"/>
        <v/>
      </c>
      <c r="F22" s="349">
        <f t="shared" si="31"/>
        <v>6</v>
      </c>
      <c r="G22" s="349" t="str">
        <f t="shared" si="31"/>
        <v/>
      </c>
      <c r="H22" s="349">
        <f t="shared" si="31"/>
        <v>10</v>
      </c>
      <c r="I22" s="349" t="str">
        <f t="shared" si="31"/>
        <v/>
      </c>
      <c r="J22" s="349">
        <f t="shared" si="31"/>
        <v>9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3</v>
      </c>
      <c r="O22" s="349" t="str">
        <f t="shared" si="32"/>
        <v/>
      </c>
      <c r="P22" s="349">
        <f t="shared" si="32"/>
        <v>5</v>
      </c>
      <c r="Q22" s="349" t="str">
        <f t="shared" si="32"/>
        <v/>
      </c>
      <c r="R22" s="349">
        <f t="shared" si="32"/>
        <v>8</v>
      </c>
      <c r="S22" s="349" t="str">
        <f t="shared" si="32"/>
        <v/>
      </c>
      <c r="T22" s="349">
        <f t="shared" si="32"/>
        <v>7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VLOOKUP($AA2,Schlüssel!$A$5:$DG$14,83)</f>
        <v>2</v>
      </c>
      <c r="AD22" s="374"/>
      <c r="AE22" s="373">
        <f>VLOOKUP($AA2,Schlüssel!$A$5:$EK$14,84)</f>
        <v>6</v>
      </c>
      <c r="AF22" s="374"/>
      <c r="AG22" s="373">
        <f>VLOOKUP($AA2,Schlüssel!$A$5:$EK$14,85)</f>
        <v>10</v>
      </c>
      <c r="AH22" s="374"/>
      <c r="AI22" s="373">
        <f>VLOOKUP($AA2,Schlüssel!$A$5:$EK$14,86)</f>
        <v>9</v>
      </c>
      <c r="AJ22" s="374"/>
      <c r="AK22" s="373">
        <f>VLOOKUP($AA2,Schlüssel!$A$5:$EK$14,87)</f>
        <v>4</v>
      </c>
      <c r="AL22" s="374"/>
      <c r="AM22" s="373">
        <f>VLOOKUP($AA2,Schlüssel!$A$5:$EK$14,88)</f>
        <v>3</v>
      </c>
      <c r="AN22" s="374"/>
      <c r="AO22" s="373">
        <f>VLOOKUP($AA2,Schlüssel!$A$5:$EK$14,89)</f>
        <v>5</v>
      </c>
      <c r="AP22" s="374"/>
      <c r="AQ22" s="373">
        <f>VLOOKUP($AA2,Schlüssel!$A$5:$EK$14,90)</f>
        <v>8</v>
      </c>
      <c r="AR22" s="374"/>
      <c r="AS22" s="373">
        <f>VLOOKUP($AA2,Schlüssel!$A$5:$EK$14,91)</f>
        <v>7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Bajuwaren München 1</v>
      </c>
      <c r="E23" s="347" t="str">
        <f t="shared" si="31"/>
        <v/>
      </c>
      <c r="F23" s="346" t="str">
        <f t="shared" si="31"/>
        <v>SG Rottendorf 1</v>
      </c>
      <c r="G23" s="347" t="str">
        <f t="shared" si="31"/>
        <v/>
      </c>
      <c r="H23" s="346" t="str">
        <f t="shared" si="31"/>
        <v>High Roller Rosenheim 1</v>
      </c>
      <c r="I23" s="347" t="str">
        <f t="shared" si="31"/>
        <v/>
      </c>
      <c r="J23" s="346" t="str">
        <f t="shared" si="31"/>
        <v>Bowlinghaus Bamberg 1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BK München 3</v>
      </c>
      <c r="O23" s="347" t="str">
        <f t="shared" si="32"/>
        <v/>
      </c>
      <c r="P23" s="346" t="str">
        <f t="shared" si="32"/>
        <v>RW Lichtenhof Stein 1</v>
      </c>
      <c r="Q23" s="347" t="str">
        <f t="shared" si="32"/>
        <v/>
      </c>
      <c r="R23" s="346" t="str">
        <f t="shared" si="32"/>
        <v>BC EMAX Unterföhring 2</v>
      </c>
      <c r="S23" s="347" t="str">
        <f t="shared" si="32"/>
        <v/>
      </c>
      <c r="T23" s="346" t="str">
        <f t="shared" si="32"/>
        <v>Schanzer Ingolstadt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Bajuwaren München 1</v>
      </c>
      <c r="AD23" s="347"/>
      <c r="AE23" s="346" t="str">
        <f>VLOOKUP(AE22,Schlüssel!$A$5:$K$14,2)</f>
        <v>SG Rottendorf 1</v>
      </c>
      <c r="AF23" s="347"/>
      <c r="AG23" s="346" t="str">
        <f>VLOOKUP(AG22,Schlüssel!$A$5:$K$14,2)</f>
        <v>High Roller Rosenheim 1</v>
      </c>
      <c r="AH23" s="347"/>
      <c r="AI23" s="346" t="str">
        <f>VLOOKUP(AI22,Schlüssel!$A$5:$K$14,2)</f>
        <v>Bowlinghaus Bamberg 1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BK München 3</v>
      </c>
      <c r="AN23" s="347"/>
      <c r="AO23" s="346" t="str">
        <f>VLOOKUP(AO22,Schlüssel!$A$5:$K$14,2)</f>
        <v>RW Lichtenhof Stein 1</v>
      </c>
      <c r="AP23" s="347"/>
      <c r="AQ23" s="346" t="str">
        <f>VLOOKUP(AQ22,Schlüssel!$A$5:$K$14,2)</f>
        <v>BC EMAX Unterföhring 2</v>
      </c>
      <c r="AR23" s="347"/>
      <c r="AS23" s="346" t="str">
        <f>VLOOKUP(AS22,Schlüssel!$A$5:$K$14,2)</f>
        <v>Schanzer Ingolstadt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171</v>
      </c>
      <c r="E25" s="342" t="str">
        <f>IF(AD25=0,"",AD25)</f>
        <v/>
      </c>
      <c r="F25" s="342">
        <f>IF(AE25=301,"",AE25)</f>
        <v>222</v>
      </c>
      <c r="G25" s="342" t="str">
        <f>IF(AF25=0,"",AF25)</f>
        <v/>
      </c>
      <c r="H25" s="342">
        <f>IF(AG25=301,"",AG25)</f>
        <v>204</v>
      </c>
      <c r="I25" s="342" t="str">
        <f>IF(AH25=0,"",AH25)</f>
        <v/>
      </c>
      <c r="J25" s="342">
        <f>IF(AI25=301,"",AI25)</f>
        <v>205</v>
      </c>
      <c r="K25" s="342" t="str">
        <f>IF(AJ25=0,"",AJ25)</f>
        <v/>
      </c>
      <c r="L25" s="342">
        <f>IF(AK25=301,"",AK25)</f>
        <v>160</v>
      </c>
      <c r="M25" s="342" t="str">
        <f>IF(AL25=0,"",AL25)</f>
        <v/>
      </c>
      <c r="N25" s="342">
        <f>IF(AM25=301,"",AM25)</f>
        <v>244</v>
      </c>
      <c r="O25" s="342" t="str">
        <f>IF(AN25=0,"",AN25)</f>
        <v/>
      </c>
      <c r="P25" s="342">
        <f>IF(AO25=301,"",AO25)</f>
        <v>246</v>
      </c>
      <c r="Q25" s="342" t="str">
        <f>IF(AP25=0,"",AP25)</f>
        <v/>
      </c>
      <c r="R25" s="342">
        <f>IF(AQ25=301,"",AQ25)</f>
        <v>193</v>
      </c>
      <c r="S25" s="342" t="str">
        <f>IF(AR25=0,"",AR25)</f>
        <v/>
      </c>
      <c r="T25" s="342">
        <f>IF(AS25=301,"",AS25)</f>
        <v>189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171</v>
      </c>
      <c r="AD25" s="376"/>
      <c r="AE25" s="375">
        <f>ABS(INDEX(AE:AE,MATCH(AE22,$AA:$AA,0)+5)+INDEX(AE:AE,MATCH(AE22,$AA:$AA,0)+6)+INDEX(AE:AE,MATCH(AE22,$AA:$AA,0)+7))</f>
        <v>222</v>
      </c>
      <c r="AF25" s="376"/>
      <c r="AG25" s="375">
        <f>ABS(INDEX(AG:AG,MATCH(AG22,$AA:$AA,0)+5)+INDEX(AG:AG,MATCH(AG22,$AA:$AA,0)+6)+INDEX(AG:AG,MATCH(AG22,$AA:$AA,0)+7))</f>
        <v>204</v>
      </c>
      <c r="AH25" s="376"/>
      <c r="AI25" s="375">
        <f>ABS(INDEX(AI:AI,MATCH(AI22,$AA:$AA,0)+5)+INDEX(AI:AI,MATCH(AI22,$AA:$AA,0)+6)+INDEX(AI:AI,MATCH(AI22,$AA:$AA,0)+7))</f>
        <v>205</v>
      </c>
      <c r="AJ25" s="376"/>
      <c r="AK25" s="375">
        <f>ABS(INDEX(AK:AK,MATCH(AK22,$AA:$AA,0)+5)+INDEX(AK:AK,MATCH(AK22,$AA:$AA,0)+6)+INDEX(AK:AK,MATCH(AK22,$AA:$AA,0)+7))</f>
        <v>160</v>
      </c>
      <c r="AL25" s="376"/>
      <c r="AM25" s="375">
        <f>ABS(INDEX(AM:AM,MATCH(AM22,$AA:$AA,0)+5)+INDEX(AM:AM,MATCH(AM22,$AA:$AA,0)+6)+INDEX(AM:AM,MATCH(AM22,$AA:$AA,0)+7))</f>
        <v>244</v>
      </c>
      <c r="AN25" s="376"/>
      <c r="AO25" s="375">
        <f>ABS(INDEX(AO:AO,MATCH(AO22,$AA:$AA,0)+5)+INDEX(AO:AO,MATCH(AO22,$AA:$AA,0)+6)+INDEX(AO:AO,MATCH(AO22,$AA:$AA,0)+7))</f>
        <v>246</v>
      </c>
      <c r="AP25" s="376"/>
      <c r="AQ25" s="375">
        <f>ABS(INDEX(AQ:AQ,MATCH(AQ22,$AA:$AA,0)+5)+INDEX(AQ:AQ,MATCH(AQ22,$AA:$AA,0)+6)+INDEX(AQ:AQ,MATCH(AQ22,$AA:$AA,0)+7))</f>
        <v>193</v>
      </c>
      <c r="AR25" s="376"/>
      <c r="AS25" s="375">
        <f>ABS(INDEX(AS:AS,MATCH(AS22,$AA:$AA,0)+5)+INDEX(AS:AS,MATCH(AS22,$AA:$AA,0)+6)+INDEX(AS:AS,MATCH(AS22,$AA:$AA,0)+7))</f>
        <v>189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200</v>
      </c>
      <c r="E26" s="342" t="str">
        <f>IF(AD26=0,"",AD26)</f>
        <v/>
      </c>
      <c r="F26" s="342">
        <f>IF(AE26=301,"",AE26)</f>
        <v>245</v>
      </c>
      <c r="G26" s="342" t="str">
        <f>IF(AF26=0,"",AF26)</f>
        <v/>
      </c>
      <c r="H26" s="342">
        <f>IF(AG26=301,"",AG26)</f>
        <v>225</v>
      </c>
      <c r="I26" s="342" t="str">
        <f>IF(AH26=0,"",AH26)</f>
        <v/>
      </c>
      <c r="J26" s="342">
        <f>IF(AI26=301,"",AI26)</f>
        <v>227</v>
      </c>
      <c r="K26" s="342" t="str">
        <f>IF(AJ26=0,"",AJ26)</f>
        <v/>
      </c>
      <c r="L26" s="342">
        <f>IF(AK26=301,"",AK26)</f>
        <v>245</v>
      </c>
      <c r="M26" s="342" t="str">
        <f>IF(AL26=0,"",AL26)</f>
        <v/>
      </c>
      <c r="N26" s="342">
        <f>IF(AM26=301,"",AM26)</f>
        <v>182</v>
      </c>
      <c r="O26" s="342" t="str">
        <f>IF(AN26=0,"",AN26)</f>
        <v/>
      </c>
      <c r="P26" s="342">
        <f>IF(AO26=301,"",AO26)</f>
        <v>201</v>
      </c>
      <c r="Q26" s="342" t="str">
        <f>IF(AP26=0,"",AP26)</f>
        <v/>
      </c>
      <c r="R26" s="342">
        <f>IF(AQ26=301,"",AQ26)</f>
        <v>214</v>
      </c>
      <c r="S26" s="342" t="str">
        <f>IF(AR26=0,"",AR26)</f>
        <v/>
      </c>
      <c r="T26" s="342">
        <f>IF(AS26=301,"",AS26)</f>
        <v>185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200</v>
      </c>
      <c r="AD26" s="378"/>
      <c r="AE26" s="377">
        <f>ABS(INDEX(AE:AE,MATCH(AE22,$AA:$AA,0)+8)+INDEX(AE:AE,MATCH(AE22,$AA:$AA,0)+9)+INDEX(AE:AE,MATCH(AE22,$AA:$AA,0)+10))</f>
        <v>245</v>
      </c>
      <c r="AF26" s="378"/>
      <c r="AG26" s="377">
        <f>ABS(INDEX(AG:AG,MATCH(AG22,$AA:$AA,0)+8)+INDEX(AG:AG,MATCH(AG22,$AA:$AA,0)+9)+INDEX(AG:AG,MATCH(AG22,$AA:$AA,0)+10))</f>
        <v>225</v>
      </c>
      <c r="AH26" s="378"/>
      <c r="AI26" s="377">
        <f>ABS(INDEX(AI:AI,MATCH(AI22,$AA:$AA,0)+8)+INDEX(AI:AI,MATCH(AI22,$AA:$AA,0)+9)+INDEX(AI:AI,MATCH(AI22,$AA:$AA,0)+10))</f>
        <v>227</v>
      </c>
      <c r="AJ26" s="378"/>
      <c r="AK26" s="377">
        <f>ABS(INDEX(AK:AK,MATCH(AK22,$AA:$AA,0)+8)+INDEX(AK:AK,MATCH(AK22,$AA:$AA,0)+9)+INDEX(AK:AK,MATCH(AK22,$AA:$AA,0)+10))</f>
        <v>245</v>
      </c>
      <c r="AL26" s="378"/>
      <c r="AM26" s="377">
        <f>ABS(INDEX(AM:AM,MATCH(AM22,$AA:$AA,0)+8)+INDEX(AM:AM,MATCH(AM22,$AA:$AA,0)+9)+INDEX(AM:AM,MATCH(AM22,$AA:$AA,0)+10))</f>
        <v>182</v>
      </c>
      <c r="AN26" s="378"/>
      <c r="AO26" s="377">
        <f>ABS(INDEX(AO:AO,MATCH(AO22,$AA:$AA,0)+8)+INDEX(AO:AO,MATCH(AO22,$AA:$AA,0)+9)+INDEX(AO:AO,MATCH(AO22,$AA:$AA,0)+10))</f>
        <v>201</v>
      </c>
      <c r="AP26" s="378"/>
      <c r="AQ26" s="377">
        <f>ABS(INDEX(AQ:AQ,MATCH(AQ22,$AA:$AA,0)+8)+INDEX(AQ:AQ,MATCH(AQ22,$AA:$AA,0)+9)+INDEX(AQ:AQ,MATCH(AQ22,$AA:$AA,0)+10))</f>
        <v>214</v>
      </c>
      <c r="AR26" s="378"/>
      <c r="AS26" s="377">
        <f>ABS(INDEX(AS:AS,MATCH(AS22,$AA:$AA,0)+8)+INDEX(AS:AS,MATCH(AS22,$AA:$AA,0)+9)+INDEX(AS:AS,MATCH(AS22,$AA:$AA,0)+10))</f>
        <v>185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193</v>
      </c>
      <c r="E27" s="342" t="str">
        <f>IF(AD27=0,"",AD27)</f>
        <v/>
      </c>
      <c r="F27" s="342">
        <f>IF(AE27=301,"",AE27)</f>
        <v>209</v>
      </c>
      <c r="G27" s="342" t="str">
        <f>IF(AF27=0,"",AF27)</f>
        <v/>
      </c>
      <c r="H27" s="342">
        <f>IF(AG27=301,"",AG27)</f>
        <v>172</v>
      </c>
      <c r="I27" s="342" t="str">
        <f>IF(AH27=0,"",AH27)</f>
        <v/>
      </c>
      <c r="J27" s="342">
        <f>IF(AI27=301,"",AI27)</f>
        <v>178</v>
      </c>
      <c r="K27" s="342" t="str">
        <f>IF(AJ27=0,"",AJ27)</f>
        <v/>
      </c>
      <c r="L27" s="342">
        <f>IF(AK27=301,"",AK27)</f>
        <v>215</v>
      </c>
      <c r="M27" s="342" t="str">
        <f>IF(AL27=0,"",AL27)</f>
        <v/>
      </c>
      <c r="N27" s="342">
        <f>IF(AM27=301,"",AM27)</f>
        <v>201</v>
      </c>
      <c r="O27" s="342" t="str">
        <f>IF(AN27=0,"",AN27)</f>
        <v/>
      </c>
      <c r="P27" s="342">
        <f>IF(AO27=301,"",AO27)</f>
        <v>237</v>
      </c>
      <c r="Q27" s="342" t="str">
        <f>IF(AP27=0,"",AP27)</f>
        <v/>
      </c>
      <c r="R27" s="342">
        <f>IF(AQ27=301,"",AQ27)</f>
        <v>171</v>
      </c>
      <c r="S27" s="342" t="str">
        <f>IF(AR27=0,"",AR27)</f>
        <v/>
      </c>
      <c r="T27" s="342">
        <f>IF(AS27=301,"",AS27)</f>
        <v>224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193</v>
      </c>
      <c r="AD27" s="378"/>
      <c r="AE27" s="377">
        <f>ABS(INDEX(AE:AE,MATCH(AE22,$AA:$AA,0)+11)+INDEX(AE:AE,MATCH(AE22,$AA:$AA,0)+12)+INDEX(AE:AE,MATCH(AE22,$AA:$AA,0)+13))</f>
        <v>209</v>
      </c>
      <c r="AF27" s="378"/>
      <c r="AG27" s="377">
        <f>ABS(INDEX(AG:AG,MATCH(AG22,$AA:$AA,0)+11)+INDEX(AG:AG,MATCH(AG22,$AA:$AA,0)+12)+INDEX(AG:AG,MATCH(AG22,$AA:$AA,0)+13))</f>
        <v>172</v>
      </c>
      <c r="AH27" s="378"/>
      <c r="AI27" s="377">
        <f>ABS(INDEX(AI:AI,MATCH(AI22,$AA:$AA,0)+11)+INDEX(AI:AI,MATCH(AI22,$AA:$AA,0)+12)+INDEX(AI:AI,MATCH(AI22,$AA:$AA,0)+13))</f>
        <v>178</v>
      </c>
      <c r="AJ27" s="378"/>
      <c r="AK27" s="377">
        <f>ABS(INDEX(AK:AK,MATCH(AK22,$AA:$AA,0)+11)+INDEX(AK:AK,MATCH(AK22,$AA:$AA,0)+12)+INDEX(AK:AK,MATCH(AK22,$AA:$AA,0)+13))</f>
        <v>215</v>
      </c>
      <c r="AL27" s="378"/>
      <c r="AM27" s="377">
        <f>ABS(INDEX(AM:AM,MATCH(AM22,$AA:$AA,0)+11)+INDEX(AM:AM,MATCH(AM22,$AA:$AA,0)+12)+INDEX(AM:AM,MATCH(AM22,$AA:$AA,0)+13))</f>
        <v>201</v>
      </c>
      <c r="AN27" s="378"/>
      <c r="AO27" s="377">
        <f>ABS(INDEX(AO:AO,MATCH(AO22,$AA:$AA,0)+11)+INDEX(AO:AO,MATCH(AO22,$AA:$AA,0)+12)+INDEX(AO:AO,MATCH(AO22,$AA:$AA,0)+13))</f>
        <v>237</v>
      </c>
      <c r="AP27" s="378"/>
      <c r="AQ27" s="377">
        <f>ABS(INDEX(AQ:AQ,MATCH(AQ22,$AA:$AA,0)+11)+INDEX(AQ:AQ,MATCH(AQ22,$AA:$AA,0)+12)+INDEX(AQ:AQ,MATCH(AQ22,$AA:$AA,0)+13))</f>
        <v>171</v>
      </c>
      <c r="AR27" s="378"/>
      <c r="AS27" s="377">
        <f>ABS(INDEX(AS:AS,MATCH(AS22,$AA:$AA,0)+11)+INDEX(AS:AS,MATCH(AS22,$AA:$AA,0)+12)+INDEX(AS:AS,MATCH(AS22,$AA:$AA,0)+13))</f>
        <v>224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189</v>
      </c>
      <c r="G28" s="342" t="str">
        <f>IF(AF28=0,"",AF28)</f>
        <v/>
      </c>
      <c r="H28" s="342">
        <f>IF(AG28=301,"",AG28)</f>
        <v>216</v>
      </c>
      <c r="I28" s="342" t="str">
        <f>IF(AH28=0,"",AH28)</f>
        <v/>
      </c>
      <c r="J28" s="342">
        <f>IF(AI28=301,"",AI28)</f>
        <v>256</v>
      </c>
      <c r="K28" s="342" t="str">
        <f>IF(AJ28=0,"",AJ28)</f>
        <v/>
      </c>
      <c r="L28" s="342">
        <f>IF(AK28=301,"",AK28)</f>
        <v>170</v>
      </c>
      <c r="M28" s="342" t="str">
        <f>IF(AL28=0,"",AL28)</f>
        <v/>
      </c>
      <c r="N28" s="342">
        <f>IF(AM28=301,"",AM28)</f>
        <v>193</v>
      </c>
      <c r="O28" s="342" t="str">
        <f>IF(AN28=0,"",AN28)</f>
        <v/>
      </c>
      <c r="P28" s="342">
        <f>IF(AO28=301,"",AO28)</f>
        <v>244</v>
      </c>
      <c r="Q28" s="342" t="str">
        <f>IF(AP28=0,"",AP28)</f>
        <v/>
      </c>
      <c r="R28" s="342">
        <f>IF(AQ28=301,"",AQ28)</f>
        <v>218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189</v>
      </c>
      <c r="AF28" s="378"/>
      <c r="AG28" s="377">
        <f>ABS(INDEX(AG:AG,MATCH(AG22,$AA:$AA,0)+14)+INDEX(AG:AG,MATCH(AG22,$AA:$AA,0)+15)+INDEX(AG:AG,MATCH(AG22,$AA:$AA,0)+16))</f>
        <v>216</v>
      </c>
      <c r="AH28" s="378"/>
      <c r="AI28" s="377">
        <f>ABS(INDEX(AI:AI,MATCH(AI22,$AA:$AA,0)+14)+INDEX(AI:AI,MATCH(AI22,$AA:$AA,0)+15)+INDEX(AI:AI,MATCH(AI22,$AA:$AA,0)+16))</f>
        <v>256</v>
      </c>
      <c r="AJ28" s="378"/>
      <c r="AK28" s="377">
        <f>ABS(INDEX(AK:AK,MATCH(AK22,$AA:$AA,0)+14)+INDEX(AK:AK,MATCH(AK22,$AA:$AA,0)+15)+INDEX(AK:AK,MATCH(AK22,$AA:$AA,0)+16))</f>
        <v>170</v>
      </c>
      <c r="AL28" s="378"/>
      <c r="AM28" s="377">
        <f>ABS(INDEX(AM:AM,MATCH(AM22,$AA:$AA,0)+14)+INDEX(AM:AM,MATCH(AM22,$AA:$AA,0)+15)+INDEX(AM:AM,MATCH(AM22,$AA:$AA,0)+16))</f>
        <v>193</v>
      </c>
      <c r="AN28" s="378"/>
      <c r="AO28" s="377">
        <f>ABS(INDEX(AO:AO,MATCH(AO22,$AA:$AA,0)+14)+INDEX(AO:AO,MATCH(AO22,$AA:$AA,0)+15)+INDEX(AO:AO,MATCH(AO22,$AA:$AA,0)+16))</f>
        <v>244</v>
      </c>
      <c r="AP28" s="378"/>
      <c r="AQ28" s="377">
        <f>ABS(INDEX(AQ:AQ,MATCH(AQ22,$AA:$AA,0)+14)+INDEX(AQ:AQ,MATCH(AQ22,$AA:$AA,0)+15)+INDEX(AQ:AQ,MATCH(AQ22,$AA:$AA,0)+16))</f>
        <v>218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734</v>
      </c>
      <c r="E29" s="341" t="str">
        <f>IF(AD29=0,"",AD29)</f>
        <v/>
      </c>
      <c r="F29" s="341">
        <f>IF(AE29=1505,"",AE29)</f>
        <v>865</v>
      </c>
      <c r="G29" s="341" t="str">
        <f>IF(AF29=0,"",AF29)</f>
        <v/>
      </c>
      <c r="H29" s="341">
        <f>IF(AG29=1505,"",AG29)</f>
        <v>817</v>
      </c>
      <c r="I29" s="341" t="str">
        <f>IF(AH29=0,"",AH29)</f>
        <v/>
      </c>
      <c r="J29" s="341">
        <f>IF(AI29=1505,"",AI29)</f>
        <v>866</v>
      </c>
      <c r="K29" s="341" t="str">
        <f>IF(AJ29=0,"",AJ29)</f>
        <v/>
      </c>
      <c r="L29" s="341">
        <f>IF(AK29=1505,"",AK29)</f>
        <v>790</v>
      </c>
      <c r="M29" s="341" t="str">
        <f>IF(AL29=0,"",AL29)</f>
        <v/>
      </c>
      <c r="N29" s="341">
        <f>IF(AM29=1505,"",AM29)</f>
        <v>820</v>
      </c>
      <c r="O29" s="341" t="str">
        <f>IF(AN29=0,"",AN29)</f>
        <v/>
      </c>
      <c r="P29" s="341">
        <f>IF(AO29=1505,"",AO29)</f>
        <v>928</v>
      </c>
      <c r="Q29" s="341" t="str">
        <f>IF(AP29=0,"",AP29)</f>
        <v/>
      </c>
      <c r="R29" s="341">
        <f>IF(AQ29=1505,"",AQ29)</f>
        <v>796</v>
      </c>
      <c r="S29" s="341" t="str">
        <f>IF(AR29=0,"",AR29)</f>
        <v/>
      </c>
      <c r="T29" s="341">
        <f>IF(AS29=1505,"",AS29)</f>
        <v>807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734</v>
      </c>
      <c r="AD29" s="358"/>
      <c r="AE29" s="357">
        <f>SUM(AE25:AE28)</f>
        <v>865</v>
      </c>
      <c r="AF29" s="358"/>
      <c r="AG29" s="357">
        <f>SUM(AG25:AG28)</f>
        <v>817</v>
      </c>
      <c r="AH29" s="358"/>
      <c r="AI29" s="357">
        <f>SUM(AI25:AI28)</f>
        <v>866</v>
      </c>
      <c r="AJ29" s="358"/>
      <c r="AK29" s="357">
        <f>SUM(AK25:AK28)</f>
        <v>790</v>
      </c>
      <c r="AL29" s="358"/>
      <c r="AM29" s="357">
        <f>SUM(AM25:AM28)</f>
        <v>820</v>
      </c>
      <c r="AN29" s="358"/>
      <c r="AO29" s="357">
        <f>SUM(AO25:AO28)</f>
        <v>928</v>
      </c>
      <c r="AP29" s="358"/>
      <c r="AQ29" s="357">
        <f>SUM(AQ25:AQ28)</f>
        <v>796</v>
      </c>
      <c r="AR29" s="358"/>
      <c r="AS29" s="357">
        <f>SUM(AS25:AS28)</f>
        <v>807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15.03./16.03.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15.03./16.03.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Brunnthal Max Munich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171</v>
      </c>
      <c r="E37" s="351">
        <f>IF(AD37="","",AD37)</f>
        <v>0</v>
      </c>
      <c r="F37" s="75">
        <f t="shared" ref="F37:F50" si="34">IF(AE37=0,"",AE37)</f>
        <v>214</v>
      </c>
      <c r="G37" s="351">
        <f>IF(AF37="","",AF37)</f>
        <v>1</v>
      </c>
      <c r="H37" s="75">
        <f t="shared" ref="H37:H50" si="35">IF(AG37=0,"",AG37)</f>
        <v>187</v>
      </c>
      <c r="I37" s="351">
        <f>IF(AH37="","",AH37)</f>
        <v>1</v>
      </c>
      <c r="J37" s="75">
        <f t="shared" ref="J37:J50" si="36">IF(AI37=0,"",AI37)</f>
        <v>258</v>
      </c>
      <c r="K37" s="351">
        <f>IF(AJ37="","",AJ37)</f>
        <v>1</v>
      </c>
      <c r="L37" s="75">
        <f t="shared" ref="L37:L50" si="37">IF(AK37=0,"",AK37)</f>
        <v>239</v>
      </c>
      <c r="M37" s="351">
        <f>IF(AL37="","",AL37)</f>
        <v>1</v>
      </c>
      <c r="N37" s="75">
        <f>IF(AM37=0,"",AM37)</f>
        <v>252</v>
      </c>
      <c r="O37" s="351">
        <f>IF(AN37="","",AN37)</f>
        <v>1</v>
      </c>
      <c r="P37" s="75">
        <f t="shared" ref="P37:P50" si="38">IF(AO37=0,"",AO37)</f>
        <v>196</v>
      </c>
      <c r="Q37" s="351">
        <f>IF(AP37="","",AP37)</f>
        <v>0</v>
      </c>
      <c r="R37" s="75">
        <f t="shared" ref="R37:R50" si="39">IF(AQ37=0,"",AQ37)</f>
        <v>192</v>
      </c>
      <c r="S37" s="351">
        <f>IF(AR37="","",AR37)</f>
        <v>0</v>
      </c>
      <c r="T37" s="75">
        <f t="shared" ref="T37:T50" si="40">IF(AS37=0,"",AS37)</f>
        <v>207</v>
      </c>
      <c r="U37" s="351">
        <f>IF(AT37="","",AT37)</f>
        <v>1</v>
      </c>
      <c r="V37" s="75">
        <f t="shared" ref="V37:V50" si="41">IF(AU37=0,"",AU37)</f>
        <v>1916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171</v>
      </c>
      <c r="AD37" s="109">
        <f>IF(SUM(AC37:AC39)+AC55=0,0,IF(SUM(AC37:AC39)=AC55,0.5,IF(SUM(AC37:AC39)&gt;AC55,1,0)))</f>
        <v>0</v>
      </c>
      <c r="AE37" s="185">
        <v>214</v>
      </c>
      <c r="AF37" s="109">
        <f>IF(SUM(AE37:AE39)+AE55=0,0,IF(SUM(AE37:AE39)=AE55,0.5,IF(SUM(AE37:AE39)&gt;AE55,1,0)))</f>
        <v>1</v>
      </c>
      <c r="AG37" s="185">
        <v>187</v>
      </c>
      <c r="AH37" s="109">
        <f>IF(SUM(AG37:AG39)+AG55=0,0,IF(SUM(AG37:AG39)=AG55,0.5,IF(SUM(AG37:AG39)&gt;AG55,1,0)))</f>
        <v>1</v>
      </c>
      <c r="AI37" s="185">
        <v>258</v>
      </c>
      <c r="AJ37" s="109">
        <f>IF(SUM(AI37:AI39)+AI55=0,0,IF(SUM(AI37:AI39)=AI55,0.5,IF(SUM(AI37:AI39)&gt;AI55,1,0)))</f>
        <v>1</v>
      </c>
      <c r="AK37" s="185">
        <v>239</v>
      </c>
      <c r="AL37" s="109">
        <f>IF(SUM(AK37:AK39)+AK55=0,0,IF(SUM(AK37:AK39)=AK55,0.5,IF(SUM(AK37:AK39)&gt;AK55,1,0)))</f>
        <v>1</v>
      </c>
      <c r="AM37" s="185">
        <v>252</v>
      </c>
      <c r="AN37" s="109">
        <f>IF(SUM(AM37:AM39)+AM55=0,0,IF(SUM(AM37:AM39)=AM55,0.5,IF(SUM(AM37:AM39)&gt;AM55,1,0)))</f>
        <v>1</v>
      </c>
      <c r="AO37" s="185">
        <v>196</v>
      </c>
      <c r="AP37" s="109">
        <f>IF(SUM(AO37:AO39)+AO55=0,0,IF(SUM(AO37:AO39)=AO55,0.5,IF(SUM(AO37:AO39)&gt;AO55,1,0)))</f>
        <v>0</v>
      </c>
      <c r="AQ37" s="185">
        <v>192</v>
      </c>
      <c r="AR37" s="109">
        <f>IF(SUM(AQ37:AQ39)+AQ55=0,0,IF(SUM(AQ37:AQ39)=AQ55,0.5,IF(SUM(AQ37:AQ39)&gt;AQ55,1,0)))</f>
        <v>0</v>
      </c>
      <c r="AS37" s="185">
        <v>207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1916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1916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171</v>
      </c>
      <c r="BI37" s="215">
        <f t="shared" ref="BI37:BI48" si="44">IF(AE37=0,"",AE37)</f>
        <v>214</v>
      </c>
      <c r="BJ37" s="215">
        <f t="shared" ref="BJ37:BJ48" si="45">IF(AG37=0,"",AG37)</f>
        <v>187</v>
      </c>
      <c r="BK37" s="215">
        <f t="shared" ref="BK37:BK48" si="46">IF(AI37=0,"",AI37)</f>
        <v>258</v>
      </c>
      <c r="BL37" s="215">
        <f t="shared" ref="BL37:BL48" si="47">IF(AK37=0,"",AK37)</f>
        <v>239</v>
      </c>
      <c r="BM37" s="215">
        <f t="shared" ref="BM37:BM48" si="48">IF(AM37=0,"",AM37)</f>
        <v>252</v>
      </c>
      <c r="BN37" s="215">
        <f t="shared" ref="BN37:BN48" si="49">IF(AO37=0,"",AO37)</f>
        <v>196</v>
      </c>
      <c r="BO37" s="215">
        <f t="shared" ref="BO37:BO48" si="50">IF(AQ37=0,"",AQ37)</f>
        <v>192</v>
      </c>
      <c r="BP37" s="215">
        <f t="shared" ref="BP37:BP48" si="51">IF(AS37=0,"",AS37)</f>
        <v>207</v>
      </c>
      <c r="BQ37" s="216"/>
      <c r="BR37" s="214"/>
      <c r="BS37" s="215">
        <f>MAX(BH37:BP37)</f>
        <v>258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3</v>
      </c>
      <c r="BW37" s="215">
        <f>SUMIF(BH37:BP37,"&gt;0")</f>
        <v>1916</v>
      </c>
      <c r="BX37" s="215">
        <f>IF(COUNTIF(BH37:BP37,"&gt;0")&lt;Spielorte!$A$23,0,BE37/Spielorte!$A$23)</f>
        <v>212.88888888888889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3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3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200</v>
      </c>
      <c r="E40" s="351">
        <f>IF(AD40="","",AD40)</f>
        <v>0</v>
      </c>
      <c r="F40" s="75">
        <f t="shared" si="34"/>
        <v>211</v>
      </c>
      <c r="G40" s="351">
        <f>IF(AF40="","",AF40)</f>
        <v>1</v>
      </c>
      <c r="H40" s="75">
        <f t="shared" si="35"/>
        <v>175</v>
      </c>
      <c r="I40" s="351">
        <f>IF(AH40="","",AH40)</f>
        <v>0</v>
      </c>
      <c r="J40" s="75">
        <f t="shared" si="36"/>
        <v>225</v>
      </c>
      <c r="K40" s="351">
        <f>IF(AJ40="","",AJ40)</f>
        <v>1</v>
      </c>
      <c r="L40" s="75">
        <f t="shared" si="37"/>
        <v>229</v>
      </c>
      <c r="M40" s="351">
        <f>IF(AL40="","",AL40)</f>
        <v>1</v>
      </c>
      <c r="N40" s="75">
        <f t="shared" si="54"/>
        <v>167</v>
      </c>
      <c r="O40" s="351">
        <f>IF(AN40="","",AN40)</f>
        <v>0</v>
      </c>
      <c r="P40" s="75">
        <f t="shared" si="38"/>
        <v>182</v>
      </c>
      <c r="Q40" s="351">
        <f>IF(AP40="","",AP40)</f>
        <v>1</v>
      </c>
      <c r="R40" s="75">
        <f t="shared" si="39"/>
        <v>163</v>
      </c>
      <c r="S40" s="351">
        <f>IF(AR40="","",AR40)</f>
        <v>0</v>
      </c>
      <c r="T40" s="75">
        <f t="shared" si="40"/>
        <v>202</v>
      </c>
      <c r="U40" s="351">
        <f>IF(AT40="","",AT40)</f>
        <v>0</v>
      </c>
      <c r="V40" s="75">
        <f t="shared" si="41"/>
        <v>1754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200</v>
      </c>
      <c r="AD40" s="109">
        <f>IF(SUM(AC40:AC42)+AC56=0,0,IF(SUM(AC40:AC42)=AC56,0.5,IF(SUM(AC40:AC42)&gt;AC56,1,0)))</f>
        <v>0</v>
      </c>
      <c r="AE40" s="188">
        <v>211</v>
      </c>
      <c r="AF40" s="109">
        <f>IF(SUM(AE40:AE42)+AE56=0,0,IF(SUM(AE40:AE42)=AE56,0.5,IF(SUM(AE40:AE42)&gt;AE56,1,0)))</f>
        <v>1</v>
      </c>
      <c r="AG40" s="188">
        <v>175</v>
      </c>
      <c r="AH40" s="109">
        <f>IF(SUM(AG40:AG42)+AG56=0,0,IF(SUM(AG40:AG42)=AG56,0.5,IF(SUM(AG40:AG42)&gt;AG56,1,0)))</f>
        <v>0</v>
      </c>
      <c r="AI40" s="188">
        <v>225</v>
      </c>
      <c r="AJ40" s="109">
        <f>IF(SUM(AI40:AI42)+AI56=0,0,IF(SUM(AI40:AI42)=AI56,0.5,IF(SUM(AI40:AI42)&gt;AI56,1,0)))</f>
        <v>1</v>
      </c>
      <c r="AK40" s="188">
        <v>229</v>
      </c>
      <c r="AL40" s="109">
        <f>IF(SUM(AK40:AK42)+AK56=0,0,IF(SUM(AK40:AK42)=AK56,0.5,IF(SUM(AK40:AK42)&gt;AK56,1,0)))</f>
        <v>1</v>
      </c>
      <c r="AM40" s="188">
        <v>167</v>
      </c>
      <c r="AN40" s="109">
        <f>IF(SUM(AM40:AM42)+AM56=0,0,IF(SUM(AM40:AM42)=AM56,0.5,IF(SUM(AM40:AM42)&gt;AM56,1,0)))</f>
        <v>0</v>
      </c>
      <c r="AO40" s="188">
        <v>182</v>
      </c>
      <c r="AP40" s="109">
        <f>IF(SUM(AO40:AO42)+AO56=0,0,IF(SUM(AO40:AO42)=AO56,0.5,IF(SUM(AO40:AO42)&gt;AO56,1,0)))</f>
        <v>1</v>
      </c>
      <c r="AQ40" s="188">
        <v>163</v>
      </c>
      <c r="AR40" s="109">
        <f>IF(SUM(AQ40:AQ42)+AQ56=0,0,IF(SUM(AQ40:AQ42)=AQ56,0.5,IF(SUM(AQ40:AQ42)&gt;AQ56,1,0)))</f>
        <v>0</v>
      </c>
      <c r="AS40" s="188">
        <v>202</v>
      </c>
      <c r="AT40" s="109">
        <f>IF(SUM(AS40:AS42)+AS56=0,0,IF(SUM(AS40:AS42)=AS56,0.5,IF(SUM(AS40:AS42)&gt;AS56,1,0)))</f>
        <v>0</v>
      </c>
      <c r="AU40" s="110">
        <f t="shared" si="42"/>
        <v>1754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1754</v>
      </c>
      <c r="BF40" s="215">
        <f t="shared" si="57"/>
        <v>9</v>
      </c>
      <c r="BG40" s="215">
        <f t="shared" si="58"/>
        <v>9</v>
      </c>
      <c r="BH40" s="215">
        <f t="shared" si="43"/>
        <v>200</v>
      </c>
      <c r="BI40" s="215">
        <f t="shared" si="44"/>
        <v>211</v>
      </c>
      <c r="BJ40" s="215">
        <f t="shared" si="45"/>
        <v>175</v>
      </c>
      <c r="BK40" s="215">
        <f t="shared" si="46"/>
        <v>225</v>
      </c>
      <c r="BL40" s="215">
        <f t="shared" si="47"/>
        <v>229</v>
      </c>
      <c r="BM40" s="215">
        <f t="shared" si="48"/>
        <v>167</v>
      </c>
      <c r="BN40" s="215">
        <f t="shared" si="49"/>
        <v>182</v>
      </c>
      <c r="BO40" s="215">
        <f t="shared" si="50"/>
        <v>163</v>
      </c>
      <c r="BP40" s="215">
        <f t="shared" si="51"/>
        <v>202</v>
      </c>
      <c r="BQ40" s="216"/>
      <c r="BR40" s="214"/>
      <c r="BS40" s="215">
        <f t="shared" si="59"/>
        <v>229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3</v>
      </c>
      <c r="BW40" s="215">
        <f t="shared" si="63"/>
        <v>1754</v>
      </c>
      <c r="BX40" s="215">
        <f>IF(COUNTIF(BH40:BP40,"&gt;0")&lt;Spielorte!$A$23,0,BE40/Spielorte!$A$23)</f>
        <v>194.88888888888889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3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193</v>
      </c>
      <c r="E43" s="351">
        <f>IF(AD43="","",AD43)</f>
        <v>1</v>
      </c>
      <c r="F43" s="75">
        <f t="shared" si="34"/>
        <v>202</v>
      </c>
      <c r="G43" s="351">
        <f>IF(AF43="","",AF43)</f>
        <v>1</v>
      </c>
      <c r="H43" s="75">
        <f t="shared" si="35"/>
        <v>207</v>
      </c>
      <c r="I43" s="351">
        <f>IF(AH43="","",AH43)</f>
        <v>0</v>
      </c>
      <c r="J43" s="75">
        <f t="shared" si="36"/>
        <v>171</v>
      </c>
      <c r="K43" s="351">
        <f>IF(AJ43="","",AJ43)</f>
        <v>0</v>
      </c>
      <c r="L43" s="75">
        <f t="shared" si="37"/>
        <v>210</v>
      </c>
      <c r="M43" s="351">
        <f>IF(AL43="","",AL43)</f>
        <v>1</v>
      </c>
      <c r="N43" s="75">
        <f t="shared" si="54"/>
        <v>192</v>
      </c>
      <c r="O43" s="351">
        <f>IF(AN43="","",AN43)</f>
        <v>1</v>
      </c>
      <c r="P43" s="75">
        <f t="shared" si="38"/>
        <v>201</v>
      </c>
      <c r="Q43" s="351">
        <f>IF(AP43="","",AP43)</f>
        <v>0</v>
      </c>
      <c r="R43" s="75">
        <f t="shared" si="39"/>
        <v>212</v>
      </c>
      <c r="S43" s="351">
        <f>IF(AR43="","",AR43)</f>
        <v>0</v>
      </c>
      <c r="T43" s="75">
        <f t="shared" si="40"/>
        <v>214</v>
      </c>
      <c r="U43" s="351">
        <f>IF(AT43="","",AT43)</f>
        <v>1</v>
      </c>
      <c r="V43" s="75">
        <f t="shared" si="41"/>
        <v>1802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193</v>
      </c>
      <c r="AD43" s="109">
        <f>IF(SUM(AC43:AC45)+AC57=0,0,IF(SUM(AC43:AC45)=AC57,0.5,IF(SUM(AC43:AC45)&gt;AC57,1,0)))</f>
        <v>1</v>
      </c>
      <c r="AE43" s="188">
        <v>202</v>
      </c>
      <c r="AF43" s="109">
        <f>IF(SUM(AE43:AE45)+AE57=0,0,IF(SUM(AE43:AE45)=AE57,0.5,IF(SUM(AE43:AE45)&gt;AE57,1,0)))</f>
        <v>1</v>
      </c>
      <c r="AG43" s="188">
        <v>207</v>
      </c>
      <c r="AH43" s="109">
        <f>IF(SUM(AG43:AG45)+AG57=0,0,IF(SUM(AG43:AG45)=AG57,0.5,IF(SUM(AG43:AG45)&gt;AG57,1,0)))</f>
        <v>0</v>
      </c>
      <c r="AI43" s="188">
        <v>171</v>
      </c>
      <c r="AJ43" s="109">
        <f>IF(SUM(AI43:AI45)+AI57=0,0,IF(SUM(AI43:AI45)=AI57,0.5,IF(SUM(AI43:AI45)&gt;AI57,1,0)))</f>
        <v>0</v>
      </c>
      <c r="AK43" s="188">
        <v>210</v>
      </c>
      <c r="AL43" s="109">
        <f>IF(SUM(AK43:AK45)+AK57=0,0,IF(SUM(AK43:AK45)=AK57,0.5,IF(SUM(AK43:AK45)&gt;AK57,1,0)))</f>
        <v>1</v>
      </c>
      <c r="AM43" s="188">
        <v>192</v>
      </c>
      <c r="AN43" s="109">
        <f>IF(SUM(AM43:AM45)+AM57=0,0,IF(SUM(AM43:AM45)=AM57,0.5,IF(SUM(AM43:AM45)&gt;AM57,1,0)))</f>
        <v>1</v>
      </c>
      <c r="AO43" s="188">
        <v>201</v>
      </c>
      <c r="AP43" s="109">
        <f>IF(SUM(AO43:AO45)+AO57=0,0,IF(SUM(AO43:AO45)=AO57,0.5,IF(SUM(AO43:AO45)&gt;AO57,1,0)))</f>
        <v>0</v>
      </c>
      <c r="AQ43" s="188">
        <v>212</v>
      </c>
      <c r="AR43" s="109">
        <f>IF(SUM(AQ43:AQ45)+AQ57=0,0,IF(SUM(AQ43:AQ45)=AQ57,0.5,IF(SUM(AQ43:AQ45)&gt;AQ57,1,0)))</f>
        <v>0</v>
      </c>
      <c r="AS43" s="188">
        <v>214</v>
      </c>
      <c r="AT43" s="109">
        <f>IF(SUM(AS43:AS45)+AS57=0,0,IF(SUM(AS43:AS45)=AS57,0.5,IF(SUM(AS43:AS45)&gt;AS57,1,0)))</f>
        <v>1</v>
      </c>
      <c r="AU43" s="110">
        <f t="shared" si="42"/>
        <v>1802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1802</v>
      </c>
      <c r="BF43" s="215">
        <f t="shared" si="57"/>
        <v>9</v>
      </c>
      <c r="BG43" s="215">
        <f t="shared" si="58"/>
        <v>9</v>
      </c>
      <c r="BH43" s="215">
        <f t="shared" si="43"/>
        <v>193</v>
      </c>
      <c r="BI43" s="215">
        <f t="shared" si="44"/>
        <v>202</v>
      </c>
      <c r="BJ43" s="215">
        <f t="shared" si="45"/>
        <v>207</v>
      </c>
      <c r="BK43" s="215">
        <f t="shared" si="46"/>
        <v>171</v>
      </c>
      <c r="BL43" s="215">
        <f t="shared" si="47"/>
        <v>210</v>
      </c>
      <c r="BM43" s="215">
        <f t="shared" si="48"/>
        <v>192</v>
      </c>
      <c r="BN43" s="215">
        <f t="shared" si="49"/>
        <v>201</v>
      </c>
      <c r="BO43" s="215">
        <f t="shared" si="50"/>
        <v>212</v>
      </c>
      <c r="BP43" s="215">
        <f t="shared" si="51"/>
        <v>214</v>
      </c>
      <c r="BQ43" s="216"/>
      <c r="BR43" s="214"/>
      <c r="BS43" s="215">
        <f t="shared" si="59"/>
        <v>214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3</v>
      </c>
      <c r="BW43" s="215">
        <f t="shared" si="63"/>
        <v>1802</v>
      </c>
      <c r="BX43" s="215">
        <f>IF(COUNTIF(BH43:BP43,"&gt;0")&lt;Spielorte!$A$23,0,BE43/Spielorte!$A$23)</f>
        <v>200.22222222222223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3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3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3"/>
        <v>7601</v>
      </c>
      <c r="D46" s="75">
        <f t="shared" si="53"/>
        <v>170</v>
      </c>
      <c r="E46" s="351">
        <f>IF(AD46="","",AD46)</f>
        <v>0</v>
      </c>
      <c r="F46" s="75">
        <f t="shared" si="34"/>
        <v>203</v>
      </c>
      <c r="G46" s="351">
        <f>IF(AF46="","",AF46)</f>
        <v>1</v>
      </c>
      <c r="H46" s="75">
        <f t="shared" si="35"/>
        <v>161</v>
      </c>
      <c r="I46" s="351">
        <f>IF(AH46="","",AH46)</f>
        <v>0</v>
      </c>
      <c r="J46" s="75">
        <f t="shared" si="36"/>
        <v>225</v>
      </c>
      <c r="K46" s="351">
        <f>IF(AJ46="","",AJ46)</f>
        <v>1</v>
      </c>
      <c r="L46" s="75">
        <f t="shared" si="37"/>
        <v>189</v>
      </c>
      <c r="M46" s="351">
        <f>IF(AL46="","",AL46)</f>
        <v>0</v>
      </c>
      <c r="N46" s="75">
        <f t="shared" si="54"/>
        <v>202</v>
      </c>
      <c r="O46" s="351">
        <f>IF(AN46="","",AN46)</f>
        <v>0</v>
      </c>
      <c r="P46" s="75">
        <f t="shared" si="38"/>
        <v>234</v>
      </c>
      <c r="Q46" s="351">
        <f>IF(AP46="","",AP46)</f>
        <v>1</v>
      </c>
      <c r="R46" s="75">
        <f t="shared" si="39"/>
        <v>165</v>
      </c>
      <c r="S46" s="351">
        <f>IF(AR46="","",AR46)</f>
        <v>0</v>
      </c>
      <c r="T46" s="75">
        <f t="shared" si="40"/>
        <v>172</v>
      </c>
      <c r="U46" s="351">
        <f>IF(AT46="","",AT46)</f>
        <v>0</v>
      </c>
      <c r="V46" s="75">
        <f t="shared" si="41"/>
        <v>1721</v>
      </c>
      <c r="W46" s="351">
        <f>IF(AV46="","",AV46)</f>
        <v>3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170</v>
      </c>
      <c r="AD46" s="109">
        <f>IF(SUM(AC46:AC48)+AC58=0,0,IF(SUM(AC46:AC48)=AC58,0.5,IF(SUM(AC46:AC48)&gt;AC58,1,0)))</f>
        <v>0</v>
      </c>
      <c r="AE46" s="188">
        <v>203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0</v>
      </c>
      <c r="AI46" s="188">
        <v>225</v>
      </c>
      <c r="AJ46" s="109">
        <f>IF(SUM(AI46:AI48)+AI58=0,0,IF(SUM(AI46:AI48)=AI58,0.5,IF(SUM(AI46:AI48)&gt;AI58,1,0)))</f>
        <v>1</v>
      </c>
      <c r="AK46" s="188">
        <v>189</v>
      </c>
      <c r="AL46" s="109">
        <f>IF(SUM(AK46:AK48)+AK58=0,0,IF(SUM(AK46:AK48)=AK58,0.5,IF(SUM(AK46:AK48)&gt;AK58,1,0)))</f>
        <v>0</v>
      </c>
      <c r="AM46" s="188">
        <v>202</v>
      </c>
      <c r="AN46" s="109">
        <f>IF(SUM(AM46:AM48)+AM58=0,0,IF(SUM(AM46:AM48)=AM58,0.5,IF(SUM(AM46:AM48)&gt;AM58,1,0)))</f>
        <v>0</v>
      </c>
      <c r="AO46" s="188">
        <v>234</v>
      </c>
      <c r="AP46" s="109">
        <f>IF(SUM(AO46:AO48)+AO58=0,0,IF(SUM(AO46:AO48)=AO58,0.5,IF(SUM(AO46:AO48)&gt;AO58,1,0)))</f>
        <v>1</v>
      </c>
      <c r="AQ46" s="188">
        <v>165</v>
      </c>
      <c r="AR46" s="109">
        <f>IF(SUM(AQ46:AQ48)+AQ58=0,0,IF(SUM(AQ46:AQ48)=AQ58,0.5,IF(SUM(AQ46:AQ48)&gt;AQ58,1,0)))</f>
        <v>0</v>
      </c>
      <c r="AS46" s="188">
        <v>172</v>
      </c>
      <c r="AT46" s="109">
        <f>IF(SUM(AS46:AS48)+AS58=0,0,IF(SUM(AS46:AS48)=AS58,0.5,IF(SUM(AS46:AS48)&gt;AS58,1,0)))</f>
        <v>0</v>
      </c>
      <c r="AU46" s="110">
        <f t="shared" si="42"/>
        <v>1721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7601</v>
      </c>
      <c r="BE46" s="213">
        <f t="shared" si="56"/>
        <v>1721</v>
      </c>
      <c r="BF46" s="215">
        <f t="shared" si="57"/>
        <v>9</v>
      </c>
      <c r="BG46" s="215">
        <f t="shared" si="58"/>
        <v>9</v>
      </c>
      <c r="BH46" s="215">
        <f t="shared" si="43"/>
        <v>170</v>
      </c>
      <c r="BI46" s="215">
        <f t="shared" si="44"/>
        <v>203</v>
      </c>
      <c r="BJ46" s="215">
        <f t="shared" si="45"/>
        <v>161</v>
      </c>
      <c r="BK46" s="215">
        <f t="shared" si="46"/>
        <v>225</v>
      </c>
      <c r="BL46" s="215">
        <f t="shared" si="47"/>
        <v>189</v>
      </c>
      <c r="BM46" s="215">
        <f t="shared" si="48"/>
        <v>202</v>
      </c>
      <c r="BN46" s="215">
        <f t="shared" si="49"/>
        <v>234</v>
      </c>
      <c r="BO46" s="215">
        <f t="shared" si="50"/>
        <v>165</v>
      </c>
      <c r="BP46" s="215">
        <f t="shared" si="51"/>
        <v>172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3</v>
      </c>
      <c r="BW46" s="215">
        <f t="shared" si="63"/>
        <v>1721</v>
      </c>
      <c r="BX46" s="215">
        <f>IF(COUNTIF(BH46:BP46,"&gt;0")&lt;Spielorte!$A$23,0,BE46/Spielorte!$A$23)</f>
        <v>191.22222222222223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3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3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734</v>
      </c>
      <c r="E49" s="84">
        <f>IF(AD49="","",AD49)</f>
        <v>0</v>
      </c>
      <c r="F49" s="83">
        <f t="shared" si="34"/>
        <v>830</v>
      </c>
      <c r="G49" s="84">
        <f>IF(AF49="","",AF49)</f>
        <v>2</v>
      </c>
      <c r="H49" s="83">
        <f t="shared" si="35"/>
        <v>730</v>
      </c>
      <c r="I49" s="84">
        <f>IF(AH49="","",AH49)</f>
        <v>0</v>
      </c>
      <c r="J49" s="83">
        <f t="shared" si="36"/>
        <v>879</v>
      </c>
      <c r="K49" s="84">
        <f>IF(AJ49="","",AJ49)</f>
        <v>2</v>
      </c>
      <c r="L49" s="83">
        <f t="shared" si="37"/>
        <v>867</v>
      </c>
      <c r="M49" s="84">
        <f>IF(AL49="","",AL49)</f>
        <v>2</v>
      </c>
      <c r="N49" s="83">
        <f t="shared" si="54"/>
        <v>813</v>
      </c>
      <c r="O49" s="84">
        <f>IF(AN49="","",AN49)</f>
        <v>2</v>
      </c>
      <c r="P49" s="83">
        <f t="shared" si="38"/>
        <v>813</v>
      </c>
      <c r="Q49" s="84">
        <f>IF(AP49="","",AP49)</f>
        <v>2</v>
      </c>
      <c r="R49" s="83">
        <f t="shared" si="39"/>
        <v>732</v>
      </c>
      <c r="S49" s="84">
        <f>IF(AR49="","",AR49)</f>
        <v>0</v>
      </c>
      <c r="T49" s="83">
        <f t="shared" si="40"/>
        <v>795</v>
      </c>
      <c r="U49" s="84">
        <f>IF(AT49="","",AT49)</f>
        <v>0</v>
      </c>
      <c r="V49" s="83">
        <f t="shared" si="41"/>
        <v>7193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734</v>
      </c>
      <c r="AD49" s="121">
        <f>IF(AC49+AC59=0,0,IF(AC49=AC59,1,IF(AC49&gt;AC59,2,0)))</f>
        <v>0</v>
      </c>
      <c r="AE49" s="211">
        <f>ABS(SUM(AE37:AE39))+ABS(SUM(AE40:AE42))+ABS(SUM(AE43:AE45))+ABS(SUM(AE46:AE48))</f>
        <v>830</v>
      </c>
      <c r="AF49" s="121">
        <f>IF(AE49+AE59=0,0,IF(AE49=AE59,1,IF(AE49&gt;AE59,2,0)))</f>
        <v>2</v>
      </c>
      <c r="AG49" s="211">
        <f>ABS(SUM(AG37:AG39))+ABS(SUM(AG40:AG42))+ABS(SUM(AG43:AG45))+ABS(SUM(AG46:AG48))</f>
        <v>730</v>
      </c>
      <c r="AH49" s="121">
        <f>IF(AG49+AG59=0,0,IF(AG49=AG59,1,IF(AG49&gt;AG59,2,0)))</f>
        <v>0</v>
      </c>
      <c r="AI49" s="211">
        <f>ABS(SUM(AI37:AI39))+ABS(SUM(AI40:AI42))+ABS(SUM(AI43:AI45))+ABS(SUM(AI46:AI48))</f>
        <v>879</v>
      </c>
      <c r="AJ49" s="121">
        <f>IF(AI49+AI59=0,0,IF(AI49=AI59,1,IF(AI49&gt;AI59,2,0)))</f>
        <v>2</v>
      </c>
      <c r="AK49" s="211">
        <f>ABS(SUM(AK37:AK39))+ABS(SUM(AK40:AK42))+ABS(SUM(AK43:AK45))+ABS(SUM(AK46:AK48))</f>
        <v>867</v>
      </c>
      <c r="AL49" s="121">
        <f>IF(AK49+AK59=0,0,IF(AK49=AK59,1,IF(AK49&gt;AK59,2,0)))</f>
        <v>2</v>
      </c>
      <c r="AM49" s="211">
        <f>ABS(SUM(AM37:AM39))+ABS(SUM(AM40:AM42))+ABS(SUM(AM43:AM45))+ABS(SUM(AM46:AM48))</f>
        <v>813</v>
      </c>
      <c r="AN49" s="121">
        <f>IF(AM49+AM59=0,0,IF(AM49=AM59,1,IF(AM49&gt;AM59,2,0)))</f>
        <v>2</v>
      </c>
      <c r="AO49" s="211">
        <f>ABS(SUM(AO37:AO39))+ABS(SUM(AO40:AO42))+ABS(SUM(AO43:AO45))+ABS(SUM(AO46:AO48))</f>
        <v>813</v>
      </c>
      <c r="AP49" s="121">
        <f>IF(AO49+AO59=0,0,IF(AO49=AO59,1,IF(AO49&gt;AO59,2,0)))</f>
        <v>2</v>
      </c>
      <c r="AQ49" s="211">
        <f>ABS(SUM(AQ37:AQ39))+ABS(SUM(AQ40:AQ42))+ABS(SUM(AQ43:AQ45))+ABS(SUM(AQ46:AQ48))</f>
        <v>732</v>
      </c>
      <c r="AR49" s="121">
        <f>IF(AQ49+AQ59=0,0,IF(AQ49=AQ59,1,IF(AQ49&gt;AQ59,2,0)))</f>
        <v>0</v>
      </c>
      <c r="AS49" s="211">
        <f>ABS(SUM(AS37:AS39))+ABS(SUM(AS40:AS42))+ABS(SUM(AS43:AS45))+ABS(SUM(AS46:AS48))</f>
        <v>795</v>
      </c>
      <c r="AT49" s="121">
        <f>IF(AS49+AS59=0,0,IF(AS49=AS59,1,IF(AS49&gt;AS59,2,0)))</f>
        <v>0</v>
      </c>
      <c r="AU49" s="122">
        <f>SUM(AC49+AE49+AG49+AI49+AK49+AM49+AO49+AQ49+AS49)</f>
        <v>7193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5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4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28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5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4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28</v>
      </c>
      <c r="AW50" s="101"/>
      <c r="AX50" s="102"/>
      <c r="BA50" s="212">
        <f>+AV50</f>
        <v>28</v>
      </c>
      <c r="BB50" s="213">
        <f>+AU49</f>
        <v>7193</v>
      </c>
      <c r="BC50" s="214">
        <f>+AA32</f>
        <v>2</v>
      </c>
      <c r="BF50" s="215">
        <f>SUM(BF31:BF49)</f>
        <v>36</v>
      </c>
      <c r="BQ50" s="212">
        <f>+BB50/1000000+BA50</f>
        <v>28.007193000000001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1</v>
      </c>
      <c r="E52" s="349" t="str">
        <f t="shared" si="65"/>
        <v/>
      </c>
      <c r="F52" s="349">
        <f t="shared" si="65"/>
        <v>9</v>
      </c>
      <c r="G52" s="349" t="str">
        <f t="shared" si="65"/>
        <v/>
      </c>
      <c r="H52" s="349">
        <f t="shared" si="65"/>
        <v>3</v>
      </c>
      <c r="I52" s="349" t="str">
        <f t="shared" si="65"/>
        <v/>
      </c>
      <c r="J52" s="349">
        <f t="shared" si="65"/>
        <v>10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L52:U54" si="66">IF(AQ52=0,"",AQ52)</f>
        <v>4</v>
      </c>
      <c r="S52" s="349" t="str">
        <f t="shared" si="66"/>
        <v/>
      </c>
      <c r="T52" s="349">
        <f t="shared" si="66"/>
        <v>5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VLOOKUP($AA32,Schlüssel!$A$5:$DG$14,83)</f>
        <v>1</v>
      </c>
      <c r="AD52" s="374"/>
      <c r="AE52" s="373">
        <f>VLOOKUP($AA32,Schlüssel!$A$5:$EK$14,84)</f>
        <v>9</v>
      </c>
      <c r="AF52" s="374"/>
      <c r="AG52" s="373">
        <f>VLOOKUP($AA32,Schlüssel!$A$5:$EK$14,85)</f>
        <v>3</v>
      </c>
      <c r="AH52" s="374"/>
      <c r="AI52" s="373">
        <f>VLOOKUP($AA32,Schlüssel!$A$5:$EK$14,86)</f>
        <v>10</v>
      </c>
      <c r="AJ52" s="374"/>
      <c r="AK52" s="373">
        <f>VLOOKUP($AA32,Schlüssel!$A$5:$EK$14,87)</f>
        <v>6</v>
      </c>
      <c r="AL52" s="374"/>
      <c r="AM52" s="373">
        <f>VLOOKUP($AA32,Schlüssel!$A$5:$EK$14,88)</f>
        <v>7</v>
      </c>
      <c r="AN52" s="374"/>
      <c r="AO52" s="373">
        <f>VLOOKUP($AA32,Schlüssel!$A$5:$EK$14,89)</f>
        <v>8</v>
      </c>
      <c r="AP52" s="374"/>
      <c r="AQ52" s="373">
        <f>VLOOKUP($AA32,Schlüssel!$A$5:$EK$14,90)</f>
        <v>4</v>
      </c>
      <c r="AR52" s="374"/>
      <c r="AS52" s="373">
        <f>VLOOKUP($AA32,Schlüssel!$A$5:$EK$14,91)</f>
        <v>5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BC Comet Nürnberg</v>
      </c>
      <c r="E53" s="347" t="str">
        <f t="shared" si="67"/>
        <v/>
      </c>
      <c r="F53" s="346" t="str">
        <f t="shared" si="67"/>
        <v>Bowlinghaus Bamberg 1</v>
      </c>
      <c r="G53" s="347" t="str">
        <f t="shared" si="67"/>
        <v/>
      </c>
      <c r="H53" s="346" t="str">
        <f t="shared" si="67"/>
        <v>BK München 3</v>
      </c>
      <c r="I53" s="347" t="str">
        <f t="shared" si="67"/>
        <v/>
      </c>
      <c r="J53" s="346" t="str">
        <f t="shared" si="67"/>
        <v>High Roller Rosenheim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RW Lichtenhof Stein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BC Comet Nürnberg</v>
      </c>
      <c r="AD53" s="347"/>
      <c r="AE53" s="346" t="str">
        <f>VLOOKUP(AE52,Schlüssel!$A$5:$K$14,2)</f>
        <v>Bowlinghaus Bamberg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High Roller Rosenheim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RW Lichtenhof Stein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176</v>
      </c>
      <c r="E55" s="342" t="str">
        <f>IF(AD55=0,"",AD55)</f>
        <v/>
      </c>
      <c r="F55" s="342">
        <f>IF(AE55=301,"",AE55)</f>
        <v>201</v>
      </c>
      <c r="G55" s="342" t="str">
        <f>IF(AF55=0,"",AF55)</f>
        <v/>
      </c>
      <c r="H55" s="342">
        <f>IF(AG55=301,"",AG55)</f>
        <v>185</v>
      </c>
      <c r="I55" s="342" t="str">
        <f>IF(AH55=0,"",AH55)</f>
        <v/>
      </c>
      <c r="J55" s="342">
        <f>IF(AI55=301,"",AI55)</f>
        <v>202</v>
      </c>
      <c r="K55" s="342" t="str">
        <f>IF(AJ55=0,"",AJ55)</f>
        <v/>
      </c>
      <c r="L55" s="342">
        <f>IF(AK55=301,"",AK55)</f>
        <v>185</v>
      </c>
      <c r="M55" s="342" t="str">
        <f>IF(AL55=0,"",AL55)</f>
        <v/>
      </c>
      <c r="N55" s="342">
        <f>IF(AM55=301,"",AM55)</f>
        <v>140</v>
      </c>
      <c r="O55" s="342" t="str">
        <f>IF(AN55=0,"",AN55)</f>
        <v/>
      </c>
      <c r="P55" s="342">
        <f>IF(AO55=301,"",AO55)</f>
        <v>230</v>
      </c>
      <c r="Q55" s="342" t="str">
        <f>IF(AP55=0,"",AP55)</f>
        <v/>
      </c>
      <c r="R55" s="342">
        <f>IF(AQ55=301,"",AQ55)</f>
        <v>209</v>
      </c>
      <c r="S55" s="342" t="str">
        <f>IF(AR55=0,"",AR55)</f>
        <v/>
      </c>
      <c r="T55" s="342">
        <f>IF(AS55=301,"",AS55)</f>
        <v>203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176</v>
      </c>
      <c r="AD55" s="376"/>
      <c r="AE55" s="375">
        <f>ABS(INDEX(AE:AE,MATCH(AE52,$AA:$AA,0)+5)+INDEX(AE:AE,MATCH(AE52,$AA:$AA,0)+6)+INDEX(AE:AE,MATCH(AE52,$AA:$AA,0)+7))</f>
        <v>201</v>
      </c>
      <c r="AF55" s="376"/>
      <c r="AG55" s="375">
        <f>ABS(INDEX(AG:AG,MATCH(AG52,$AA:$AA,0)+5)+INDEX(AG:AG,MATCH(AG52,$AA:$AA,0)+6)+INDEX(AG:AG,MATCH(AG52,$AA:$AA,0)+7))</f>
        <v>185</v>
      </c>
      <c r="AH55" s="376"/>
      <c r="AI55" s="375">
        <f>ABS(INDEX(AI:AI,MATCH(AI52,$AA:$AA,0)+5)+INDEX(AI:AI,MATCH(AI52,$AA:$AA,0)+6)+INDEX(AI:AI,MATCH(AI52,$AA:$AA,0)+7))</f>
        <v>202</v>
      </c>
      <c r="AJ55" s="376"/>
      <c r="AK55" s="375">
        <f>ABS(INDEX(AK:AK,MATCH(AK52,$AA:$AA,0)+5)+INDEX(AK:AK,MATCH(AK52,$AA:$AA,0)+6)+INDEX(AK:AK,MATCH(AK52,$AA:$AA,0)+7))</f>
        <v>185</v>
      </c>
      <c r="AL55" s="376"/>
      <c r="AM55" s="375">
        <f>ABS(INDEX(AM:AM,MATCH(AM52,$AA:$AA,0)+5)+INDEX(AM:AM,MATCH(AM52,$AA:$AA,0)+6)+INDEX(AM:AM,MATCH(AM52,$AA:$AA,0)+7))</f>
        <v>140</v>
      </c>
      <c r="AN55" s="376"/>
      <c r="AO55" s="375">
        <f>ABS(INDEX(AO:AO,MATCH(AO52,$AA:$AA,0)+5)+INDEX(AO:AO,MATCH(AO52,$AA:$AA,0)+6)+INDEX(AO:AO,MATCH(AO52,$AA:$AA,0)+7))</f>
        <v>230</v>
      </c>
      <c r="AP55" s="376"/>
      <c r="AQ55" s="375">
        <f>ABS(INDEX(AQ:AQ,MATCH(AQ52,$AA:$AA,0)+5)+INDEX(AQ:AQ,MATCH(AQ52,$AA:$AA,0)+6)+INDEX(AQ:AQ,MATCH(AQ52,$AA:$AA,0)+7))</f>
        <v>209</v>
      </c>
      <c r="AR55" s="376"/>
      <c r="AS55" s="375">
        <f>ABS(INDEX(AS:AS,MATCH(AS52,$AA:$AA,0)+5)+INDEX(AS:AS,MATCH(AS52,$AA:$AA,0)+6)+INDEX(AS:AS,MATCH(AS52,$AA:$AA,0)+7))</f>
        <v>203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220</v>
      </c>
      <c r="E56" s="342" t="str">
        <f>IF(AD56=0,"",AD56)</f>
        <v/>
      </c>
      <c r="F56" s="342">
        <f>IF(AE56=301,"",AE56)</f>
        <v>165</v>
      </c>
      <c r="G56" s="342" t="str">
        <f>IF(AF56=0,"",AF56)</f>
        <v/>
      </c>
      <c r="H56" s="342">
        <f>IF(AG56=301,"",AG56)</f>
        <v>216</v>
      </c>
      <c r="I56" s="342" t="str">
        <f>IF(AH56=0,"",AH56)</f>
        <v/>
      </c>
      <c r="J56" s="342">
        <f>IF(AI56=301,"",AI56)</f>
        <v>200</v>
      </c>
      <c r="K56" s="342" t="str">
        <f>IF(AJ56=0,"",AJ56)</f>
        <v/>
      </c>
      <c r="L56" s="342">
        <f>IF(AK56=301,"",AK56)</f>
        <v>181</v>
      </c>
      <c r="M56" s="342" t="str">
        <f>IF(AL56=0,"",AL56)</f>
        <v/>
      </c>
      <c r="N56" s="342">
        <f>IF(AM56=301,"",AM56)</f>
        <v>181</v>
      </c>
      <c r="O56" s="342" t="str">
        <f>IF(AN56=0,"",AN56)</f>
        <v/>
      </c>
      <c r="P56" s="342">
        <f>IF(AO56=301,"",AO56)</f>
        <v>168</v>
      </c>
      <c r="Q56" s="342" t="str">
        <f>IF(AP56=0,"",AP56)</f>
        <v/>
      </c>
      <c r="R56" s="342">
        <f>IF(AQ56=301,"",AQ56)</f>
        <v>244</v>
      </c>
      <c r="S56" s="342" t="str">
        <f>IF(AR56=0,"",AR56)</f>
        <v/>
      </c>
      <c r="T56" s="342">
        <f>IF(AS56=301,"",AS56)</f>
        <v>205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220</v>
      </c>
      <c r="AD56" s="378"/>
      <c r="AE56" s="377">
        <f>ABS(INDEX(AE:AE,MATCH(AE52,$AA:$AA,0)+8)+INDEX(AE:AE,MATCH(AE52,$AA:$AA,0)+9)+INDEX(AE:AE,MATCH(AE52,$AA:$AA,0)+10))</f>
        <v>165</v>
      </c>
      <c r="AF56" s="378"/>
      <c r="AG56" s="377">
        <f>ABS(INDEX(AG:AG,MATCH(AG52,$AA:$AA,0)+8)+INDEX(AG:AG,MATCH(AG52,$AA:$AA,0)+9)+INDEX(AG:AG,MATCH(AG52,$AA:$AA,0)+10))</f>
        <v>216</v>
      </c>
      <c r="AH56" s="378"/>
      <c r="AI56" s="377">
        <f>ABS(INDEX(AI:AI,MATCH(AI52,$AA:$AA,0)+8)+INDEX(AI:AI,MATCH(AI52,$AA:$AA,0)+9)+INDEX(AI:AI,MATCH(AI52,$AA:$AA,0)+10))</f>
        <v>200</v>
      </c>
      <c r="AJ56" s="378"/>
      <c r="AK56" s="377">
        <f>ABS(INDEX(AK:AK,MATCH(AK52,$AA:$AA,0)+8)+INDEX(AK:AK,MATCH(AK52,$AA:$AA,0)+9)+INDEX(AK:AK,MATCH(AK52,$AA:$AA,0)+10))</f>
        <v>181</v>
      </c>
      <c r="AL56" s="378"/>
      <c r="AM56" s="377">
        <f>ABS(INDEX(AM:AM,MATCH(AM52,$AA:$AA,0)+8)+INDEX(AM:AM,MATCH(AM52,$AA:$AA,0)+9)+INDEX(AM:AM,MATCH(AM52,$AA:$AA,0)+10))</f>
        <v>181</v>
      </c>
      <c r="AN56" s="378"/>
      <c r="AO56" s="377">
        <f>ABS(INDEX(AO:AO,MATCH(AO52,$AA:$AA,0)+8)+INDEX(AO:AO,MATCH(AO52,$AA:$AA,0)+9)+INDEX(AO:AO,MATCH(AO52,$AA:$AA,0)+10))</f>
        <v>168</v>
      </c>
      <c r="AP56" s="378"/>
      <c r="AQ56" s="377">
        <f>ABS(INDEX(AQ:AQ,MATCH(AQ52,$AA:$AA,0)+8)+INDEX(AQ:AQ,MATCH(AQ52,$AA:$AA,0)+9)+INDEX(AQ:AQ,MATCH(AQ52,$AA:$AA,0)+10))</f>
        <v>244</v>
      </c>
      <c r="AR56" s="378"/>
      <c r="AS56" s="377">
        <f>ABS(INDEX(AS:AS,MATCH(AS52,$AA:$AA,0)+8)+INDEX(AS:AS,MATCH(AS52,$AA:$AA,0)+9)+INDEX(AS:AS,MATCH(AS52,$AA:$AA,0)+10))</f>
        <v>205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162</v>
      </c>
      <c r="E57" s="342" t="str">
        <f>IF(AD57=0,"",AD57)</f>
        <v/>
      </c>
      <c r="F57" s="342">
        <f>IF(AE57=301,"",AE57)</f>
        <v>167</v>
      </c>
      <c r="G57" s="342" t="str">
        <f>IF(AF57=0,"",AF57)</f>
        <v/>
      </c>
      <c r="H57" s="342">
        <f>IF(AG57=301,"",AG57)</f>
        <v>236</v>
      </c>
      <c r="I57" s="342" t="str">
        <f>IF(AH57=0,"",AH57)</f>
        <v/>
      </c>
      <c r="J57" s="342">
        <f>IF(AI57=301,"",AI57)</f>
        <v>205</v>
      </c>
      <c r="K57" s="342" t="str">
        <f>IF(AJ57=0,"",AJ57)</f>
        <v/>
      </c>
      <c r="L57" s="342">
        <f>IF(AK57=301,"",AK57)</f>
        <v>184</v>
      </c>
      <c r="M57" s="342" t="str">
        <f>IF(AL57=0,"",AL57)</f>
        <v/>
      </c>
      <c r="N57" s="342">
        <f>IF(AM57=301,"",AM57)</f>
        <v>177</v>
      </c>
      <c r="O57" s="342" t="str">
        <f>IF(AN57=0,"",AN57)</f>
        <v/>
      </c>
      <c r="P57" s="342">
        <f>IF(AO57=301,"",AO57)</f>
        <v>205</v>
      </c>
      <c r="Q57" s="342" t="str">
        <f>IF(AP57=0,"",AP57)</f>
        <v/>
      </c>
      <c r="R57" s="342">
        <f>IF(AQ57=301,"",AQ57)</f>
        <v>224</v>
      </c>
      <c r="S57" s="342" t="str">
        <f>IF(AR57=0,"",AR57)</f>
        <v/>
      </c>
      <c r="T57" s="342">
        <f>IF(AS57=301,"",AS57)</f>
        <v>196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162</v>
      </c>
      <c r="AD57" s="378"/>
      <c r="AE57" s="377">
        <f>ABS(INDEX(AE:AE,MATCH(AE52,$AA:$AA,0)+11)+INDEX(AE:AE,MATCH(AE52,$AA:$AA,0)+12)+INDEX(AE:AE,MATCH(AE52,$AA:$AA,0)+13))</f>
        <v>167</v>
      </c>
      <c r="AF57" s="378"/>
      <c r="AG57" s="377">
        <f>ABS(INDEX(AG:AG,MATCH(AG52,$AA:$AA,0)+11)+INDEX(AG:AG,MATCH(AG52,$AA:$AA,0)+12)+INDEX(AG:AG,MATCH(AG52,$AA:$AA,0)+13))</f>
        <v>236</v>
      </c>
      <c r="AH57" s="378"/>
      <c r="AI57" s="377">
        <f>ABS(INDEX(AI:AI,MATCH(AI52,$AA:$AA,0)+11)+INDEX(AI:AI,MATCH(AI52,$AA:$AA,0)+12)+INDEX(AI:AI,MATCH(AI52,$AA:$AA,0)+13))</f>
        <v>205</v>
      </c>
      <c r="AJ57" s="378"/>
      <c r="AK57" s="377">
        <f>ABS(INDEX(AK:AK,MATCH(AK52,$AA:$AA,0)+11)+INDEX(AK:AK,MATCH(AK52,$AA:$AA,0)+12)+INDEX(AK:AK,MATCH(AK52,$AA:$AA,0)+13))</f>
        <v>184</v>
      </c>
      <c r="AL57" s="378"/>
      <c r="AM57" s="377">
        <f>ABS(INDEX(AM:AM,MATCH(AM52,$AA:$AA,0)+11)+INDEX(AM:AM,MATCH(AM52,$AA:$AA,0)+12)+INDEX(AM:AM,MATCH(AM52,$AA:$AA,0)+13))</f>
        <v>177</v>
      </c>
      <c r="AN57" s="378"/>
      <c r="AO57" s="377">
        <f>ABS(INDEX(AO:AO,MATCH(AO52,$AA:$AA,0)+11)+INDEX(AO:AO,MATCH(AO52,$AA:$AA,0)+12)+INDEX(AO:AO,MATCH(AO52,$AA:$AA,0)+13))</f>
        <v>205</v>
      </c>
      <c r="AP57" s="378"/>
      <c r="AQ57" s="377">
        <f>ABS(INDEX(AQ:AQ,MATCH(AQ52,$AA:$AA,0)+11)+INDEX(AQ:AQ,MATCH(AQ52,$AA:$AA,0)+12)+INDEX(AQ:AQ,MATCH(AQ52,$AA:$AA,0)+13))</f>
        <v>224</v>
      </c>
      <c r="AR57" s="378"/>
      <c r="AS57" s="377">
        <f>ABS(INDEX(AS:AS,MATCH(AS52,$AA:$AA,0)+11)+INDEX(AS:AS,MATCH(AS52,$AA:$AA,0)+12)+INDEX(AS:AS,MATCH(AS52,$AA:$AA,0)+13))</f>
        <v>196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232</v>
      </c>
      <c r="E58" s="342" t="str">
        <f>IF(AD58=0,"",AD58)</f>
        <v/>
      </c>
      <c r="F58" s="342">
        <f>IF(AE58=301,"",AE58)</f>
        <v>172</v>
      </c>
      <c r="G58" s="342" t="str">
        <f>IF(AF58=0,"",AF58)</f>
        <v/>
      </c>
      <c r="H58" s="342">
        <f>IF(AG58=301,"",AG58)</f>
        <v>169</v>
      </c>
      <c r="I58" s="342" t="str">
        <f>IF(AH58=0,"",AH58)</f>
        <v/>
      </c>
      <c r="J58" s="342">
        <f>IF(AI58=301,"",AI58)</f>
        <v>211</v>
      </c>
      <c r="K58" s="342" t="str">
        <f>IF(AJ58=0,"",AJ58)</f>
        <v/>
      </c>
      <c r="L58" s="342">
        <f>IF(AK58=301,"",AK58)</f>
        <v>202</v>
      </c>
      <c r="M58" s="342" t="str">
        <f>IF(AL58=0,"",AL58)</f>
        <v/>
      </c>
      <c r="N58" s="342">
        <f>IF(AM58=301,"",AM58)</f>
        <v>203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225</v>
      </c>
      <c r="S58" s="342" t="str">
        <f>IF(AR58=0,"",AR58)</f>
        <v/>
      </c>
      <c r="T58" s="342">
        <f>IF(AS58=301,"",AS58)</f>
        <v>225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232</v>
      </c>
      <c r="AD58" s="378"/>
      <c r="AE58" s="377">
        <f>ABS(INDEX(AE:AE,MATCH(AE52,$AA:$AA,0)+14)+INDEX(AE:AE,MATCH(AE52,$AA:$AA,0)+15)+INDEX(AE:AE,MATCH(AE52,$AA:$AA,0)+16))</f>
        <v>172</v>
      </c>
      <c r="AF58" s="378"/>
      <c r="AG58" s="377">
        <f>ABS(INDEX(AG:AG,MATCH(AG52,$AA:$AA,0)+14)+INDEX(AG:AG,MATCH(AG52,$AA:$AA,0)+15)+INDEX(AG:AG,MATCH(AG52,$AA:$AA,0)+16))</f>
        <v>169</v>
      </c>
      <c r="AH58" s="378"/>
      <c r="AI58" s="377">
        <f>ABS(INDEX(AI:AI,MATCH(AI52,$AA:$AA,0)+14)+INDEX(AI:AI,MATCH(AI52,$AA:$AA,0)+15)+INDEX(AI:AI,MATCH(AI52,$AA:$AA,0)+16))</f>
        <v>211</v>
      </c>
      <c r="AJ58" s="378"/>
      <c r="AK58" s="377">
        <f>ABS(INDEX(AK:AK,MATCH(AK52,$AA:$AA,0)+14)+INDEX(AK:AK,MATCH(AK52,$AA:$AA,0)+15)+INDEX(AK:AK,MATCH(AK52,$AA:$AA,0)+16))</f>
        <v>202</v>
      </c>
      <c r="AL58" s="378"/>
      <c r="AM58" s="377">
        <f>ABS(INDEX(AM:AM,MATCH(AM52,$AA:$AA,0)+14)+INDEX(AM:AM,MATCH(AM52,$AA:$AA,0)+15)+INDEX(AM:AM,MATCH(AM52,$AA:$AA,0)+16))</f>
        <v>203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225</v>
      </c>
      <c r="AR58" s="378"/>
      <c r="AS58" s="377">
        <f>ABS(INDEX(AS:AS,MATCH(AS52,$AA:$AA,0)+14)+INDEX(AS:AS,MATCH(AS52,$AA:$AA,0)+15)+INDEX(AS:AS,MATCH(AS52,$AA:$AA,0)+16))</f>
        <v>225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790</v>
      </c>
      <c r="E59" s="341" t="str">
        <f>IF(AD59=0,"",AD59)</f>
        <v/>
      </c>
      <c r="F59" s="341">
        <f>IF(AE59=1505,"",AE59)</f>
        <v>705</v>
      </c>
      <c r="G59" s="341" t="str">
        <f>IF(AF59=0,"",AF59)</f>
        <v/>
      </c>
      <c r="H59" s="341">
        <f>IF(AG59=1505,"",AG59)</f>
        <v>806</v>
      </c>
      <c r="I59" s="341" t="str">
        <f>IF(AH59=0,"",AH59)</f>
        <v/>
      </c>
      <c r="J59" s="341">
        <f>IF(AI59=1505,"",AI59)</f>
        <v>818</v>
      </c>
      <c r="K59" s="341" t="str">
        <f>IF(AJ59=0,"",AJ59)</f>
        <v/>
      </c>
      <c r="L59" s="341">
        <f>IF(AK59=1505,"",AK59)</f>
        <v>752</v>
      </c>
      <c r="M59" s="341" t="str">
        <f>IF(AL59=0,"",AL59)</f>
        <v/>
      </c>
      <c r="N59" s="341">
        <f>IF(AM59=1505,"",AM59)</f>
        <v>701</v>
      </c>
      <c r="O59" s="341" t="str">
        <f>IF(AN59=0,"",AN59)</f>
        <v/>
      </c>
      <c r="P59" s="341">
        <f>IF(AO59=1505,"",AO59)</f>
        <v>796</v>
      </c>
      <c r="Q59" s="341" t="str">
        <f>IF(AP59=0,"",AP59)</f>
        <v/>
      </c>
      <c r="R59" s="341">
        <f>IF(AQ59=1505,"",AQ59)</f>
        <v>902</v>
      </c>
      <c r="S59" s="341" t="str">
        <f>IF(AR59=0,"",AR59)</f>
        <v/>
      </c>
      <c r="T59" s="341">
        <f>IF(AS59=1505,"",AS59)</f>
        <v>829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790</v>
      </c>
      <c r="AD59" s="358"/>
      <c r="AE59" s="357">
        <f>SUM(AE55:AE58)</f>
        <v>705</v>
      </c>
      <c r="AF59" s="358"/>
      <c r="AG59" s="357">
        <f>SUM(AG55:AG58)</f>
        <v>806</v>
      </c>
      <c r="AH59" s="358"/>
      <c r="AI59" s="357">
        <f>SUM(AI55:AI58)</f>
        <v>818</v>
      </c>
      <c r="AJ59" s="358"/>
      <c r="AK59" s="357">
        <f>SUM(AK55:AK58)</f>
        <v>752</v>
      </c>
      <c r="AL59" s="358"/>
      <c r="AM59" s="357">
        <f>SUM(AM55:AM58)</f>
        <v>701</v>
      </c>
      <c r="AN59" s="358"/>
      <c r="AO59" s="357">
        <f>SUM(AO55:AO58)</f>
        <v>796</v>
      </c>
      <c r="AP59" s="358"/>
      <c r="AQ59" s="357">
        <f>SUM(AQ55:AQ58)</f>
        <v>902</v>
      </c>
      <c r="AR59" s="358"/>
      <c r="AS59" s="357">
        <f>SUM(AS55:AS58)</f>
        <v>829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15.03./16.03.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15.03./16.03.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Brunnthal Max Munich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Daniel</v>
      </c>
      <c r="C67" s="74">
        <f>IF(AB67=0,"",AB67)</f>
        <v>7591</v>
      </c>
      <c r="D67" s="75">
        <f>IF(AC67=0,"",AC67)</f>
        <v>199</v>
      </c>
      <c r="E67" s="351">
        <f>IF(AD67="","",AD67)</f>
        <v>0</v>
      </c>
      <c r="F67" s="75">
        <f t="shared" ref="F67:F80" si="69">IF(AE67=0,"",AE67)</f>
        <v>222</v>
      </c>
      <c r="G67" s="351">
        <f>IF(AF67="","",AF67)</f>
        <v>1</v>
      </c>
      <c r="H67" s="75">
        <f t="shared" ref="H67:H80" si="70">IF(AG67=0,"",AG67)</f>
        <v>185</v>
      </c>
      <c r="I67" s="351">
        <f>IF(AH67="","",AH67)</f>
        <v>0</v>
      </c>
      <c r="J67" s="75">
        <f t="shared" ref="J67:J80" si="71">IF(AI67=0,"",AI67)</f>
        <v>158</v>
      </c>
      <c r="K67" s="351">
        <f>IF(AJ67="","",AJ67)</f>
        <v>0</v>
      </c>
      <c r="L67" s="75">
        <f t="shared" ref="L67:L80" si="72">IF(AK67=0,"",AK67)</f>
        <v>200</v>
      </c>
      <c r="M67" s="351">
        <f>IF(AL67="","",AL67)</f>
        <v>1</v>
      </c>
      <c r="N67" s="75">
        <f>IF(AM67=0,"",AM67)</f>
        <v>244</v>
      </c>
      <c r="O67" s="351">
        <f>IF(AN67="","",AN67)</f>
        <v>1</v>
      </c>
      <c r="P67" s="75">
        <f t="shared" ref="P67:P80" si="73">IF(AO67=0,"",AO67)</f>
        <v>179</v>
      </c>
      <c r="Q67" s="351">
        <f>IF(AP67="","",AP67)</f>
        <v>0</v>
      </c>
      <c r="R67" s="75" t="str">
        <f t="shared" ref="R67:R80" si="74">IF(AQ67=0,"",AQ67)</f>
        <v/>
      </c>
      <c r="S67" s="351">
        <f>IF(AR67="","",AR67)</f>
        <v>1</v>
      </c>
      <c r="T67" s="75" t="str">
        <f t="shared" ref="T67:T80" si="75">IF(AS67=0,"",AS67)</f>
        <v/>
      </c>
      <c r="U67" s="351">
        <f>IF(AT67="","",AT67)</f>
        <v>1</v>
      </c>
      <c r="V67" s="75">
        <f t="shared" ref="V67:V80" si="76">IF(AU67=0,"",AU67)</f>
        <v>1387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Daniel</v>
      </c>
      <c r="AB67" s="99">
        <v>7591</v>
      </c>
      <c r="AC67" s="185">
        <v>199</v>
      </c>
      <c r="AD67" s="109">
        <f>IF(SUM(AC67:AC69)+AC85=0,0,IF(SUM(AC67:AC69)=AC85,0.5,IF(SUM(AC67:AC69)&gt;AC85,1,0)))</f>
        <v>0</v>
      </c>
      <c r="AE67" s="185">
        <v>222</v>
      </c>
      <c r="AF67" s="109">
        <f>IF(SUM(AE67:AE69)+AE85=0,0,IF(SUM(AE67:AE69)=AE85,0.5,IF(SUM(AE67:AE69)&gt;AE85,1,0)))</f>
        <v>1</v>
      </c>
      <c r="AG67" s="185">
        <v>185</v>
      </c>
      <c r="AH67" s="109">
        <f>IF(SUM(AG67:AG69)+AG85=0,0,IF(SUM(AG67:AG69)=AG85,0.5,IF(SUM(AG67:AG69)&gt;AG85,1,0)))</f>
        <v>0</v>
      </c>
      <c r="AI67" s="185">
        <v>158</v>
      </c>
      <c r="AJ67" s="109">
        <f>IF(SUM(AI67:AI69)+AI85=0,0,IF(SUM(AI67:AI69)=AI85,0.5,IF(SUM(AI67:AI69)&gt;AI85,1,0)))</f>
        <v>0</v>
      </c>
      <c r="AK67" s="185">
        <v>200</v>
      </c>
      <c r="AL67" s="109">
        <f>IF(SUM(AK67:AK69)+AK85=0,0,IF(SUM(AK67:AK69)=AK85,0.5,IF(SUM(AK67:AK69)&gt;AK85,1,0)))</f>
        <v>1</v>
      </c>
      <c r="AM67" s="185">
        <v>244</v>
      </c>
      <c r="AN67" s="109">
        <f>IF(SUM(AM67:AM69)+AM85=0,0,IF(SUM(AM67:AM69)=AM85,0.5,IF(SUM(AM67:AM69)&gt;AM85,1,0)))</f>
        <v>1</v>
      </c>
      <c r="AO67" s="185">
        <v>179</v>
      </c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1387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7591</v>
      </c>
      <c r="BE67" s="213">
        <f>+AU67</f>
        <v>1387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199</v>
      </c>
      <c r="BI67" s="215">
        <f t="shared" ref="BI67:BI78" si="79">IF(AE67=0,"",AE67)</f>
        <v>222</v>
      </c>
      <c r="BJ67" s="215">
        <f t="shared" ref="BJ67:BJ78" si="80">IF(AG67=0,"",AG67)</f>
        <v>185</v>
      </c>
      <c r="BK67" s="215">
        <f t="shared" ref="BK67:BK78" si="81">IF(AI67=0,"",AI67)</f>
        <v>158</v>
      </c>
      <c r="BL67" s="215">
        <f t="shared" ref="BL67:BL78" si="82">IF(AK67=0,"",AK67)</f>
        <v>200</v>
      </c>
      <c r="BM67" s="215">
        <f t="shared" ref="BM67:BM78" si="83">IF(AM67=0,"",AM67)</f>
        <v>244</v>
      </c>
      <c r="BN67" s="215">
        <f t="shared" ref="BN67:BN78" si="84">IF(AO67=0,"",AO67)</f>
        <v>179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244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3</v>
      </c>
      <c r="BW67" s="215">
        <f>SUMIF(BH67:BP67,"&gt;0")</f>
        <v>1387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>Hellmessen, Maximilian</v>
      </c>
      <c r="C68" s="77">
        <f t="shared" si="88"/>
        <v>16912</v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>
        <f t="shared" si="74"/>
        <v>227</v>
      </c>
      <c r="S68" s="352"/>
      <c r="T68" s="78">
        <f t="shared" si="75"/>
        <v>258</v>
      </c>
      <c r="U68" s="352"/>
      <c r="V68" s="78">
        <f t="shared" si="76"/>
        <v>485</v>
      </c>
      <c r="W68" s="352"/>
      <c r="Z68" s="355"/>
      <c r="AA68" s="108" t="str">
        <f>IF(AB68=0,"",VLOOKUP(AB68,Starter!$A$1:$D$199,2,FALSE))</f>
        <v>Hellmessen, Maximilian</v>
      </c>
      <c r="AB68" s="98">
        <v>16912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227</v>
      </c>
      <c r="AR68" s="112"/>
      <c r="AS68" s="186">
        <v>258</v>
      </c>
      <c r="AT68" s="112"/>
      <c r="AU68" s="113">
        <f t="shared" si="77"/>
        <v>485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16912</v>
      </c>
      <c r="BE68" s="213">
        <f t="shared" ref="BE68:BE78" si="91">+AU68</f>
        <v>485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227</v>
      </c>
      <c r="BP68" s="215">
        <f t="shared" si="86"/>
        <v>258</v>
      </c>
      <c r="BQ68" s="216"/>
      <c r="BR68" s="214"/>
      <c r="BS68" s="215">
        <f t="shared" ref="BS68:BS78" si="94">MAX(BH68:BP68)</f>
        <v>258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3</v>
      </c>
      <c r="BW68" s="215">
        <f t="shared" ref="BW68:BW78" si="98">SUMIF(BH68:BP68,"&gt;0")</f>
        <v>485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3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188</v>
      </c>
      <c r="E70" s="351">
        <f>IF(AD70="","",AD70)</f>
        <v>0</v>
      </c>
      <c r="F70" s="75">
        <f t="shared" si="69"/>
        <v>192</v>
      </c>
      <c r="G70" s="351">
        <f>IF(AF70="","",AF70)</f>
        <v>1</v>
      </c>
      <c r="H70" s="75" t="str">
        <f t="shared" si="70"/>
        <v/>
      </c>
      <c r="I70" s="351">
        <f>IF(AH70="","",AH70)</f>
        <v>1</v>
      </c>
      <c r="J70" s="75" t="str">
        <f t="shared" si="71"/>
        <v/>
      </c>
      <c r="K70" s="351">
        <f>IF(AJ70="","",AJ70)</f>
        <v>1</v>
      </c>
      <c r="L70" s="75" t="str">
        <f t="shared" si="72"/>
        <v/>
      </c>
      <c r="M70" s="351">
        <f>IF(AL70="","",AL70)</f>
        <v>1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0.5</v>
      </c>
      <c r="T70" s="75" t="str">
        <f t="shared" si="75"/>
        <v/>
      </c>
      <c r="U70" s="351">
        <f>IF(AT70="","",AT70)</f>
        <v>0</v>
      </c>
      <c r="V70" s="75">
        <f t="shared" si="76"/>
        <v>380</v>
      </c>
      <c r="W70" s="351">
        <f>IF(AV70="","",AV70)</f>
        <v>5.5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188</v>
      </c>
      <c r="AD70" s="109">
        <f>IF(SUM(AC70:AC72)+AC86=0,0,IF(SUM(AC70:AC72)=AC86,0.5,IF(SUM(AC70:AC72)&gt;AC86,1,0)))</f>
        <v>0</v>
      </c>
      <c r="AE70" s="188">
        <v>192</v>
      </c>
      <c r="AF70" s="109">
        <f>IF(SUM(AE70:AE72)+AE86=0,0,IF(SUM(AE70:AE72)=AE86,0.5,IF(SUM(AE70:AE72)&gt;AE86,1,0)))</f>
        <v>1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0.5</v>
      </c>
      <c r="AS70" s="188"/>
      <c r="AT70" s="109">
        <f>IF(SUM(AS70:AS72)+AS86=0,0,IF(SUM(AS70:AS72)=AS86,0.5,IF(SUM(AS70:AS72)&gt;AS86,1,0)))</f>
        <v>0</v>
      </c>
      <c r="AU70" s="110">
        <f t="shared" si="77"/>
        <v>380</v>
      </c>
      <c r="AV70" s="111">
        <f>SUM(AD70+AF70+AH70+AJ70+AL70+AN70+AP70+AR70+AT70)</f>
        <v>5.5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380</v>
      </c>
      <c r="BF70" s="215">
        <f t="shared" si="92"/>
        <v>2</v>
      </c>
      <c r="BG70" s="215">
        <f t="shared" si="93"/>
        <v>2</v>
      </c>
      <c r="BH70" s="215">
        <f t="shared" si="78"/>
        <v>188</v>
      </c>
      <c r="BI70" s="215">
        <f t="shared" si="79"/>
        <v>192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192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3</v>
      </c>
      <c r="BW70" s="215">
        <f t="shared" si="98"/>
        <v>380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>
        <f t="shared" si="70"/>
        <v>216</v>
      </c>
      <c r="I71" s="352"/>
      <c r="J71" s="78">
        <f t="shared" si="71"/>
        <v>236</v>
      </c>
      <c r="K71" s="352"/>
      <c r="L71" s="78">
        <f t="shared" si="72"/>
        <v>228</v>
      </c>
      <c r="M71" s="352"/>
      <c r="N71" s="78">
        <f t="shared" si="89"/>
        <v>182</v>
      </c>
      <c r="O71" s="352"/>
      <c r="P71" s="78">
        <f t="shared" si="73"/>
        <v>203</v>
      </c>
      <c r="Q71" s="352"/>
      <c r="R71" s="78">
        <f t="shared" si="74"/>
        <v>202</v>
      </c>
      <c r="S71" s="352"/>
      <c r="T71" s="78">
        <f t="shared" si="75"/>
        <v>211</v>
      </c>
      <c r="U71" s="352"/>
      <c r="V71" s="78">
        <f t="shared" si="76"/>
        <v>1478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>
        <v>216</v>
      </c>
      <c r="AH71" s="112"/>
      <c r="AI71" s="186">
        <v>236</v>
      </c>
      <c r="AJ71" s="112"/>
      <c r="AK71" s="186">
        <v>228</v>
      </c>
      <c r="AL71" s="112"/>
      <c r="AM71" s="186">
        <v>182</v>
      </c>
      <c r="AN71" s="112"/>
      <c r="AO71" s="190">
        <v>203</v>
      </c>
      <c r="AP71" s="112"/>
      <c r="AQ71" s="190">
        <v>202</v>
      </c>
      <c r="AR71" s="112"/>
      <c r="AS71" s="190">
        <v>211</v>
      </c>
      <c r="AT71" s="112"/>
      <c r="AU71" s="113">
        <f t="shared" si="77"/>
        <v>1478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1478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216</v>
      </c>
      <c r="BK71" s="215">
        <f t="shared" si="81"/>
        <v>236</v>
      </c>
      <c r="BL71" s="215">
        <f t="shared" si="82"/>
        <v>228</v>
      </c>
      <c r="BM71" s="215">
        <f t="shared" si="83"/>
        <v>182</v>
      </c>
      <c r="BN71" s="215">
        <f t="shared" si="84"/>
        <v>203</v>
      </c>
      <c r="BO71" s="215">
        <f t="shared" si="85"/>
        <v>202</v>
      </c>
      <c r="BP71" s="215">
        <f t="shared" si="86"/>
        <v>211</v>
      </c>
      <c r="BQ71" s="216"/>
      <c r="BR71" s="214"/>
      <c r="BS71" s="215">
        <f t="shared" si="94"/>
        <v>236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3</v>
      </c>
      <c r="BW71" s="215">
        <f t="shared" si="98"/>
        <v>1478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3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Hinterwimmer, Georg</v>
      </c>
      <c r="C73" s="74">
        <f t="shared" si="88"/>
        <v>7867</v>
      </c>
      <c r="D73" s="75">
        <f t="shared" si="88"/>
        <v>227</v>
      </c>
      <c r="E73" s="351">
        <f>IF(AD73="","",AD73)</f>
        <v>1</v>
      </c>
      <c r="F73" s="75">
        <f t="shared" si="69"/>
        <v>226</v>
      </c>
      <c r="G73" s="351">
        <f>IF(AF73="","",AF73)</f>
        <v>1</v>
      </c>
      <c r="H73" s="75">
        <f t="shared" si="70"/>
        <v>236</v>
      </c>
      <c r="I73" s="351">
        <f>IF(AH73="","",AH73)</f>
        <v>1</v>
      </c>
      <c r="J73" s="75">
        <f t="shared" si="71"/>
        <v>222</v>
      </c>
      <c r="K73" s="351">
        <f>IF(AJ73="","",AJ73)</f>
        <v>0</v>
      </c>
      <c r="L73" s="75">
        <f t="shared" si="72"/>
        <v>216</v>
      </c>
      <c r="M73" s="351">
        <f>IF(AL73="","",AL73)</f>
        <v>1</v>
      </c>
      <c r="N73" s="75">
        <f t="shared" si="89"/>
        <v>201</v>
      </c>
      <c r="O73" s="351">
        <f>IF(AN73="","",AN73)</f>
        <v>0</v>
      </c>
      <c r="P73" s="75">
        <f t="shared" si="73"/>
        <v>277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196</v>
      </c>
      <c r="U73" s="351">
        <f>IF(AT73="","",AT73)</f>
        <v>0</v>
      </c>
      <c r="V73" s="75">
        <f t="shared" si="76"/>
        <v>2012</v>
      </c>
      <c r="W73" s="351">
        <f>IF(AV73="","",AV73)</f>
        <v>6</v>
      </c>
      <c r="Z73" s="354" t="s">
        <v>3</v>
      </c>
      <c r="AA73" s="108" t="str">
        <f>IF(AB73=0,"",VLOOKUP(AB73,Starter!$A$1:$D$199,2,FALSE))</f>
        <v>Hinterwimmer, Georg</v>
      </c>
      <c r="AB73" s="99">
        <v>7867</v>
      </c>
      <c r="AC73" s="188">
        <v>227</v>
      </c>
      <c r="AD73" s="109">
        <f>IF(SUM(AC73:AC75)+AC87=0,0,IF(SUM(AC73:AC75)=AC87,0.5,IF(SUM(AC73:AC75)&gt;AC87,1,0)))</f>
        <v>1</v>
      </c>
      <c r="AE73" s="188">
        <v>226</v>
      </c>
      <c r="AF73" s="109">
        <f>IF(SUM(AE73:AE75)+AE87=0,0,IF(SUM(AE73:AE75)=AE87,0.5,IF(SUM(AE73:AE75)&gt;AE87,1,0)))</f>
        <v>1</v>
      </c>
      <c r="AG73" s="188">
        <v>236</v>
      </c>
      <c r="AH73" s="109">
        <f>IF(SUM(AG73:AG75)+AG87=0,0,IF(SUM(AG73:AG75)=AG87,0.5,IF(SUM(AG73:AG75)&gt;AG87,1,0)))</f>
        <v>1</v>
      </c>
      <c r="AI73" s="188">
        <v>222</v>
      </c>
      <c r="AJ73" s="109">
        <f>IF(SUM(AI73:AI75)+AI87=0,0,IF(SUM(AI73:AI75)=AI87,0.5,IF(SUM(AI73:AI75)&gt;AI87,1,0)))</f>
        <v>0</v>
      </c>
      <c r="AK73" s="188">
        <v>216</v>
      </c>
      <c r="AL73" s="109">
        <f>IF(SUM(AK73:AK75)+AK87=0,0,IF(SUM(AK73:AK75)=AK87,0.5,IF(SUM(AK73:AK75)&gt;AK87,1,0)))</f>
        <v>1</v>
      </c>
      <c r="AM73" s="188">
        <v>201</v>
      </c>
      <c r="AN73" s="109">
        <f>IF(SUM(AM73:AM75)+AM87=0,0,IF(SUM(AM73:AM75)=AM87,0.5,IF(SUM(AM73:AM75)&gt;AM87,1,0)))</f>
        <v>0</v>
      </c>
      <c r="AO73" s="188">
        <v>277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196</v>
      </c>
      <c r="AT73" s="109">
        <f>IF(SUM(AS73:AS75)+AS87=0,0,IF(SUM(AS73:AS75)=AS87,0.5,IF(SUM(AS73:AS75)&gt;AS87,1,0)))</f>
        <v>0</v>
      </c>
      <c r="AU73" s="110">
        <f t="shared" si="77"/>
        <v>2012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7867</v>
      </c>
      <c r="BE73" s="213">
        <f t="shared" si="91"/>
        <v>2012</v>
      </c>
      <c r="BF73" s="215">
        <f t="shared" si="92"/>
        <v>9</v>
      </c>
      <c r="BG73" s="215">
        <f t="shared" si="93"/>
        <v>9</v>
      </c>
      <c r="BH73" s="215">
        <f t="shared" si="78"/>
        <v>227</v>
      </c>
      <c r="BI73" s="215">
        <f t="shared" si="79"/>
        <v>226</v>
      </c>
      <c r="BJ73" s="215">
        <f t="shared" si="80"/>
        <v>236</v>
      </c>
      <c r="BK73" s="215">
        <f t="shared" si="81"/>
        <v>222</v>
      </c>
      <c r="BL73" s="215">
        <f t="shared" si="82"/>
        <v>216</v>
      </c>
      <c r="BM73" s="215">
        <f t="shared" si="83"/>
        <v>201</v>
      </c>
      <c r="BN73" s="215">
        <f t="shared" si="84"/>
        <v>277</v>
      </c>
      <c r="BO73" s="215">
        <f t="shared" si="85"/>
        <v>211</v>
      </c>
      <c r="BP73" s="215">
        <f t="shared" si="86"/>
        <v>196</v>
      </c>
      <c r="BQ73" s="216"/>
      <c r="BR73" s="214"/>
      <c r="BS73" s="215">
        <f t="shared" si="94"/>
        <v>277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3</v>
      </c>
      <c r="BW73" s="215">
        <f t="shared" si="98"/>
        <v>2012</v>
      </c>
      <c r="BX73" s="215">
        <f>IF(COUNTIF(BH73:BP73,"&gt;0")&lt;Spielorte!$A$23,0,BE73/Spielorte!$A$23)</f>
        <v>223.55555555555554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3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3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300</v>
      </c>
      <c r="E76" s="351">
        <f>IF(AD76="","",AD76)</f>
        <v>1</v>
      </c>
      <c r="F76" s="75">
        <f t="shared" si="69"/>
        <v>184</v>
      </c>
      <c r="G76" s="351">
        <f>IF(AF76="","",AF76)</f>
        <v>0</v>
      </c>
      <c r="H76" s="75">
        <f t="shared" si="70"/>
        <v>169</v>
      </c>
      <c r="I76" s="351">
        <f>IF(AH76="","",AH76)</f>
        <v>1</v>
      </c>
      <c r="J76" s="75">
        <f t="shared" si="71"/>
        <v>201</v>
      </c>
      <c r="K76" s="351">
        <f>IF(AJ76="","",AJ76)</f>
        <v>0</v>
      </c>
      <c r="L76" s="75">
        <f t="shared" si="72"/>
        <v>241</v>
      </c>
      <c r="M76" s="351">
        <f>IF(AL76="","",AL76)</f>
        <v>1</v>
      </c>
      <c r="N76" s="75">
        <f t="shared" si="89"/>
        <v>193</v>
      </c>
      <c r="O76" s="351">
        <f>IF(AN76="","",AN76)</f>
        <v>1</v>
      </c>
      <c r="P76" s="75">
        <f t="shared" si="73"/>
        <v>239</v>
      </c>
      <c r="Q76" s="351">
        <f>IF(AP76="","",AP76)</f>
        <v>1</v>
      </c>
      <c r="R76" s="75">
        <f t="shared" si="74"/>
        <v>266</v>
      </c>
      <c r="S76" s="351">
        <f>IF(AR76="","",AR76)</f>
        <v>1</v>
      </c>
      <c r="T76" s="75">
        <f t="shared" si="75"/>
        <v>220</v>
      </c>
      <c r="U76" s="351">
        <f>IF(AT76="","",AT76)</f>
        <v>1</v>
      </c>
      <c r="V76" s="75">
        <f t="shared" si="76"/>
        <v>2013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300</v>
      </c>
      <c r="AD76" s="109">
        <f>IF(SUM(AC76:AC78)+AC88=0,0,IF(SUM(AC76:AC78)=AC88,0.5,IF(SUM(AC76:AC78)&gt;AC88,1,0)))</f>
        <v>1</v>
      </c>
      <c r="AE76" s="188">
        <v>184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1</v>
      </c>
      <c r="AI76" s="188">
        <v>201</v>
      </c>
      <c r="AJ76" s="109">
        <f>IF(SUM(AI76:AI78)+AI88=0,0,IF(SUM(AI76:AI78)=AI88,0.5,IF(SUM(AI76:AI78)&gt;AI88,1,0)))</f>
        <v>0</v>
      </c>
      <c r="AK76" s="188">
        <v>241</v>
      </c>
      <c r="AL76" s="109">
        <f>IF(SUM(AK76:AK78)+AK88=0,0,IF(SUM(AK76:AK78)=AK88,0.5,IF(SUM(AK76:AK78)&gt;AK88,1,0)))</f>
        <v>1</v>
      </c>
      <c r="AM76" s="188">
        <v>193</v>
      </c>
      <c r="AN76" s="109">
        <f>IF(SUM(AM76:AM78)+AM88=0,0,IF(SUM(AM76:AM78)=AM88,0.5,IF(SUM(AM76:AM78)&gt;AM88,1,0)))</f>
        <v>1</v>
      </c>
      <c r="AO76" s="188">
        <v>239</v>
      </c>
      <c r="AP76" s="109">
        <f>IF(SUM(AO76:AO78)+AO88=0,0,IF(SUM(AO76:AO78)=AO88,0.5,IF(SUM(AO76:AO78)&gt;AO88,1,0)))</f>
        <v>1</v>
      </c>
      <c r="AQ76" s="188">
        <v>266</v>
      </c>
      <c r="AR76" s="109">
        <f>IF(SUM(AQ76:AQ78)+AQ88=0,0,IF(SUM(AQ76:AQ78)=AQ88,0.5,IF(SUM(AQ76:AQ78)&gt;AQ88,1,0)))</f>
        <v>1</v>
      </c>
      <c r="AS76" s="188">
        <v>220</v>
      </c>
      <c r="AT76" s="109">
        <f>IF(SUM(AS76:AS78)+AS88=0,0,IF(SUM(AS76:AS78)=AS88,0.5,IF(SUM(AS76:AS78)&gt;AS88,1,0)))</f>
        <v>1</v>
      </c>
      <c r="AU76" s="110">
        <f t="shared" si="77"/>
        <v>2013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2013</v>
      </c>
      <c r="BF76" s="215">
        <f t="shared" si="92"/>
        <v>9</v>
      </c>
      <c r="BG76" s="215">
        <f t="shared" si="93"/>
        <v>9</v>
      </c>
      <c r="BH76" s="215">
        <f t="shared" si="78"/>
        <v>300</v>
      </c>
      <c r="BI76" s="215">
        <f t="shared" si="79"/>
        <v>184</v>
      </c>
      <c r="BJ76" s="215">
        <f t="shared" si="80"/>
        <v>169</v>
      </c>
      <c r="BK76" s="215">
        <f t="shared" si="81"/>
        <v>201</v>
      </c>
      <c r="BL76" s="215">
        <f t="shared" si="82"/>
        <v>241</v>
      </c>
      <c r="BM76" s="215">
        <f t="shared" si="83"/>
        <v>193</v>
      </c>
      <c r="BN76" s="215">
        <f t="shared" si="84"/>
        <v>239</v>
      </c>
      <c r="BO76" s="215">
        <f t="shared" si="85"/>
        <v>266</v>
      </c>
      <c r="BP76" s="215">
        <f t="shared" si="86"/>
        <v>220</v>
      </c>
      <c r="BQ76" s="216"/>
      <c r="BR76" s="214"/>
      <c r="BS76" s="215">
        <f t="shared" si="94"/>
        <v>300</v>
      </c>
      <c r="BT76" s="215">
        <f t="shared" si="95"/>
        <v>300.00000007599999</v>
      </c>
      <c r="BU76" s="215" t="str">
        <f t="shared" si="96"/>
        <v>BK München 3</v>
      </c>
      <c r="BV76" s="214">
        <f t="shared" si="97"/>
        <v>1</v>
      </c>
      <c r="BW76" s="215">
        <f t="shared" si="98"/>
        <v>2013</v>
      </c>
      <c r="BX76" s="215">
        <f>IF(COUNTIF(BH76:BP76,"&gt;0")&lt;Spielorte!$A$23,0,BE76/Spielorte!$A$23)</f>
        <v>223.66666666666666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3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3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914</v>
      </c>
      <c r="E79" s="84">
        <f>IF(AD79="","",AD79)</f>
        <v>2</v>
      </c>
      <c r="F79" s="83">
        <f t="shared" si="69"/>
        <v>824</v>
      </c>
      <c r="G79" s="84">
        <f>IF(AF79="","",AF79)</f>
        <v>2</v>
      </c>
      <c r="H79" s="83">
        <f t="shared" si="70"/>
        <v>806</v>
      </c>
      <c r="I79" s="84">
        <f>IF(AH79="","",AH79)</f>
        <v>2</v>
      </c>
      <c r="J79" s="83">
        <f t="shared" si="71"/>
        <v>817</v>
      </c>
      <c r="K79" s="84">
        <f>IF(AJ79="","",AJ79)</f>
        <v>0</v>
      </c>
      <c r="L79" s="83">
        <f t="shared" si="72"/>
        <v>885</v>
      </c>
      <c r="M79" s="84">
        <f>IF(AL79="","",AL79)</f>
        <v>2</v>
      </c>
      <c r="N79" s="83">
        <f t="shared" si="89"/>
        <v>820</v>
      </c>
      <c r="O79" s="84">
        <f>IF(AN79="","",AN79)</f>
        <v>0</v>
      </c>
      <c r="P79" s="83">
        <f t="shared" si="73"/>
        <v>898</v>
      </c>
      <c r="Q79" s="84">
        <f>IF(AP79="","",AP79)</f>
        <v>2</v>
      </c>
      <c r="R79" s="83">
        <f t="shared" si="74"/>
        <v>906</v>
      </c>
      <c r="S79" s="84">
        <f>IF(AR79="","",AR79)</f>
        <v>2</v>
      </c>
      <c r="T79" s="83">
        <f t="shared" si="75"/>
        <v>885</v>
      </c>
      <c r="U79" s="84">
        <f>IF(AT79="","",AT79)</f>
        <v>2</v>
      </c>
      <c r="V79" s="83">
        <f t="shared" si="76"/>
        <v>7755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914</v>
      </c>
      <c r="AD79" s="121">
        <f>IF(AC79+AC89=0,0,IF(AC79=AC89,1,IF(AC79&gt;AC89,2,0)))</f>
        <v>2</v>
      </c>
      <c r="AE79" s="211">
        <f>ABS(SUM(AE67:AE69))+ABS(SUM(AE70:AE72))+ABS(SUM(AE73:AE75))+ABS(SUM(AE76:AE78))</f>
        <v>824</v>
      </c>
      <c r="AF79" s="121">
        <f>IF(AE79+AE89=0,0,IF(AE79=AE89,1,IF(AE79&gt;AE89,2,0)))</f>
        <v>2</v>
      </c>
      <c r="AG79" s="211">
        <f>ABS(SUM(AG67:AG69))+ABS(SUM(AG70:AG72))+ABS(SUM(AG73:AG75))+ABS(SUM(AG76:AG78))</f>
        <v>806</v>
      </c>
      <c r="AH79" s="121">
        <f>IF(AG79+AG89=0,0,IF(AG79=AG89,1,IF(AG79&gt;AG89,2,0)))</f>
        <v>2</v>
      </c>
      <c r="AI79" s="211">
        <f>ABS(SUM(AI67:AI69))+ABS(SUM(AI70:AI72))+ABS(SUM(AI73:AI75))+ABS(SUM(AI76:AI78))</f>
        <v>817</v>
      </c>
      <c r="AJ79" s="121">
        <f>IF(AI79+AI89=0,0,IF(AI79=AI89,1,IF(AI79&gt;AI89,2,0)))</f>
        <v>0</v>
      </c>
      <c r="AK79" s="211">
        <f>ABS(SUM(AK67:AK69))+ABS(SUM(AK70:AK72))+ABS(SUM(AK73:AK75))+ABS(SUM(AK76:AK78))</f>
        <v>885</v>
      </c>
      <c r="AL79" s="121">
        <f>IF(AK79+AK89=0,0,IF(AK79=AK89,1,IF(AK79&gt;AK89,2,0)))</f>
        <v>2</v>
      </c>
      <c r="AM79" s="211">
        <f>ABS(SUM(AM67:AM69))+ABS(SUM(AM70:AM72))+ABS(SUM(AM73:AM75))+ABS(SUM(AM76:AM78))</f>
        <v>820</v>
      </c>
      <c r="AN79" s="121">
        <f>IF(AM79+AM89=0,0,IF(AM79=AM89,1,IF(AM79&gt;AM89,2,0)))</f>
        <v>0</v>
      </c>
      <c r="AO79" s="211">
        <f>ABS(SUM(AO67:AO69))+ABS(SUM(AO70:AO72))+ABS(SUM(AO73:AO75))+ABS(SUM(AO76:AO78))</f>
        <v>898</v>
      </c>
      <c r="AP79" s="121">
        <f>IF(AO79+AO89=0,0,IF(AO79=AO89,1,IF(AO79&gt;AO89,2,0)))</f>
        <v>2</v>
      </c>
      <c r="AQ79" s="211">
        <f>ABS(SUM(AQ67:AQ69))+ABS(SUM(AQ70:AQ72))+ABS(SUM(AQ73:AQ75))+ABS(SUM(AQ76:AQ78))</f>
        <v>906</v>
      </c>
      <c r="AR79" s="121">
        <f>IF(AQ79+AQ89=0,0,IF(AQ79=AQ89,1,IF(AQ79&gt;AQ89,2,0)))</f>
        <v>2</v>
      </c>
      <c r="AS79" s="211">
        <f>ABS(SUM(AS67:AS69))+ABS(SUM(AS70:AS72))+ABS(SUM(AS73:AS75))+ABS(SUM(AS76:AS78))</f>
        <v>885</v>
      </c>
      <c r="AT79" s="121">
        <f>IF(AS79+AS89=0,0,IF(AS79=AS89,1,IF(AS79&gt;AS89,2,0)))</f>
        <v>2</v>
      </c>
      <c r="AU79" s="122">
        <f>SUM(AC79+AE79+AG79+AI79+AK79+AM79+AO79+AQ79+AS79)</f>
        <v>7755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1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5.5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37.5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6</v>
      </c>
      <c r="AM80" s="86"/>
      <c r="AN80" s="124">
        <f>SUM(AN67:AN79)</f>
        <v>2</v>
      </c>
      <c r="AO80" s="86"/>
      <c r="AP80" s="124">
        <f>SUM(AP67:AP79)</f>
        <v>5</v>
      </c>
      <c r="AQ80" s="86"/>
      <c r="AR80" s="124">
        <f>SUM(AR67:AR79)</f>
        <v>5.5</v>
      </c>
      <c r="AS80" s="86"/>
      <c r="AT80" s="124">
        <f>SUM(AT67:AT79)</f>
        <v>4</v>
      </c>
      <c r="AU80" s="86"/>
      <c r="AV80" s="125">
        <f>SUM(AV67:AV79)</f>
        <v>37.5</v>
      </c>
      <c r="AW80" s="101"/>
      <c r="AX80" s="102"/>
      <c r="BA80" s="212">
        <f>+AV80</f>
        <v>37.5</v>
      </c>
      <c r="BB80" s="213">
        <f>+AU79</f>
        <v>7755</v>
      </c>
      <c r="BC80" s="214">
        <f>+AA62</f>
        <v>3</v>
      </c>
      <c r="BF80" s="215">
        <f>SUM(BF61:BF79)</f>
        <v>36</v>
      </c>
      <c r="BQ80" s="212">
        <f>+BB80/1000000+BA80</f>
        <v>37.507755000000003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4</v>
      </c>
      <c r="E82" s="349" t="str">
        <f t="shared" si="100"/>
        <v/>
      </c>
      <c r="F82" s="349">
        <f t="shared" si="100"/>
        <v>7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5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1</v>
      </c>
      <c r="O82" s="349" t="str">
        <f t="shared" si="100"/>
        <v/>
      </c>
      <c r="P82" s="349">
        <f t="shared" si="100"/>
        <v>10</v>
      </c>
      <c r="Q82" s="349" t="str">
        <f t="shared" si="100"/>
        <v/>
      </c>
      <c r="R82" s="349">
        <f t="shared" ref="L82:U84" si="101">IF(AQ82=0,"",AQ82)</f>
        <v>9</v>
      </c>
      <c r="S82" s="349" t="str">
        <f t="shared" si="101"/>
        <v/>
      </c>
      <c r="T82" s="349">
        <f t="shared" si="101"/>
        <v>6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VLOOKUP($AA62,Schlüssel!$A$5:$DG$14,83)</f>
        <v>4</v>
      </c>
      <c r="AD82" s="374"/>
      <c r="AE82" s="373">
        <f>VLOOKUP($AA62,Schlüssel!$A$5:$EK$14,84)</f>
        <v>7</v>
      </c>
      <c r="AF82" s="374"/>
      <c r="AG82" s="373">
        <f>VLOOKUP($AA62,Schlüssel!$A$5:$EK$14,85)</f>
        <v>2</v>
      </c>
      <c r="AH82" s="374"/>
      <c r="AI82" s="373">
        <f>VLOOKUP($AA62,Schlüssel!$A$5:$EK$14,86)</f>
        <v>5</v>
      </c>
      <c r="AJ82" s="374"/>
      <c r="AK82" s="373">
        <f>VLOOKUP($AA62,Schlüssel!$A$5:$EK$14,87)</f>
        <v>8</v>
      </c>
      <c r="AL82" s="374"/>
      <c r="AM82" s="373">
        <f>VLOOKUP($AA62,Schlüssel!$A$5:$EK$14,88)</f>
        <v>1</v>
      </c>
      <c r="AN82" s="374"/>
      <c r="AO82" s="373">
        <f>VLOOKUP($AA62,Schlüssel!$A$5:$EK$14,89)</f>
        <v>10</v>
      </c>
      <c r="AP82" s="374"/>
      <c r="AQ82" s="373">
        <f>VLOOKUP($AA62,Schlüssel!$A$5:$EK$14,90)</f>
        <v>9</v>
      </c>
      <c r="AR82" s="374"/>
      <c r="AS82" s="373">
        <f>VLOOKUP($AA62,Schlüssel!$A$5:$EK$14,91)</f>
        <v>6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DJK Rimpar</v>
      </c>
      <c r="E83" s="347" t="str">
        <f t="shared" si="102"/>
        <v/>
      </c>
      <c r="F83" s="346" t="str">
        <f t="shared" si="102"/>
        <v>Schanzer Ingolstadt 1</v>
      </c>
      <c r="G83" s="347" t="str">
        <f t="shared" si="102"/>
        <v/>
      </c>
      <c r="H83" s="346" t="str">
        <f t="shared" si="102"/>
        <v>Bajuwaren München 1</v>
      </c>
      <c r="I83" s="347" t="str">
        <f t="shared" si="102"/>
        <v/>
      </c>
      <c r="J83" s="346" t="str">
        <f t="shared" si="102"/>
        <v>RW Lichtenhof Stein 1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BC Comet Nürnberg</v>
      </c>
      <c r="O83" s="347" t="str">
        <f t="shared" si="101"/>
        <v/>
      </c>
      <c r="P83" s="346" t="str">
        <f t="shared" si="101"/>
        <v>High Roller Rosenheim 1</v>
      </c>
      <c r="Q83" s="347" t="str">
        <f t="shared" si="101"/>
        <v/>
      </c>
      <c r="R83" s="346" t="str">
        <f t="shared" si="101"/>
        <v>Bowlinghaus Bamberg 1</v>
      </c>
      <c r="S83" s="347" t="str">
        <f t="shared" si="101"/>
        <v/>
      </c>
      <c r="T83" s="346" t="str">
        <f t="shared" si="101"/>
        <v>SG Rottendorf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DJK Rimpar</v>
      </c>
      <c r="AD83" s="347"/>
      <c r="AE83" s="346" t="str">
        <f>VLOOKUP(AE82,Schlüssel!$A$5:$K$14,2)</f>
        <v>Schanzer Ingolstadt 1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RW Lichtenhof Stein 1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BC Comet Nürnberg</v>
      </c>
      <c r="AN83" s="347"/>
      <c r="AO83" s="346" t="str">
        <f>VLOOKUP(AO82,Schlüssel!$A$5:$K$14,2)</f>
        <v>High Roller Rosenheim 1</v>
      </c>
      <c r="AP83" s="347"/>
      <c r="AQ83" s="346" t="str">
        <f>VLOOKUP(AQ82,Schlüssel!$A$5:$K$14,2)</f>
        <v>Bowlinghaus Bamberg 1</v>
      </c>
      <c r="AR83" s="347"/>
      <c r="AS83" s="346" t="str">
        <f>VLOOKUP(AS82,Schlüssel!$A$5:$K$14,2)</f>
        <v>SG Rottendorf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247</v>
      </c>
      <c r="E85" s="342" t="str">
        <f>IF(AD85=0,"",AD85)</f>
        <v/>
      </c>
      <c r="F85" s="342">
        <f>IF(AE85=301,"",AE85)</f>
        <v>145</v>
      </c>
      <c r="G85" s="342" t="str">
        <f>IF(AF85=0,"",AF85)</f>
        <v/>
      </c>
      <c r="H85" s="342">
        <f>IF(AG85=301,"",AG85)</f>
        <v>187</v>
      </c>
      <c r="I85" s="342" t="str">
        <f>IF(AH85=0,"",AH85)</f>
        <v/>
      </c>
      <c r="J85" s="342">
        <f>IF(AI85=301,"",AI85)</f>
        <v>203</v>
      </c>
      <c r="K85" s="342" t="str">
        <f>IF(AJ85=0,"",AJ85)</f>
        <v/>
      </c>
      <c r="L85" s="342">
        <f>IF(AK85=301,"",AK85)</f>
        <v>165</v>
      </c>
      <c r="M85" s="342" t="str">
        <f>IF(AL85=0,"",AL85)</f>
        <v/>
      </c>
      <c r="N85" s="342">
        <f>IF(AM85=301,"",AM85)</f>
        <v>200</v>
      </c>
      <c r="O85" s="342" t="str">
        <f>IF(AN85=0,"",AN85)</f>
        <v/>
      </c>
      <c r="P85" s="342">
        <f>IF(AO85=301,"",AO85)</f>
        <v>226</v>
      </c>
      <c r="Q85" s="342" t="str">
        <f>IF(AP85=0,"",AP85)</f>
        <v/>
      </c>
      <c r="R85" s="342">
        <f>IF(AQ85=301,"",AQ85)</f>
        <v>189</v>
      </c>
      <c r="S85" s="342" t="str">
        <f>IF(AR85=0,"",AR85)</f>
        <v/>
      </c>
      <c r="T85" s="342">
        <f>IF(AS85=301,"",AS85)</f>
        <v>169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247</v>
      </c>
      <c r="AD85" s="376"/>
      <c r="AE85" s="375">
        <f>ABS(INDEX(AE:AE,MATCH(AE82,$AA:$AA,0)+5)+INDEX(AE:AE,MATCH(AE82,$AA:$AA,0)+6)+INDEX(AE:AE,MATCH(AE82,$AA:$AA,0)+7))</f>
        <v>145</v>
      </c>
      <c r="AF85" s="376"/>
      <c r="AG85" s="375">
        <f>ABS(INDEX(AG:AG,MATCH(AG82,$AA:$AA,0)+5)+INDEX(AG:AG,MATCH(AG82,$AA:$AA,0)+6)+INDEX(AG:AG,MATCH(AG82,$AA:$AA,0)+7))</f>
        <v>187</v>
      </c>
      <c r="AH85" s="376"/>
      <c r="AI85" s="375">
        <f>ABS(INDEX(AI:AI,MATCH(AI82,$AA:$AA,0)+5)+INDEX(AI:AI,MATCH(AI82,$AA:$AA,0)+6)+INDEX(AI:AI,MATCH(AI82,$AA:$AA,0)+7))</f>
        <v>203</v>
      </c>
      <c r="AJ85" s="376"/>
      <c r="AK85" s="375">
        <f>ABS(INDEX(AK:AK,MATCH(AK82,$AA:$AA,0)+5)+INDEX(AK:AK,MATCH(AK82,$AA:$AA,0)+6)+INDEX(AK:AK,MATCH(AK82,$AA:$AA,0)+7))</f>
        <v>165</v>
      </c>
      <c r="AL85" s="376"/>
      <c r="AM85" s="375">
        <f>ABS(INDEX(AM:AM,MATCH(AM82,$AA:$AA,0)+5)+INDEX(AM:AM,MATCH(AM82,$AA:$AA,0)+6)+INDEX(AM:AM,MATCH(AM82,$AA:$AA,0)+7))</f>
        <v>200</v>
      </c>
      <c r="AN85" s="376"/>
      <c r="AO85" s="375">
        <f>ABS(INDEX(AO:AO,MATCH(AO82,$AA:$AA,0)+5)+INDEX(AO:AO,MATCH(AO82,$AA:$AA,0)+6)+INDEX(AO:AO,MATCH(AO82,$AA:$AA,0)+7))</f>
        <v>226</v>
      </c>
      <c r="AP85" s="376"/>
      <c r="AQ85" s="375">
        <f>ABS(INDEX(AQ:AQ,MATCH(AQ82,$AA:$AA,0)+5)+INDEX(AQ:AQ,MATCH(AQ82,$AA:$AA,0)+6)+INDEX(AQ:AQ,MATCH(AQ82,$AA:$AA,0)+7))</f>
        <v>189</v>
      </c>
      <c r="AR85" s="376"/>
      <c r="AS85" s="375">
        <f>ABS(INDEX(AS:AS,MATCH(AS82,$AA:$AA,0)+5)+INDEX(AS:AS,MATCH(AS82,$AA:$AA,0)+6)+INDEX(AS:AS,MATCH(AS82,$AA:$AA,0)+7))</f>
        <v>169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244</v>
      </c>
      <c r="E86" s="342" t="str">
        <f>IF(AD86=0,"",AD86)</f>
        <v/>
      </c>
      <c r="F86" s="342">
        <f>IF(AE86=301,"",AE86)</f>
        <v>178</v>
      </c>
      <c r="G86" s="342" t="str">
        <f>IF(AF86=0,"",AF86)</f>
        <v/>
      </c>
      <c r="H86" s="342">
        <f>IF(AG86=301,"",AG86)</f>
        <v>175</v>
      </c>
      <c r="I86" s="342" t="str">
        <f>IF(AH86=0,"",AH86)</f>
        <v/>
      </c>
      <c r="J86" s="342">
        <f>IF(AI86=301,"",AI86)</f>
        <v>189</v>
      </c>
      <c r="K86" s="342" t="str">
        <f>IF(AJ86=0,"",AJ86)</f>
        <v/>
      </c>
      <c r="L86" s="342">
        <f>IF(AK86=301,"",AK86)</f>
        <v>194</v>
      </c>
      <c r="M86" s="342" t="str">
        <f>IF(AL86=0,"",AL86)</f>
        <v/>
      </c>
      <c r="N86" s="342">
        <f>IF(AM86=301,"",AM86)</f>
        <v>236</v>
      </c>
      <c r="O86" s="342" t="str">
        <f>IF(AN86=0,"",AN86)</f>
        <v/>
      </c>
      <c r="P86" s="342">
        <f>IF(AO86=301,"",AO86)</f>
        <v>171</v>
      </c>
      <c r="Q86" s="342" t="str">
        <f>IF(AP86=0,"",AP86)</f>
        <v/>
      </c>
      <c r="R86" s="342">
        <f>IF(AQ86=301,"",AQ86)</f>
        <v>202</v>
      </c>
      <c r="S86" s="342" t="str">
        <f>IF(AR86=0,"",AR86)</f>
        <v/>
      </c>
      <c r="T86" s="342">
        <f>IF(AS86=301,"",AS86)</f>
        <v>223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244</v>
      </c>
      <c r="AD86" s="378"/>
      <c r="AE86" s="377">
        <f>ABS(INDEX(AE:AE,MATCH(AE82,$AA:$AA,0)+8)+INDEX(AE:AE,MATCH(AE82,$AA:$AA,0)+9)+INDEX(AE:AE,MATCH(AE82,$AA:$AA,0)+10))</f>
        <v>178</v>
      </c>
      <c r="AF86" s="378"/>
      <c r="AG86" s="377">
        <f>ABS(INDEX(AG:AG,MATCH(AG82,$AA:$AA,0)+8)+INDEX(AG:AG,MATCH(AG82,$AA:$AA,0)+9)+INDEX(AG:AG,MATCH(AG82,$AA:$AA,0)+10))</f>
        <v>175</v>
      </c>
      <c r="AH86" s="378"/>
      <c r="AI86" s="377">
        <f>ABS(INDEX(AI:AI,MATCH(AI82,$AA:$AA,0)+8)+INDEX(AI:AI,MATCH(AI82,$AA:$AA,0)+9)+INDEX(AI:AI,MATCH(AI82,$AA:$AA,0)+10))</f>
        <v>189</v>
      </c>
      <c r="AJ86" s="378"/>
      <c r="AK86" s="377">
        <f>ABS(INDEX(AK:AK,MATCH(AK82,$AA:$AA,0)+8)+INDEX(AK:AK,MATCH(AK82,$AA:$AA,0)+9)+INDEX(AK:AK,MATCH(AK82,$AA:$AA,0)+10))</f>
        <v>194</v>
      </c>
      <c r="AL86" s="378"/>
      <c r="AM86" s="377">
        <f>ABS(INDEX(AM:AM,MATCH(AM82,$AA:$AA,0)+8)+INDEX(AM:AM,MATCH(AM82,$AA:$AA,0)+9)+INDEX(AM:AM,MATCH(AM82,$AA:$AA,0)+10))</f>
        <v>236</v>
      </c>
      <c r="AN86" s="378"/>
      <c r="AO86" s="377">
        <f>ABS(INDEX(AO:AO,MATCH(AO82,$AA:$AA,0)+8)+INDEX(AO:AO,MATCH(AO82,$AA:$AA,0)+9)+INDEX(AO:AO,MATCH(AO82,$AA:$AA,0)+10))</f>
        <v>171</v>
      </c>
      <c r="AP86" s="378"/>
      <c r="AQ86" s="377">
        <f>ABS(INDEX(AQ:AQ,MATCH(AQ82,$AA:$AA,0)+8)+INDEX(AQ:AQ,MATCH(AQ82,$AA:$AA,0)+9)+INDEX(AQ:AQ,MATCH(AQ82,$AA:$AA,0)+10))</f>
        <v>202</v>
      </c>
      <c r="AR86" s="378"/>
      <c r="AS86" s="377">
        <f>ABS(INDEX(AS:AS,MATCH(AS82,$AA:$AA,0)+8)+INDEX(AS:AS,MATCH(AS82,$AA:$AA,0)+9)+INDEX(AS:AS,MATCH(AS82,$AA:$AA,0)+10))</f>
        <v>223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183</v>
      </c>
      <c r="E87" s="342" t="str">
        <f>IF(AD87=0,"",AD87)</f>
        <v/>
      </c>
      <c r="F87" s="342">
        <f>IF(AE87=301,"",AE87)</f>
        <v>224</v>
      </c>
      <c r="G87" s="342" t="str">
        <f>IF(AF87=0,"",AF87)</f>
        <v/>
      </c>
      <c r="H87" s="342">
        <f>IF(AG87=301,"",AG87)</f>
        <v>207</v>
      </c>
      <c r="I87" s="342" t="str">
        <f>IF(AH87=0,"",AH87)</f>
        <v/>
      </c>
      <c r="J87" s="342">
        <f>IF(AI87=301,"",AI87)</f>
        <v>247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172</v>
      </c>
      <c r="Q87" s="342" t="str">
        <f>IF(AP87=0,"",AP87)</f>
        <v/>
      </c>
      <c r="R87" s="342">
        <f>IF(AQ87=301,"",AQ87)</f>
        <v>166</v>
      </c>
      <c r="S87" s="342" t="str">
        <f>IF(AR87=0,"",AR87)</f>
        <v/>
      </c>
      <c r="T87" s="342">
        <f>IF(AS87=301,"",AS87)</f>
        <v>213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183</v>
      </c>
      <c r="AD87" s="378"/>
      <c r="AE87" s="377">
        <f>ABS(INDEX(AE:AE,MATCH(AE82,$AA:$AA,0)+11)+INDEX(AE:AE,MATCH(AE82,$AA:$AA,0)+12)+INDEX(AE:AE,MATCH(AE82,$AA:$AA,0)+13))</f>
        <v>224</v>
      </c>
      <c r="AF87" s="378"/>
      <c r="AG87" s="377">
        <f>ABS(INDEX(AG:AG,MATCH(AG82,$AA:$AA,0)+11)+INDEX(AG:AG,MATCH(AG82,$AA:$AA,0)+12)+INDEX(AG:AG,MATCH(AG82,$AA:$AA,0)+13))</f>
        <v>207</v>
      </c>
      <c r="AH87" s="378"/>
      <c r="AI87" s="377">
        <f>ABS(INDEX(AI:AI,MATCH(AI82,$AA:$AA,0)+11)+INDEX(AI:AI,MATCH(AI82,$AA:$AA,0)+12)+INDEX(AI:AI,MATCH(AI82,$AA:$AA,0)+13))</f>
        <v>247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172</v>
      </c>
      <c r="AP87" s="378"/>
      <c r="AQ87" s="377">
        <f>ABS(INDEX(AQ:AQ,MATCH(AQ82,$AA:$AA,0)+11)+INDEX(AQ:AQ,MATCH(AQ82,$AA:$AA,0)+12)+INDEX(AQ:AQ,MATCH(AQ82,$AA:$AA,0)+13))</f>
        <v>166</v>
      </c>
      <c r="AR87" s="378"/>
      <c r="AS87" s="377">
        <f>ABS(INDEX(AS:AS,MATCH(AS82,$AA:$AA,0)+11)+INDEX(AS:AS,MATCH(AS82,$AA:$AA,0)+12)+INDEX(AS:AS,MATCH(AS82,$AA:$AA,0)+13))</f>
        <v>213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186</v>
      </c>
      <c r="E88" s="342" t="str">
        <f>IF(AD88=0,"",AD88)</f>
        <v/>
      </c>
      <c r="F88" s="342">
        <f>IF(AE88=301,"",AE88)</f>
        <v>223</v>
      </c>
      <c r="G88" s="342" t="str">
        <f>IF(AF88=0,"",AF88)</f>
        <v/>
      </c>
      <c r="H88" s="342">
        <f>IF(AG88=301,"",AG88)</f>
        <v>161</v>
      </c>
      <c r="I88" s="342" t="str">
        <f>IF(AH88=0,"",AH88)</f>
        <v/>
      </c>
      <c r="J88" s="342">
        <f>IF(AI88=301,"",AI88)</f>
        <v>223</v>
      </c>
      <c r="K88" s="342" t="str">
        <f>IF(AJ88=0,"",AJ88)</f>
        <v/>
      </c>
      <c r="L88" s="342">
        <f>IF(AK88=301,"",AK88)</f>
        <v>212</v>
      </c>
      <c r="M88" s="342" t="str">
        <f>IF(AL88=0,"",AL88)</f>
        <v/>
      </c>
      <c r="N88" s="342">
        <f>IF(AM88=301,"",AM88)</f>
        <v>184</v>
      </c>
      <c r="O88" s="342" t="str">
        <f>IF(AN88=0,"",AN88)</f>
        <v/>
      </c>
      <c r="P88" s="342">
        <f>IF(AO88=301,"",AO88)</f>
        <v>163</v>
      </c>
      <c r="Q88" s="342" t="str">
        <f>IF(AP88=0,"",AP88)</f>
        <v/>
      </c>
      <c r="R88" s="342">
        <f>IF(AQ88=301,"",AQ88)</f>
        <v>205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186</v>
      </c>
      <c r="AD88" s="378"/>
      <c r="AE88" s="377">
        <f>ABS(INDEX(AE:AE,MATCH(AE82,$AA:$AA,0)+14)+INDEX(AE:AE,MATCH(AE82,$AA:$AA,0)+15)+INDEX(AE:AE,MATCH(AE82,$AA:$AA,0)+16))</f>
        <v>223</v>
      </c>
      <c r="AF88" s="378"/>
      <c r="AG88" s="377">
        <f>ABS(INDEX(AG:AG,MATCH(AG82,$AA:$AA,0)+14)+INDEX(AG:AG,MATCH(AG82,$AA:$AA,0)+15)+INDEX(AG:AG,MATCH(AG82,$AA:$AA,0)+16))</f>
        <v>161</v>
      </c>
      <c r="AH88" s="378"/>
      <c r="AI88" s="377">
        <f>ABS(INDEX(AI:AI,MATCH(AI82,$AA:$AA,0)+14)+INDEX(AI:AI,MATCH(AI82,$AA:$AA,0)+15)+INDEX(AI:AI,MATCH(AI82,$AA:$AA,0)+16))</f>
        <v>223</v>
      </c>
      <c r="AJ88" s="378"/>
      <c r="AK88" s="377">
        <f>ABS(INDEX(AK:AK,MATCH(AK82,$AA:$AA,0)+14)+INDEX(AK:AK,MATCH(AK82,$AA:$AA,0)+15)+INDEX(AK:AK,MATCH(AK82,$AA:$AA,0)+16))</f>
        <v>212</v>
      </c>
      <c r="AL88" s="378"/>
      <c r="AM88" s="377">
        <f>ABS(INDEX(AM:AM,MATCH(AM82,$AA:$AA,0)+14)+INDEX(AM:AM,MATCH(AM82,$AA:$AA,0)+15)+INDEX(AM:AM,MATCH(AM82,$AA:$AA,0)+16))</f>
        <v>184</v>
      </c>
      <c r="AN88" s="378"/>
      <c r="AO88" s="377">
        <f>ABS(INDEX(AO:AO,MATCH(AO82,$AA:$AA,0)+14)+INDEX(AO:AO,MATCH(AO82,$AA:$AA,0)+15)+INDEX(AO:AO,MATCH(AO82,$AA:$AA,0)+16))</f>
        <v>163</v>
      </c>
      <c r="AP88" s="378"/>
      <c r="AQ88" s="377">
        <f>ABS(INDEX(AQ:AQ,MATCH(AQ82,$AA:$AA,0)+14)+INDEX(AQ:AQ,MATCH(AQ82,$AA:$AA,0)+15)+INDEX(AQ:AQ,MATCH(AQ82,$AA:$AA,0)+16))</f>
        <v>205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860</v>
      </c>
      <c r="E89" s="341" t="str">
        <f>IF(AD89=0,"",AD89)</f>
        <v/>
      </c>
      <c r="F89" s="341">
        <f>IF(AE89=1505,"",AE89)</f>
        <v>770</v>
      </c>
      <c r="G89" s="341" t="str">
        <f>IF(AF89=0,"",AF89)</f>
        <v/>
      </c>
      <c r="H89" s="341">
        <f>IF(AG89=1505,"",AG89)</f>
        <v>730</v>
      </c>
      <c r="I89" s="341" t="str">
        <f>IF(AH89=0,"",AH89)</f>
        <v/>
      </c>
      <c r="J89" s="341">
        <f>IF(AI89=1505,"",AI89)</f>
        <v>862</v>
      </c>
      <c r="K89" s="341" t="str">
        <f>IF(AJ89=0,"",AJ89)</f>
        <v/>
      </c>
      <c r="L89" s="341">
        <f>IF(AK89=1505,"",AK89)</f>
        <v>783</v>
      </c>
      <c r="M89" s="341" t="str">
        <f>IF(AL89=0,"",AL89)</f>
        <v/>
      </c>
      <c r="N89" s="341">
        <f>IF(AM89=1505,"",AM89)</f>
        <v>842</v>
      </c>
      <c r="O89" s="341" t="str">
        <f>IF(AN89=0,"",AN89)</f>
        <v/>
      </c>
      <c r="P89" s="341">
        <f>IF(AO89=1505,"",AO89)</f>
        <v>732</v>
      </c>
      <c r="Q89" s="341" t="str">
        <f>IF(AP89=0,"",AP89)</f>
        <v/>
      </c>
      <c r="R89" s="341">
        <f>IF(AQ89=1505,"",AQ89)</f>
        <v>762</v>
      </c>
      <c r="S89" s="341" t="str">
        <f>IF(AR89=0,"",AR89)</f>
        <v/>
      </c>
      <c r="T89" s="341">
        <f>IF(AS89=1505,"",AS89)</f>
        <v>786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860</v>
      </c>
      <c r="AD89" s="358"/>
      <c r="AE89" s="357">
        <f>SUM(AE85:AE88)</f>
        <v>770</v>
      </c>
      <c r="AF89" s="358"/>
      <c r="AG89" s="357">
        <f>SUM(AG85:AG88)</f>
        <v>730</v>
      </c>
      <c r="AH89" s="358"/>
      <c r="AI89" s="357">
        <f>SUM(AI85:AI88)</f>
        <v>862</v>
      </c>
      <c r="AJ89" s="358"/>
      <c r="AK89" s="357">
        <f>SUM(AK85:AK88)</f>
        <v>783</v>
      </c>
      <c r="AL89" s="358"/>
      <c r="AM89" s="357">
        <f>SUM(AM85:AM88)</f>
        <v>842</v>
      </c>
      <c r="AN89" s="358"/>
      <c r="AO89" s="357">
        <f>SUM(AO85:AO88)</f>
        <v>732</v>
      </c>
      <c r="AP89" s="358"/>
      <c r="AQ89" s="357">
        <f>SUM(AQ85:AQ88)</f>
        <v>762</v>
      </c>
      <c r="AR89" s="358"/>
      <c r="AS89" s="357">
        <f>SUM(AS85:AS88)</f>
        <v>786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15.03./16.03.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15.03./16.03.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Brunnthal Max Munich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247</v>
      </c>
      <c r="E97" s="351">
        <f>IF(AD97="","",AD97)</f>
        <v>1</v>
      </c>
      <c r="F97" s="75">
        <f t="shared" ref="F97:F110" si="104">IF(AE97=0,"",AE97)</f>
        <v>205</v>
      </c>
      <c r="G97" s="351">
        <f>IF(AF97="","",AF97)</f>
        <v>0</v>
      </c>
      <c r="H97" s="75">
        <f t="shared" ref="H97:H110" si="105">IF(AG97=0,"",AG97)</f>
        <v>234</v>
      </c>
      <c r="I97" s="351">
        <f>IF(AH97="","",AH97)</f>
        <v>1</v>
      </c>
      <c r="J97" s="75">
        <f t="shared" ref="J97:J110" si="106">IF(AI97=0,"",AI97)</f>
        <v>229</v>
      </c>
      <c r="K97" s="351">
        <f>IF(AJ97="","",AJ97)</f>
        <v>1</v>
      </c>
      <c r="L97" s="75">
        <f t="shared" ref="L97:L110" si="107">IF(AK97=0,"",AK97)</f>
        <v>160</v>
      </c>
      <c r="M97" s="351">
        <f>IF(AL97="","",AL97)</f>
        <v>0</v>
      </c>
      <c r="N97" s="75">
        <f>IF(AM97=0,"",AM97)</f>
        <v>247</v>
      </c>
      <c r="O97" s="351">
        <f>IF(AN97="","",AN97)</f>
        <v>1</v>
      </c>
      <c r="P97" s="75">
        <f t="shared" ref="P97:P110" si="108">IF(AO97=0,"",AO97)</f>
        <v>220</v>
      </c>
      <c r="Q97" s="351">
        <f>IF(AP97="","",AP97)</f>
        <v>0</v>
      </c>
      <c r="R97" s="75">
        <f t="shared" ref="R97:R110" si="109">IF(AQ97=0,"",AQ97)</f>
        <v>209</v>
      </c>
      <c r="S97" s="351">
        <f>IF(AR97="","",AR97)</f>
        <v>1</v>
      </c>
      <c r="T97" s="75">
        <f t="shared" ref="T97:T110" si="110">IF(AS97=0,"",AS97)</f>
        <v>221</v>
      </c>
      <c r="U97" s="351">
        <f>IF(AT97="","",AT97)</f>
        <v>1</v>
      </c>
      <c r="V97" s="75">
        <f t="shared" ref="V97:V110" si="111">IF(AU97=0,"",AU97)</f>
        <v>1972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247</v>
      </c>
      <c r="AD97" s="109">
        <f>IF(SUM(AC97:AC99)+AC115=0,0,IF(SUM(AC97:AC99)=AC115,0.5,IF(SUM(AC97:AC99)&gt;AC115,1,0)))</f>
        <v>1</v>
      </c>
      <c r="AE97" s="185">
        <v>205</v>
      </c>
      <c r="AF97" s="109">
        <f>IF(SUM(AE97:AE99)+AE115=0,0,IF(SUM(AE97:AE99)=AE115,0.5,IF(SUM(AE97:AE99)&gt;AE115,1,0)))</f>
        <v>0</v>
      </c>
      <c r="AG97" s="185">
        <v>234</v>
      </c>
      <c r="AH97" s="109">
        <f>IF(SUM(AG97:AG99)+AG115=0,0,IF(SUM(AG97:AG99)=AG115,0.5,IF(SUM(AG97:AG99)&gt;AG115,1,0)))</f>
        <v>1</v>
      </c>
      <c r="AI97" s="185">
        <v>229</v>
      </c>
      <c r="AJ97" s="109">
        <f>IF(SUM(AI97:AI99)+AI115=0,0,IF(SUM(AI97:AI99)=AI115,0.5,IF(SUM(AI97:AI99)&gt;AI115,1,0)))</f>
        <v>1</v>
      </c>
      <c r="AK97" s="185">
        <v>160</v>
      </c>
      <c r="AL97" s="109">
        <f>IF(SUM(AK97:AK99)+AK115=0,0,IF(SUM(AK97:AK99)=AK115,0.5,IF(SUM(AK97:AK99)&gt;AK115,1,0)))</f>
        <v>0</v>
      </c>
      <c r="AM97" s="185">
        <v>247</v>
      </c>
      <c r="AN97" s="109">
        <f>IF(SUM(AM97:AM99)+AM115=0,0,IF(SUM(AM97:AM99)=AM115,0.5,IF(SUM(AM97:AM99)&gt;AM115,1,0)))</f>
        <v>1</v>
      </c>
      <c r="AO97" s="185">
        <v>220</v>
      </c>
      <c r="AP97" s="109">
        <f>IF(SUM(AO97:AO99)+AO115=0,0,IF(SUM(AO97:AO99)=AO115,0.5,IF(SUM(AO97:AO99)&gt;AO115,1,0)))</f>
        <v>0</v>
      </c>
      <c r="AQ97" s="185">
        <v>209</v>
      </c>
      <c r="AR97" s="109">
        <f>IF(SUM(AQ97:AQ99)+AQ115=0,0,IF(SUM(AQ97:AQ99)=AQ115,0.5,IF(SUM(AQ97:AQ99)&gt;AQ115,1,0)))</f>
        <v>1</v>
      </c>
      <c r="AS97" s="185">
        <v>221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1972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1972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247</v>
      </c>
      <c r="BI97" s="215">
        <f t="shared" ref="BI97:BI108" si="114">IF(AE97=0,"",AE97)</f>
        <v>205</v>
      </c>
      <c r="BJ97" s="215">
        <f t="shared" ref="BJ97:BJ108" si="115">IF(AG97=0,"",AG97)</f>
        <v>234</v>
      </c>
      <c r="BK97" s="215">
        <f t="shared" ref="BK97:BK108" si="116">IF(AI97=0,"",AI97)</f>
        <v>229</v>
      </c>
      <c r="BL97" s="215">
        <f t="shared" ref="BL97:BL108" si="117">IF(AK97=0,"",AK97)</f>
        <v>160</v>
      </c>
      <c r="BM97" s="215">
        <f t="shared" ref="BM97:BM108" si="118">IF(AM97=0,"",AM97)</f>
        <v>247</v>
      </c>
      <c r="BN97" s="215">
        <f t="shared" ref="BN97:BN108" si="119">IF(AO97=0,"",AO97)</f>
        <v>220</v>
      </c>
      <c r="BO97" s="215">
        <f t="shared" ref="BO97:BO108" si="120">IF(AQ97=0,"",AQ97)</f>
        <v>209</v>
      </c>
      <c r="BP97" s="215">
        <f t="shared" ref="BP97:BP108" si="121">IF(AS97=0,"",AS97)</f>
        <v>221</v>
      </c>
      <c r="BQ97" s="216"/>
      <c r="BR97" s="214"/>
      <c r="BS97" s="215">
        <f>MAX(BH97:BP97)</f>
        <v>247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3</v>
      </c>
      <c r="BW97" s="215">
        <f>SUMIF(BH97:BP97,"&gt;0")</f>
        <v>1972</v>
      </c>
      <c r="BX97" s="215">
        <f>IF(COUNTIF(BH97:BP97,"&gt;0")&lt;Spielorte!$A$23,0,BE97/Spielorte!$A$23)</f>
        <v>219.11111111111111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3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244</v>
      </c>
      <c r="E100" s="351">
        <f>IF(AD100="","",AD100)</f>
        <v>1</v>
      </c>
      <c r="F100" s="75">
        <f t="shared" si="104"/>
        <v>235</v>
      </c>
      <c r="G100" s="351">
        <f>IF(AF100="","",AF100)</f>
        <v>1</v>
      </c>
      <c r="H100" s="75">
        <f t="shared" si="105"/>
        <v>223</v>
      </c>
      <c r="I100" s="351">
        <f>IF(AH100="","",AH100)</f>
        <v>1</v>
      </c>
      <c r="J100" s="75">
        <f t="shared" si="106"/>
        <v>205</v>
      </c>
      <c r="K100" s="351">
        <f>IF(AJ100="","",AJ100)</f>
        <v>1</v>
      </c>
      <c r="L100" s="75">
        <f t="shared" si="107"/>
        <v>245</v>
      </c>
      <c r="M100" s="351">
        <f>IF(AL100="","",AL100)</f>
        <v>1</v>
      </c>
      <c r="N100" s="75">
        <f t="shared" si="124"/>
        <v>256</v>
      </c>
      <c r="O100" s="351">
        <f>IF(AN100="","",AN100)</f>
        <v>1</v>
      </c>
      <c r="P100" s="75">
        <f t="shared" si="108"/>
        <v>166</v>
      </c>
      <c r="Q100" s="351">
        <f>IF(AP100="","",AP100)</f>
        <v>1</v>
      </c>
      <c r="R100" s="75">
        <f t="shared" si="109"/>
        <v>244</v>
      </c>
      <c r="S100" s="351">
        <f>IF(AR100="","",AR100)</f>
        <v>1</v>
      </c>
      <c r="T100" s="75">
        <f t="shared" si="110"/>
        <v>205</v>
      </c>
      <c r="U100" s="351">
        <f>IF(AT100="","",AT100)</f>
        <v>1</v>
      </c>
      <c r="V100" s="75">
        <f t="shared" si="111"/>
        <v>2023</v>
      </c>
      <c r="W100" s="351">
        <f>IF(AV100="","",AV100)</f>
        <v>9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244</v>
      </c>
      <c r="AD100" s="109">
        <f>IF(SUM(AC100:AC102)+AC116=0,0,IF(SUM(AC100:AC102)=AC116,0.5,IF(SUM(AC100:AC102)&gt;AC116,1,0)))</f>
        <v>1</v>
      </c>
      <c r="AE100" s="188">
        <v>235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1</v>
      </c>
      <c r="AI100" s="188">
        <v>205</v>
      </c>
      <c r="AJ100" s="109">
        <f>IF(SUM(AI100:AI102)+AI116=0,0,IF(SUM(AI100:AI102)=AI116,0.5,IF(SUM(AI100:AI102)&gt;AI116,1,0)))</f>
        <v>1</v>
      </c>
      <c r="AK100" s="188">
        <v>245</v>
      </c>
      <c r="AL100" s="109">
        <f>IF(SUM(AK100:AK102)+AK116=0,0,IF(SUM(AK100:AK102)=AK116,0.5,IF(SUM(AK100:AK102)&gt;AK116,1,0)))</f>
        <v>1</v>
      </c>
      <c r="AM100" s="188">
        <v>256</v>
      </c>
      <c r="AN100" s="109">
        <f>IF(SUM(AM100:AM102)+AM116=0,0,IF(SUM(AM100:AM102)=AM116,0.5,IF(SUM(AM100:AM102)&gt;AM116,1,0)))</f>
        <v>1</v>
      </c>
      <c r="AO100" s="188">
        <v>166</v>
      </c>
      <c r="AP100" s="109">
        <f>IF(SUM(AO100:AO102)+AO116=0,0,IF(SUM(AO100:AO102)=AO116,0.5,IF(SUM(AO100:AO102)&gt;AO116,1,0)))</f>
        <v>1</v>
      </c>
      <c r="AQ100" s="188">
        <v>244</v>
      </c>
      <c r="AR100" s="109">
        <f>IF(SUM(AQ100:AQ102)+AQ116=0,0,IF(SUM(AQ100:AQ102)=AQ116,0.5,IF(SUM(AQ100:AQ102)&gt;AQ116,1,0)))</f>
        <v>1</v>
      </c>
      <c r="AS100" s="188">
        <v>205</v>
      </c>
      <c r="AT100" s="109">
        <f>IF(SUM(AS100:AS102)+AS116=0,0,IF(SUM(AS100:AS102)=AS116,0.5,IF(SUM(AS100:AS102)&gt;AS116,1,0)))</f>
        <v>1</v>
      </c>
      <c r="AU100" s="110">
        <f t="shared" si="112"/>
        <v>2023</v>
      </c>
      <c r="AV100" s="111">
        <f>SUM(AD100+AF100+AH100+AJ100+AL100+AN100+AP100+AR100+AT100)</f>
        <v>9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2023</v>
      </c>
      <c r="BF100" s="215">
        <f t="shared" si="127"/>
        <v>9</v>
      </c>
      <c r="BG100" s="215">
        <f t="shared" si="128"/>
        <v>9</v>
      </c>
      <c r="BH100" s="215">
        <f t="shared" si="113"/>
        <v>244</v>
      </c>
      <c r="BI100" s="215">
        <f t="shared" si="114"/>
        <v>235</v>
      </c>
      <c r="BJ100" s="215">
        <f t="shared" si="115"/>
        <v>223</v>
      </c>
      <c r="BK100" s="215">
        <f t="shared" si="116"/>
        <v>205</v>
      </c>
      <c r="BL100" s="215">
        <f t="shared" si="117"/>
        <v>245</v>
      </c>
      <c r="BM100" s="215">
        <f t="shared" si="118"/>
        <v>256</v>
      </c>
      <c r="BN100" s="215">
        <f t="shared" si="119"/>
        <v>166</v>
      </c>
      <c r="BO100" s="215">
        <f t="shared" si="120"/>
        <v>244</v>
      </c>
      <c r="BP100" s="215">
        <f t="shared" si="121"/>
        <v>205</v>
      </c>
      <c r="BQ100" s="216"/>
      <c r="BR100" s="214"/>
      <c r="BS100" s="215">
        <f t="shared" si="129"/>
        <v>256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3</v>
      </c>
      <c r="BW100" s="215">
        <f t="shared" si="133"/>
        <v>2023</v>
      </c>
      <c r="BX100" s="215">
        <f>IF(COUNTIF(BH100:BP100,"&gt;0")&lt;Spielorte!$A$23,0,BE100/Spielorte!$A$23)</f>
        <v>224.77777777777777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3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3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183</v>
      </c>
      <c r="E103" s="351">
        <f>IF(AD103="","",AD103)</f>
        <v>0</v>
      </c>
      <c r="F103" s="75">
        <f t="shared" si="104"/>
        <v>200</v>
      </c>
      <c r="G103" s="351">
        <f>IF(AF103="","",AF103)</f>
        <v>1</v>
      </c>
      <c r="H103" s="75">
        <f t="shared" si="105"/>
        <v>163</v>
      </c>
      <c r="I103" s="351">
        <f>IF(AH103="","",AH103)</f>
        <v>0</v>
      </c>
      <c r="J103" s="75" t="str">
        <f t="shared" si="106"/>
        <v/>
      </c>
      <c r="K103" s="351">
        <f>IF(AJ103="","",AJ103)</f>
        <v>0</v>
      </c>
      <c r="L103" s="75" t="str">
        <f t="shared" si="107"/>
        <v/>
      </c>
      <c r="M103" s="351">
        <f>IF(AL103="","",AL103)</f>
        <v>0</v>
      </c>
      <c r="N103" s="75" t="str">
        <f t="shared" si="124"/>
        <v/>
      </c>
      <c r="O103" s="351">
        <f>IF(AN103="","",AN103)</f>
        <v>1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1</v>
      </c>
      <c r="T103" s="75" t="str">
        <f t="shared" si="110"/>
        <v/>
      </c>
      <c r="U103" s="351">
        <f>IF(AT103="","",AT103)</f>
        <v>0</v>
      </c>
      <c r="V103" s="75">
        <f t="shared" si="111"/>
        <v>546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183</v>
      </c>
      <c r="AD103" s="109">
        <f>IF(SUM(AC103:AC105)+AC117=0,0,IF(SUM(AC103:AC105)=AC117,0.5,IF(SUM(AC103:AC105)&gt;AC117,1,0)))</f>
        <v>0</v>
      </c>
      <c r="AE103" s="188">
        <v>200</v>
      </c>
      <c r="AF103" s="109">
        <f>IF(SUM(AE103:AE105)+AE117=0,0,IF(SUM(AE103:AE105)=AE117,0.5,IF(SUM(AE103:AE105)&gt;AE117,1,0)))</f>
        <v>1</v>
      </c>
      <c r="AG103" s="188">
        <v>163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1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546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546</v>
      </c>
      <c r="BF103" s="215">
        <f t="shared" si="127"/>
        <v>3</v>
      </c>
      <c r="BG103" s="215">
        <f t="shared" si="128"/>
        <v>3</v>
      </c>
      <c r="BH103" s="215">
        <f t="shared" si="113"/>
        <v>183</v>
      </c>
      <c r="BI103" s="215">
        <f t="shared" si="114"/>
        <v>200</v>
      </c>
      <c r="BJ103" s="215">
        <f t="shared" si="115"/>
        <v>163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200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3</v>
      </c>
      <c r="BW103" s="215">
        <f t="shared" si="133"/>
        <v>546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>Plaschka, Nico</v>
      </c>
      <c r="C104" s="77">
        <f t="shared" si="123"/>
        <v>38039</v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>
        <f t="shared" si="106"/>
        <v>199</v>
      </c>
      <c r="K104" s="352"/>
      <c r="L104" s="78">
        <f t="shared" si="107"/>
        <v>215</v>
      </c>
      <c r="M104" s="352"/>
      <c r="N104" s="78">
        <f t="shared" si="124"/>
        <v>185</v>
      </c>
      <c r="O104" s="352"/>
      <c r="P104" s="78">
        <f t="shared" si="108"/>
        <v>169</v>
      </c>
      <c r="Q104" s="352"/>
      <c r="R104" s="78">
        <f t="shared" si="109"/>
        <v>224</v>
      </c>
      <c r="S104" s="352"/>
      <c r="T104" s="78">
        <f t="shared" si="110"/>
        <v>169</v>
      </c>
      <c r="U104" s="352"/>
      <c r="V104" s="78">
        <f t="shared" si="111"/>
        <v>1161</v>
      </c>
      <c r="W104" s="352"/>
      <c r="Z104" s="355"/>
      <c r="AA104" s="108" t="str">
        <f>IF(AB104=0,"",VLOOKUP(AB104,Starter!$A$1:$D$199,2,FALSE))</f>
        <v>Plaschka, Nico</v>
      </c>
      <c r="AB104" s="98">
        <v>38039</v>
      </c>
      <c r="AC104" s="186"/>
      <c r="AD104" s="112"/>
      <c r="AE104" s="186"/>
      <c r="AF104" s="112"/>
      <c r="AG104" s="186"/>
      <c r="AH104" s="112"/>
      <c r="AI104" s="186">
        <v>199</v>
      </c>
      <c r="AJ104" s="112"/>
      <c r="AK104" s="186">
        <v>215</v>
      </c>
      <c r="AL104" s="112"/>
      <c r="AM104" s="186">
        <v>185</v>
      </c>
      <c r="AN104" s="112"/>
      <c r="AO104" s="186">
        <v>169</v>
      </c>
      <c r="AP104" s="112"/>
      <c r="AQ104" s="186">
        <v>224</v>
      </c>
      <c r="AR104" s="112"/>
      <c r="AS104" s="186">
        <v>169</v>
      </c>
      <c r="AT104" s="112"/>
      <c r="AU104" s="113">
        <f t="shared" si="112"/>
        <v>1161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38039</v>
      </c>
      <c r="BE104" s="213">
        <f t="shared" si="126"/>
        <v>1161</v>
      </c>
      <c r="BF104" s="215">
        <f t="shared" si="127"/>
        <v>6</v>
      </c>
      <c r="BG104" s="215">
        <f t="shared" si="128"/>
        <v>6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>
        <f t="shared" si="116"/>
        <v>199</v>
      </c>
      <c r="BL104" s="215">
        <f t="shared" si="117"/>
        <v>215</v>
      </c>
      <c r="BM104" s="215">
        <f t="shared" si="118"/>
        <v>185</v>
      </c>
      <c r="BN104" s="215">
        <f t="shared" si="119"/>
        <v>169</v>
      </c>
      <c r="BO104" s="215">
        <f t="shared" si="120"/>
        <v>224</v>
      </c>
      <c r="BP104" s="215">
        <f t="shared" si="121"/>
        <v>169</v>
      </c>
      <c r="BQ104" s="216"/>
      <c r="BR104" s="214"/>
      <c r="BS104" s="215">
        <f t="shared" si="129"/>
        <v>224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3</v>
      </c>
      <c r="BW104" s="215">
        <f t="shared" si="133"/>
        <v>1161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3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186</v>
      </c>
      <c r="E106" s="351">
        <f>IF(AD106="","",AD106)</f>
        <v>0</v>
      </c>
      <c r="F106" s="75">
        <f t="shared" si="104"/>
        <v>199</v>
      </c>
      <c r="G106" s="351">
        <f>IF(AF106="","",AF106)</f>
        <v>0</v>
      </c>
      <c r="H106" s="75">
        <f t="shared" si="105"/>
        <v>204</v>
      </c>
      <c r="I106" s="351">
        <f>IF(AH106="","",AH106)</f>
        <v>0</v>
      </c>
      <c r="J106" s="75">
        <f t="shared" si="106"/>
        <v>203</v>
      </c>
      <c r="K106" s="351">
        <f>IF(AJ106="","",AJ106)</f>
        <v>0</v>
      </c>
      <c r="L106" s="75">
        <f t="shared" si="107"/>
        <v>170</v>
      </c>
      <c r="M106" s="351">
        <f>IF(AL106="","",AL106)</f>
        <v>0</v>
      </c>
      <c r="N106" s="75">
        <f t="shared" si="124"/>
        <v>178</v>
      </c>
      <c r="O106" s="351">
        <f>IF(AN106="","",AN106)</f>
        <v>1</v>
      </c>
      <c r="P106" s="75">
        <f t="shared" si="108"/>
        <v>166</v>
      </c>
      <c r="Q106" s="351">
        <f>IF(AP106="","",AP106)</f>
        <v>0</v>
      </c>
      <c r="R106" s="75" t="str">
        <f t="shared" si="109"/>
        <v/>
      </c>
      <c r="S106" s="351">
        <f>IF(AR106="","",AR106)</f>
        <v>1</v>
      </c>
      <c r="T106" s="75" t="str">
        <f t="shared" si="110"/>
        <v/>
      </c>
      <c r="U106" s="351">
        <f>IF(AT106="","",AT106)</f>
        <v>1</v>
      </c>
      <c r="V106" s="75">
        <f t="shared" si="111"/>
        <v>1306</v>
      </c>
      <c r="W106" s="351">
        <f>IF(AV106="","",AV106)</f>
        <v>3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186</v>
      </c>
      <c r="AD106" s="109">
        <f>IF(SUM(AC106:AC108)+AC118=0,0,IF(SUM(AC106:AC108)=AC118,0.5,IF(SUM(AC106:AC108)&gt;AC118,1,0)))</f>
        <v>0</v>
      </c>
      <c r="AE106" s="188">
        <v>199</v>
      </c>
      <c r="AF106" s="109">
        <f>IF(SUM(AE106:AE108)+AE118=0,0,IF(SUM(AE106:AE108)=AE118,0.5,IF(SUM(AE106:AE108)&gt;AE118,1,0)))</f>
        <v>0</v>
      </c>
      <c r="AG106" s="188">
        <v>204</v>
      </c>
      <c r="AH106" s="109">
        <f>IF(SUM(AG106:AG108)+AG118=0,0,IF(SUM(AG106:AG108)=AG118,0.5,IF(SUM(AG106:AG108)&gt;AG118,1,0)))</f>
        <v>0</v>
      </c>
      <c r="AI106" s="188">
        <v>203</v>
      </c>
      <c r="AJ106" s="109">
        <f>IF(SUM(AI106:AI108)+AI118=0,0,IF(SUM(AI106:AI108)=AI118,0.5,IF(SUM(AI106:AI108)&gt;AI118,1,0)))</f>
        <v>0</v>
      </c>
      <c r="AK106" s="188">
        <v>170</v>
      </c>
      <c r="AL106" s="109">
        <f>IF(SUM(AK106:AK108)+AK118=0,0,IF(SUM(AK106:AK108)=AK118,0.5,IF(SUM(AK106:AK108)&gt;AK118,1,0)))</f>
        <v>0</v>
      </c>
      <c r="AM106" s="188">
        <v>178</v>
      </c>
      <c r="AN106" s="109">
        <f>IF(SUM(AM106:AM108)+AM118=0,0,IF(SUM(AM106:AM108)=AM118,0.5,IF(SUM(AM106:AM108)&gt;AM118,1,0)))</f>
        <v>1</v>
      </c>
      <c r="AO106" s="188">
        <v>166</v>
      </c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1</v>
      </c>
      <c r="AU106" s="110">
        <f t="shared" si="112"/>
        <v>1306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1306</v>
      </c>
      <c r="BF106" s="215">
        <f t="shared" si="127"/>
        <v>7</v>
      </c>
      <c r="BG106" s="215">
        <f t="shared" si="128"/>
        <v>7</v>
      </c>
      <c r="BH106" s="215">
        <f t="shared" si="113"/>
        <v>186</v>
      </c>
      <c r="BI106" s="215">
        <f t="shared" si="114"/>
        <v>199</v>
      </c>
      <c r="BJ106" s="215">
        <f t="shared" si="115"/>
        <v>204</v>
      </c>
      <c r="BK106" s="215">
        <f t="shared" si="116"/>
        <v>203</v>
      </c>
      <c r="BL106" s="215">
        <f t="shared" si="117"/>
        <v>170</v>
      </c>
      <c r="BM106" s="215">
        <f t="shared" si="118"/>
        <v>178</v>
      </c>
      <c r="BN106" s="215">
        <f t="shared" si="119"/>
        <v>166</v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204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3</v>
      </c>
      <c r="BW106" s="215">
        <f t="shared" si="133"/>
        <v>1306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>Gräfe, Sebastian</v>
      </c>
      <c r="C107" s="77">
        <f t="shared" si="123"/>
        <v>38687</v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>
        <f t="shared" si="109"/>
        <v>225</v>
      </c>
      <c r="S107" s="352"/>
      <c r="T107" s="78">
        <f t="shared" si="110"/>
        <v>233</v>
      </c>
      <c r="U107" s="352"/>
      <c r="V107" s="78">
        <f t="shared" si="111"/>
        <v>458</v>
      </c>
      <c r="W107" s="352"/>
      <c r="Z107" s="355"/>
      <c r="AA107" s="108" t="str">
        <f>IF(AB107=0,"",VLOOKUP(AB107,Starter!$A$1:$D$199,2,FALSE))</f>
        <v>Gräfe, Sebastian</v>
      </c>
      <c r="AB107" s="98">
        <v>38687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>
        <v>225</v>
      </c>
      <c r="AR107" s="112"/>
      <c r="AS107" s="186">
        <v>233</v>
      </c>
      <c r="AT107" s="112"/>
      <c r="AU107" s="113">
        <f t="shared" si="112"/>
        <v>458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38687</v>
      </c>
      <c r="BE107" s="213">
        <f t="shared" si="126"/>
        <v>458</v>
      </c>
      <c r="BF107" s="215">
        <f t="shared" si="127"/>
        <v>2</v>
      </c>
      <c r="BG107" s="215">
        <f t="shared" si="128"/>
        <v>2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>
        <f t="shared" si="120"/>
        <v>225</v>
      </c>
      <c r="BP107" s="215">
        <f t="shared" si="121"/>
        <v>233</v>
      </c>
      <c r="BQ107" s="216"/>
      <c r="BR107" s="214"/>
      <c r="BS107" s="215">
        <f t="shared" si="129"/>
        <v>233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3</v>
      </c>
      <c r="BW107" s="215">
        <f t="shared" si="133"/>
        <v>458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860</v>
      </c>
      <c r="E109" s="84">
        <f>IF(AD109="","",AD109)</f>
        <v>0</v>
      </c>
      <c r="F109" s="83">
        <f t="shared" si="104"/>
        <v>839</v>
      </c>
      <c r="G109" s="84">
        <f>IF(AF109="","",AF109)</f>
        <v>0</v>
      </c>
      <c r="H109" s="83">
        <f t="shared" si="105"/>
        <v>824</v>
      </c>
      <c r="I109" s="84">
        <f>IF(AH109="","",AH109)</f>
        <v>2</v>
      </c>
      <c r="J109" s="83">
        <f t="shared" si="106"/>
        <v>836</v>
      </c>
      <c r="K109" s="84">
        <f>IF(AJ109="","",AJ109)</f>
        <v>0</v>
      </c>
      <c r="L109" s="83">
        <f t="shared" si="107"/>
        <v>790</v>
      </c>
      <c r="M109" s="84">
        <f>IF(AL109="","",AL109)</f>
        <v>0</v>
      </c>
      <c r="N109" s="83">
        <f t="shared" si="124"/>
        <v>866</v>
      </c>
      <c r="O109" s="84">
        <f>IF(AN109="","",AN109)</f>
        <v>2</v>
      </c>
      <c r="P109" s="83">
        <f t="shared" si="108"/>
        <v>721</v>
      </c>
      <c r="Q109" s="84">
        <f>IF(AP109="","",AP109)</f>
        <v>0</v>
      </c>
      <c r="R109" s="83">
        <f t="shared" si="109"/>
        <v>902</v>
      </c>
      <c r="S109" s="84">
        <f>IF(AR109="","",AR109)</f>
        <v>2</v>
      </c>
      <c r="T109" s="83">
        <f t="shared" si="110"/>
        <v>828</v>
      </c>
      <c r="U109" s="84">
        <f>IF(AT109="","",AT109)</f>
        <v>2</v>
      </c>
      <c r="V109" s="83">
        <f t="shared" si="111"/>
        <v>7466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860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839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824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836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866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902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828</v>
      </c>
      <c r="AT109" s="121">
        <f>IF(AS109+AS119=0,0,IF(AS109=AS119,1,IF(AS109&gt;AS119,2,0)))</f>
        <v>2</v>
      </c>
      <c r="AU109" s="122">
        <f>SUM(AC109+AE109+AG109+AI109+AK109+AM109+AO109+AQ109+AS109)</f>
        <v>7466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2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2</v>
      </c>
      <c r="L110" s="86" t="str">
        <f t="shared" si="107"/>
        <v/>
      </c>
      <c r="M110" s="87">
        <f>IF(AL110="","",AL110)</f>
        <v>1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5</v>
      </c>
      <c r="V110" s="86" t="str">
        <f t="shared" si="111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2</v>
      </c>
      <c r="AG110" s="86"/>
      <c r="AH110" s="124">
        <f>SUM(AH97:AH109)</f>
        <v>4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6</v>
      </c>
      <c r="AO110" s="86"/>
      <c r="AP110" s="124">
        <f>SUM(AP97:AP109)</f>
        <v>1</v>
      </c>
      <c r="AQ110" s="86"/>
      <c r="AR110" s="124">
        <f>SUM(AR97:AR109)</f>
        <v>6</v>
      </c>
      <c r="AS110" s="86"/>
      <c r="AT110" s="124">
        <f>SUM(AT97:AT109)</f>
        <v>5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7466</v>
      </c>
      <c r="BC110" s="214">
        <f>+AA92</f>
        <v>4</v>
      </c>
      <c r="BF110" s="215">
        <f>SUM(BF91:BF109)</f>
        <v>36</v>
      </c>
      <c r="BQ110" s="212">
        <f>+BB110/1000000+BA110</f>
        <v>29.007466000000001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3</v>
      </c>
      <c r="E112" s="349" t="str">
        <f t="shared" si="135"/>
        <v/>
      </c>
      <c r="F112" s="349">
        <f t="shared" si="135"/>
        <v>8</v>
      </c>
      <c r="G112" s="349" t="str">
        <f t="shared" si="135"/>
        <v/>
      </c>
      <c r="H112" s="349">
        <f t="shared" si="135"/>
        <v>5</v>
      </c>
      <c r="I112" s="349" t="str">
        <f t="shared" si="135"/>
        <v/>
      </c>
      <c r="J112" s="349">
        <f t="shared" si="135"/>
        <v>7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6</v>
      </c>
      <c r="Q112" s="349" t="str">
        <f t="shared" si="135"/>
        <v/>
      </c>
      <c r="R112" s="349">
        <f t="shared" ref="L112:U114" si="136">IF(AQ112=0,"",AQ112)</f>
        <v>2</v>
      </c>
      <c r="S112" s="349" t="str">
        <f t="shared" si="136"/>
        <v/>
      </c>
      <c r="T112" s="349">
        <f t="shared" si="136"/>
        <v>9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VLOOKUP($AA92,Schlüssel!$A$5:$DG$14,83)</f>
        <v>3</v>
      </c>
      <c r="AD112" s="374"/>
      <c r="AE112" s="373">
        <f>VLOOKUP($AA92,Schlüssel!$A$5:$EK$14,84)</f>
        <v>8</v>
      </c>
      <c r="AF112" s="374"/>
      <c r="AG112" s="373">
        <f>VLOOKUP($AA92,Schlüssel!$A$5:$EK$14,85)</f>
        <v>5</v>
      </c>
      <c r="AH112" s="374"/>
      <c r="AI112" s="373">
        <f>VLOOKUP($AA92,Schlüssel!$A$5:$EK$14,86)</f>
        <v>7</v>
      </c>
      <c r="AJ112" s="374"/>
      <c r="AK112" s="373">
        <f>VLOOKUP($AA92,Schlüssel!$A$5:$EK$14,87)</f>
        <v>1</v>
      </c>
      <c r="AL112" s="374"/>
      <c r="AM112" s="373">
        <f>VLOOKUP($AA92,Schlüssel!$A$5:$EK$14,88)</f>
        <v>10</v>
      </c>
      <c r="AN112" s="374"/>
      <c r="AO112" s="373">
        <f>VLOOKUP($AA92,Schlüssel!$A$5:$EK$14,89)</f>
        <v>6</v>
      </c>
      <c r="AP112" s="374"/>
      <c r="AQ112" s="373">
        <f>VLOOKUP($AA92,Schlüssel!$A$5:$EK$14,90)</f>
        <v>2</v>
      </c>
      <c r="AR112" s="374"/>
      <c r="AS112" s="373">
        <f>VLOOKUP($AA92,Schlüssel!$A$5:$EK$14,91)</f>
        <v>9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BK München 3</v>
      </c>
      <c r="E113" s="347" t="str">
        <f t="shared" si="137"/>
        <v/>
      </c>
      <c r="F113" s="346" t="str">
        <f t="shared" si="137"/>
        <v>BC EMAX Unterföhring 2</v>
      </c>
      <c r="G113" s="347" t="str">
        <f t="shared" si="137"/>
        <v/>
      </c>
      <c r="H113" s="346" t="str">
        <f t="shared" si="137"/>
        <v>RW Lichtenhof Stein 1</v>
      </c>
      <c r="I113" s="347" t="str">
        <f t="shared" si="137"/>
        <v/>
      </c>
      <c r="J113" s="346" t="str">
        <f t="shared" si="137"/>
        <v>Schanzer Ingolstadt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SG Rottendorf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Bowlinghaus Bamberg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BK München 3</v>
      </c>
      <c r="AD113" s="347"/>
      <c r="AE113" s="346" t="str">
        <f>VLOOKUP(AE112,Schlüssel!$A$5:$K$14,2)</f>
        <v>BC EMAX Unterföhring 2</v>
      </c>
      <c r="AF113" s="347"/>
      <c r="AG113" s="346" t="str">
        <f>VLOOKUP(AG112,Schlüssel!$A$5:$K$14,2)</f>
        <v>RW Lichtenhof Stein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SG Rottendorf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Bowlinghaus Bamberg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199</v>
      </c>
      <c r="E115" s="342" t="str">
        <f>IF(AD115=0,"",AD115)</f>
        <v/>
      </c>
      <c r="F115" s="342">
        <f>IF(AE115=301,"",AE115)</f>
        <v>209</v>
      </c>
      <c r="G115" s="342" t="str">
        <f>IF(AF115=0,"",AF115)</f>
        <v/>
      </c>
      <c r="H115" s="342">
        <f>IF(AG115=301,"",AG115)</f>
        <v>157</v>
      </c>
      <c r="I115" s="342" t="str">
        <f>IF(AH115=0,"",AH115)</f>
        <v/>
      </c>
      <c r="J115" s="342">
        <f>IF(AI115=301,"",AI115)</f>
        <v>201</v>
      </c>
      <c r="K115" s="342" t="str">
        <f>IF(AJ115=0,"",AJ115)</f>
        <v/>
      </c>
      <c r="L115" s="342">
        <f>IF(AK115=301,"",AK115)</f>
        <v>266</v>
      </c>
      <c r="M115" s="342" t="str">
        <f>IF(AL115=0,"",AL115)</f>
        <v/>
      </c>
      <c r="N115" s="342">
        <f>IF(AM115=301,"",AM115)</f>
        <v>194</v>
      </c>
      <c r="O115" s="342" t="str">
        <f>IF(AN115=0,"",AN115)</f>
        <v/>
      </c>
      <c r="P115" s="342">
        <f>IF(AO115=301,"",AO115)</f>
        <v>235</v>
      </c>
      <c r="Q115" s="342" t="str">
        <f>IF(AP115=0,"",AP115)</f>
        <v/>
      </c>
      <c r="R115" s="342">
        <f>IF(AQ115=301,"",AQ115)</f>
        <v>192</v>
      </c>
      <c r="S115" s="342" t="str">
        <f>IF(AR115=0,"",AR115)</f>
        <v/>
      </c>
      <c r="T115" s="342">
        <f>IF(AS115=301,"",AS115)</f>
        <v>172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199</v>
      </c>
      <c r="AD115" s="376"/>
      <c r="AE115" s="375">
        <f>ABS(INDEX(AE:AE,MATCH(AE112,$AA:$AA,0)+5)+INDEX(AE:AE,MATCH(AE112,$AA:$AA,0)+6)+INDEX(AE:AE,MATCH(AE112,$AA:$AA,0)+7))</f>
        <v>209</v>
      </c>
      <c r="AF115" s="376"/>
      <c r="AG115" s="375">
        <f>ABS(INDEX(AG:AG,MATCH(AG112,$AA:$AA,0)+5)+INDEX(AG:AG,MATCH(AG112,$AA:$AA,0)+6)+INDEX(AG:AG,MATCH(AG112,$AA:$AA,0)+7))</f>
        <v>157</v>
      </c>
      <c r="AH115" s="376"/>
      <c r="AI115" s="375">
        <f>ABS(INDEX(AI:AI,MATCH(AI112,$AA:$AA,0)+5)+INDEX(AI:AI,MATCH(AI112,$AA:$AA,0)+6)+INDEX(AI:AI,MATCH(AI112,$AA:$AA,0)+7))</f>
        <v>201</v>
      </c>
      <c r="AJ115" s="376"/>
      <c r="AK115" s="375">
        <f>ABS(INDEX(AK:AK,MATCH(AK112,$AA:$AA,0)+5)+INDEX(AK:AK,MATCH(AK112,$AA:$AA,0)+6)+INDEX(AK:AK,MATCH(AK112,$AA:$AA,0)+7))</f>
        <v>266</v>
      </c>
      <c r="AL115" s="376"/>
      <c r="AM115" s="375">
        <f>ABS(INDEX(AM:AM,MATCH(AM112,$AA:$AA,0)+5)+INDEX(AM:AM,MATCH(AM112,$AA:$AA,0)+6)+INDEX(AM:AM,MATCH(AM112,$AA:$AA,0)+7))</f>
        <v>194</v>
      </c>
      <c r="AN115" s="376"/>
      <c r="AO115" s="375">
        <f>ABS(INDEX(AO:AO,MATCH(AO112,$AA:$AA,0)+5)+INDEX(AO:AO,MATCH(AO112,$AA:$AA,0)+6)+INDEX(AO:AO,MATCH(AO112,$AA:$AA,0)+7))</f>
        <v>235</v>
      </c>
      <c r="AP115" s="376"/>
      <c r="AQ115" s="375">
        <f>ABS(INDEX(AQ:AQ,MATCH(AQ112,$AA:$AA,0)+5)+INDEX(AQ:AQ,MATCH(AQ112,$AA:$AA,0)+6)+INDEX(AQ:AQ,MATCH(AQ112,$AA:$AA,0)+7))</f>
        <v>192</v>
      </c>
      <c r="AR115" s="376"/>
      <c r="AS115" s="375">
        <f>ABS(INDEX(AS:AS,MATCH(AS112,$AA:$AA,0)+5)+INDEX(AS:AS,MATCH(AS112,$AA:$AA,0)+6)+INDEX(AS:AS,MATCH(AS112,$AA:$AA,0)+7))</f>
        <v>172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188</v>
      </c>
      <c r="E116" s="342" t="str">
        <f>IF(AD116=0,"",AD116)</f>
        <v/>
      </c>
      <c r="F116" s="342">
        <f>IF(AE116=301,"",AE116)</f>
        <v>225</v>
      </c>
      <c r="G116" s="342" t="str">
        <f>IF(AF116=0,"",AF116)</f>
        <v/>
      </c>
      <c r="H116" s="342">
        <f>IF(AG116=301,"",AG116)</f>
        <v>157</v>
      </c>
      <c r="I116" s="342" t="str">
        <f>IF(AH116=0,"",AH116)</f>
        <v/>
      </c>
      <c r="J116" s="342">
        <f>IF(AI116=301,"",AI116)</f>
        <v>182</v>
      </c>
      <c r="K116" s="342" t="str">
        <f>IF(AJ116=0,"",AJ116)</f>
        <v/>
      </c>
      <c r="L116" s="342">
        <f>IF(AK116=301,"",AK116)</f>
        <v>224</v>
      </c>
      <c r="M116" s="342" t="str">
        <f>IF(AL116=0,"",AL116)</f>
        <v/>
      </c>
      <c r="N116" s="342">
        <f>IF(AM116=301,"",AM116)</f>
        <v>172</v>
      </c>
      <c r="O116" s="342" t="str">
        <f>IF(AN116=0,"",AN116)</f>
        <v/>
      </c>
      <c r="P116" s="342">
        <f>IF(AO116=301,"",AO116)</f>
        <v>160</v>
      </c>
      <c r="Q116" s="342" t="str">
        <f>IF(AP116=0,"",AP116)</f>
        <v/>
      </c>
      <c r="R116" s="342">
        <f>IF(AQ116=301,"",AQ116)</f>
        <v>163</v>
      </c>
      <c r="S116" s="342" t="str">
        <f>IF(AR116=0,"",AR116)</f>
        <v/>
      </c>
      <c r="T116" s="342">
        <f>IF(AS116=301,"",AS116)</f>
        <v>186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188</v>
      </c>
      <c r="AD116" s="378"/>
      <c r="AE116" s="377">
        <f>ABS(INDEX(AE:AE,MATCH(AE112,$AA:$AA,0)+8)+INDEX(AE:AE,MATCH(AE112,$AA:$AA,0)+9)+INDEX(AE:AE,MATCH(AE112,$AA:$AA,0)+10))</f>
        <v>225</v>
      </c>
      <c r="AF116" s="378"/>
      <c r="AG116" s="377">
        <f>ABS(INDEX(AG:AG,MATCH(AG112,$AA:$AA,0)+8)+INDEX(AG:AG,MATCH(AG112,$AA:$AA,0)+9)+INDEX(AG:AG,MATCH(AG112,$AA:$AA,0)+10))</f>
        <v>157</v>
      </c>
      <c r="AH116" s="378"/>
      <c r="AI116" s="377">
        <f>ABS(INDEX(AI:AI,MATCH(AI112,$AA:$AA,0)+8)+INDEX(AI:AI,MATCH(AI112,$AA:$AA,0)+9)+INDEX(AI:AI,MATCH(AI112,$AA:$AA,0)+10))</f>
        <v>182</v>
      </c>
      <c r="AJ116" s="378"/>
      <c r="AK116" s="377">
        <f>ABS(INDEX(AK:AK,MATCH(AK112,$AA:$AA,0)+8)+INDEX(AK:AK,MATCH(AK112,$AA:$AA,0)+9)+INDEX(AK:AK,MATCH(AK112,$AA:$AA,0)+10))</f>
        <v>224</v>
      </c>
      <c r="AL116" s="378"/>
      <c r="AM116" s="377">
        <f>ABS(INDEX(AM:AM,MATCH(AM112,$AA:$AA,0)+8)+INDEX(AM:AM,MATCH(AM112,$AA:$AA,0)+9)+INDEX(AM:AM,MATCH(AM112,$AA:$AA,0)+10))</f>
        <v>172</v>
      </c>
      <c r="AN116" s="378"/>
      <c r="AO116" s="377">
        <f>ABS(INDEX(AO:AO,MATCH(AO112,$AA:$AA,0)+8)+INDEX(AO:AO,MATCH(AO112,$AA:$AA,0)+9)+INDEX(AO:AO,MATCH(AO112,$AA:$AA,0)+10))</f>
        <v>160</v>
      </c>
      <c r="AP116" s="378"/>
      <c r="AQ116" s="377">
        <f>ABS(INDEX(AQ:AQ,MATCH(AQ112,$AA:$AA,0)+8)+INDEX(AQ:AQ,MATCH(AQ112,$AA:$AA,0)+9)+INDEX(AQ:AQ,MATCH(AQ112,$AA:$AA,0)+10))</f>
        <v>163</v>
      </c>
      <c r="AR116" s="378"/>
      <c r="AS116" s="377">
        <f>ABS(INDEX(AS:AS,MATCH(AS112,$AA:$AA,0)+8)+INDEX(AS:AS,MATCH(AS112,$AA:$AA,0)+9)+INDEX(AS:AS,MATCH(AS112,$AA:$AA,0)+10))</f>
        <v>186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227</v>
      </c>
      <c r="E117" s="342" t="str">
        <f>IF(AD117=0,"",AD117)</f>
        <v/>
      </c>
      <c r="F117" s="342">
        <f>IF(AE117=301,"",AE117)</f>
        <v>193</v>
      </c>
      <c r="G117" s="342" t="str">
        <f>IF(AF117=0,"",AF117)</f>
        <v/>
      </c>
      <c r="H117" s="342">
        <f>IF(AG117=301,"",AG117)</f>
        <v>196</v>
      </c>
      <c r="I117" s="342" t="str">
        <f>IF(AH117=0,"",AH117)</f>
        <v/>
      </c>
      <c r="J117" s="342">
        <f>IF(AI117=301,"",AI117)</f>
        <v>255</v>
      </c>
      <c r="K117" s="342" t="str">
        <f>IF(AJ117=0,"",AJ117)</f>
        <v/>
      </c>
      <c r="L117" s="342">
        <f>IF(AK117=301,"",AK117)</f>
        <v>228</v>
      </c>
      <c r="M117" s="342" t="str">
        <f>IF(AL117=0,"",AL117)</f>
        <v/>
      </c>
      <c r="N117" s="342">
        <f>IF(AM117=301,"",AM117)</f>
        <v>170</v>
      </c>
      <c r="O117" s="342" t="str">
        <f>IF(AN117=0,"",AN117)</f>
        <v/>
      </c>
      <c r="P117" s="342">
        <f>IF(AO117=301,"",AO117)</f>
        <v>188</v>
      </c>
      <c r="Q117" s="342" t="str">
        <f>IF(AP117=0,"",AP117)</f>
        <v/>
      </c>
      <c r="R117" s="342">
        <f>IF(AQ117=301,"",AQ117)</f>
        <v>212</v>
      </c>
      <c r="S117" s="342" t="str">
        <f>IF(AR117=0,"",AR117)</f>
        <v/>
      </c>
      <c r="T117" s="342">
        <f>IF(AS117=301,"",AS117)</f>
        <v>234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227</v>
      </c>
      <c r="AD117" s="378"/>
      <c r="AE117" s="377">
        <f>ABS(INDEX(AE:AE,MATCH(AE112,$AA:$AA,0)+11)+INDEX(AE:AE,MATCH(AE112,$AA:$AA,0)+12)+INDEX(AE:AE,MATCH(AE112,$AA:$AA,0)+13))</f>
        <v>193</v>
      </c>
      <c r="AF117" s="378"/>
      <c r="AG117" s="377">
        <f>ABS(INDEX(AG:AG,MATCH(AG112,$AA:$AA,0)+11)+INDEX(AG:AG,MATCH(AG112,$AA:$AA,0)+12)+INDEX(AG:AG,MATCH(AG112,$AA:$AA,0)+13))</f>
        <v>196</v>
      </c>
      <c r="AH117" s="378"/>
      <c r="AI117" s="377">
        <f>ABS(INDEX(AI:AI,MATCH(AI112,$AA:$AA,0)+11)+INDEX(AI:AI,MATCH(AI112,$AA:$AA,0)+12)+INDEX(AI:AI,MATCH(AI112,$AA:$AA,0)+13))</f>
        <v>255</v>
      </c>
      <c r="AJ117" s="378"/>
      <c r="AK117" s="377">
        <f>ABS(INDEX(AK:AK,MATCH(AK112,$AA:$AA,0)+11)+INDEX(AK:AK,MATCH(AK112,$AA:$AA,0)+12)+INDEX(AK:AK,MATCH(AK112,$AA:$AA,0)+13))</f>
        <v>228</v>
      </c>
      <c r="AL117" s="378"/>
      <c r="AM117" s="377">
        <f>ABS(INDEX(AM:AM,MATCH(AM112,$AA:$AA,0)+11)+INDEX(AM:AM,MATCH(AM112,$AA:$AA,0)+12)+INDEX(AM:AM,MATCH(AM112,$AA:$AA,0)+13))</f>
        <v>170</v>
      </c>
      <c r="AN117" s="378"/>
      <c r="AO117" s="377">
        <f>ABS(INDEX(AO:AO,MATCH(AO112,$AA:$AA,0)+11)+INDEX(AO:AO,MATCH(AO112,$AA:$AA,0)+12)+INDEX(AO:AO,MATCH(AO112,$AA:$AA,0)+13))</f>
        <v>188</v>
      </c>
      <c r="AP117" s="378"/>
      <c r="AQ117" s="377">
        <f>ABS(INDEX(AQ:AQ,MATCH(AQ112,$AA:$AA,0)+11)+INDEX(AQ:AQ,MATCH(AQ112,$AA:$AA,0)+12)+INDEX(AQ:AQ,MATCH(AQ112,$AA:$AA,0)+13))</f>
        <v>212</v>
      </c>
      <c r="AR117" s="378"/>
      <c r="AS117" s="377">
        <f>ABS(INDEX(AS:AS,MATCH(AS112,$AA:$AA,0)+11)+INDEX(AS:AS,MATCH(AS112,$AA:$AA,0)+12)+INDEX(AS:AS,MATCH(AS112,$AA:$AA,0)+13))</f>
        <v>234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300</v>
      </c>
      <c r="E118" s="342" t="str">
        <f>IF(AD118=0,"",AD118)</f>
        <v/>
      </c>
      <c r="F118" s="342">
        <f>IF(AE118=301,"",AE118)</f>
        <v>243</v>
      </c>
      <c r="G118" s="342" t="str">
        <f>IF(AF118=0,"",AF118)</f>
        <v/>
      </c>
      <c r="H118" s="342">
        <f>IF(AG118=301,"",AG118)</f>
        <v>267</v>
      </c>
      <c r="I118" s="342" t="str">
        <f>IF(AH118=0,"",AH118)</f>
        <v/>
      </c>
      <c r="J118" s="342">
        <f>IF(AI118=301,"",AI118)</f>
        <v>228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171</v>
      </c>
      <c r="O118" s="342" t="str">
        <f>IF(AN118=0,"",AN118)</f>
        <v/>
      </c>
      <c r="P118" s="342">
        <f>IF(AO118=301,"",AO118)</f>
        <v>180</v>
      </c>
      <c r="Q118" s="342" t="str">
        <f>IF(AP118=0,"",AP118)</f>
        <v/>
      </c>
      <c r="R118" s="342">
        <f>IF(AQ118=301,"",AQ118)</f>
        <v>165</v>
      </c>
      <c r="S118" s="342" t="str">
        <f>IF(AR118=0,"",AR118)</f>
        <v/>
      </c>
      <c r="T118" s="342">
        <f>IF(AS118=301,"",AS118)</f>
        <v>162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300</v>
      </c>
      <c r="AD118" s="378"/>
      <c r="AE118" s="377">
        <f>ABS(INDEX(AE:AE,MATCH(AE112,$AA:$AA,0)+14)+INDEX(AE:AE,MATCH(AE112,$AA:$AA,0)+15)+INDEX(AE:AE,MATCH(AE112,$AA:$AA,0)+16))</f>
        <v>243</v>
      </c>
      <c r="AF118" s="378"/>
      <c r="AG118" s="377">
        <f>ABS(INDEX(AG:AG,MATCH(AG112,$AA:$AA,0)+14)+INDEX(AG:AG,MATCH(AG112,$AA:$AA,0)+15)+INDEX(AG:AG,MATCH(AG112,$AA:$AA,0)+16))</f>
        <v>267</v>
      </c>
      <c r="AH118" s="378"/>
      <c r="AI118" s="377">
        <f>ABS(INDEX(AI:AI,MATCH(AI112,$AA:$AA,0)+14)+INDEX(AI:AI,MATCH(AI112,$AA:$AA,0)+15)+INDEX(AI:AI,MATCH(AI112,$AA:$AA,0)+16))</f>
        <v>228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171</v>
      </c>
      <c r="AN118" s="378"/>
      <c r="AO118" s="377">
        <f>ABS(INDEX(AO:AO,MATCH(AO112,$AA:$AA,0)+14)+INDEX(AO:AO,MATCH(AO112,$AA:$AA,0)+15)+INDEX(AO:AO,MATCH(AO112,$AA:$AA,0)+16))</f>
        <v>180</v>
      </c>
      <c r="AP118" s="378"/>
      <c r="AQ118" s="377">
        <f>ABS(INDEX(AQ:AQ,MATCH(AQ112,$AA:$AA,0)+14)+INDEX(AQ:AQ,MATCH(AQ112,$AA:$AA,0)+15)+INDEX(AQ:AQ,MATCH(AQ112,$AA:$AA,0)+16))</f>
        <v>165</v>
      </c>
      <c r="AR118" s="378"/>
      <c r="AS118" s="377">
        <f>ABS(INDEX(AS:AS,MATCH(AS112,$AA:$AA,0)+14)+INDEX(AS:AS,MATCH(AS112,$AA:$AA,0)+15)+INDEX(AS:AS,MATCH(AS112,$AA:$AA,0)+16))</f>
        <v>162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914</v>
      </c>
      <c r="E119" s="341" t="str">
        <f>IF(AD119=0,"",AD119)</f>
        <v/>
      </c>
      <c r="F119" s="341">
        <f>IF(AE119=1505,"",AE119)</f>
        <v>870</v>
      </c>
      <c r="G119" s="341" t="str">
        <f>IF(AF119=0,"",AF119)</f>
        <v/>
      </c>
      <c r="H119" s="341">
        <f>IF(AG119=1505,"",AG119)</f>
        <v>777</v>
      </c>
      <c r="I119" s="341" t="str">
        <f>IF(AH119=0,"",AH119)</f>
        <v/>
      </c>
      <c r="J119" s="341">
        <f>IF(AI119=1505,"",AI119)</f>
        <v>866</v>
      </c>
      <c r="K119" s="341" t="str">
        <f>IF(AJ119=0,"",AJ119)</f>
        <v/>
      </c>
      <c r="L119" s="341">
        <f>IF(AK119=1505,"",AK119)</f>
        <v>918</v>
      </c>
      <c r="M119" s="341" t="str">
        <f>IF(AL119=0,"",AL119)</f>
        <v/>
      </c>
      <c r="N119" s="341">
        <f>IF(AM119=1505,"",AM119)</f>
        <v>707</v>
      </c>
      <c r="O119" s="341" t="str">
        <f>IF(AN119=0,"",AN119)</f>
        <v/>
      </c>
      <c r="P119" s="341">
        <f>IF(AO119=1505,"",AO119)</f>
        <v>763</v>
      </c>
      <c r="Q119" s="341" t="str">
        <f>IF(AP119=0,"",AP119)</f>
        <v/>
      </c>
      <c r="R119" s="341">
        <f>IF(AQ119=1505,"",AQ119)</f>
        <v>732</v>
      </c>
      <c r="S119" s="341" t="str">
        <f>IF(AR119=0,"",AR119)</f>
        <v/>
      </c>
      <c r="T119" s="341">
        <f>IF(AS119=1505,"",AS119)</f>
        <v>754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914</v>
      </c>
      <c r="AD119" s="358"/>
      <c r="AE119" s="357">
        <f>SUM(AE115:AE118)</f>
        <v>870</v>
      </c>
      <c r="AF119" s="358"/>
      <c r="AG119" s="357">
        <f>SUM(AG115:AG118)</f>
        <v>777</v>
      </c>
      <c r="AH119" s="358"/>
      <c r="AI119" s="357">
        <f>SUM(AI115:AI118)</f>
        <v>866</v>
      </c>
      <c r="AJ119" s="358"/>
      <c r="AK119" s="357">
        <f>SUM(AK115:AK118)</f>
        <v>918</v>
      </c>
      <c r="AL119" s="358"/>
      <c r="AM119" s="357">
        <f>SUM(AM115:AM118)</f>
        <v>707</v>
      </c>
      <c r="AN119" s="358"/>
      <c r="AO119" s="357">
        <f>SUM(AO115:AO118)</f>
        <v>763</v>
      </c>
      <c r="AP119" s="358"/>
      <c r="AQ119" s="357">
        <f>SUM(AQ115:AQ118)</f>
        <v>732</v>
      </c>
      <c r="AR119" s="358"/>
      <c r="AS119" s="357">
        <f>SUM(AS115:AS118)</f>
        <v>754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15.03./16.03.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15.03./16.03.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Brunnthal Max Munich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191</v>
      </c>
      <c r="E127" s="351">
        <f>IF(AD127="","",AD127)</f>
        <v>0</v>
      </c>
      <c r="F127" s="75">
        <f t="shared" ref="F127:F140" si="139">IF(AE127=0,"",AE127)</f>
        <v>170</v>
      </c>
      <c r="G127" s="351">
        <f>IF(AF127="","",AF127)</f>
        <v>0</v>
      </c>
      <c r="H127" s="75">
        <f t="shared" ref="H127:H140" si="140">IF(AG127=0,"",AG127)</f>
        <v>157</v>
      </c>
      <c r="I127" s="351">
        <f>IF(AH127="","",AH127)</f>
        <v>0</v>
      </c>
      <c r="J127" s="75">
        <f t="shared" ref="J127:J140" si="141">IF(AI127=0,"",AI127)</f>
        <v>203</v>
      </c>
      <c r="K127" s="351">
        <f>IF(AJ127="","",AJ127)</f>
        <v>1</v>
      </c>
      <c r="L127" s="75">
        <f t="shared" ref="L127:L140" si="142">IF(AK127=0,"",AK127)</f>
        <v>237</v>
      </c>
      <c r="M127" s="351">
        <f>IF(AL127="","",AL127)</f>
        <v>1</v>
      </c>
      <c r="N127" s="75">
        <f>IF(AM127=0,"",AM127)</f>
        <v>190</v>
      </c>
      <c r="O127" s="351">
        <f>IF(AN127="","",AN127)</f>
        <v>0</v>
      </c>
      <c r="P127" s="75">
        <f t="shared" ref="P127:P140" si="143">IF(AO127=0,"",AO127)</f>
        <v>246</v>
      </c>
      <c r="Q127" s="351">
        <f>IF(AP127="","",AP127)</f>
        <v>0</v>
      </c>
      <c r="R127" s="75">
        <f t="shared" ref="R127:R140" si="144">IF(AQ127=0,"",AQ127)</f>
        <v>274</v>
      </c>
      <c r="S127" s="351">
        <f>IF(AR127="","",AR127)</f>
        <v>1</v>
      </c>
      <c r="T127" s="75">
        <f t="shared" ref="T127:T140" si="145">IF(AS127=0,"",AS127)</f>
        <v>203</v>
      </c>
      <c r="U127" s="351">
        <f>IF(AT127="","",AT127)</f>
        <v>0</v>
      </c>
      <c r="V127" s="75">
        <f t="shared" ref="V127:V140" si="146">IF(AU127=0,"",AU127)</f>
        <v>1871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191</v>
      </c>
      <c r="AD127" s="109">
        <f>IF(SUM(AC127:AC129)+AC145=0,0,IF(SUM(AC127:AC129)=AC145,0.5,IF(SUM(AC127:AC129)&gt;AC145,1,0)))</f>
        <v>0</v>
      </c>
      <c r="AE127" s="185">
        <v>170</v>
      </c>
      <c r="AF127" s="109">
        <f>IF(SUM(AE127:AE129)+AE145=0,0,IF(SUM(AE127:AE129)=AE145,0.5,IF(SUM(AE127:AE129)&gt;AE145,1,0)))</f>
        <v>0</v>
      </c>
      <c r="AG127" s="185">
        <v>157</v>
      </c>
      <c r="AH127" s="109">
        <f>IF(SUM(AG127:AG129)+AG145=0,0,IF(SUM(AG127:AG129)=AG145,0.5,IF(SUM(AG127:AG129)&gt;AG145,1,0)))</f>
        <v>0</v>
      </c>
      <c r="AI127" s="185">
        <v>203</v>
      </c>
      <c r="AJ127" s="109">
        <f>IF(SUM(AI127:AI129)+AI145=0,0,IF(SUM(AI127:AI129)=AI145,0.5,IF(SUM(AI127:AI129)&gt;AI145,1,0)))</f>
        <v>1</v>
      </c>
      <c r="AK127" s="185">
        <v>237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246</v>
      </c>
      <c r="AP127" s="109">
        <f>IF(SUM(AO127:AO129)+AO145=0,0,IF(SUM(AO127:AO129)=AO145,0.5,IF(SUM(AO127:AO129)&gt;AO145,1,0)))</f>
        <v>0</v>
      </c>
      <c r="AQ127" s="185">
        <v>274</v>
      </c>
      <c r="AR127" s="109">
        <f>IF(SUM(AQ127:AQ129)+AQ145=0,0,IF(SUM(AQ127:AQ129)=AQ145,0.5,IF(SUM(AQ127:AQ129)&gt;AQ145,1,0)))</f>
        <v>1</v>
      </c>
      <c r="AS127" s="185">
        <v>203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1871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1871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191</v>
      </c>
      <c r="BI127" s="215">
        <f t="shared" ref="BI127:BI138" si="149">IF(AE127=0,"",AE127)</f>
        <v>170</v>
      </c>
      <c r="BJ127" s="215">
        <f t="shared" ref="BJ127:BJ138" si="150">IF(AG127=0,"",AG127)</f>
        <v>157</v>
      </c>
      <c r="BK127" s="215">
        <f t="shared" ref="BK127:BK138" si="151">IF(AI127=0,"",AI127)</f>
        <v>203</v>
      </c>
      <c r="BL127" s="215">
        <f t="shared" ref="BL127:BL138" si="152">IF(AK127=0,"",AK127)</f>
        <v>237</v>
      </c>
      <c r="BM127" s="215">
        <f t="shared" ref="BM127:BM138" si="153">IF(AM127=0,"",AM127)</f>
        <v>190</v>
      </c>
      <c r="BN127" s="215">
        <f t="shared" ref="BN127:BN138" si="154">IF(AO127=0,"",AO127)</f>
        <v>246</v>
      </c>
      <c r="BO127" s="215">
        <f t="shared" ref="BO127:BO138" si="155">IF(AQ127=0,"",AQ127)</f>
        <v>274</v>
      </c>
      <c r="BP127" s="215">
        <f t="shared" ref="BP127:BP138" si="156">IF(AS127=0,"",AS127)</f>
        <v>203</v>
      </c>
      <c r="BQ127" s="216"/>
      <c r="BR127" s="214"/>
      <c r="BS127" s="215">
        <f>MAX(BH127:BP127)</f>
        <v>274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3</v>
      </c>
      <c r="BW127" s="215">
        <f>SUMIF(BH127:BP127,"&gt;0")</f>
        <v>1871</v>
      </c>
      <c r="BX127" s="215">
        <f>IF(COUNTIF(BH127:BP127,"&gt;0")&lt;Spielorte!$A$23,0,BE127/Spielorte!$A$23)</f>
        <v>207.88888888888889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3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3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Moser, Thomas</v>
      </c>
      <c r="C130" s="74">
        <f t="shared" si="158"/>
        <v>38907</v>
      </c>
      <c r="D130" s="75">
        <f t="shared" si="158"/>
        <v>200</v>
      </c>
      <c r="E130" s="351">
        <f>IF(AD130="","",AD130)</f>
        <v>1</v>
      </c>
      <c r="F130" s="75">
        <f t="shared" si="139"/>
        <v>195</v>
      </c>
      <c r="G130" s="351">
        <f>IF(AF130="","",AF130)</f>
        <v>0</v>
      </c>
      <c r="H130" s="75">
        <f t="shared" si="140"/>
        <v>157</v>
      </c>
      <c r="I130" s="351">
        <f>IF(AH130="","",AH130)</f>
        <v>0</v>
      </c>
      <c r="J130" s="75" t="str">
        <f t="shared" si="141"/>
        <v/>
      </c>
      <c r="K130" s="351">
        <f>IF(AJ130="","",AJ130)</f>
        <v>0</v>
      </c>
      <c r="L130" s="75">
        <f t="shared" si="142"/>
        <v>137</v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 t="str">
        <f t="shared" si="144"/>
        <v/>
      </c>
      <c r="S130" s="351">
        <f>IF(AR130="","",AR130)</f>
        <v>1</v>
      </c>
      <c r="T130" s="75" t="str">
        <f t="shared" si="145"/>
        <v/>
      </c>
      <c r="U130" s="351">
        <f>IF(AT130="","",AT130)</f>
        <v>1</v>
      </c>
      <c r="V130" s="75">
        <f t="shared" si="146"/>
        <v>689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Moser, Thomas</v>
      </c>
      <c r="AB130" s="99">
        <v>38907</v>
      </c>
      <c r="AC130" s="188">
        <v>200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0</v>
      </c>
      <c r="AG130" s="188">
        <v>157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>
        <v>137</v>
      </c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689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38907</v>
      </c>
      <c r="BE130" s="213">
        <f t="shared" si="161"/>
        <v>689</v>
      </c>
      <c r="BF130" s="215">
        <f t="shared" si="162"/>
        <v>4</v>
      </c>
      <c r="BG130" s="215">
        <f t="shared" si="163"/>
        <v>4</v>
      </c>
      <c r="BH130" s="215">
        <f t="shared" si="148"/>
        <v>200</v>
      </c>
      <c r="BI130" s="215">
        <f t="shared" si="149"/>
        <v>195</v>
      </c>
      <c r="BJ130" s="215">
        <f t="shared" si="150"/>
        <v>157</v>
      </c>
      <c r="BK130" s="215" t="str">
        <f t="shared" si="151"/>
        <v/>
      </c>
      <c r="BL130" s="215">
        <f t="shared" si="152"/>
        <v>137</v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200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3</v>
      </c>
      <c r="BW130" s="215">
        <f t="shared" si="168"/>
        <v>689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Breitenstein, Alexander Kurt</v>
      </c>
      <c r="C131" s="77">
        <f t="shared" si="158"/>
        <v>16469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>
        <f t="shared" si="141"/>
        <v>189</v>
      </c>
      <c r="K131" s="352"/>
      <c r="L131" s="78" t="str">
        <f t="shared" si="142"/>
        <v/>
      </c>
      <c r="M131" s="352"/>
      <c r="N131" s="78">
        <f t="shared" si="159"/>
        <v>195</v>
      </c>
      <c r="O131" s="352"/>
      <c r="P131" s="78">
        <f t="shared" si="143"/>
        <v>201</v>
      </c>
      <c r="Q131" s="352"/>
      <c r="R131" s="78">
        <f t="shared" si="144"/>
        <v>190</v>
      </c>
      <c r="S131" s="352"/>
      <c r="T131" s="78">
        <f t="shared" si="145"/>
        <v>205</v>
      </c>
      <c r="U131" s="352"/>
      <c r="V131" s="78">
        <f t="shared" si="146"/>
        <v>980</v>
      </c>
      <c r="W131" s="352"/>
      <c r="Z131" s="355"/>
      <c r="AA131" s="108" t="str">
        <f>IF(AB131=0,"",VLOOKUP(AB131,Starter!$A$1:$D$199,2,FALSE))</f>
        <v>Breitenstein, Alexander Kurt</v>
      </c>
      <c r="AB131" s="98">
        <v>16469</v>
      </c>
      <c r="AC131" s="186"/>
      <c r="AD131" s="112"/>
      <c r="AE131" s="186"/>
      <c r="AF131" s="112"/>
      <c r="AG131" s="186"/>
      <c r="AH131" s="112"/>
      <c r="AI131" s="186">
        <v>189</v>
      </c>
      <c r="AJ131" s="112"/>
      <c r="AK131" s="186"/>
      <c r="AL131" s="112"/>
      <c r="AM131" s="186">
        <v>195</v>
      </c>
      <c r="AN131" s="112"/>
      <c r="AO131" s="190">
        <v>201</v>
      </c>
      <c r="AP131" s="112"/>
      <c r="AQ131" s="190">
        <v>190</v>
      </c>
      <c r="AR131" s="112"/>
      <c r="AS131" s="190">
        <v>205</v>
      </c>
      <c r="AT131" s="112"/>
      <c r="AU131" s="113">
        <f t="shared" si="147"/>
        <v>980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16469</v>
      </c>
      <c r="BE131" s="213">
        <f t="shared" si="161"/>
        <v>980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>
        <f t="shared" si="151"/>
        <v>189</v>
      </c>
      <c r="BL131" s="215" t="str">
        <f t="shared" si="152"/>
        <v/>
      </c>
      <c r="BM131" s="215">
        <f t="shared" si="153"/>
        <v>195</v>
      </c>
      <c r="BN131" s="215">
        <f t="shared" si="154"/>
        <v>201</v>
      </c>
      <c r="BO131" s="215">
        <f t="shared" si="155"/>
        <v>190</v>
      </c>
      <c r="BP131" s="215">
        <f t="shared" si="156"/>
        <v>205</v>
      </c>
      <c r="BQ131" s="216"/>
      <c r="BR131" s="214"/>
      <c r="BS131" s="215">
        <f t="shared" si="164"/>
        <v>205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3</v>
      </c>
      <c r="BW131" s="215">
        <f t="shared" si="168"/>
        <v>980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3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215</v>
      </c>
      <c r="E133" s="351">
        <f>IF(AD133="","",AD133)</f>
        <v>1</v>
      </c>
      <c r="F133" s="75">
        <f t="shared" si="139"/>
        <v>172</v>
      </c>
      <c r="G133" s="351">
        <f>IF(AF133="","",AF133)</f>
        <v>0</v>
      </c>
      <c r="H133" s="75">
        <f t="shared" si="140"/>
        <v>196</v>
      </c>
      <c r="I133" s="351">
        <f>IF(AH133="","",AH133)</f>
        <v>1</v>
      </c>
      <c r="J133" s="75">
        <f t="shared" si="141"/>
        <v>247</v>
      </c>
      <c r="K133" s="351">
        <f>IF(AJ133="","",AJ133)</f>
        <v>1</v>
      </c>
      <c r="L133" s="75">
        <f t="shared" si="142"/>
        <v>186</v>
      </c>
      <c r="M133" s="351">
        <f>IF(AL133="","",AL133)</f>
        <v>1</v>
      </c>
      <c r="N133" s="75">
        <f t="shared" si="159"/>
        <v>190</v>
      </c>
      <c r="O133" s="351">
        <f>IF(AN133="","",AN133)</f>
        <v>0</v>
      </c>
      <c r="P133" s="75">
        <f t="shared" si="143"/>
        <v>237</v>
      </c>
      <c r="Q133" s="351">
        <f>IF(AP133="","",AP133)</f>
        <v>1</v>
      </c>
      <c r="R133" s="75">
        <f t="shared" si="144"/>
        <v>150</v>
      </c>
      <c r="S133" s="351">
        <f>IF(AR133="","",AR133)</f>
        <v>0</v>
      </c>
      <c r="T133" s="75">
        <f t="shared" si="145"/>
        <v>196</v>
      </c>
      <c r="U133" s="351">
        <f>IF(AT133="","",AT133)</f>
        <v>0</v>
      </c>
      <c r="V133" s="75">
        <f t="shared" si="146"/>
        <v>1789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172</v>
      </c>
      <c r="AF133" s="109">
        <f>IF(SUM(AE133:AE135)+AE147=0,0,IF(SUM(AE133:AE135)=AE147,0.5,IF(SUM(AE133:AE135)&gt;AE147,1,0)))</f>
        <v>0</v>
      </c>
      <c r="AG133" s="188">
        <v>196</v>
      </c>
      <c r="AH133" s="109">
        <f>IF(SUM(AG133:AG135)+AG147=0,0,IF(SUM(AG133:AG135)=AG147,0.5,IF(SUM(AG133:AG135)&gt;AG147,1,0)))</f>
        <v>1</v>
      </c>
      <c r="AI133" s="188">
        <v>247</v>
      </c>
      <c r="AJ133" s="109">
        <f>IF(SUM(AI133:AI135)+AI147=0,0,IF(SUM(AI133:AI135)=AI147,0.5,IF(SUM(AI133:AI135)&gt;AI147,1,0)))</f>
        <v>1</v>
      </c>
      <c r="AK133" s="188">
        <v>186</v>
      </c>
      <c r="AL133" s="109">
        <f>IF(SUM(AK133:AK135)+AK147=0,0,IF(SUM(AK133:AK135)=AK147,0.5,IF(SUM(AK133:AK135)&gt;AK147,1,0)))</f>
        <v>1</v>
      </c>
      <c r="AM133" s="188">
        <v>190</v>
      </c>
      <c r="AN133" s="109">
        <f>IF(SUM(AM133:AM135)+AM147=0,0,IF(SUM(AM133:AM135)=AM147,0.5,IF(SUM(AM133:AM135)&gt;AM147,1,0)))</f>
        <v>0</v>
      </c>
      <c r="AO133" s="188">
        <v>237</v>
      </c>
      <c r="AP133" s="109">
        <f>IF(SUM(AO133:AO135)+AO147=0,0,IF(SUM(AO133:AO135)=AO147,0.5,IF(SUM(AO133:AO135)&gt;AO147,1,0)))</f>
        <v>1</v>
      </c>
      <c r="AQ133" s="188">
        <v>150</v>
      </c>
      <c r="AR133" s="109">
        <f>IF(SUM(AQ133:AQ135)+AQ147=0,0,IF(SUM(AQ133:AQ135)=AQ147,0.5,IF(SUM(AQ133:AQ135)&gt;AQ147,1,0)))</f>
        <v>0</v>
      </c>
      <c r="AS133" s="188">
        <v>196</v>
      </c>
      <c r="AT133" s="109">
        <f>IF(SUM(AS133:AS135)+AS147=0,0,IF(SUM(AS133:AS135)=AS147,0.5,IF(SUM(AS133:AS135)&gt;AS147,1,0)))</f>
        <v>0</v>
      </c>
      <c r="AU133" s="110">
        <f t="shared" si="147"/>
        <v>1789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1789</v>
      </c>
      <c r="BF133" s="215">
        <f t="shared" si="162"/>
        <v>9</v>
      </c>
      <c r="BG133" s="215">
        <f t="shared" si="163"/>
        <v>9</v>
      </c>
      <c r="BH133" s="215">
        <f t="shared" si="148"/>
        <v>215</v>
      </c>
      <c r="BI133" s="215">
        <f t="shared" si="149"/>
        <v>172</v>
      </c>
      <c r="BJ133" s="215">
        <f t="shared" si="150"/>
        <v>196</v>
      </c>
      <c r="BK133" s="215">
        <f t="shared" si="151"/>
        <v>247</v>
      </c>
      <c r="BL133" s="215">
        <f t="shared" si="152"/>
        <v>186</v>
      </c>
      <c r="BM133" s="215">
        <f t="shared" si="153"/>
        <v>190</v>
      </c>
      <c r="BN133" s="215">
        <f t="shared" si="154"/>
        <v>237</v>
      </c>
      <c r="BO133" s="215">
        <f t="shared" si="155"/>
        <v>150</v>
      </c>
      <c r="BP133" s="215">
        <f t="shared" si="156"/>
        <v>196</v>
      </c>
      <c r="BQ133" s="216"/>
      <c r="BR133" s="214"/>
      <c r="BS133" s="215">
        <f t="shared" si="164"/>
        <v>247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3</v>
      </c>
      <c r="BW133" s="215">
        <f t="shared" si="168"/>
        <v>1789</v>
      </c>
      <c r="BX133" s="215">
        <f>IF(COUNTIF(BH133:BP133,"&gt;0")&lt;Spielorte!$A$23,0,BE133/Spielorte!$A$23)</f>
        <v>198.77777777777777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3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3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222</v>
      </c>
      <c r="E136" s="351">
        <f>IF(AD136="","",AD136)</f>
        <v>0</v>
      </c>
      <c r="F136" s="75">
        <f t="shared" si="139"/>
        <v>245</v>
      </c>
      <c r="G136" s="351">
        <f>IF(AF136="","",AF136)</f>
        <v>1</v>
      </c>
      <c r="H136" s="75">
        <f t="shared" si="140"/>
        <v>267</v>
      </c>
      <c r="I136" s="351">
        <f>IF(AH136="","",AH136)</f>
        <v>1</v>
      </c>
      <c r="J136" s="75">
        <f t="shared" si="141"/>
        <v>223</v>
      </c>
      <c r="K136" s="351">
        <f>IF(AJ136="","",AJ136)</f>
        <v>1</v>
      </c>
      <c r="L136" s="75">
        <f t="shared" si="142"/>
        <v>268</v>
      </c>
      <c r="M136" s="351">
        <f>IF(AL136="","",AL136)</f>
        <v>1</v>
      </c>
      <c r="N136" s="75">
        <f t="shared" si="159"/>
        <v>222</v>
      </c>
      <c r="O136" s="351">
        <f>IF(AN136="","",AN136)</f>
        <v>1</v>
      </c>
      <c r="P136" s="75">
        <f t="shared" si="143"/>
        <v>244</v>
      </c>
      <c r="Q136" s="351">
        <f>IF(AP136="","",AP136)</f>
        <v>1</v>
      </c>
      <c r="R136" s="75">
        <f t="shared" si="144"/>
        <v>220</v>
      </c>
      <c r="S136" s="351">
        <f>IF(AR136="","",AR136)</f>
        <v>0</v>
      </c>
      <c r="T136" s="75">
        <f t="shared" si="145"/>
        <v>225</v>
      </c>
      <c r="U136" s="351">
        <f>IF(AT136="","",AT136)</f>
        <v>1</v>
      </c>
      <c r="V136" s="75">
        <f t="shared" si="146"/>
        <v>2136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222</v>
      </c>
      <c r="AD136" s="109">
        <f>IF(SUM(AC136:AC138)+AC148=0,0,IF(SUM(AC136:AC138)=AC148,0.5,IF(SUM(AC136:AC138)&gt;AC148,1,0)))</f>
        <v>0</v>
      </c>
      <c r="AE136" s="188">
        <v>245</v>
      </c>
      <c r="AF136" s="109">
        <f>IF(SUM(AE136:AE138)+AE148=0,0,IF(SUM(AE136:AE138)=AE148,0.5,IF(SUM(AE136:AE138)&gt;AE148,1,0)))</f>
        <v>1</v>
      </c>
      <c r="AG136" s="188">
        <v>267</v>
      </c>
      <c r="AH136" s="109">
        <f>IF(SUM(AG136:AG138)+AG148=0,0,IF(SUM(AG136:AG138)=AG148,0.5,IF(SUM(AG136:AG138)&gt;AG148,1,0)))</f>
        <v>1</v>
      </c>
      <c r="AI136" s="188">
        <v>223</v>
      </c>
      <c r="AJ136" s="109">
        <f>IF(SUM(AI136:AI138)+AI148=0,0,IF(SUM(AI136:AI138)=AI148,0.5,IF(SUM(AI136:AI138)&gt;AI148,1,0)))</f>
        <v>1</v>
      </c>
      <c r="AK136" s="188">
        <v>268</v>
      </c>
      <c r="AL136" s="109">
        <f>IF(SUM(AK136:AK138)+AK148=0,0,IF(SUM(AK136:AK138)=AK148,0.5,IF(SUM(AK136:AK138)&gt;AK148,1,0)))</f>
        <v>1</v>
      </c>
      <c r="AM136" s="188">
        <v>222</v>
      </c>
      <c r="AN136" s="109">
        <f>IF(SUM(AM136:AM138)+AM148=0,0,IF(SUM(AM136:AM138)=AM148,0.5,IF(SUM(AM136:AM138)&gt;AM148,1,0)))</f>
        <v>1</v>
      </c>
      <c r="AO136" s="188">
        <v>244</v>
      </c>
      <c r="AP136" s="109">
        <f>IF(SUM(AO136:AO138)+AO148=0,0,IF(SUM(AO136:AO138)=AO148,0.5,IF(SUM(AO136:AO138)&gt;AO148,1,0)))</f>
        <v>1</v>
      </c>
      <c r="AQ136" s="188">
        <v>220</v>
      </c>
      <c r="AR136" s="109">
        <f>IF(SUM(AQ136:AQ138)+AQ148=0,0,IF(SUM(AQ136:AQ138)=AQ148,0.5,IF(SUM(AQ136:AQ138)&gt;AQ148,1,0)))</f>
        <v>0</v>
      </c>
      <c r="AS136" s="188">
        <v>225</v>
      </c>
      <c r="AT136" s="109">
        <f>IF(SUM(AS136:AS138)+AS148=0,0,IF(SUM(AS136:AS138)=AS148,0.5,IF(SUM(AS136:AS138)&gt;AS148,1,0)))</f>
        <v>1</v>
      </c>
      <c r="AU136" s="110">
        <f t="shared" si="147"/>
        <v>2136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2136</v>
      </c>
      <c r="BF136" s="215">
        <f t="shared" si="162"/>
        <v>9</v>
      </c>
      <c r="BG136" s="215">
        <f t="shared" si="163"/>
        <v>9</v>
      </c>
      <c r="BH136" s="215">
        <f t="shared" si="148"/>
        <v>222</v>
      </c>
      <c r="BI136" s="215">
        <f t="shared" si="149"/>
        <v>245</v>
      </c>
      <c r="BJ136" s="215">
        <f t="shared" si="150"/>
        <v>267</v>
      </c>
      <c r="BK136" s="215">
        <f t="shared" si="151"/>
        <v>223</v>
      </c>
      <c r="BL136" s="215">
        <f t="shared" si="152"/>
        <v>268</v>
      </c>
      <c r="BM136" s="215">
        <f t="shared" si="153"/>
        <v>222</v>
      </c>
      <c r="BN136" s="215">
        <f t="shared" si="154"/>
        <v>244</v>
      </c>
      <c r="BO136" s="215">
        <f t="shared" si="155"/>
        <v>220</v>
      </c>
      <c r="BP136" s="215">
        <f t="shared" si="156"/>
        <v>225</v>
      </c>
      <c r="BQ136" s="216"/>
      <c r="BR136" s="214"/>
      <c r="BS136" s="215">
        <f t="shared" si="164"/>
        <v>268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3</v>
      </c>
      <c r="BW136" s="215">
        <f t="shared" si="168"/>
        <v>2136</v>
      </c>
      <c r="BX136" s="215">
        <f>IF(COUNTIF(BH136:BP136,"&gt;0")&lt;Spielorte!$A$23,0,BE136/Spielorte!$A$23)</f>
        <v>237.33333333333334</v>
      </c>
      <c r="BY136" s="215">
        <f t="shared" si="169"/>
        <v>237.33333346933335</v>
      </c>
      <c r="BZ136" s="214">
        <f t="shared" si="157"/>
        <v>1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3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3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828</v>
      </c>
      <c r="E139" s="84">
        <f>IF(AD139="","",AD139)</f>
        <v>0</v>
      </c>
      <c r="F139" s="83">
        <f t="shared" si="139"/>
        <v>782</v>
      </c>
      <c r="G139" s="84">
        <f>IF(AF139="","",AF139)</f>
        <v>0</v>
      </c>
      <c r="H139" s="83">
        <f t="shared" si="140"/>
        <v>777</v>
      </c>
      <c r="I139" s="84">
        <f>IF(AH139="","",AH139)</f>
        <v>0</v>
      </c>
      <c r="J139" s="83">
        <f t="shared" si="141"/>
        <v>862</v>
      </c>
      <c r="K139" s="84">
        <f>IF(AJ139="","",AJ139)</f>
        <v>2</v>
      </c>
      <c r="L139" s="83">
        <f t="shared" si="142"/>
        <v>828</v>
      </c>
      <c r="M139" s="84">
        <f>IF(AL139="","",AL139)</f>
        <v>2</v>
      </c>
      <c r="N139" s="83">
        <f t="shared" si="159"/>
        <v>797</v>
      </c>
      <c r="O139" s="84">
        <f>IF(AN139="","",AN139)</f>
        <v>0</v>
      </c>
      <c r="P139" s="83">
        <f t="shared" si="143"/>
        <v>928</v>
      </c>
      <c r="Q139" s="84">
        <f>IF(AP139="","",AP139)</f>
        <v>2</v>
      </c>
      <c r="R139" s="83">
        <f t="shared" si="144"/>
        <v>834</v>
      </c>
      <c r="S139" s="84">
        <f>IF(AR139="","",AR139)</f>
        <v>2</v>
      </c>
      <c r="T139" s="83">
        <f t="shared" si="145"/>
        <v>829</v>
      </c>
      <c r="U139" s="84">
        <f>IF(AT139="","",AT139)</f>
        <v>2</v>
      </c>
      <c r="V139" s="83">
        <f t="shared" si="146"/>
        <v>7465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828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782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862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828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797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928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834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829</v>
      </c>
      <c r="AT139" s="121">
        <f>IF(AS139+AS149=0,0,IF(AS139=AS149,1,IF(AS139&gt;AS149,2,0)))</f>
        <v>2</v>
      </c>
      <c r="AU139" s="122">
        <f>SUM(AC139+AE139+AG139+AI139+AK139+AM139+AO139+AQ139+AS139)</f>
        <v>7465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2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5</v>
      </c>
      <c r="N140" s="86" t="str">
        <f t="shared" si="159"/>
        <v/>
      </c>
      <c r="O140" s="87">
        <f>IF(AN140="","",AN140)</f>
        <v>1</v>
      </c>
      <c r="P140" s="86" t="str">
        <f t="shared" si="143"/>
        <v/>
      </c>
      <c r="Q140" s="87">
        <f>IF(AP140="","",AP140)</f>
        <v>4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4</v>
      </c>
      <c r="V140" s="86" t="str">
        <f t="shared" si="146"/>
        <v/>
      </c>
      <c r="W140" s="87">
        <f>IF(AV140="","",AV140)</f>
        <v>28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2</v>
      </c>
      <c r="AI140" s="86"/>
      <c r="AJ140" s="124">
        <f>SUM(AJ127:AJ139)</f>
        <v>5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4</v>
      </c>
      <c r="AQ140" s="86"/>
      <c r="AR140" s="124">
        <f>SUM(AR127:AR139)</f>
        <v>4</v>
      </c>
      <c r="AS140" s="86"/>
      <c r="AT140" s="124">
        <f>SUM(AT127:AT139)</f>
        <v>4</v>
      </c>
      <c r="AU140" s="86"/>
      <c r="AV140" s="125">
        <f>SUM(AV127:AV139)</f>
        <v>28</v>
      </c>
      <c r="AW140" s="101"/>
      <c r="AX140" s="102"/>
      <c r="BA140" s="212">
        <f>+AV140</f>
        <v>28</v>
      </c>
      <c r="BB140" s="213">
        <f>+AU139</f>
        <v>7465</v>
      </c>
      <c r="BC140" s="214">
        <f>+AA122</f>
        <v>5</v>
      </c>
      <c r="BF140" s="215">
        <f>SUM(BF121:BF139)</f>
        <v>36</v>
      </c>
      <c r="BQ140" s="212">
        <f>+BB140/1000000+BA140</f>
        <v>28.007465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6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4</v>
      </c>
      <c r="I142" s="349" t="str">
        <f t="shared" si="170"/>
        <v/>
      </c>
      <c r="J142" s="349">
        <f t="shared" si="170"/>
        <v>3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8</v>
      </c>
      <c r="O142" s="349" t="str">
        <f t="shared" si="170"/>
        <v/>
      </c>
      <c r="P142" s="349">
        <f t="shared" si="170"/>
        <v>1</v>
      </c>
      <c r="Q142" s="349" t="str">
        <f t="shared" si="170"/>
        <v/>
      </c>
      <c r="R142" s="349">
        <f t="shared" ref="L142:U144" si="171">IF(AQ142=0,"",AQ142)</f>
        <v>7</v>
      </c>
      <c r="S142" s="349" t="str">
        <f t="shared" si="171"/>
        <v/>
      </c>
      <c r="T142" s="349">
        <f t="shared" si="171"/>
        <v>2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VLOOKUP($AA122,Schlüssel!$A$5:$DG$14,83)</f>
        <v>6</v>
      </c>
      <c r="AD142" s="374"/>
      <c r="AE142" s="373">
        <f>VLOOKUP($AA122,Schlüssel!$A$5:$EK$14,84)</f>
        <v>10</v>
      </c>
      <c r="AF142" s="374"/>
      <c r="AG142" s="373">
        <f>VLOOKUP($AA122,Schlüssel!$A$5:$EK$14,85)</f>
        <v>4</v>
      </c>
      <c r="AH142" s="374"/>
      <c r="AI142" s="373">
        <f>VLOOKUP($AA122,Schlüssel!$A$5:$EK$14,86)</f>
        <v>3</v>
      </c>
      <c r="AJ142" s="374"/>
      <c r="AK142" s="373">
        <f>VLOOKUP($AA122,Schlüssel!$A$5:$EK$14,87)</f>
        <v>9</v>
      </c>
      <c r="AL142" s="374"/>
      <c r="AM142" s="373">
        <f>VLOOKUP($AA122,Schlüssel!$A$5:$EK$14,88)</f>
        <v>8</v>
      </c>
      <c r="AN142" s="374"/>
      <c r="AO142" s="373">
        <f>VLOOKUP($AA122,Schlüssel!$A$5:$EK$14,89)</f>
        <v>1</v>
      </c>
      <c r="AP142" s="374"/>
      <c r="AQ142" s="373">
        <f>VLOOKUP($AA122,Schlüssel!$A$5:$EK$14,90)</f>
        <v>7</v>
      </c>
      <c r="AR142" s="374"/>
      <c r="AS142" s="373">
        <f>VLOOKUP($AA122,Schlüssel!$A$5:$EK$14,91)</f>
        <v>2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SG Rottendorf 1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DJK Rimpar</v>
      </c>
      <c r="I143" s="347" t="str">
        <f t="shared" si="172"/>
        <v/>
      </c>
      <c r="J143" s="346" t="str">
        <f t="shared" si="172"/>
        <v>BK München 3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BC EMAX Unterföhring 2</v>
      </c>
      <c r="O143" s="347" t="str">
        <f t="shared" si="171"/>
        <v/>
      </c>
      <c r="P143" s="346" t="str">
        <f t="shared" si="171"/>
        <v>BC Comet Nürnberg</v>
      </c>
      <c r="Q143" s="347" t="str">
        <f t="shared" si="171"/>
        <v/>
      </c>
      <c r="R143" s="346" t="str">
        <f t="shared" si="171"/>
        <v>Schanzer Ingolstadt 1</v>
      </c>
      <c r="S143" s="347" t="str">
        <f t="shared" si="171"/>
        <v/>
      </c>
      <c r="T143" s="346" t="str">
        <f t="shared" si="171"/>
        <v>Bajuwaren München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Rottendorf 1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DJK Rimpar</v>
      </c>
      <c r="AH143" s="347"/>
      <c r="AI143" s="346" t="str">
        <f>VLOOKUP(AI142,Schlüssel!$A$5:$K$14,2)</f>
        <v>BK München 3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BC Comet Nürnberg</v>
      </c>
      <c r="AP143" s="347"/>
      <c r="AQ143" s="346" t="str">
        <f>VLOOKUP(AQ142,Schlüssel!$A$5:$K$14,2)</f>
        <v>Schanzer Ingolstadt 1</v>
      </c>
      <c r="AR143" s="347"/>
      <c r="AS143" s="346" t="str">
        <f>VLOOKUP(AS142,Schlüssel!$A$5:$K$14,2)</f>
        <v>Bajuwaren München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266</v>
      </c>
      <c r="E145" s="342" t="str">
        <f>IF(AD145=0,"",AD145)</f>
        <v/>
      </c>
      <c r="F145" s="342">
        <f>IF(AE145=301,"",AE145)</f>
        <v>206</v>
      </c>
      <c r="G145" s="342" t="str">
        <f>IF(AF145=0,"",AF145)</f>
        <v/>
      </c>
      <c r="H145" s="342">
        <f>IF(AG145=301,"",AG145)</f>
        <v>234</v>
      </c>
      <c r="I145" s="342" t="str">
        <f>IF(AH145=0,"",AH145)</f>
        <v/>
      </c>
      <c r="J145" s="342">
        <f>IF(AI145=301,"",AI145)</f>
        <v>158</v>
      </c>
      <c r="K145" s="342" t="str">
        <f>IF(AJ145=0,"",AJ145)</f>
        <v/>
      </c>
      <c r="L145" s="342">
        <f>IF(AK145=301,"",AK145)</f>
        <v>209</v>
      </c>
      <c r="M145" s="342" t="str">
        <f>IF(AL145=0,"",AL145)</f>
        <v/>
      </c>
      <c r="N145" s="342">
        <f>IF(AM145=301,"",AM145)</f>
        <v>214</v>
      </c>
      <c r="O145" s="342" t="str">
        <f>IF(AN145=0,"",AN145)</f>
        <v/>
      </c>
      <c r="P145" s="342">
        <f>IF(AO145=301,"",AO145)</f>
        <v>279</v>
      </c>
      <c r="Q145" s="342" t="str">
        <f>IF(AP145=0,"",AP145)</f>
        <v/>
      </c>
      <c r="R145" s="342">
        <f>IF(AQ145=301,"",AQ145)</f>
        <v>211</v>
      </c>
      <c r="S145" s="342" t="str">
        <f>IF(AR145=0,"",AR145)</f>
        <v/>
      </c>
      <c r="T145" s="342">
        <f>IF(AS145=301,"",AS145)</f>
        <v>207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266</v>
      </c>
      <c r="AD145" s="376"/>
      <c r="AE145" s="375">
        <f>ABS(INDEX(AE:AE,MATCH(AE142,$AA:$AA,0)+5)+INDEX(AE:AE,MATCH(AE142,$AA:$AA,0)+6)+INDEX(AE:AE,MATCH(AE142,$AA:$AA,0)+7))</f>
        <v>206</v>
      </c>
      <c r="AF145" s="376"/>
      <c r="AG145" s="375">
        <f>ABS(INDEX(AG:AG,MATCH(AG142,$AA:$AA,0)+5)+INDEX(AG:AG,MATCH(AG142,$AA:$AA,0)+6)+INDEX(AG:AG,MATCH(AG142,$AA:$AA,0)+7))</f>
        <v>234</v>
      </c>
      <c r="AH145" s="376"/>
      <c r="AI145" s="375">
        <f>ABS(INDEX(AI:AI,MATCH(AI142,$AA:$AA,0)+5)+INDEX(AI:AI,MATCH(AI142,$AA:$AA,0)+6)+INDEX(AI:AI,MATCH(AI142,$AA:$AA,0)+7))</f>
        <v>158</v>
      </c>
      <c r="AJ145" s="376"/>
      <c r="AK145" s="375">
        <f>ABS(INDEX(AK:AK,MATCH(AK142,$AA:$AA,0)+5)+INDEX(AK:AK,MATCH(AK142,$AA:$AA,0)+6)+INDEX(AK:AK,MATCH(AK142,$AA:$AA,0)+7))</f>
        <v>209</v>
      </c>
      <c r="AL145" s="376"/>
      <c r="AM145" s="375">
        <f>ABS(INDEX(AM:AM,MATCH(AM142,$AA:$AA,0)+5)+INDEX(AM:AM,MATCH(AM142,$AA:$AA,0)+6)+INDEX(AM:AM,MATCH(AM142,$AA:$AA,0)+7))</f>
        <v>214</v>
      </c>
      <c r="AN145" s="376"/>
      <c r="AO145" s="375">
        <f>ABS(INDEX(AO:AO,MATCH(AO142,$AA:$AA,0)+5)+INDEX(AO:AO,MATCH(AO142,$AA:$AA,0)+6)+INDEX(AO:AO,MATCH(AO142,$AA:$AA,0)+7))</f>
        <v>279</v>
      </c>
      <c r="AP145" s="376"/>
      <c r="AQ145" s="375">
        <f>ABS(INDEX(AQ:AQ,MATCH(AQ142,$AA:$AA,0)+5)+INDEX(AQ:AQ,MATCH(AQ142,$AA:$AA,0)+6)+INDEX(AQ:AQ,MATCH(AQ142,$AA:$AA,0)+7))</f>
        <v>211</v>
      </c>
      <c r="AR145" s="376"/>
      <c r="AS145" s="375">
        <f>ABS(INDEX(AS:AS,MATCH(AS142,$AA:$AA,0)+5)+INDEX(AS:AS,MATCH(AS142,$AA:$AA,0)+6)+INDEX(AS:AS,MATCH(AS142,$AA:$AA,0)+7))</f>
        <v>207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193</v>
      </c>
      <c r="E146" s="342" t="str">
        <f>IF(AD146=0,"",AD146)</f>
        <v/>
      </c>
      <c r="F146" s="342">
        <f>IF(AE146=301,"",AE146)</f>
        <v>223</v>
      </c>
      <c r="G146" s="342" t="str">
        <f>IF(AF146=0,"",AF146)</f>
        <v/>
      </c>
      <c r="H146" s="342">
        <f>IF(AG146=301,"",AG146)</f>
        <v>223</v>
      </c>
      <c r="I146" s="342" t="str">
        <f>IF(AH146=0,"",AH146)</f>
        <v/>
      </c>
      <c r="J146" s="342">
        <f>IF(AI146=301,"",AI146)</f>
        <v>236</v>
      </c>
      <c r="K146" s="342" t="str">
        <f>IF(AJ146=0,"",AJ146)</f>
        <v/>
      </c>
      <c r="L146" s="342">
        <f>IF(AK146=301,"",AK146)</f>
        <v>190</v>
      </c>
      <c r="M146" s="342" t="str">
        <f>IF(AL146=0,"",AL146)</f>
        <v/>
      </c>
      <c r="N146" s="342">
        <f>IF(AM146=301,"",AM146)</f>
        <v>214</v>
      </c>
      <c r="O146" s="342" t="str">
        <f>IF(AN146=0,"",AN146)</f>
        <v/>
      </c>
      <c r="P146" s="342">
        <f>IF(AO146=301,"",AO146)</f>
        <v>216</v>
      </c>
      <c r="Q146" s="342" t="str">
        <f>IF(AP146=0,"",AP146)</f>
        <v/>
      </c>
      <c r="R146" s="342">
        <f>IF(AQ146=301,"",AQ146)</f>
        <v>128</v>
      </c>
      <c r="S146" s="342" t="str">
        <f>IF(AR146=0,"",AR146)</f>
        <v/>
      </c>
      <c r="T146" s="342">
        <f>IF(AS146=301,"",AS146)</f>
        <v>202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193</v>
      </c>
      <c r="AD146" s="378"/>
      <c r="AE146" s="377">
        <f>ABS(INDEX(AE:AE,MATCH(AE142,$AA:$AA,0)+8)+INDEX(AE:AE,MATCH(AE142,$AA:$AA,0)+9)+INDEX(AE:AE,MATCH(AE142,$AA:$AA,0)+10))</f>
        <v>223</v>
      </c>
      <c r="AF146" s="378"/>
      <c r="AG146" s="377">
        <f>ABS(INDEX(AG:AG,MATCH(AG142,$AA:$AA,0)+8)+INDEX(AG:AG,MATCH(AG142,$AA:$AA,0)+9)+INDEX(AG:AG,MATCH(AG142,$AA:$AA,0)+10))</f>
        <v>223</v>
      </c>
      <c r="AH146" s="378"/>
      <c r="AI146" s="377">
        <f>ABS(INDEX(AI:AI,MATCH(AI142,$AA:$AA,0)+8)+INDEX(AI:AI,MATCH(AI142,$AA:$AA,0)+9)+INDEX(AI:AI,MATCH(AI142,$AA:$AA,0)+10))</f>
        <v>236</v>
      </c>
      <c r="AJ146" s="378"/>
      <c r="AK146" s="377">
        <f>ABS(INDEX(AK:AK,MATCH(AK142,$AA:$AA,0)+8)+INDEX(AK:AK,MATCH(AK142,$AA:$AA,0)+9)+INDEX(AK:AK,MATCH(AK142,$AA:$AA,0)+10))</f>
        <v>190</v>
      </c>
      <c r="AL146" s="378"/>
      <c r="AM146" s="377">
        <f>ABS(INDEX(AM:AM,MATCH(AM142,$AA:$AA,0)+8)+INDEX(AM:AM,MATCH(AM142,$AA:$AA,0)+9)+INDEX(AM:AM,MATCH(AM142,$AA:$AA,0)+10))</f>
        <v>214</v>
      </c>
      <c r="AN146" s="378"/>
      <c r="AO146" s="377">
        <f>ABS(INDEX(AO:AO,MATCH(AO142,$AA:$AA,0)+8)+INDEX(AO:AO,MATCH(AO142,$AA:$AA,0)+9)+INDEX(AO:AO,MATCH(AO142,$AA:$AA,0)+10))</f>
        <v>216</v>
      </c>
      <c r="AP146" s="378"/>
      <c r="AQ146" s="377">
        <f>ABS(INDEX(AQ:AQ,MATCH(AQ142,$AA:$AA,0)+8)+INDEX(AQ:AQ,MATCH(AQ142,$AA:$AA,0)+9)+INDEX(AQ:AQ,MATCH(AQ142,$AA:$AA,0)+10))</f>
        <v>128</v>
      </c>
      <c r="AR146" s="378"/>
      <c r="AS146" s="377">
        <f>ABS(INDEX(AS:AS,MATCH(AS142,$AA:$AA,0)+8)+INDEX(AS:AS,MATCH(AS142,$AA:$AA,0)+9)+INDEX(AS:AS,MATCH(AS142,$AA:$AA,0)+10))</f>
        <v>202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186</v>
      </c>
      <c r="E147" s="342" t="str">
        <f>IF(AD147=0,"",AD147)</f>
        <v/>
      </c>
      <c r="F147" s="342">
        <f>IF(AE147=301,"",AE147)</f>
        <v>192</v>
      </c>
      <c r="G147" s="342" t="str">
        <f>IF(AF147=0,"",AF147)</f>
        <v/>
      </c>
      <c r="H147" s="342">
        <f>IF(AG147=301,"",AG147)</f>
        <v>163</v>
      </c>
      <c r="I147" s="342" t="str">
        <f>IF(AH147=0,"",AH147)</f>
        <v/>
      </c>
      <c r="J147" s="342">
        <f>IF(AI147=301,"",AI147)</f>
        <v>222</v>
      </c>
      <c r="K147" s="342" t="str">
        <f>IF(AJ147=0,"",AJ147)</f>
        <v/>
      </c>
      <c r="L147" s="342">
        <f>IF(AK147=301,"",AK147)</f>
        <v>166</v>
      </c>
      <c r="M147" s="342" t="str">
        <f>IF(AL147=0,"",AL147)</f>
        <v/>
      </c>
      <c r="N147" s="342">
        <f>IF(AM147=301,"",AM147)</f>
        <v>198</v>
      </c>
      <c r="O147" s="342" t="str">
        <f>IF(AN147=0,"",AN147)</f>
        <v/>
      </c>
      <c r="P147" s="342">
        <f>IF(AO147=301,"",AO147)</f>
        <v>180</v>
      </c>
      <c r="Q147" s="342" t="str">
        <f>IF(AP147=0,"",AP147)</f>
        <v/>
      </c>
      <c r="R147" s="342">
        <f>IF(AQ147=301,"",AQ147)</f>
        <v>195</v>
      </c>
      <c r="S147" s="342" t="str">
        <f>IF(AR147=0,"",AR147)</f>
        <v/>
      </c>
      <c r="T147" s="342">
        <f>IF(AS147=301,"",AS147)</f>
        <v>214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186</v>
      </c>
      <c r="AD147" s="378"/>
      <c r="AE147" s="377">
        <f>ABS(INDEX(AE:AE,MATCH(AE142,$AA:$AA,0)+11)+INDEX(AE:AE,MATCH(AE142,$AA:$AA,0)+12)+INDEX(AE:AE,MATCH(AE142,$AA:$AA,0)+13))</f>
        <v>192</v>
      </c>
      <c r="AF147" s="378"/>
      <c r="AG147" s="377">
        <f>ABS(INDEX(AG:AG,MATCH(AG142,$AA:$AA,0)+11)+INDEX(AG:AG,MATCH(AG142,$AA:$AA,0)+12)+INDEX(AG:AG,MATCH(AG142,$AA:$AA,0)+13))</f>
        <v>163</v>
      </c>
      <c r="AH147" s="378"/>
      <c r="AI147" s="377">
        <f>ABS(INDEX(AI:AI,MATCH(AI142,$AA:$AA,0)+11)+INDEX(AI:AI,MATCH(AI142,$AA:$AA,0)+12)+INDEX(AI:AI,MATCH(AI142,$AA:$AA,0)+13))</f>
        <v>222</v>
      </c>
      <c r="AJ147" s="378"/>
      <c r="AK147" s="377">
        <f>ABS(INDEX(AK:AK,MATCH(AK142,$AA:$AA,0)+11)+INDEX(AK:AK,MATCH(AK142,$AA:$AA,0)+12)+INDEX(AK:AK,MATCH(AK142,$AA:$AA,0)+13))</f>
        <v>166</v>
      </c>
      <c r="AL147" s="378"/>
      <c r="AM147" s="377">
        <f>ABS(INDEX(AM:AM,MATCH(AM142,$AA:$AA,0)+11)+INDEX(AM:AM,MATCH(AM142,$AA:$AA,0)+12)+INDEX(AM:AM,MATCH(AM142,$AA:$AA,0)+13))</f>
        <v>198</v>
      </c>
      <c r="AN147" s="378"/>
      <c r="AO147" s="377">
        <f>ABS(INDEX(AO:AO,MATCH(AO142,$AA:$AA,0)+11)+INDEX(AO:AO,MATCH(AO142,$AA:$AA,0)+12)+INDEX(AO:AO,MATCH(AO142,$AA:$AA,0)+13))</f>
        <v>180</v>
      </c>
      <c r="AP147" s="378"/>
      <c r="AQ147" s="377">
        <f>ABS(INDEX(AQ:AQ,MATCH(AQ142,$AA:$AA,0)+11)+INDEX(AQ:AQ,MATCH(AQ142,$AA:$AA,0)+12)+INDEX(AQ:AQ,MATCH(AQ142,$AA:$AA,0)+13))</f>
        <v>195</v>
      </c>
      <c r="AR147" s="378"/>
      <c r="AS147" s="377">
        <f>ABS(INDEX(AS:AS,MATCH(AS142,$AA:$AA,0)+11)+INDEX(AS:AS,MATCH(AS142,$AA:$AA,0)+12)+INDEX(AS:AS,MATCH(AS142,$AA:$AA,0)+13))</f>
        <v>214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235</v>
      </c>
      <c r="E148" s="342" t="str">
        <f>IF(AD148=0,"",AD148)</f>
        <v/>
      </c>
      <c r="F148" s="342">
        <f>IF(AE148=301,"",AE148)</f>
        <v>187</v>
      </c>
      <c r="G148" s="342" t="str">
        <f>IF(AF148=0,"",AF148)</f>
        <v/>
      </c>
      <c r="H148" s="342">
        <f>IF(AG148=301,"",AG148)</f>
        <v>204</v>
      </c>
      <c r="I148" s="342" t="str">
        <f>IF(AH148=0,"",AH148)</f>
        <v/>
      </c>
      <c r="J148" s="342">
        <f>IF(AI148=301,"",AI148)</f>
        <v>201</v>
      </c>
      <c r="K148" s="342" t="str">
        <f>IF(AJ148=0,"",AJ148)</f>
        <v/>
      </c>
      <c r="L148" s="342">
        <f>IF(AK148=301,"",AK148)</f>
        <v>244</v>
      </c>
      <c r="M148" s="342" t="str">
        <f>IF(AL148=0,"",AL148)</f>
        <v/>
      </c>
      <c r="N148" s="342">
        <f>IF(AM148=301,"",AM148)</f>
        <v>193</v>
      </c>
      <c r="O148" s="342" t="str">
        <f>IF(AN148=0,"",AN148)</f>
        <v/>
      </c>
      <c r="P148" s="342">
        <f>IF(AO148=301,"",AO148)</f>
        <v>213</v>
      </c>
      <c r="Q148" s="342" t="str">
        <f>IF(AP148=0,"",AP148)</f>
        <v/>
      </c>
      <c r="R148" s="342">
        <f>IF(AQ148=301,"",AQ148)</f>
        <v>256</v>
      </c>
      <c r="S148" s="342" t="str">
        <f>IF(AR148=0,"",AR148)</f>
        <v/>
      </c>
      <c r="T148" s="342">
        <f>IF(AS148=301,"",AS148)</f>
        <v>172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235</v>
      </c>
      <c r="AD148" s="378"/>
      <c r="AE148" s="377">
        <f>ABS(INDEX(AE:AE,MATCH(AE142,$AA:$AA,0)+14)+INDEX(AE:AE,MATCH(AE142,$AA:$AA,0)+15)+INDEX(AE:AE,MATCH(AE142,$AA:$AA,0)+16))</f>
        <v>187</v>
      </c>
      <c r="AF148" s="378"/>
      <c r="AG148" s="377">
        <f>ABS(INDEX(AG:AG,MATCH(AG142,$AA:$AA,0)+14)+INDEX(AG:AG,MATCH(AG142,$AA:$AA,0)+15)+INDEX(AG:AG,MATCH(AG142,$AA:$AA,0)+16))</f>
        <v>204</v>
      </c>
      <c r="AH148" s="378"/>
      <c r="AI148" s="377">
        <f>ABS(INDEX(AI:AI,MATCH(AI142,$AA:$AA,0)+14)+INDEX(AI:AI,MATCH(AI142,$AA:$AA,0)+15)+INDEX(AI:AI,MATCH(AI142,$AA:$AA,0)+16))</f>
        <v>201</v>
      </c>
      <c r="AJ148" s="378"/>
      <c r="AK148" s="377">
        <f>ABS(INDEX(AK:AK,MATCH(AK142,$AA:$AA,0)+14)+INDEX(AK:AK,MATCH(AK142,$AA:$AA,0)+15)+INDEX(AK:AK,MATCH(AK142,$AA:$AA,0)+16))</f>
        <v>244</v>
      </c>
      <c r="AL148" s="378"/>
      <c r="AM148" s="377">
        <f>ABS(INDEX(AM:AM,MATCH(AM142,$AA:$AA,0)+14)+INDEX(AM:AM,MATCH(AM142,$AA:$AA,0)+15)+INDEX(AM:AM,MATCH(AM142,$AA:$AA,0)+16))</f>
        <v>193</v>
      </c>
      <c r="AN148" s="378"/>
      <c r="AO148" s="377">
        <f>ABS(INDEX(AO:AO,MATCH(AO142,$AA:$AA,0)+14)+INDEX(AO:AO,MATCH(AO142,$AA:$AA,0)+15)+INDEX(AO:AO,MATCH(AO142,$AA:$AA,0)+16))</f>
        <v>213</v>
      </c>
      <c r="AP148" s="378"/>
      <c r="AQ148" s="377">
        <f>ABS(INDEX(AQ:AQ,MATCH(AQ142,$AA:$AA,0)+14)+INDEX(AQ:AQ,MATCH(AQ142,$AA:$AA,0)+15)+INDEX(AQ:AQ,MATCH(AQ142,$AA:$AA,0)+16))</f>
        <v>256</v>
      </c>
      <c r="AR148" s="378"/>
      <c r="AS148" s="377">
        <f>ABS(INDEX(AS:AS,MATCH(AS142,$AA:$AA,0)+14)+INDEX(AS:AS,MATCH(AS142,$AA:$AA,0)+15)+INDEX(AS:AS,MATCH(AS142,$AA:$AA,0)+16))</f>
        <v>172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880</v>
      </c>
      <c r="E149" s="341" t="str">
        <f>IF(AD149=0,"",AD149)</f>
        <v/>
      </c>
      <c r="F149" s="341">
        <f>IF(AE149=1505,"",AE149)</f>
        <v>808</v>
      </c>
      <c r="G149" s="341" t="str">
        <f>IF(AF149=0,"",AF149)</f>
        <v/>
      </c>
      <c r="H149" s="341">
        <f>IF(AG149=1505,"",AG149)</f>
        <v>824</v>
      </c>
      <c r="I149" s="341" t="str">
        <f>IF(AH149=0,"",AH149)</f>
        <v/>
      </c>
      <c r="J149" s="341">
        <f>IF(AI149=1505,"",AI149)</f>
        <v>817</v>
      </c>
      <c r="K149" s="341" t="str">
        <f>IF(AJ149=0,"",AJ149)</f>
        <v/>
      </c>
      <c r="L149" s="341">
        <f>IF(AK149=1505,"",AK149)</f>
        <v>809</v>
      </c>
      <c r="M149" s="341" t="str">
        <f>IF(AL149=0,"",AL149)</f>
        <v/>
      </c>
      <c r="N149" s="341">
        <f>IF(AM149=1505,"",AM149)</f>
        <v>819</v>
      </c>
      <c r="O149" s="341" t="str">
        <f>IF(AN149=0,"",AN149)</f>
        <v/>
      </c>
      <c r="P149" s="341">
        <f>IF(AO149=1505,"",AO149)</f>
        <v>888</v>
      </c>
      <c r="Q149" s="341" t="str">
        <f>IF(AP149=0,"",AP149)</f>
        <v/>
      </c>
      <c r="R149" s="341">
        <f>IF(AQ149=1505,"",AQ149)</f>
        <v>790</v>
      </c>
      <c r="S149" s="341" t="str">
        <f>IF(AR149=0,"",AR149)</f>
        <v/>
      </c>
      <c r="T149" s="341">
        <f>IF(AS149=1505,"",AS149)</f>
        <v>795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880</v>
      </c>
      <c r="AD149" s="358"/>
      <c r="AE149" s="357">
        <f>SUM(AE145:AE148)</f>
        <v>808</v>
      </c>
      <c r="AF149" s="358"/>
      <c r="AG149" s="357">
        <f>SUM(AG145:AG148)</f>
        <v>824</v>
      </c>
      <c r="AH149" s="358"/>
      <c r="AI149" s="357">
        <f>SUM(AI145:AI148)</f>
        <v>817</v>
      </c>
      <c r="AJ149" s="358"/>
      <c r="AK149" s="357">
        <f>SUM(AK145:AK148)</f>
        <v>809</v>
      </c>
      <c r="AL149" s="358"/>
      <c r="AM149" s="357">
        <f>SUM(AM145:AM148)</f>
        <v>819</v>
      </c>
      <c r="AN149" s="358"/>
      <c r="AO149" s="357">
        <f>SUM(AO145:AO148)</f>
        <v>888</v>
      </c>
      <c r="AP149" s="358"/>
      <c r="AQ149" s="357">
        <f>SUM(AQ145:AQ148)</f>
        <v>790</v>
      </c>
      <c r="AR149" s="358"/>
      <c r="AS149" s="357">
        <f>SUM(AS145:AS148)</f>
        <v>795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15.03./16.03.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15.03./16.03.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Brunnthal Max Munich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266</v>
      </c>
      <c r="E157" s="351">
        <f>IF(AD157="","",AD157)</f>
        <v>1</v>
      </c>
      <c r="F157" s="75">
        <f t="shared" ref="F157:F170" si="174">IF(AE157=0,"",AE157)</f>
        <v>222</v>
      </c>
      <c r="G157" s="351">
        <f>IF(AF157="","",AF157)</f>
        <v>0</v>
      </c>
      <c r="H157" s="75">
        <f t="shared" ref="H157:H170" si="175">IF(AG157=0,"",AG157)</f>
        <v>203</v>
      </c>
      <c r="I157" s="351">
        <f>IF(AH157="","",AH157)</f>
        <v>1</v>
      </c>
      <c r="J157" s="75">
        <f t="shared" ref="J157:J170" si="176">IF(AI157=0,"",AI157)</f>
        <v>213</v>
      </c>
      <c r="K157" s="351">
        <f>IF(AJ157="","",AJ157)</f>
        <v>1</v>
      </c>
      <c r="L157" s="75">
        <f t="shared" ref="L157:L170" si="177">IF(AK157=0,"",AK157)</f>
        <v>185</v>
      </c>
      <c r="M157" s="351">
        <f>IF(AL157="","",AL157)</f>
        <v>0</v>
      </c>
      <c r="N157" s="75">
        <f>IF(AM157=0,"",AM157)</f>
        <v>217</v>
      </c>
      <c r="O157" s="351">
        <f>IF(AN157="","",AN157)</f>
        <v>1</v>
      </c>
      <c r="P157" s="75">
        <f t="shared" ref="P157:P170" si="178">IF(AO157=0,"",AO157)</f>
        <v>235</v>
      </c>
      <c r="Q157" s="351">
        <f>IF(AP157="","",AP157)</f>
        <v>1</v>
      </c>
      <c r="R157" s="75">
        <f t="shared" ref="R157:R170" si="179">IF(AQ157=0,"",AQ157)</f>
        <v>247</v>
      </c>
      <c r="S157" s="351">
        <f>IF(AR157="","",AR157)</f>
        <v>1</v>
      </c>
      <c r="T157" s="75">
        <f t="shared" ref="T157:T170" si="180">IF(AS157=0,"",AS157)</f>
        <v>169</v>
      </c>
      <c r="U157" s="351">
        <f>IF(AT157="","",AT157)</f>
        <v>0</v>
      </c>
      <c r="V157" s="75">
        <f t="shared" ref="V157:V170" si="181">IF(AU157=0,"",AU157)</f>
        <v>1957</v>
      </c>
      <c r="W157" s="351">
        <f>IF(AV157="","",AV157)</f>
        <v>6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266</v>
      </c>
      <c r="AD157" s="109">
        <f>IF(SUM(AC157:AC159)+AC175=0,0,IF(SUM(AC157:AC159)=AC175,0.5,IF(SUM(AC157:AC159)&gt;AC175,1,0)))</f>
        <v>1</v>
      </c>
      <c r="AE157" s="185">
        <v>222</v>
      </c>
      <c r="AF157" s="109">
        <f>IF(SUM(AE157:AE159)+AE175=0,0,IF(SUM(AE157:AE159)=AE175,0.5,IF(SUM(AE157:AE159)&gt;AE175,1,0)))</f>
        <v>0</v>
      </c>
      <c r="AG157" s="185">
        <v>203</v>
      </c>
      <c r="AH157" s="109">
        <f>IF(SUM(AG157:AG159)+AG175=0,0,IF(SUM(AG157:AG159)=AG175,0.5,IF(SUM(AG157:AG159)&gt;AG175,1,0)))</f>
        <v>1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185</v>
      </c>
      <c r="AL157" s="109">
        <f>IF(SUM(AK157:AK159)+AK175=0,0,IF(SUM(AK157:AK159)=AK175,0.5,IF(SUM(AK157:AK159)&gt;AK175,1,0)))</f>
        <v>0</v>
      </c>
      <c r="AM157" s="185">
        <v>217</v>
      </c>
      <c r="AN157" s="109">
        <f>IF(SUM(AM157:AM159)+AM175=0,0,IF(SUM(AM157:AM159)=AM175,0.5,IF(SUM(AM157:AM159)&gt;AM175,1,0)))</f>
        <v>1</v>
      </c>
      <c r="AO157" s="185">
        <v>235</v>
      </c>
      <c r="AP157" s="109">
        <f>IF(SUM(AO157:AO159)+AO175=0,0,IF(SUM(AO157:AO159)=AO175,0.5,IF(SUM(AO157:AO159)&gt;AO175,1,0)))</f>
        <v>1</v>
      </c>
      <c r="AQ157" s="185">
        <v>247</v>
      </c>
      <c r="AR157" s="109">
        <f>IF(SUM(AQ157:AQ159)+AQ175=0,0,IF(SUM(AQ157:AQ159)=AQ175,0.5,IF(SUM(AQ157:AQ159)&gt;AQ175,1,0)))</f>
        <v>1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1957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1957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266</v>
      </c>
      <c r="BI157" s="215">
        <f t="shared" ref="BI157:BI168" si="184">IF(AE157=0,"",AE157)</f>
        <v>222</v>
      </c>
      <c r="BJ157" s="215">
        <f t="shared" ref="BJ157:BJ168" si="185">IF(AG157=0,"",AG157)</f>
        <v>203</v>
      </c>
      <c r="BK157" s="215">
        <f t="shared" ref="BK157:BK168" si="186">IF(AI157=0,"",AI157)</f>
        <v>213</v>
      </c>
      <c r="BL157" s="215">
        <f t="shared" ref="BL157:BL168" si="187">IF(AK157=0,"",AK157)</f>
        <v>185</v>
      </c>
      <c r="BM157" s="215">
        <f t="shared" ref="BM157:BM168" si="188">IF(AM157=0,"",AM157)</f>
        <v>217</v>
      </c>
      <c r="BN157" s="215">
        <f t="shared" ref="BN157:BN168" si="189">IF(AO157=0,"",AO157)</f>
        <v>235</v>
      </c>
      <c r="BO157" s="215">
        <f t="shared" ref="BO157:BO168" si="190">IF(AQ157=0,"",AQ157)</f>
        <v>247</v>
      </c>
      <c r="BP157" s="215">
        <f t="shared" ref="BP157:BP168" si="191">IF(AS157=0,"",AS157)</f>
        <v>169</v>
      </c>
      <c r="BQ157" s="216"/>
      <c r="BR157" s="214"/>
      <c r="BS157" s="215">
        <f>MAX(BH157:BP157)</f>
        <v>266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3</v>
      </c>
      <c r="BW157" s="215">
        <f>SUMIF(BH157:BP157,"&gt;0")</f>
        <v>1957</v>
      </c>
      <c r="BX157" s="215">
        <f>IF(COUNTIF(BH157:BP157,"&gt;0")&lt;Spielorte!$A$23,0,BE157/Spielorte!$A$23)</f>
        <v>217.44444444444446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3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3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193</v>
      </c>
      <c r="E160" s="351">
        <f>IF(AD160="","",AD160)</f>
        <v>0</v>
      </c>
      <c r="F160" s="75">
        <f t="shared" si="174"/>
        <v>245</v>
      </c>
      <c r="G160" s="351">
        <f>IF(AF160="","",AF160)</f>
        <v>1</v>
      </c>
      <c r="H160" s="75">
        <f t="shared" si="175"/>
        <v>211</v>
      </c>
      <c r="I160" s="351">
        <f>IF(AH160="","",AH160)</f>
        <v>1</v>
      </c>
      <c r="J160" s="75">
        <f t="shared" si="176"/>
        <v>195</v>
      </c>
      <c r="K160" s="351">
        <f>IF(AJ160="","",AJ160)</f>
        <v>0</v>
      </c>
      <c r="L160" s="75">
        <f t="shared" si="177"/>
        <v>181</v>
      </c>
      <c r="M160" s="351">
        <f>IF(AL160="","",AL160)</f>
        <v>0</v>
      </c>
      <c r="N160" s="75">
        <f t="shared" si="194"/>
        <v>142</v>
      </c>
      <c r="O160" s="351">
        <f>IF(AN160="","",AN160)</f>
        <v>0</v>
      </c>
      <c r="P160" s="75" t="str">
        <f t="shared" si="178"/>
        <v/>
      </c>
      <c r="Q160" s="351">
        <f>IF(AP160="","",AP160)</f>
        <v>0</v>
      </c>
      <c r="R160" s="75" t="str">
        <f t="shared" si="179"/>
        <v/>
      </c>
      <c r="S160" s="351">
        <f>IF(AR160="","",AR160)</f>
        <v>1</v>
      </c>
      <c r="T160" s="75" t="str">
        <f t="shared" si="180"/>
        <v/>
      </c>
      <c r="U160" s="351">
        <f>IF(AT160="","",AT160)</f>
        <v>1</v>
      </c>
      <c r="V160" s="75">
        <f t="shared" si="181"/>
        <v>1167</v>
      </c>
      <c r="W160" s="351">
        <f>IF(AV160="","",AV160)</f>
        <v>4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193</v>
      </c>
      <c r="AD160" s="109">
        <f>IF(SUM(AC160:AC162)+AC176=0,0,IF(SUM(AC160:AC162)=AC176,0.5,IF(SUM(AC160:AC162)&gt;AC176,1,0)))</f>
        <v>0</v>
      </c>
      <c r="AE160" s="188">
        <v>245</v>
      </c>
      <c r="AF160" s="109">
        <f>IF(SUM(AE160:AE162)+AE176=0,0,IF(SUM(AE160:AE162)=AE176,0.5,IF(SUM(AE160:AE162)&gt;AE176,1,0)))</f>
        <v>1</v>
      </c>
      <c r="AG160" s="188">
        <v>211</v>
      </c>
      <c r="AH160" s="109">
        <f>IF(SUM(AG160:AG162)+AG176=0,0,IF(SUM(AG160:AG162)=AG176,0.5,IF(SUM(AG160:AG162)&gt;AG176,1,0)))</f>
        <v>1</v>
      </c>
      <c r="AI160" s="188">
        <v>195</v>
      </c>
      <c r="AJ160" s="109">
        <f>IF(SUM(AI160:AI162)+AI176=0,0,IF(SUM(AI160:AI162)=AI176,0.5,IF(SUM(AI160:AI162)&gt;AI176,1,0)))</f>
        <v>0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142</v>
      </c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1167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1167</v>
      </c>
      <c r="BF160" s="215">
        <f t="shared" si="197"/>
        <v>6</v>
      </c>
      <c r="BG160" s="215">
        <f t="shared" si="198"/>
        <v>6</v>
      </c>
      <c r="BH160" s="215">
        <f t="shared" si="183"/>
        <v>193</v>
      </c>
      <c r="BI160" s="215">
        <f t="shared" si="184"/>
        <v>245</v>
      </c>
      <c r="BJ160" s="215">
        <f t="shared" si="185"/>
        <v>211</v>
      </c>
      <c r="BK160" s="215">
        <f t="shared" si="186"/>
        <v>195</v>
      </c>
      <c r="BL160" s="215">
        <f t="shared" si="187"/>
        <v>181</v>
      </c>
      <c r="BM160" s="215">
        <f t="shared" si="188"/>
        <v>142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245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3</v>
      </c>
      <c r="BW160" s="215">
        <f t="shared" si="203"/>
        <v>1167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>Wendel, Dominik</v>
      </c>
      <c r="C161" s="77">
        <f t="shared" si="193"/>
        <v>16852</v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>
        <f t="shared" si="178"/>
        <v>160</v>
      </c>
      <c r="Q161" s="352"/>
      <c r="R161" s="78">
        <f t="shared" si="179"/>
        <v>213</v>
      </c>
      <c r="S161" s="352"/>
      <c r="T161" s="78">
        <f t="shared" si="180"/>
        <v>223</v>
      </c>
      <c r="U161" s="352"/>
      <c r="V161" s="78">
        <f t="shared" si="181"/>
        <v>596</v>
      </c>
      <c r="W161" s="352"/>
      <c r="Z161" s="355"/>
      <c r="AA161" s="108" t="str">
        <f>IF(AB161=0,"",VLOOKUP(AB161,Starter!$A$1:$D$199,2,FALSE))</f>
        <v>Wendel, Dominik</v>
      </c>
      <c r="AB161" s="98">
        <v>16852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160</v>
      </c>
      <c r="AP161" s="112"/>
      <c r="AQ161" s="190">
        <v>213</v>
      </c>
      <c r="AR161" s="112"/>
      <c r="AS161" s="190">
        <v>223</v>
      </c>
      <c r="AT161" s="112"/>
      <c r="AU161" s="113">
        <f t="shared" si="182"/>
        <v>596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16852</v>
      </c>
      <c r="BE161" s="213">
        <f t="shared" si="196"/>
        <v>596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160</v>
      </c>
      <c r="BO161" s="215">
        <f t="shared" si="190"/>
        <v>213</v>
      </c>
      <c r="BP161" s="215">
        <f t="shared" si="191"/>
        <v>223</v>
      </c>
      <c r="BQ161" s="216"/>
      <c r="BR161" s="214"/>
      <c r="BS161" s="215">
        <f t="shared" si="199"/>
        <v>223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3</v>
      </c>
      <c r="BW161" s="215">
        <f t="shared" si="203"/>
        <v>596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3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186</v>
      </c>
      <c r="E163" s="351">
        <f>IF(AD163="","",AD163)</f>
        <v>0</v>
      </c>
      <c r="F163" s="75">
        <f t="shared" si="174"/>
        <v>209</v>
      </c>
      <c r="G163" s="351">
        <f>IF(AF163="","",AF163)</f>
        <v>0</v>
      </c>
      <c r="H163" s="75">
        <f t="shared" si="175"/>
        <v>172</v>
      </c>
      <c r="I163" s="351">
        <f>IF(AH163="","",AH163)</f>
        <v>1</v>
      </c>
      <c r="J163" s="75">
        <f t="shared" si="176"/>
        <v>191</v>
      </c>
      <c r="K163" s="351">
        <f>IF(AJ163="","",AJ163)</f>
        <v>0</v>
      </c>
      <c r="L163" s="75">
        <f t="shared" si="177"/>
        <v>184</v>
      </c>
      <c r="M163" s="351">
        <f>IF(AL163="","",AL163)</f>
        <v>0</v>
      </c>
      <c r="N163" s="75">
        <f t="shared" si="194"/>
        <v>183</v>
      </c>
      <c r="O163" s="351">
        <f>IF(AN163="","",AN163)</f>
        <v>0</v>
      </c>
      <c r="P163" s="75">
        <f t="shared" si="178"/>
        <v>188</v>
      </c>
      <c r="Q163" s="351">
        <f>IF(AP163="","",AP163)</f>
        <v>1</v>
      </c>
      <c r="R163" s="75">
        <f t="shared" si="179"/>
        <v>179</v>
      </c>
      <c r="S163" s="351">
        <f>IF(AR163="","",AR163)</f>
        <v>0</v>
      </c>
      <c r="T163" s="75">
        <f t="shared" si="180"/>
        <v>213</v>
      </c>
      <c r="U163" s="351">
        <f>IF(AT163="","",AT163)</f>
        <v>1</v>
      </c>
      <c r="V163" s="75">
        <f t="shared" si="181"/>
        <v>1705</v>
      </c>
      <c r="W163" s="351">
        <f>IF(AV163="","",AV163)</f>
        <v>3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186</v>
      </c>
      <c r="AD163" s="109">
        <f>IF(SUM(AC163:AC165)+AC177=0,0,IF(SUM(AC163:AC165)=AC177,0.5,IF(SUM(AC163:AC165)&gt;AC177,1,0)))</f>
        <v>0</v>
      </c>
      <c r="AE163" s="188">
        <v>209</v>
      </c>
      <c r="AF163" s="109">
        <f>IF(SUM(AE163:AE165)+AE177=0,0,IF(SUM(AE163:AE165)=AE177,0.5,IF(SUM(AE163:AE165)&gt;AE177,1,0)))</f>
        <v>0</v>
      </c>
      <c r="AG163" s="188">
        <v>172</v>
      </c>
      <c r="AH163" s="109">
        <f>IF(SUM(AG163:AG165)+AG177=0,0,IF(SUM(AG163:AG165)=AG177,0.5,IF(SUM(AG163:AG165)&gt;AG177,1,0)))</f>
        <v>1</v>
      </c>
      <c r="AI163" s="188">
        <v>191</v>
      </c>
      <c r="AJ163" s="109">
        <f>IF(SUM(AI163:AI165)+AI177=0,0,IF(SUM(AI163:AI165)=AI177,0.5,IF(SUM(AI163:AI165)&gt;AI177,1,0)))</f>
        <v>0</v>
      </c>
      <c r="AK163" s="188">
        <v>184</v>
      </c>
      <c r="AL163" s="109">
        <f>IF(SUM(AK163:AK165)+AK177=0,0,IF(SUM(AK163:AK165)=AK177,0.5,IF(SUM(AK163:AK165)&gt;AK177,1,0)))</f>
        <v>0</v>
      </c>
      <c r="AM163" s="188">
        <v>183</v>
      </c>
      <c r="AN163" s="109">
        <f>IF(SUM(AM163:AM165)+AM177=0,0,IF(SUM(AM163:AM165)=AM177,0.5,IF(SUM(AM163:AM165)&gt;AM177,1,0)))</f>
        <v>0</v>
      </c>
      <c r="AO163" s="188">
        <v>188</v>
      </c>
      <c r="AP163" s="109">
        <f>IF(SUM(AO163:AO165)+AO177=0,0,IF(SUM(AO163:AO165)=AO177,0.5,IF(SUM(AO163:AO165)&gt;AO177,1,0)))</f>
        <v>1</v>
      </c>
      <c r="AQ163" s="188">
        <v>179</v>
      </c>
      <c r="AR163" s="109">
        <f>IF(SUM(AQ163:AQ165)+AQ177=0,0,IF(SUM(AQ163:AQ165)=AQ177,0.5,IF(SUM(AQ163:AQ165)&gt;AQ177,1,0)))</f>
        <v>0</v>
      </c>
      <c r="AS163" s="188">
        <v>213</v>
      </c>
      <c r="AT163" s="109">
        <f>IF(SUM(AS163:AS165)+AS177=0,0,IF(SUM(AS163:AS165)=AS177,0.5,IF(SUM(AS163:AS165)&gt;AS177,1,0)))</f>
        <v>1</v>
      </c>
      <c r="AU163" s="110">
        <f t="shared" si="182"/>
        <v>1705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1705</v>
      </c>
      <c r="BF163" s="215">
        <f t="shared" si="197"/>
        <v>9</v>
      </c>
      <c r="BG163" s="215">
        <f t="shared" si="198"/>
        <v>9</v>
      </c>
      <c r="BH163" s="215">
        <f t="shared" si="183"/>
        <v>186</v>
      </c>
      <c r="BI163" s="215">
        <f t="shared" si="184"/>
        <v>209</v>
      </c>
      <c r="BJ163" s="215">
        <f t="shared" si="185"/>
        <v>172</v>
      </c>
      <c r="BK163" s="215">
        <f t="shared" si="186"/>
        <v>191</v>
      </c>
      <c r="BL163" s="215">
        <f t="shared" si="187"/>
        <v>184</v>
      </c>
      <c r="BM163" s="215">
        <f t="shared" si="188"/>
        <v>183</v>
      </c>
      <c r="BN163" s="215">
        <f t="shared" si="189"/>
        <v>188</v>
      </c>
      <c r="BO163" s="215">
        <f t="shared" si="190"/>
        <v>179</v>
      </c>
      <c r="BP163" s="215">
        <f t="shared" si="191"/>
        <v>213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3</v>
      </c>
      <c r="BW163" s="215">
        <f t="shared" si="203"/>
        <v>1705</v>
      </c>
      <c r="BX163" s="215">
        <f>IF(COUNTIF(BH163:BP163,"&gt;0")&lt;Spielorte!$A$23,0,BE163/Spielorte!$A$23)</f>
        <v>189.44444444444446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3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3"/>
        <v>16495</v>
      </c>
      <c r="D166" s="75">
        <f t="shared" si="193"/>
        <v>235</v>
      </c>
      <c r="E166" s="351">
        <f>IF(AD166="","",AD166)</f>
        <v>1</v>
      </c>
      <c r="F166" s="75">
        <f t="shared" si="174"/>
        <v>189</v>
      </c>
      <c r="G166" s="351">
        <f>IF(AF166="","",AF166)</f>
        <v>0</v>
      </c>
      <c r="H166" s="75">
        <f t="shared" si="175"/>
        <v>227</v>
      </c>
      <c r="I166" s="351">
        <f>IF(AH166="","",AH166)</f>
        <v>1</v>
      </c>
      <c r="J166" s="75">
        <f t="shared" si="176"/>
        <v>212</v>
      </c>
      <c r="K166" s="351">
        <f>IF(AJ166="","",AJ166)</f>
        <v>1</v>
      </c>
      <c r="L166" s="75">
        <f t="shared" si="177"/>
        <v>202</v>
      </c>
      <c r="M166" s="351">
        <f>IF(AL166="","",AL166)</f>
        <v>1</v>
      </c>
      <c r="N166" s="75">
        <f t="shared" si="194"/>
        <v>206</v>
      </c>
      <c r="O166" s="351">
        <f>IF(AN166="","",AN166)</f>
        <v>1</v>
      </c>
      <c r="P166" s="75">
        <f t="shared" si="178"/>
        <v>180</v>
      </c>
      <c r="Q166" s="351">
        <f>IF(AP166="","",AP166)</f>
        <v>1</v>
      </c>
      <c r="R166" s="75">
        <f t="shared" si="179"/>
        <v>202</v>
      </c>
      <c r="S166" s="351">
        <f>IF(AR166="","",AR166)</f>
        <v>0</v>
      </c>
      <c r="T166" s="75">
        <f t="shared" si="180"/>
        <v>181</v>
      </c>
      <c r="U166" s="351">
        <f>IF(AT166="","",AT166)</f>
        <v>0</v>
      </c>
      <c r="V166" s="75">
        <f t="shared" si="181"/>
        <v>1834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235</v>
      </c>
      <c r="AD166" s="109">
        <f>IF(SUM(AC166:AC168)+AC178=0,0,IF(SUM(AC166:AC168)=AC178,0.5,IF(SUM(AC166:AC168)&gt;AC178,1,0)))</f>
        <v>1</v>
      </c>
      <c r="AE166" s="188">
        <v>189</v>
      </c>
      <c r="AF166" s="109">
        <f>IF(SUM(AE166:AE168)+AE178=0,0,IF(SUM(AE166:AE168)=AE178,0.5,IF(SUM(AE166:AE168)&gt;AE178,1,0)))</f>
        <v>0</v>
      </c>
      <c r="AG166" s="188">
        <v>227</v>
      </c>
      <c r="AH166" s="109">
        <f>IF(SUM(AG166:AG168)+AG178=0,0,IF(SUM(AG166:AG168)=AG178,0.5,IF(SUM(AG166:AG168)&gt;AG178,1,0)))</f>
        <v>1</v>
      </c>
      <c r="AI166" s="188">
        <v>212</v>
      </c>
      <c r="AJ166" s="109">
        <f>IF(SUM(AI166:AI168)+AI178=0,0,IF(SUM(AI166:AI168)=AI178,0.5,IF(SUM(AI166:AI168)&gt;AI178,1,0)))</f>
        <v>1</v>
      </c>
      <c r="AK166" s="188">
        <v>202</v>
      </c>
      <c r="AL166" s="109">
        <f>IF(SUM(AK166:AK168)+AK178=0,0,IF(SUM(AK166:AK168)=AK178,0.5,IF(SUM(AK166:AK168)&gt;AK178,1,0)))</f>
        <v>1</v>
      </c>
      <c r="AM166" s="188">
        <v>206</v>
      </c>
      <c r="AN166" s="109">
        <f>IF(SUM(AM166:AM168)+AM178=0,0,IF(SUM(AM166:AM168)=AM178,0.5,IF(SUM(AM166:AM168)&gt;AM178,1,0)))</f>
        <v>1</v>
      </c>
      <c r="AO166" s="188">
        <v>180</v>
      </c>
      <c r="AP166" s="109">
        <f>IF(SUM(AO166:AO168)+AO178=0,0,IF(SUM(AO166:AO168)=AO178,0.5,IF(SUM(AO166:AO168)&gt;AO178,1,0)))</f>
        <v>1</v>
      </c>
      <c r="AQ166" s="188">
        <v>202</v>
      </c>
      <c r="AR166" s="109">
        <f>IF(SUM(AQ166:AQ168)+AQ178=0,0,IF(SUM(AQ166:AQ168)=AQ178,0.5,IF(SUM(AQ166:AQ168)&gt;AQ178,1,0)))</f>
        <v>0</v>
      </c>
      <c r="AS166" s="188">
        <v>181</v>
      </c>
      <c r="AT166" s="109">
        <f>IF(SUM(AS166:AS168)+AS178=0,0,IF(SUM(AS166:AS168)=AS178,0.5,IF(SUM(AS166:AS168)&gt;AS178,1,0)))</f>
        <v>0</v>
      </c>
      <c r="AU166" s="110">
        <f t="shared" si="182"/>
        <v>1834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5"/>
        <v>16495</v>
      </c>
      <c r="BE166" s="213">
        <f t="shared" si="196"/>
        <v>1834</v>
      </c>
      <c r="BF166" s="215">
        <f t="shared" si="197"/>
        <v>9</v>
      </c>
      <c r="BG166" s="215">
        <f t="shared" si="198"/>
        <v>9</v>
      </c>
      <c r="BH166" s="215">
        <f t="shared" si="183"/>
        <v>235</v>
      </c>
      <c r="BI166" s="215">
        <f t="shared" si="184"/>
        <v>189</v>
      </c>
      <c r="BJ166" s="215">
        <f t="shared" si="185"/>
        <v>227</v>
      </c>
      <c r="BK166" s="215">
        <f t="shared" si="186"/>
        <v>212</v>
      </c>
      <c r="BL166" s="215">
        <f t="shared" si="187"/>
        <v>202</v>
      </c>
      <c r="BM166" s="215">
        <f t="shared" si="188"/>
        <v>206</v>
      </c>
      <c r="BN166" s="215">
        <f t="shared" si="189"/>
        <v>180</v>
      </c>
      <c r="BO166" s="215">
        <f t="shared" si="190"/>
        <v>202</v>
      </c>
      <c r="BP166" s="215">
        <f t="shared" si="191"/>
        <v>181</v>
      </c>
      <c r="BQ166" s="216"/>
      <c r="BR166" s="214"/>
      <c r="BS166" s="215">
        <f t="shared" si="199"/>
        <v>235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3</v>
      </c>
      <c r="BW166" s="215">
        <f t="shared" si="203"/>
        <v>1834</v>
      </c>
      <c r="BX166" s="215">
        <f>IF(COUNTIF(BH166:BP166,"&gt;0")&lt;Spielorte!$A$23,0,BE166/Spielorte!$A$23)</f>
        <v>203.77777777777777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3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3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880</v>
      </c>
      <c r="E169" s="84">
        <f>IF(AD169="","",AD169)</f>
        <v>2</v>
      </c>
      <c r="F169" s="83">
        <f t="shared" si="174"/>
        <v>865</v>
      </c>
      <c r="G169" s="84">
        <f>IF(AF169="","",AF169)</f>
        <v>0</v>
      </c>
      <c r="H169" s="83">
        <f t="shared" si="175"/>
        <v>813</v>
      </c>
      <c r="I169" s="84">
        <f>IF(AH169="","",AH169)</f>
        <v>2</v>
      </c>
      <c r="J169" s="83">
        <f t="shared" si="176"/>
        <v>811</v>
      </c>
      <c r="K169" s="84">
        <f>IF(AJ169="","",AJ169)</f>
        <v>0</v>
      </c>
      <c r="L169" s="83">
        <f t="shared" si="177"/>
        <v>752</v>
      </c>
      <c r="M169" s="84">
        <f>IF(AL169="","",AL169)</f>
        <v>0</v>
      </c>
      <c r="N169" s="83">
        <f t="shared" si="194"/>
        <v>748</v>
      </c>
      <c r="O169" s="84">
        <f>IF(AN169="","",AN169)</f>
        <v>0</v>
      </c>
      <c r="P169" s="83">
        <f t="shared" si="178"/>
        <v>763</v>
      </c>
      <c r="Q169" s="84">
        <f>IF(AP169="","",AP169)</f>
        <v>2</v>
      </c>
      <c r="R169" s="83">
        <f t="shared" si="179"/>
        <v>841</v>
      </c>
      <c r="S169" s="84">
        <f>IF(AR169="","",AR169)</f>
        <v>2</v>
      </c>
      <c r="T169" s="83">
        <f t="shared" si="180"/>
        <v>786</v>
      </c>
      <c r="U169" s="84">
        <f>IF(AT169="","",AT169)</f>
        <v>0</v>
      </c>
      <c r="V169" s="83">
        <f t="shared" si="181"/>
        <v>7259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880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865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813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811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752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763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841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786</v>
      </c>
      <c r="AT169" s="121">
        <f>IF(AS169+AS179=0,0,IF(AS169=AS179,1,IF(AS169&gt;AS179,2,0)))</f>
        <v>0</v>
      </c>
      <c r="AU169" s="122">
        <f>SUM(AC169+AE169+AG169+AI169+AK169+AM169+AO169+AQ169+AS169)</f>
        <v>7259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2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2</v>
      </c>
      <c r="V170" s="86" t="str">
        <f t="shared" si="181"/>
        <v/>
      </c>
      <c r="W170" s="87">
        <f>IF(AV170="","",AV170)</f>
        <v>27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1</v>
      </c>
      <c r="AG170" s="86"/>
      <c r="AH170" s="124">
        <f>SUM(AH157:AH169)</f>
        <v>6</v>
      </c>
      <c r="AI170" s="86"/>
      <c r="AJ170" s="124">
        <f>SUM(AJ157:AJ169)</f>
        <v>2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5</v>
      </c>
      <c r="AQ170" s="86"/>
      <c r="AR170" s="124">
        <f>SUM(AR157:AR169)</f>
        <v>4</v>
      </c>
      <c r="AS170" s="86"/>
      <c r="AT170" s="124">
        <f>SUM(AT157:AT169)</f>
        <v>2</v>
      </c>
      <c r="AU170" s="86"/>
      <c r="AV170" s="125">
        <f>SUM(AV157:AV169)</f>
        <v>27</v>
      </c>
      <c r="AW170" s="101"/>
      <c r="AX170" s="102"/>
      <c r="BA170" s="212">
        <f>+AV170</f>
        <v>27</v>
      </c>
      <c r="BB170" s="213">
        <f>+AU169</f>
        <v>7259</v>
      </c>
      <c r="BC170" s="214">
        <f>+AA152</f>
        <v>6</v>
      </c>
      <c r="BF170" s="215">
        <f>SUM(BF151:BF169)</f>
        <v>36</v>
      </c>
      <c r="BQ170" s="212">
        <f>+BB170/1000000+BA170</f>
        <v>27.007259000000001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5</v>
      </c>
      <c r="E172" s="349" t="str">
        <f t="shared" si="205"/>
        <v/>
      </c>
      <c r="F172" s="349">
        <f t="shared" si="205"/>
        <v>1</v>
      </c>
      <c r="G172" s="349" t="str">
        <f t="shared" si="205"/>
        <v/>
      </c>
      <c r="H172" s="349">
        <f t="shared" si="205"/>
        <v>7</v>
      </c>
      <c r="I172" s="349" t="str">
        <f t="shared" si="205"/>
        <v/>
      </c>
      <c r="J172" s="349">
        <f t="shared" si="205"/>
        <v>8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9</v>
      </c>
      <c r="O172" s="349" t="str">
        <f t="shared" si="205"/>
        <v/>
      </c>
      <c r="P172" s="349">
        <f t="shared" si="205"/>
        <v>4</v>
      </c>
      <c r="Q172" s="349" t="str">
        <f t="shared" si="205"/>
        <v/>
      </c>
      <c r="R172" s="349">
        <f t="shared" ref="L172:U174" si="206">IF(AQ172=0,"",AQ172)</f>
        <v>10</v>
      </c>
      <c r="S172" s="349" t="str">
        <f t="shared" si="206"/>
        <v/>
      </c>
      <c r="T172" s="349">
        <f t="shared" si="206"/>
        <v>3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VLOOKUP($AA152,Schlüssel!$A$5:$DG$14,83)</f>
        <v>5</v>
      </c>
      <c r="AD172" s="374"/>
      <c r="AE172" s="373">
        <f>VLOOKUP($AA152,Schlüssel!$A$5:$EK$14,84)</f>
        <v>1</v>
      </c>
      <c r="AF172" s="374"/>
      <c r="AG172" s="373">
        <f>VLOOKUP($AA152,Schlüssel!$A$5:$EK$14,85)</f>
        <v>7</v>
      </c>
      <c r="AH172" s="374"/>
      <c r="AI172" s="373">
        <f>VLOOKUP($AA152,Schlüssel!$A$5:$EK$14,86)</f>
        <v>8</v>
      </c>
      <c r="AJ172" s="374"/>
      <c r="AK172" s="373">
        <f>VLOOKUP($AA152,Schlüssel!$A$5:$EK$14,87)</f>
        <v>2</v>
      </c>
      <c r="AL172" s="374"/>
      <c r="AM172" s="373">
        <f>VLOOKUP($AA152,Schlüssel!$A$5:$EK$14,88)</f>
        <v>9</v>
      </c>
      <c r="AN172" s="374"/>
      <c r="AO172" s="373">
        <f>VLOOKUP($AA152,Schlüssel!$A$5:$EK$14,89)</f>
        <v>4</v>
      </c>
      <c r="AP172" s="374"/>
      <c r="AQ172" s="373">
        <f>VLOOKUP($AA152,Schlüssel!$A$5:$EK$14,90)</f>
        <v>10</v>
      </c>
      <c r="AR172" s="374"/>
      <c r="AS172" s="373">
        <f>VLOOKUP($AA152,Schlüssel!$A$5:$EK$14,91)</f>
        <v>3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RW Lichtenhof Stein 1</v>
      </c>
      <c r="E173" s="347" t="str">
        <f t="shared" si="207"/>
        <v/>
      </c>
      <c r="F173" s="346" t="str">
        <f t="shared" si="207"/>
        <v>BC Comet Nürnberg</v>
      </c>
      <c r="G173" s="347" t="str">
        <f t="shared" si="207"/>
        <v/>
      </c>
      <c r="H173" s="346" t="str">
        <f t="shared" si="207"/>
        <v>Schanzer Ingolstadt 1</v>
      </c>
      <c r="I173" s="347" t="str">
        <f t="shared" si="207"/>
        <v/>
      </c>
      <c r="J173" s="346" t="str">
        <f t="shared" si="207"/>
        <v>BC EMAX Unterföhring 2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Bowlinghaus Bamberg 1</v>
      </c>
      <c r="O173" s="347" t="str">
        <f t="shared" si="206"/>
        <v/>
      </c>
      <c r="P173" s="346" t="str">
        <f t="shared" si="206"/>
        <v>SG DJK Rimpar</v>
      </c>
      <c r="Q173" s="347" t="str">
        <f t="shared" si="206"/>
        <v/>
      </c>
      <c r="R173" s="346" t="str">
        <f t="shared" si="206"/>
        <v>High Roller Rosenheim 1</v>
      </c>
      <c r="S173" s="347" t="str">
        <f t="shared" si="206"/>
        <v/>
      </c>
      <c r="T173" s="346" t="str">
        <f t="shared" si="206"/>
        <v>BK München 3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RW Lichtenhof Stein 1</v>
      </c>
      <c r="AD173" s="347"/>
      <c r="AE173" s="346" t="str">
        <f>VLOOKUP(AE172,Schlüssel!$A$5:$K$14,2)</f>
        <v>BC Comet Nürnberg</v>
      </c>
      <c r="AF173" s="347"/>
      <c r="AG173" s="346" t="str">
        <f>VLOOKUP(AG172,Schlüssel!$A$5:$K$14,2)</f>
        <v>Schanzer Ingolstadt 1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Bowlinghaus Bamberg 1</v>
      </c>
      <c r="AN173" s="347"/>
      <c r="AO173" s="346" t="str">
        <f>VLOOKUP(AO172,Schlüssel!$A$5:$K$14,2)</f>
        <v>SG DJK Rimpar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BK München 3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191</v>
      </c>
      <c r="E175" s="342" t="str">
        <f>IF(AD175=0,"",AD175)</f>
        <v/>
      </c>
      <c r="F175" s="342">
        <f>IF(AE175=301,"",AE175)</f>
        <v>300</v>
      </c>
      <c r="G175" s="342" t="str">
        <f>IF(AF175=0,"",AF175)</f>
        <v/>
      </c>
      <c r="H175" s="342">
        <f>IF(AG175=301,"",AG175)</f>
        <v>149</v>
      </c>
      <c r="I175" s="342" t="str">
        <f>IF(AH175=0,"",AH175)</f>
        <v/>
      </c>
      <c r="J175" s="342">
        <f>IF(AI175=301,"",AI175)</f>
        <v>175</v>
      </c>
      <c r="K175" s="342" t="str">
        <f>IF(AJ175=0,"",AJ175)</f>
        <v/>
      </c>
      <c r="L175" s="342">
        <f>IF(AK175=301,"",AK175)</f>
        <v>239</v>
      </c>
      <c r="M175" s="342" t="str">
        <f>IF(AL175=0,"",AL175)</f>
        <v/>
      </c>
      <c r="N175" s="342">
        <f>IF(AM175=301,"",AM175)</f>
        <v>202</v>
      </c>
      <c r="O175" s="342" t="str">
        <f>IF(AN175=0,"",AN175)</f>
        <v/>
      </c>
      <c r="P175" s="342">
        <f>IF(AO175=301,"",AO175)</f>
        <v>220</v>
      </c>
      <c r="Q175" s="342" t="str">
        <f>IF(AP175=0,"",AP175)</f>
        <v/>
      </c>
      <c r="R175" s="342">
        <f>IF(AQ175=301,"",AQ175)</f>
        <v>236</v>
      </c>
      <c r="S175" s="342" t="str">
        <f>IF(AR175=0,"",AR175)</f>
        <v/>
      </c>
      <c r="T175" s="342">
        <f>IF(AS175=301,"",AS175)</f>
        <v>258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191</v>
      </c>
      <c r="AD175" s="376"/>
      <c r="AE175" s="375">
        <f>ABS(INDEX(AE:AE,MATCH(AE172,$AA:$AA,0)+5)+INDEX(AE:AE,MATCH(AE172,$AA:$AA,0)+6)+INDEX(AE:AE,MATCH(AE172,$AA:$AA,0)+7))</f>
        <v>300</v>
      </c>
      <c r="AF175" s="376"/>
      <c r="AG175" s="375">
        <f>ABS(INDEX(AG:AG,MATCH(AG172,$AA:$AA,0)+5)+INDEX(AG:AG,MATCH(AG172,$AA:$AA,0)+6)+INDEX(AG:AG,MATCH(AG172,$AA:$AA,0)+7))</f>
        <v>149</v>
      </c>
      <c r="AH175" s="376"/>
      <c r="AI175" s="375">
        <f>ABS(INDEX(AI:AI,MATCH(AI172,$AA:$AA,0)+5)+INDEX(AI:AI,MATCH(AI172,$AA:$AA,0)+6)+INDEX(AI:AI,MATCH(AI172,$AA:$AA,0)+7))</f>
        <v>175</v>
      </c>
      <c r="AJ175" s="376"/>
      <c r="AK175" s="375">
        <f>ABS(INDEX(AK:AK,MATCH(AK172,$AA:$AA,0)+5)+INDEX(AK:AK,MATCH(AK172,$AA:$AA,0)+6)+INDEX(AK:AK,MATCH(AK172,$AA:$AA,0)+7))</f>
        <v>239</v>
      </c>
      <c r="AL175" s="376"/>
      <c r="AM175" s="375">
        <f>ABS(INDEX(AM:AM,MATCH(AM172,$AA:$AA,0)+5)+INDEX(AM:AM,MATCH(AM172,$AA:$AA,0)+6)+INDEX(AM:AM,MATCH(AM172,$AA:$AA,0)+7))</f>
        <v>202</v>
      </c>
      <c r="AN175" s="376"/>
      <c r="AO175" s="375">
        <f>ABS(INDEX(AO:AO,MATCH(AO172,$AA:$AA,0)+5)+INDEX(AO:AO,MATCH(AO172,$AA:$AA,0)+6)+INDEX(AO:AO,MATCH(AO172,$AA:$AA,0)+7))</f>
        <v>220</v>
      </c>
      <c r="AP175" s="376"/>
      <c r="AQ175" s="375">
        <f>ABS(INDEX(AQ:AQ,MATCH(AQ172,$AA:$AA,0)+5)+INDEX(AQ:AQ,MATCH(AQ172,$AA:$AA,0)+6)+INDEX(AQ:AQ,MATCH(AQ172,$AA:$AA,0)+7))</f>
        <v>236</v>
      </c>
      <c r="AR175" s="376"/>
      <c r="AS175" s="375">
        <f>ABS(INDEX(AS:AS,MATCH(AS172,$AA:$AA,0)+5)+INDEX(AS:AS,MATCH(AS172,$AA:$AA,0)+6)+INDEX(AS:AS,MATCH(AS172,$AA:$AA,0)+7))</f>
        <v>258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200</v>
      </c>
      <c r="E176" s="342" t="str">
        <f>IF(AD176=0,"",AD176)</f>
        <v/>
      </c>
      <c r="F176" s="342">
        <f>IF(AE176=301,"",AE176)</f>
        <v>224</v>
      </c>
      <c r="G176" s="342" t="str">
        <f>IF(AF176=0,"",AF176)</f>
        <v/>
      </c>
      <c r="H176" s="342">
        <f>IF(AG176=301,"",AG176)</f>
        <v>209</v>
      </c>
      <c r="I176" s="342" t="str">
        <f>IF(AH176=0,"",AH176)</f>
        <v/>
      </c>
      <c r="J176" s="342">
        <f>IF(AI176=301,"",AI176)</f>
        <v>232</v>
      </c>
      <c r="K176" s="342" t="str">
        <f>IF(AJ176=0,"",AJ176)</f>
        <v/>
      </c>
      <c r="L176" s="342">
        <f>IF(AK176=301,"",AK176)</f>
        <v>229</v>
      </c>
      <c r="M176" s="342" t="str">
        <f>IF(AL176=0,"",AL176)</f>
        <v/>
      </c>
      <c r="N176" s="342">
        <f>IF(AM176=301,"",AM176)</f>
        <v>206</v>
      </c>
      <c r="O176" s="342" t="str">
        <f>IF(AN176=0,"",AN176)</f>
        <v/>
      </c>
      <c r="P176" s="342">
        <f>IF(AO176=301,"",AO176)</f>
        <v>166</v>
      </c>
      <c r="Q176" s="342" t="str">
        <f>IF(AP176=0,"",AP176)</f>
        <v/>
      </c>
      <c r="R176" s="342">
        <f>IF(AQ176=301,"",AQ176)</f>
        <v>183</v>
      </c>
      <c r="S176" s="342" t="str">
        <f>IF(AR176=0,"",AR176)</f>
        <v/>
      </c>
      <c r="T176" s="342">
        <f>IF(AS176=301,"",AS176)</f>
        <v>211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200</v>
      </c>
      <c r="AD176" s="378"/>
      <c r="AE176" s="377">
        <f>ABS(INDEX(AE:AE,MATCH(AE172,$AA:$AA,0)+8)+INDEX(AE:AE,MATCH(AE172,$AA:$AA,0)+9)+INDEX(AE:AE,MATCH(AE172,$AA:$AA,0)+10))</f>
        <v>224</v>
      </c>
      <c r="AF176" s="378"/>
      <c r="AG176" s="377">
        <f>ABS(INDEX(AG:AG,MATCH(AG172,$AA:$AA,0)+8)+INDEX(AG:AG,MATCH(AG172,$AA:$AA,0)+9)+INDEX(AG:AG,MATCH(AG172,$AA:$AA,0)+10))</f>
        <v>209</v>
      </c>
      <c r="AH176" s="378"/>
      <c r="AI176" s="377">
        <f>ABS(INDEX(AI:AI,MATCH(AI172,$AA:$AA,0)+8)+INDEX(AI:AI,MATCH(AI172,$AA:$AA,0)+9)+INDEX(AI:AI,MATCH(AI172,$AA:$AA,0)+10))</f>
        <v>232</v>
      </c>
      <c r="AJ176" s="378"/>
      <c r="AK176" s="377">
        <f>ABS(INDEX(AK:AK,MATCH(AK172,$AA:$AA,0)+8)+INDEX(AK:AK,MATCH(AK172,$AA:$AA,0)+9)+INDEX(AK:AK,MATCH(AK172,$AA:$AA,0)+10))</f>
        <v>229</v>
      </c>
      <c r="AL176" s="378"/>
      <c r="AM176" s="377">
        <f>ABS(INDEX(AM:AM,MATCH(AM172,$AA:$AA,0)+8)+INDEX(AM:AM,MATCH(AM172,$AA:$AA,0)+9)+INDEX(AM:AM,MATCH(AM172,$AA:$AA,0)+10))</f>
        <v>206</v>
      </c>
      <c r="AN176" s="378"/>
      <c r="AO176" s="377">
        <f>ABS(INDEX(AO:AO,MATCH(AO172,$AA:$AA,0)+8)+INDEX(AO:AO,MATCH(AO172,$AA:$AA,0)+9)+INDEX(AO:AO,MATCH(AO172,$AA:$AA,0)+10))</f>
        <v>166</v>
      </c>
      <c r="AP176" s="378"/>
      <c r="AQ176" s="377">
        <f>ABS(INDEX(AQ:AQ,MATCH(AQ172,$AA:$AA,0)+8)+INDEX(AQ:AQ,MATCH(AQ172,$AA:$AA,0)+9)+INDEX(AQ:AQ,MATCH(AQ172,$AA:$AA,0)+10))</f>
        <v>183</v>
      </c>
      <c r="AR176" s="378"/>
      <c r="AS176" s="377">
        <f>ABS(INDEX(AS:AS,MATCH(AS172,$AA:$AA,0)+8)+INDEX(AS:AS,MATCH(AS172,$AA:$AA,0)+9)+INDEX(AS:AS,MATCH(AS172,$AA:$AA,0)+10))</f>
        <v>211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215</v>
      </c>
      <c r="E177" s="342" t="str">
        <f>IF(AD177=0,"",AD177)</f>
        <v/>
      </c>
      <c r="F177" s="342">
        <f>IF(AE177=301,"",AE177)</f>
        <v>214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244</v>
      </c>
      <c r="K177" s="342" t="str">
        <f>IF(AJ177=0,"",AJ177)</f>
        <v/>
      </c>
      <c r="L177" s="342">
        <f>IF(AK177=301,"",AK177)</f>
        <v>210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169</v>
      </c>
      <c r="Q177" s="342" t="str">
        <f>IF(AP177=0,"",AP177)</f>
        <v/>
      </c>
      <c r="R177" s="342">
        <f>IF(AQ177=301,"",AQ177)</f>
        <v>182</v>
      </c>
      <c r="S177" s="342" t="str">
        <f>IF(AR177=0,"",AR177)</f>
        <v/>
      </c>
      <c r="T177" s="342">
        <f>IF(AS177=301,"",AS177)</f>
        <v>196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215</v>
      </c>
      <c r="AD177" s="378"/>
      <c r="AE177" s="377">
        <f>ABS(INDEX(AE:AE,MATCH(AE172,$AA:$AA,0)+11)+INDEX(AE:AE,MATCH(AE172,$AA:$AA,0)+12)+INDEX(AE:AE,MATCH(AE172,$AA:$AA,0)+13))</f>
        <v>214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244</v>
      </c>
      <c r="AJ177" s="378"/>
      <c r="AK177" s="377">
        <f>ABS(INDEX(AK:AK,MATCH(AK172,$AA:$AA,0)+11)+INDEX(AK:AK,MATCH(AK172,$AA:$AA,0)+12)+INDEX(AK:AK,MATCH(AK172,$AA:$AA,0)+13))</f>
        <v>210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169</v>
      </c>
      <c r="AP177" s="378"/>
      <c r="AQ177" s="377">
        <f>ABS(INDEX(AQ:AQ,MATCH(AQ172,$AA:$AA,0)+11)+INDEX(AQ:AQ,MATCH(AQ172,$AA:$AA,0)+12)+INDEX(AQ:AQ,MATCH(AQ172,$AA:$AA,0)+13))</f>
        <v>182</v>
      </c>
      <c r="AR177" s="378"/>
      <c r="AS177" s="377">
        <f>ABS(INDEX(AS:AS,MATCH(AS172,$AA:$AA,0)+11)+INDEX(AS:AS,MATCH(AS172,$AA:$AA,0)+12)+INDEX(AS:AS,MATCH(AS172,$AA:$AA,0)+13))</f>
        <v>196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222</v>
      </c>
      <c r="E178" s="342" t="str">
        <f>IF(AD178=0,"",AD178)</f>
        <v/>
      </c>
      <c r="F178" s="342">
        <f>IF(AE178=301,"",AE178)</f>
        <v>233</v>
      </c>
      <c r="G178" s="342" t="str">
        <f>IF(AF178=0,"",AF178)</f>
        <v/>
      </c>
      <c r="H178" s="342">
        <f>IF(AG178=301,"",AG178)</f>
        <v>191</v>
      </c>
      <c r="I178" s="342" t="str">
        <f>IF(AH178=0,"",AH178)</f>
        <v/>
      </c>
      <c r="J178" s="342">
        <f>IF(AI178=301,"",AI178)</f>
        <v>200</v>
      </c>
      <c r="K178" s="342" t="str">
        <f>IF(AJ178=0,"",AJ178)</f>
        <v/>
      </c>
      <c r="L178" s="342">
        <f>IF(AK178=301,"",AK178)</f>
        <v>189</v>
      </c>
      <c r="M178" s="342" t="str">
        <f>IF(AL178=0,"",AL178)</f>
        <v/>
      </c>
      <c r="N178" s="342">
        <f>IF(AM178=301,"",AM178)</f>
        <v>193</v>
      </c>
      <c r="O178" s="342" t="str">
        <f>IF(AN178=0,"",AN178)</f>
        <v/>
      </c>
      <c r="P178" s="342">
        <f>IF(AO178=301,"",AO178)</f>
        <v>166</v>
      </c>
      <c r="Q178" s="342" t="str">
        <f>IF(AP178=0,"",AP178)</f>
        <v/>
      </c>
      <c r="R178" s="342">
        <f>IF(AQ178=301,"",AQ178)</f>
        <v>203</v>
      </c>
      <c r="S178" s="342" t="str">
        <f>IF(AR178=0,"",AR178)</f>
        <v/>
      </c>
      <c r="T178" s="342">
        <f>IF(AS178=301,"",AS178)</f>
        <v>220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222</v>
      </c>
      <c r="AD178" s="378"/>
      <c r="AE178" s="377">
        <f>ABS(INDEX(AE:AE,MATCH(AE172,$AA:$AA,0)+14)+INDEX(AE:AE,MATCH(AE172,$AA:$AA,0)+15)+INDEX(AE:AE,MATCH(AE172,$AA:$AA,0)+16))</f>
        <v>233</v>
      </c>
      <c r="AF178" s="378"/>
      <c r="AG178" s="377">
        <f>ABS(INDEX(AG:AG,MATCH(AG172,$AA:$AA,0)+14)+INDEX(AG:AG,MATCH(AG172,$AA:$AA,0)+15)+INDEX(AG:AG,MATCH(AG172,$AA:$AA,0)+16))</f>
        <v>191</v>
      </c>
      <c r="AH178" s="378"/>
      <c r="AI178" s="377">
        <f>ABS(INDEX(AI:AI,MATCH(AI172,$AA:$AA,0)+14)+INDEX(AI:AI,MATCH(AI172,$AA:$AA,0)+15)+INDEX(AI:AI,MATCH(AI172,$AA:$AA,0)+16))</f>
        <v>200</v>
      </c>
      <c r="AJ178" s="378"/>
      <c r="AK178" s="377">
        <f>ABS(INDEX(AK:AK,MATCH(AK172,$AA:$AA,0)+14)+INDEX(AK:AK,MATCH(AK172,$AA:$AA,0)+15)+INDEX(AK:AK,MATCH(AK172,$AA:$AA,0)+16))</f>
        <v>189</v>
      </c>
      <c r="AL178" s="378"/>
      <c r="AM178" s="377">
        <f>ABS(INDEX(AM:AM,MATCH(AM172,$AA:$AA,0)+14)+INDEX(AM:AM,MATCH(AM172,$AA:$AA,0)+15)+INDEX(AM:AM,MATCH(AM172,$AA:$AA,0)+16))</f>
        <v>193</v>
      </c>
      <c r="AN178" s="378"/>
      <c r="AO178" s="377">
        <f>ABS(INDEX(AO:AO,MATCH(AO172,$AA:$AA,0)+14)+INDEX(AO:AO,MATCH(AO172,$AA:$AA,0)+15)+INDEX(AO:AO,MATCH(AO172,$AA:$AA,0)+16))</f>
        <v>166</v>
      </c>
      <c r="AP178" s="378"/>
      <c r="AQ178" s="377">
        <f>ABS(INDEX(AQ:AQ,MATCH(AQ172,$AA:$AA,0)+14)+INDEX(AQ:AQ,MATCH(AQ172,$AA:$AA,0)+15)+INDEX(AQ:AQ,MATCH(AQ172,$AA:$AA,0)+16))</f>
        <v>203</v>
      </c>
      <c r="AR178" s="378"/>
      <c r="AS178" s="377">
        <f>ABS(INDEX(AS:AS,MATCH(AS172,$AA:$AA,0)+14)+INDEX(AS:AS,MATCH(AS172,$AA:$AA,0)+15)+INDEX(AS:AS,MATCH(AS172,$AA:$AA,0)+16))</f>
        <v>220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828</v>
      </c>
      <c r="E179" s="341" t="str">
        <f>IF(AD179=0,"",AD179)</f>
        <v/>
      </c>
      <c r="F179" s="341">
        <f>IF(AE179=1505,"",AE179)</f>
        <v>971</v>
      </c>
      <c r="G179" s="341" t="str">
        <f>IF(AF179=0,"",AF179)</f>
        <v/>
      </c>
      <c r="H179" s="341">
        <f>IF(AG179=1505,"",AG179)</f>
        <v>710</v>
      </c>
      <c r="I179" s="341" t="str">
        <f>IF(AH179=0,"",AH179)</f>
        <v/>
      </c>
      <c r="J179" s="341">
        <f>IF(AI179=1505,"",AI179)</f>
        <v>851</v>
      </c>
      <c r="K179" s="341" t="str">
        <f>IF(AJ179=0,"",AJ179)</f>
        <v/>
      </c>
      <c r="L179" s="341">
        <f>IF(AK179=1505,"",AK179)</f>
        <v>867</v>
      </c>
      <c r="M179" s="341" t="str">
        <f>IF(AL179=0,"",AL179)</f>
        <v/>
      </c>
      <c r="N179" s="341">
        <f>IF(AM179=1505,"",AM179)</f>
        <v>793</v>
      </c>
      <c r="O179" s="341" t="str">
        <f>IF(AN179=0,"",AN179)</f>
        <v/>
      </c>
      <c r="P179" s="341">
        <f>IF(AO179=1505,"",AO179)</f>
        <v>721</v>
      </c>
      <c r="Q179" s="341" t="str">
        <f>IF(AP179=0,"",AP179)</f>
        <v/>
      </c>
      <c r="R179" s="341">
        <f>IF(AQ179=1505,"",AQ179)</f>
        <v>804</v>
      </c>
      <c r="S179" s="341" t="str">
        <f>IF(AR179=0,"",AR179)</f>
        <v/>
      </c>
      <c r="T179" s="341">
        <f>IF(AS179=1505,"",AS179)</f>
        <v>885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828</v>
      </c>
      <c r="AD179" s="358"/>
      <c r="AE179" s="357">
        <f>SUM(AE175:AE178)</f>
        <v>971</v>
      </c>
      <c r="AF179" s="358"/>
      <c r="AG179" s="357">
        <f>SUM(AG175:AG178)</f>
        <v>710</v>
      </c>
      <c r="AH179" s="358"/>
      <c r="AI179" s="357">
        <f>SUM(AI175:AI178)</f>
        <v>851</v>
      </c>
      <c r="AJ179" s="358"/>
      <c r="AK179" s="357">
        <f>SUM(AK175:AK178)</f>
        <v>867</v>
      </c>
      <c r="AL179" s="358"/>
      <c r="AM179" s="357">
        <f>SUM(AM175:AM178)</f>
        <v>793</v>
      </c>
      <c r="AN179" s="358"/>
      <c r="AO179" s="357">
        <f>SUM(AO175:AO178)</f>
        <v>721</v>
      </c>
      <c r="AP179" s="358"/>
      <c r="AQ179" s="357">
        <f>SUM(AQ175:AQ178)</f>
        <v>804</v>
      </c>
      <c r="AR179" s="358"/>
      <c r="AS179" s="357">
        <f>SUM(AS175:AS178)</f>
        <v>885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15.03./16.03.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15.03./16.03.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Brunnthal Max Munich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217</v>
      </c>
      <c r="E187" s="351">
        <f>IF(AD187="","",AD187)</f>
        <v>1</v>
      </c>
      <c r="F187" s="75">
        <f t="shared" ref="F187:F200" si="209">IF(AE187=0,"",AE187)</f>
        <v>145</v>
      </c>
      <c r="G187" s="351">
        <f>IF(AF187="","",AF187)</f>
        <v>0</v>
      </c>
      <c r="H187" s="75">
        <f t="shared" ref="H187:H200" si="210">IF(AG187=0,"",AG187)</f>
        <v>149</v>
      </c>
      <c r="I187" s="351">
        <f>IF(AH187="","",AH187)</f>
        <v>0</v>
      </c>
      <c r="J187" s="75">
        <f t="shared" ref="J187:J200" si="211">IF(AI187=0,"",AI187)</f>
        <v>201</v>
      </c>
      <c r="K187" s="351">
        <f>IF(AJ187="","",AJ187)</f>
        <v>0</v>
      </c>
      <c r="L187" s="75">
        <f t="shared" ref="L187:L200" si="212">IF(AK187=0,"",AK187)</f>
        <v>202</v>
      </c>
      <c r="M187" s="351">
        <f>IF(AL187="","",AL187)</f>
        <v>0</v>
      </c>
      <c r="N187" s="75">
        <f>IF(AM187=0,"",AM187)</f>
        <v>140</v>
      </c>
      <c r="O187" s="351">
        <f>IF(AN187="","",AN187)</f>
        <v>0</v>
      </c>
      <c r="P187" s="75">
        <f t="shared" ref="P187:P200" si="213">IF(AO187=0,"",AO187)</f>
        <v>193</v>
      </c>
      <c r="Q187" s="351">
        <f>IF(AP187="","",AP187)</f>
        <v>1</v>
      </c>
      <c r="R187" s="75">
        <f t="shared" ref="R187:R200" si="214">IF(AQ187=0,"",AQ187)</f>
        <v>211</v>
      </c>
      <c r="S187" s="351">
        <f>IF(AR187="","",AR187)</f>
        <v>0</v>
      </c>
      <c r="T187" s="75">
        <f t="shared" ref="T187:T200" si="215">IF(AS187=0,"",AS187)</f>
        <v>189</v>
      </c>
      <c r="U187" s="351">
        <f>IF(AT187="","",AT187)</f>
        <v>0.5</v>
      </c>
      <c r="V187" s="75">
        <f t="shared" ref="V187:V200" si="216">IF(AU187=0,"",AU187)</f>
        <v>1647</v>
      </c>
      <c r="W187" s="351">
        <f>IF(AV187="","",AV187)</f>
        <v>2.5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217</v>
      </c>
      <c r="AD187" s="109">
        <f>IF(SUM(AC187:AC189)+AC205=0,0,IF(SUM(AC187:AC189)=AC205,0.5,IF(SUM(AC187:AC189)&gt;AC205,1,0)))</f>
        <v>1</v>
      </c>
      <c r="AE187" s="185">
        <v>145</v>
      </c>
      <c r="AF187" s="109">
        <f>IF(SUM(AE187:AE189)+AE205=0,0,IF(SUM(AE187:AE189)=AE205,0.5,IF(SUM(AE187:AE189)&gt;AE205,1,0)))</f>
        <v>0</v>
      </c>
      <c r="AG187" s="185">
        <v>149</v>
      </c>
      <c r="AH187" s="109">
        <f>IF(SUM(AG187:AG189)+AG205=0,0,IF(SUM(AG187:AG189)=AG205,0.5,IF(SUM(AG187:AG189)&gt;AG205,1,0)))</f>
        <v>0</v>
      </c>
      <c r="AI187" s="185">
        <v>201</v>
      </c>
      <c r="AJ187" s="109">
        <f>IF(SUM(AI187:AI189)+AI205=0,0,IF(SUM(AI187:AI189)=AI205,0.5,IF(SUM(AI187:AI189)&gt;AI205,1,0)))</f>
        <v>0</v>
      </c>
      <c r="AK187" s="185">
        <v>202</v>
      </c>
      <c r="AL187" s="109">
        <f>IF(SUM(AK187:AK189)+AK205=0,0,IF(SUM(AK187:AK189)=AK205,0.5,IF(SUM(AK187:AK189)&gt;AK205,1,0)))</f>
        <v>0</v>
      </c>
      <c r="AM187" s="185">
        <v>140</v>
      </c>
      <c r="AN187" s="109">
        <f>IF(SUM(AM187:AM189)+AM205=0,0,IF(SUM(AM187:AM189)=AM205,0.5,IF(SUM(AM187:AM189)&gt;AM205,1,0)))</f>
        <v>0</v>
      </c>
      <c r="AO187" s="185">
        <v>193</v>
      </c>
      <c r="AP187" s="109">
        <f>IF(SUM(AO187:AO189)+AO205=0,0,IF(SUM(AO187:AO189)=AO205,0.5,IF(SUM(AO187:AO189)&gt;AO205,1,0)))</f>
        <v>1</v>
      </c>
      <c r="AQ187" s="185">
        <v>211</v>
      </c>
      <c r="AR187" s="109">
        <f>IF(SUM(AQ187:AQ189)+AQ205=0,0,IF(SUM(AQ187:AQ189)=AQ205,0.5,IF(SUM(AQ187:AQ189)&gt;AQ205,1,0)))</f>
        <v>0</v>
      </c>
      <c r="AS187" s="185">
        <v>189</v>
      </c>
      <c r="AT187" s="109">
        <f>IF(SUM(AS187:AS189)+AS205=0,0,IF(SUM(AS187:AS189)=AS205,0.5,IF(SUM(AS187:AS189)&gt;AS205,1,0)))</f>
        <v>0.5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1647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1647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217</v>
      </c>
      <c r="BI187" s="215">
        <f t="shared" ref="BI187:BI198" si="219">IF(AE187=0,"",AE187)</f>
        <v>145</v>
      </c>
      <c r="BJ187" s="215">
        <f t="shared" ref="BJ187:BJ198" si="220">IF(AG187=0,"",AG187)</f>
        <v>149</v>
      </c>
      <c r="BK187" s="215">
        <f t="shared" ref="BK187:BK198" si="221">IF(AI187=0,"",AI187)</f>
        <v>201</v>
      </c>
      <c r="BL187" s="215">
        <f t="shared" ref="BL187:BL198" si="222">IF(AK187=0,"",AK187)</f>
        <v>202</v>
      </c>
      <c r="BM187" s="215">
        <f t="shared" ref="BM187:BM198" si="223">IF(AM187=0,"",AM187)</f>
        <v>140</v>
      </c>
      <c r="BN187" s="215">
        <f t="shared" ref="BN187:BN198" si="224">IF(AO187=0,"",AO187)</f>
        <v>193</v>
      </c>
      <c r="BO187" s="215">
        <f t="shared" ref="BO187:BO198" si="225">IF(AQ187=0,"",AQ187)</f>
        <v>211</v>
      </c>
      <c r="BP187" s="215">
        <f t="shared" ref="BP187:BP198" si="226">IF(AS187=0,"",AS187)</f>
        <v>189</v>
      </c>
      <c r="BQ187" s="216"/>
      <c r="BR187" s="214"/>
      <c r="BS187" s="215">
        <f>MAX(BH187:BP187)</f>
        <v>217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3</v>
      </c>
      <c r="BW187" s="215">
        <f>SUMIF(BH187:BP187,"&gt;0")</f>
        <v>1647</v>
      </c>
      <c r="BX187" s="215">
        <f>IF(COUNTIF(BH187:BP187,"&gt;0")&lt;Spielorte!$A$23,0,BE187/Spielorte!$A$23)</f>
        <v>183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3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3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182</v>
      </c>
      <c r="E190" s="351">
        <f>IF(AD190="","",AD190)</f>
        <v>0</v>
      </c>
      <c r="F190" s="75">
        <f t="shared" si="209"/>
        <v>178</v>
      </c>
      <c r="G190" s="351">
        <f>IF(AF190="","",AF190)</f>
        <v>0</v>
      </c>
      <c r="H190" s="75">
        <f t="shared" si="210"/>
        <v>209</v>
      </c>
      <c r="I190" s="351">
        <f>IF(AH190="","",AH190)</f>
        <v>0</v>
      </c>
      <c r="J190" s="75">
        <f t="shared" si="211"/>
        <v>182</v>
      </c>
      <c r="K190" s="351">
        <f>IF(AJ190="","",AJ190)</f>
        <v>0</v>
      </c>
      <c r="L190" s="75">
        <f t="shared" si="212"/>
        <v>164</v>
      </c>
      <c r="M190" s="351">
        <f>IF(AL190="","",AL190)</f>
        <v>0</v>
      </c>
      <c r="N190" s="75">
        <f t="shared" si="229"/>
        <v>181</v>
      </c>
      <c r="O190" s="351">
        <f>IF(AN190="","",AN190)</f>
        <v>1</v>
      </c>
      <c r="P190" s="75">
        <f t="shared" si="213"/>
        <v>190</v>
      </c>
      <c r="Q190" s="351">
        <f>IF(AP190="","",AP190)</f>
        <v>1</v>
      </c>
      <c r="R190" s="75">
        <f t="shared" si="214"/>
        <v>128</v>
      </c>
      <c r="S190" s="351">
        <f>IF(AR190="","",AR190)</f>
        <v>0</v>
      </c>
      <c r="T190" s="75">
        <f t="shared" si="215"/>
        <v>185</v>
      </c>
      <c r="U190" s="351">
        <f>IF(AT190="","",AT190)</f>
        <v>0</v>
      </c>
      <c r="V190" s="75">
        <f t="shared" si="216"/>
        <v>1599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182</v>
      </c>
      <c r="AD190" s="109">
        <f>IF(SUM(AC190:AC192)+AC206=0,0,IF(SUM(AC190:AC192)=AC206,0.5,IF(SUM(AC190:AC192)&gt;AC206,1,0)))</f>
        <v>0</v>
      </c>
      <c r="AE190" s="188">
        <v>178</v>
      </c>
      <c r="AF190" s="109">
        <f>IF(SUM(AE190:AE192)+AE206=0,0,IF(SUM(AE190:AE192)=AE206,0.5,IF(SUM(AE190:AE192)&gt;AE206,1,0)))</f>
        <v>0</v>
      </c>
      <c r="AG190" s="188">
        <v>209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164</v>
      </c>
      <c r="AL190" s="109">
        <f>IF(SUM(AK190:AK192)+AK206=0,0,IF(SUM(AK190:AK192)=AK206,0.5,IF(SUM(AK190:AK192)&gt;AK206,1,0)))</f>
        <v>0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190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185</v>
      </c>
      <c r="AT190" s="109">
        <f>IF(SUM(AS190:AS192)+AS206=0,0,IF(SUM(AS190:AS192)=AS206,0.5,IF(SUM(AS190:AS192)&gt;AS206,1,0)))</f>
        <v>0</v>
      </c>
      <c r="AU190" s="110">
        <f t="shared" si="217"/>
        <v>1599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1599</v>
      </c>
      <c r="BF190" s="215">
        <f t="shared" si="232"/>
        <v>9</v>
      </c>
      <c r="BG190" s="215">
        <f t="shared" si="233"/>
        <v>9</v>
      </c>
      <c r="BH190" s="215">
        <f t="shared" si="218"/>
        <v>182</v>
      </c>
      <c r="BI190" s="215">
        <f t="shared" si="219"/>
        <v>178</v>
      </c>
      <c r="BJ190" s="215">
        <f t="shared" si="220"/>
        <v>209</v>
      </c>
      <c r="BK190" s="215">
        <f t="shared" si="221"/>
        <v>182</v>
      </c>
      <c r="BL190" s="215">
        <f t="shared" si="222"/>
        <v>164</v>
      </c>
      <c r="BM190" s="215">
        <f t="shared" si="223"/>
        <v>181</v>
      </c>
      <c r="BN190" s="215">
        <f t="shared" si="224"/>
        <v>190</v>
      </c>
      <c r="BO190" s="215">
        <f t="shared" si="225"/>
        <v>128</v>
      </c>
      <c r="BP190" s="215">
        <f t="shared" si="226"/>
        <v>185</v>
      </c>
      <c r="BQ190" s="216"/>
      <c r="BR190" s="214"/>
      <c r="BS190" s="215">
        <f t="shared" si="234"/>
        <v>209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3</v>
      </c>
      <c r="BW190" s="215">
        <f t="shared" si="238"/>
        <v>1599</v>
      </c>
      <c r="BX190" s="215">
        <f>IF(COUNTIF(BH190:BP190,"&gt;0")&lt;Spielorte!$A$23,0,BE190/Spielorte!$A$23)</f>
        <v>177.66666666666666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3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231</v>
      </c>
      <c r="E193" s="351">
        <f>IF(AD193="","",AD193)</f>
        <v>1</v>
      </c>
      <c r="F193" s="75">
        <f t="shared" si="209"/>
        <v>224</v>
      </c>
      <c r="G193" s="351">
        <f>IF(AF193="","",AF193)</f>
        <v>0</v>
      </c>
      <c r="H193" s="75">
        <f t="shared" si="210"/>
        <v>161</v>
      </c>
      <c r="I193" s="351">
        <f>IF(AH193="","",AH193)</f>
        <v>0</v>
      </c>
      <c r="J193" s="75">
        <f t="shared" si="211"/>
        <v>255</v>
      </c>
      <c r="K193" s="351">
        <f>IF(AJ193="","",AJ193)</f>
        <v>1</v>
      </c>
      <c r="L193" s="75">
        <f t="shared" si="212"/>
        <v>226</v>
      </c>
      <c r="M193" s="351">
        <f>IF(AL193="","",AL193)</f>
        <v>1</v>
      </c>
      <c r="N193" s="75">
        <f t="shared" si="229"/>
        <v>177</v>
      </c>
      <c r="O193" s="351">
        <f>IF(AN193="","",AN193)</f>
        <v>0</v>
      </c>
      <c r="P193" s="75">
        <f t="shared" si="213"/>
        <v>248</v>
      </c>
      <c r="Q193" s="351">
        <f>IF(AP193="","",AP193)</f>
        <v>1</v>
      </c>
      <c r="R193" s="75">
        <f t="shared" si="214"/>
        <v>195</v>
      </c>
      <c r="S193" s="351">
        <f>IF(AR193="","",AR193)</f>
        <v>1</v>
      </c>
      <c r="T193" s="75">
        <f t="shared" si="215"/>
        <v>224</v>
      </c>
      <c r="U193" s="351">
        <f>IF(AT193="","",AT193)</f>
        <v>1</v>
      </c>
      <c r="V193" s="75">
        <f t="shared" si="216"/>
        <v>1941</v>
      </c>
      <c r="W193" s="351">
        <f>IF(AV193="","",AV193)</f>
        <v>6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231</v>
      </c>
      <c r="AD193" s="109">
        <f>IF(SUM(AC193:AC195)+AC207=0,0,IF(SUM(AC193:AC195)=AC207,0.5,IF(SUM(AC193:AC195)&gt;AC207,1,0)))</f>
        <v>1</v>
      </c>
      <c r="AE193" s="188">
        <v>224</v>
      </c>
      <c r="AF193" s="109">
        <f>IF(SUM(AE193:AE195)+AE207=0,0,IF(SUM(AE193:AE195)=AE207,0.5,IF(SUM(AE193:AE195)&gt;AE207,1,0)))</f>
        <v>0</v>
      </c>
      <c r="AG193" s="188">
        <v>161</v>
      </c>
      <c r="AH193" s="109">
        <f>IF(SUM(AG193:AG195)+AG207=0,0,IF(SUM(AG193:AG195)=AG207,0.5,IF(SUM(AG193:AG195)&gt;AG207,1,0)))</f>
        <v>0</v>
      </c>
      <c r="AI193" s="188">
        <v>255</v>
      </c>
      <c r="AJ193" s="109">
        <f>IF(SUM(AI193:AI195)+AI207=0,0,IF(SUM(AI193:AI195)=AI207,0.5,IF(SUM(AI193:AI195)&gt;AI207,1,0)))</f>
        <v>1</v>
      </c>
      <c r="AK193" s="188">
        <v>226</v>
      </c>
      <c r="AL193" s="109">
        <f>IF(SUM(AK193:AK195)+AK207=0,0,IF(SUM(AK193:AK195)=AK207,0.5,IF(SUM(AK193:AK195)&gt;AK207,1,0)))</f>
        <v>1</v>
      </c>
      <c r="AM193" s="188">
        <v>177</v>
      </c>
      <c r="AN193" s="109">
        <f>IF(SUM(AM193:AM195)+AM207=0,0,IF(SUM(AM193:AM195)=AM207,0.5,IF(SUM(AM193:AM195)&gt;AM207,1,0)))</f>
        <v>0</v>
      </c>
      <c r="AO193" s="188">
        <v>248</v>
      </c>
      <c r="AP193" s="109">
        <f>IF(SUM(AO193:AO195)+AO207=0,0,IF(SUM(AO193:AO195)=AO207,0.5,IF(SUM(AO193:AO195)&gt;AO207,1,0)))</f>
        <v>1</v>
      </c>
      <c r="AQ193" s="188">
        <v>195</v>
      </c>
      <c r="AR193" s="109">
        <f>IF(SUM(AQ193:AQ195)+AQ207=0,0,IF(SUM(AQ193:AQ195)=AQ207,0.5,IF(SUM(AQ193:AQ195)&gt;AQ207,1,0)))</f>
        <v>1</v>
      </c>
      <c r="AS193" s="188">
        <v>224</v>
      </c>
      <c r="AT193" s="109">
        <f>IF(SUM(AS193:AS195)+AS207=0,0,IF(SUM(AS193:AS195)=AS207,0.5,IF(SUM(AS193:AS195)&gt;AS207,1,0)))</f>
        <v>1</v>
      </c>
      <c r="AU193" s="110">
        <f t="shared" si="217"/>
        <v>1941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1941</v>
      </c>
      <c r="BF193" s="215">
        <f t="shared" si="232"/>
        <v>9</v>
      </c>
      <c r="BG193" s="215">
        <f t="shared" si="233"/>
        <v>9</v>
      </c>
      <c r="BH193" s="215">
        <f t="shared" si="218"/>
        <v>231</v>
      </c>
      <c r="BI193" s="215">
        <f t="shared" si="219"/>
        <v>224</v>
      </c>
      <c r="BJ193" s="215">
        <f t="shared" si="220"/>
        <v>161</v>
      </c>
      <c r="BK193" s="215">
        <f t="shared" si="221"/>
        <v>255</v>
      </c>
      <c r="BL193" s="215">
        <f t="shared" si="222"/>
        <v>226</v>
      </c>
      <c r="BM193" s="215">
        <f t="shared" si="223"/>
        <v>177</v>
      </c>
      <c r="BN193" s="215">
        <f t="shared" si="224"/>
        <v>248</v>
      </c>
      <c r="BO193" s="215">
        <f t="shared" si="225"/>
        <v>195</v>
      </c>
      <c r="BP193" s="215">
        <f t="shared" si="226"/>
        <v>224</v>
      </c>
      <c r="BQ193" s="216"/>
      <c r="BR193" s="214"/>
      <c r="BS193" s="215">
        <f t="shared" si="234"/>
        <v>255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3</v>
      </c>
      <c r="BW193" s="215">
        <f t="shared" si="238"/>
        <v>1941</v>
      </c>
      <c r="BX193" s="215">
        <f>IF(COUNTIF(BH193:BP193,"&gt;0")&lt;Spielorte!$A$23,0,BE193/Spielorte!$A$23)</f>
        <v>215.66666666666666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3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3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215</v>
      </c>
      <c r="E196" s="351">
        <f>IF(AD196="","",AD196)</f>
        <v>0</v>
      </c>
      <c r="F196" s="75">
        <f t="shared" si="209"/>
        <v>223</v>
      </c>
      <c r="G196" s="351">
        <f>IF(AF196="","",AF196)</f>
        <v>1</v>
      </c>
      <c r="H196" s="75">
        <f t="shared" si="210"/>
        <v>191</v>
      </c>
      <c r="I196" s="351">
        <f>IF(AH196="","",AH196)</f>
        <v>0</v>
      </c>
      <c r="J196" s="75">
        <f t="shared" si="211"/>
        <v>228</v>
      </c>
      <c r="K196" s="351">
        <f>IF(AJ196="","",AJ196)</f>
        <v>1</v>
      </c>
      <c r="L196" s="75">
        <f t="shared" si="212"/>
        <v>206</v>
      </c>
      <c r="M196" s="351">
        <f>IF(AL196="","",AL196)</f>
        <v>0</v>
      </c>
      <c r="N196" s="75">
        <f t="shared" si="229"/>
        <v>203</v>
      </c>
      <c r="O196" s="351">
        <f>IF(AN196="","",AN196)</f>
        <v>1</v>
      </c>
      <c r="P196" s="75">
        <f t="shared" si="213"/>
        <v>212</v>
      </c>
      <c r="Q196" s="351">
        <f>IF(AP196="","",AP196)</f>
        <v>1</v>
      </c>
      <c r="R196" s="75">
        <f t="shared" si="214"/>
        <v>256</v>
      </c>
      <c r="S196" s="351">
        <f>IF(AR196="","",AR196)</f>
        <v>1</v>
      </c>
      <c r="T196" s="75">
        <f t="shared" si="215"/>
        <v>209</v>
      </c>
      <c r="U196" s="351">
        <f>IF(AT196="","",AT196)</f>
        <v>1</v>
      </c>
      <c r="V196" s="75">
        <f t="shared" si="216"/>
        <v>1943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215</v>
      </c>
      <c r="AD196" s="109">
        <f>IF(SUM(AC196:AC198)+AC208=0,0,IF(SUM(AC196:AC198)=AC208,0.5,IF(SUM(AC196:AC198)&gt;AC208,1,0)))</f>
        <v>0</v>
      </c>
      <c r="AE196" s="188">
        <v>223</v>
      </c>
      <c r="AF196" s="109">
        <f>IF(SUM(AE196:AE198)+AE208=0,0,IF(SUM(AE196:AE198)=AE208,0.5,IF(SUM(AE196:AE198)&gt;AE208,1,0)))</f>
        <v>1</v>
      </c>
      <c r="AG196" s="188">
        <v>191</v>
      </c>
      <c r="AH196" s="109">
        <f>IF(SUM(AG196:AG198)+AG208=0,0,IF(SUM(AG196:AG198)=AG208,0.5,IF(SUM(AG196:AG198)&gt;AG208,1,0)))</f>
        <v>0</v>
      </c>
      <c r="AI196" s="188">
        <v>228</v>
      </c>
      <c r="AJ196" s="109">
        <f>IF(SUM(AI196:AI198)+AI208=0,0,IF(SUM(AI196:AI198)=AI208,0.5,IF(SUM(AI196:AI198)&gt;AI208,1,0)))</f>
        <v>1</v>
      </c>
      <c r="AK196" s="188">
        <v>206</v>
      </c>
      <c r="AL196" s="109">
        <f>IF(SUM(AK196:AK198)+AK208=0,0,IF(SUM(AK196:AK198)=AK208,0.5,IF(SUM(AK196:AK198)&gt;AK208,1,0)))</f>
        <v>0</v>
      </c>
      <c r="AM196" s="188">
        <v>203</v>
      </c>
      <c r="AN196" s="109">
        <f>IF(SUM(AM196:AM198)+AM208=0,0,IF(SUM(AM196:AM198)=AM208,0.5,IF(SUM(AM196:AM198)&gt;AM208,1,0)))</f>
        <v>1</v>
      </c>
      <c r="AO196" s="188">
        <v>212</v>
      </c>
      <c r="AP196" s="109">
        <f>IF(SUM(AO196:AO198)+AO208=0,0,IF(SUM(AO196:AO198)=AO208,0.5,IF(SUM(AO196:AO198)&gt;AO208,1,0)))</f>
        <v>1</v>
      </c>
      <c r="AQ196" s="188">
        <v>256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7"/>
        <v>1943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1943</v>
      </c>
      <c r="BF196" s="215">
        <f t="shared" si="232"/>
        <v>9</v>
      </c>
      <c r="BG196" s="215">
        <f t="shared" si="233"/>
        <v>9</v>
      </c>
      <c r="BH196" s="215">
        <f t="shared" si="218"/>
        <v>215</v>
      </c>
      <c r="BI196" s="215">
        <f t="shared" si="219"/>
        <v>223</v>
      </c>
      <c r="BJ196" s="215">
        <f t="shared" si="220"/>
        <v>191</v>
      </c>
      <c r="BK196" s="215">
        <f t="shared" si="221"/>
        <v>228</v>
      </c>
      <c r="BL196" s="215">
        <f t="shared" si="222"/>
        <v>206</v>
      </c>
      <c r="BM196" s="215">
        <f t="shared" si="223"/>
        <v>203</v>
      </c>
      <c r="BN196" s="215">
        <f t="shared" si="224"/>
        <v>212</v>
      </c>
      <c r="BO196" s="215">
        <f t="shared" si="225"/>
        <v>256</v>
      </c>
      <c r="BP196" s="215">
        <f t="shared" si="226"/>
        <v>209</v>
      </c>
      <c r="BQ196" s="216"/>
      <c r="BR196" s="214"/>
      <c r="BS196" s="215">
        <f t="shared" si="234"/>
        <v>256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3</v>
      </c>
      <c r="BW196" s="215">
        <f t="shared" si="238"/>
        <v>1943</v>
      </c>
      <c r="BX196" s="215">
        <f>IF(COUNTIF(BH196:BP196,"&gt;0")&lt;Spielorte!$A$23,0,BE196/Spielorte!$A$23)</f>
        <v>215.88888888888889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3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3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845</v>
      </c>
      <c r="E199" s="84">
        <f>IF(AD199="","",AD199)</f>
        <v>0</v>
      </c>
      <c r="F199" s="83">
        <f t="shared" si="209"/>
        <v>770</v>
      </c>
      <c r="G199" s="84">
        <f>IF(AF199="","",AF199)</f>
        <v>0</v>
      </c>
      <c r="H199" s="83">
        <f t="shared" si="210"/>
        <v>710</v>
      </c>
      <c r="I199" s="84">
        <f>IF(AH199="","",AH199)</f>
        <v>0</v>
      </c>
      <c r="J199" s="83">
        <f t="shared" si="211"/>
        <v>866</v>
      </c>
      <c r="K199" s="84">
        <f>IF(AJ199="","",AJ199)</f>
        <v>2</v>
      </c>
      <c r="L199" s="83">
        <f t="shared" si="212"/>
        <v>798</v>
      </c>
      <c r="M199" s="84">
        <f>IF(AL199="","",AL199)</f>
        <v>0</v>
      </c>
      <c r="N199" s="83">
        <f t="shared" si="229"/>
        <v>701</v>
      </c>
      <c r="O199" s="84">
        <f>IF(AN199="","",AN199)</f>
        <v>0</v>
      </c>
      <c r="P199" s="83">
        <f t="shared" si="213"/>
        <v>843</v>
      </c>
      <c r="Q199" s="84">
        <f>IF(AP199="","",AP199)</f>
        <v>2</v>
      </c>
      <c r="R199" s="83">
        <f t="shared" si="214"/>
        <v>790</v>
      </c>
      <c r="S199" s="84">
        <f>IF(AR199="","",AR199)</f>
        <v>0</v>
      </c>
      <c r="T199" s="83">
        <f t="shared" si="215"/>
        <v>807</v>
      </c>
      <c r="U199" s="84">
        <f>IF(AT199="","",AT199)</f>
        <v>0</v>
      </c>
      <c r="V199" s="83">
        <f t="shared" si="216"/>
        <v>7130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845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770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866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798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701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843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790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807</v>
      </c>
      <c r="AT199" s="121">
        <f>IF(AS199+AS209=0,0,IF(AS199=AS209,1,IF(AS199&gt;AS209,2,0)))</f>
        <v>0</v>
      </c>
      <c r="AU199" s="122">
        <f>SUM(AC199+AE199+AG199+AI199+AK199+AM199+AO199+AQ199+AS199)</f>
        <v>7130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6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2.5</v>
      </c>
      <c r="V200" s="86" t="str">
        <f t="shared" si="216"/>
        <v/>
      </c>
      <c r="W200" s="87">
        <f>IF(AV200="","",AV200)</f>
        <v>20.5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0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2</v>
      </c>
      <c r="AO200" s="86"/>
      <c r="AP200" s="124">
        <f>SUM(AP187:AP199)</f>
        <v>6</v>
      </c>
      <c r="AQ200" s="86"/>
      <c r="AR200" s="124">
        <f>SUM(AR187:AR199)</f>
        <v>2</v>
      </c>
      <c r="AS200" s="86"/>
      <c r="AT200" s="124">
        <f>SUM(AT187:AT199)</f>
        <v>2.5</v>
      </c>
      <c r="AU200" s="86"/>
      <c r="AV200" s="125">
        <f>SUM(AV187:AV199)</f>
        <v>20.5</v>
      </c>
      <c r="AW200" s="101"/>
      <c r="AX200" s="102"/>
      <c r="BA200" s="212">
        <f>+AV200</f>
        <v>20.5</v>
      </c>
      <c r="BB200" s="213">
        <f>+AU199</f>
        <v>7130</v>
      </c>
      <c r="BC200" s="214">
        <f>+AA182</f>
        <v>7</v>
      </c>
      <c r="BF200" s="215">
        <f>SUM(BF181:BF199)</f>
        <v>36</v>
      </c>
      <c r="BQ200" s="212">
        <f>+BB200/1000000+BA200</f>
        <v>20.50713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8</v>
      </c>
      <c r="E202" s="349" t="str">
        <f t="shared" si="240"/>
        <v/>
      </c>
      <c r="F202" s="349">
        <f t="shared" si="240"/>
        <v>3</v>
      </c>
      <c r="G202" s="349" t="str">
        <f t="shared" si="240"/>
        <v/>
      </c>
      <c r="H202" s="349">
        <f t="shared" si="240"/>
        <v>6</v>
      </c>
      <c r="I202" s="349" t="str">
        <f t="shared" si="240"/>
        <v/>
      </c>
      <c r="J202" s="349">
        <f t="shared" si="240"/>
        <v>4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9</v>
      </c>
      <c r="Q202" s="349" t="str">
        <f t="shared" si="240"/>
        <v/>
      </c>
      <c r="R202" s="349">
        <f t="shared" ref="L202:U204" si="241">IF(AQ202=0,"",AQ202)</f>
        <v>5</v>
      </c>
      <c r="S202" s="349" t="str">
        <f t="shared" si="241"/>
        <v/>
      </c>
      <c r="T202" s="349">
        <f t="shared" si="241"/>
        <v>1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VLOOKUP($AA182,Schlüssel!$A$5:$DG$14,83)</f>
        <v>8</v>
      </c>
      <c r="AD202" s="374"/>
      <c r="AE202" s="373">
        <f>VLOOKUP($AA182,Schlüssel!$A$5:$EK$14,84)</f>
        <v>3</v>
      </c>
      <c r="AF202" s="374"/>
      <c r="AG202" s="373">
        <f>VLOOKUP($AA182,Schlüssel!$A$5:$EK$14,85)</f>
        <v>6</v>
      </c>
      <c r="AH202" s="374"/>
      <c r="AI202" s="373">
        <f>VLOOKUP($AA182,Schlüssel!$A$5:$EK$14,86)</f>
        <v>4</v>
      </c>
      <c r="AJ202" s="374"/>
      <c r="AK202" s="373">
        <f>VLOOKUP($AA182,Schlüssel!$A$5:$EK$14,87)</f>
        <v>10</v>
      </c>
      <c r="AL202" s="374"/>
      <c r="AM202" s="373">
        <f>VLOOKUP($AA182,Schlüssel!$A$5:$EK$14,88)</f>
        <v>2</v>
      </c>
      <c r="AN202" s="374"/>
      <c r="AO202" s="373">
        <f>VLOOKUP($AA182,Schlüssel!$A$5:$EK$14,89)</f>
        <v>9</v>
      </c>
      <c r="AP202" s="374"/>
      <c r="AQ202" s="373">
        <f>VLOOKUP($AA182,Schlüssel!$A$5:$EK$14,90)</f>
        <v>5</v>
      </c>
      <c r="AR202" s="374"/>
      <c r="AS202" s="373">
        <f>VLOOKUP($AA182,Schlüssel!$A$5:$EK$14,91)</f>
        <v>1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EMAX Unterföhring 2</v>
      </c>
      <c r="E203" s="347" t="str">
        <f t="shared" si="242"/>
        <v/>
      </c>
      <c r="F203" s="346" t="str">
        <f t="shared" si="242"/>
        <v>BK München 3</v>
      </c>
      <c r="G203" s="347" t="str">
        <f t="shared" si="242"/>
        <v/>
      </c>
      <c r="H203" s="346" t="str">
        <f t="shared" si="242"/>
        <v>SG Rottendorf 1</v>
      </c>
      <c r="I203" s="347" t="str">
        <f t="shared" si="242"/>
        <v/>
      </c>
      <c r="J203" s="346" t="str">
        <f t="shared" si="242"/>
        <v>SG DJK Rimpar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Bowlinghaus Bamberg 1</v>
      </c>
      <c r="Q203" s="347" t="str">
        <f t="shared" si="241"/>
        <v/>
      </c>
      <c r="R203" s="346" t="str">
        <f t="shared" si="241"/>
        <v>RW Lichtenhof Stein 1</v>
      </c>
      <c r="S203" s="347" t="str">
        <f t="shared" si="241"/>
        <v/>
      </c>
      <c r="T203" s="346" t="str">
        <f t="shared" si="241"/>
        <v>BC Comet Nürnberg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EMAX Unterföhring 2</v>
      </c>
      <c r="AD203" s="347"/>
      <c r="AE203" s="346" t="str">
        <f>VLOOKUP(AE202,Schlüssel!$A$5:$K$14,2)</f>
        <v>BK München 3</v>
      </c>
      <c r="AF203" s="347"/>
      <c r="AG203" s="346" t="str">
        <f>VLOOKUP(AG202,Schlüssel!$A$5:$K$14,2)</f>
        <v>SG Rottendorf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RW Lichtenhof Stein 1</v>
      </c>
      <c r="AR203" s="347"/>
      <c r="AS203" s="346" t="str">
        <f>VLOOKUP(AS202,Schlüssel!$A$5:$K$14,2)</f>
        <v>BC Comet Nürnberg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184</v>
      </c>
      <c r="E205" s="342" t="str">
        <f>IF(AD205=0,"",AD205)</f>
        <v/>
      </c>
      <c r="F205" s="342">
        <f>IF(AE205=301,"",AE205)</f>
        <v>222</v>
      </c>
      <c r="G205" s="342" t="str">
        <f>IF(AF205=0,"",AF205)</f>
        <v/>
      </c>
      <c r="H205" s="342">
        <f>IF(AG205=301,"",AG205)</f>
        <v>203</v>
      </c>
      <c r="I205" s="342" t="str">
        <f>IF(AH205=0,"",AH205)</f>
        <v/>
      </c>
      <c r="J205" s="342">
        <f>IF(AI205=301,"",AI205)</f>
        <v>229</v>
      </c>
      <c r="K205" s="342" t="str">
        <f>IF(AJ205=0,"",AJ205)</f>
        <v/>
      </c>
      <c r="L205" s="342">
        <f>IF(AK205=301,"",AK205)</f>
        <v>257</v>
      </c>
      <c r="M205" s="342" t="str">
        <f>IF(AL205=0,"",AL205)</f>
        <v/>
      </c>
      <c r="N205" s="342">
        <f>IF(AM205=301,"",AM205)</f>
        <v>252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274</v>
      </c>
      <c r="S205" s="342" t="str">
        <f>IF(AR205=0,"",AR205)</f>
        <v/>
      </c>
      <c r="T205" s="342">
        <f>IF(AS205=301,"",AS205)</f>
        <v>189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184</v>
      </c>
      <c r="AD205" s="376"/>
      <c r="AE205" s="375">
        <f>ABS(INDEX(AE:AE,MATCH(AE202,$AA:$AA,0)+5)+INDEX(AE:AE,MATCH(AE202,$AA:$AA,0)+6)+INDEX(AE:AE,MATCH(AE202,$AA:$AA,0)+7))</f>
        <v>222</v>
      </c>
      <c r="AF205" s="376"/>
      <c r="AG205" s="375">
        <f>ABS(INDEX(AG:AG,MATCH(AG202,$AA:$AA,0)+5)+INDEX(AG:AG,MATCH(AG202,$AA:$AA,0)+6)+INDEX(AG:AG,MATCH(AG202,$AA:$AA,0)+7))</f>
        <v>203</v>
      </c>
      <c r="AH205" s="376"/>
      <c r="AI205" s="375">
        <f>ABS(INDEX(AI:AI,MATCH(AI202,$AA:$AA,0)+5)+INDEX(AI:AI,MATCH(AI202,$AA:$AA,0)+6)+INDEX(AI:AI,MATCH(AI202,$AA:$AA,0)+7))</f>
        <v>229</v>
      </c>
      <c r="AJ205" s="376"/>
      <c r="AK205" s="375">
        <f>ABS(INDEX(AK:AK,MATCH(AK202,$AA:$AA,0)+5)+INDEX(AK:AK,MATCH(AK202,$AA:$AA,0)+6)+INDEX(AK:AK,MATCH(AK202,$AA:$AA,0)+7))</f>
        <v>257</v>
      </c>
      <c r="AL205" s="376"/>
      <c r="AM205" s="375">
        <f>ABS(INDEX(AM:AM,MATCH(AM202,$AA:$AA,0)+5)+INDEX(AM:AM,MATCH(AM202,$AA:$AA,0)+6)+INDEX(AM:AM,MATCH(AM202,$AA:$AA,0)+7))</f>
        <v>252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274</v>
      </c>
      <c r="AR205" s="376"/>
      <c r="AS205" s="375">
        <f>ABS(INDEX(AS:AS,MATCH(AS202,$AA:$AA,0)+5)+INDEX(AS:AS,MATCH(AS202,$AA:$AA,0)+6)+INDEX(AS:AS,MATCH(AS202,$AA:$AA,0)+7))</f>
        <v>189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201</v>
      </c>
      <c r="E206" s="342" t="str">
        <f>IF(AD206=0,"",AD206)</f>
        <v/>
      </c>
      <c r="F206" s="342">
        <f>IF(AE206=301,"",AE206)</f>
        <v>192</v>
      </c>
      <c r="G206" s="342" t="str">
        <f>IF(AF206=0,"",AF206)</f>
        <v/>
      </c>
      <c r="H206" s="342">
        <f>IF(AG206=301,"",AG206)</f>
        <v>211</v>
      </c>
      <c r="I206" s="342" t="str">
        <f>IF(AH206=0,"",AH206)</f>
        <v/>
      </c>
      <c r="J206" s="342">
        <f>IF(AI206=301,"",AI206)</f>
        <v>205</v>
      </c>
      <c r="K206" s="342" t="str">
        <f>IF(AJ206=0,"",AJ206)</f>
        <v/>
      </c>
      <c r="L206" s="342">
        <f>IF(AK206=301,"",AK206)</f>
        <v>242</v>
      </c>
      <c r="M206" s="342" t="str">
        <f>IF(AL206=0,"",AL206)</f>
        <v/>
      </c>
      <c r="N206" s="342">
        <f>IF(AM206=301,"",AM206)</f>
        <v>167</v>
      </c>
      <c r="O206" s="342" t="str">
        <f>IF(AN206=0,"",AN206)</f>
        <v/>
      </c>
      <c r="P206" s="342">
        <f>IF(AO206=301,"",AO206)</f>
        <v>183</v>
      </c>
      <c r="Q206" s="342" t="str">
        <f>IF(AP206=0,"",AP206)</f>
        <v/>
      </c>
      <c r="R206" s="342">
        <f>IF(AQ206=301,"",AQ206)</f>
        <v>190</v>
      </c>
      <c r="S206" s="342" t="str">
        <f>IF(AR206=0,"",AR206)</f>
        <v/>
      </c>
      <c r="T206" s="342">
        <f>IF(AS206=301,"",AS206)</f>
        <v>245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201</v>
      </c>
      <c r="AD206" s="378"/>
      <c r="AE206" s="377">
        <f>ABS(INDEX(AE:AE,MATCH(AE202,$AA:$AA,0)+8)+INDEX(AE:AE,MATCH(AE202,$AA:$AA,0)+9)+INDEX(AE:AE,MATCH(AE202,$AA:$AA,0)+10))</f>
        <v>192</v>
      </c>
      <c r="AF206" s="378"/>
      <c r="AG206" s="377">
        <f>ABS(INDEX(AG:AG,MATCH(AG202,$AA:$AA,0)+8)+INDEX(AG:AG,MATCH(AG202,$AA:$AA,0)+9)+INDEX(AG:AG,MATCH(AG202,$AA:$AA,0)+10))</f>
        <v>211</v>
      </c>
      <c r="AH206" s="378"/>
      <c r="AI206" s="377">
        <f>ABS(INDEX(AI:AI,MATCH(AI202,$AA:$AA,0)+8)+INDEX(AI:AI,MATCH(AI202,$AA:$AA,0)+9)+INDEX(AI:AI,MATCH(AI202,$AA:$AA,0)+10))</f>
        <v>205</v>
      </c>
      <c r="AJ206" s="378"/>
      <c r="AK206" s="377">
        <f>ABS(INDEX(AK:AK,MATCH(AK202,$AA:$AA,0)+8)+INDEX(AK:AK,MATCH(AK202,$AA:$AA,0)+9)+INDEX(AK:AK,MATCH(AK202,$AA:$AA,0)+10))</f>
        <v>242</v>
      </c>
      <c r="AL206" s="378"/>
      <c r="AM206" s="377">
        <f>ABS(INDEX(AM:AM,MATCH(AM202,$AA:$AA,0)+8)+INDEX(AM:AM,MATCH(AM202,$AA:$AA,0)+9)+INDEX(AM:AM,MATCH(AM202,$AA:$AA,0)+10))</f>
        <v>167</v>
      </c>
      <c r="AN206" s="378"/>
      <c r="AO206" s="377">
        <f>ABS(INDEX(AO:AO,MATCH(AO202,$AA:$AA,0)+8)+INDEX(AO:AO,MATCH(AO202,$AA:$AA,0)+9)+INDEX(AO:AO,MATCH(AO202,$AA:$AA,0)+10))</f>
        <v>183</v>
      </c>
      <c r="AP206" s="378"/>
      <c r="AQ206" s="377">
        <f>ABS(INDEX(AQ:AQ,MATCH(AQ202,$AA:$AA,0)+8)+INDEX(AQ:AQ,MATCH(AQ202,$AA:$AA,0)+9)+INDEX(AQ:AQ,MATCH(AQ202,$AA:$AA,0)+10))</f>
        <v>190</v>
      </c>
      <c r="AR206" s="378"/>
      <c r="AS206" s="377">
        <f>ABS(INDEX(AS:AS,MATCH(AS202,$AA:$AA,0)+8)+INDEX(AS:AS,MATCH(AS202,$AA:$AA,0)+9)+INDEX(AS:AS,MATCH(AS202,$AA:$AA,0)+10))</f>
        <v>245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226</v>
      </c>
      <c r="G207" s="342" t="str">
        <f>IF(AF207=0,"",AF207)</f>
        <v/>
      </c>
      <c r="H207" s="342">
        <f>IF(AG207=301,"",AG207)</f>
        <v>172</v>
      </c>
      <c r="I207" s="342" t="str">
        <f>IF(AH207=0,"",AH207)</f>
        <v/>
      </c>
      <c r="J207" s="342">
        <f>IF(AI207=301,"",AI207)</f>
        <v>199</v>
      </c>
      <c r="K207" s="342" t="str">
        <f>IF(AJ207=0,"",AJ207)</f>
        <v/>
      </c>
      <c r="L207" s="342">
        <f>IF(AK207=301,"",AK207)</f>
        <v>171</v>
      </c>
      <c r="M207" s="342" t="str">
        <f>IF(AL207=0,"",AL207)</f>
        <v/>
      </c>
      <c r="N207" s="342">
        <f>IF(AM207=301,"",AM207)</f>
        <v>192</v>
      </c>
      <c r="O207" s="342" t="str">
        <f>IF(AN207=0,"",AN207)</f>
        <v/>
      </c>
      <c r="P207" s="342">
        <f>IF(AO207=301,"",AO207)</f>
        <v>209</v>
      </c>
      <c r="Q207" s="342" t="str">
        <f>IF(AP207=0,"",AP207)</f>
        <v/>
      </c>
      <c r="R207" s="342">
        <f>IF(AQ207=301,"",AQ207)</f>
        <v>150</v>
      </c>
      <c r="S207" s="342" t="str">
        <f>IF(AR207=0,"",AR207)</f>
        <v/>
      </c>
      <c r="T207" s="342">
        <f>IF(AS207=301,"",AS207)</f>
        <v>211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226</v>
      </c>
      <c r="AF207" s="378"/>
      <c r="AG207" s="377">
        <f>ABS(INDEX(AG:AG,MATCH(AG202,$AA:$AA,0)+11)+INDEX(AG:AG,MATCH(AG202,$AA:$AA,0)+12)+INDEX(AG:AG,MATCH(AG202,$AA:$AA,0)+13))</f>
        <v>172</v>
      </c>
      <c r="AH207" s="378"/>
      <c r="AI207" s="377">
        <f>ABS(INDEX(AI:AI,MATCH(AI202,$AA:$AA,0)+11)+INDEX(AI:AI,MATCH(AI202,$AA:$AA,0)+12)+INDEX(AI:AI,MATCH(AI202,$AA:$AA,0)+13))</f>
        <v>199</v>
      </c>
      <c r="AJ207" s="378"/>
      <c r="AK207" s="377">
        <f>ABS(INDEX(AK:AK,MATCH(AK202,$AA:$AA,0)+11)+INDEX(AK:AK,MATCH(AK202,$AA:$AA,0)+12)+INDEX(AK:AK,MATCH(AK202,$AA:$AA,0)+13))</f>
        <v>171</v>
      </c>
      <c r="AL207" s="378"/>
      <c r="AM207" s="377">
        <f>ABS(INDEX(AM:AM,MATCH(AM202,$AA:$AA,0)+11)+INDEX(AM:AM,MATCH(AM202,$AA:$AA,0)+12)+INDEX(AM:AM,MATCH(AM202,$AA:$AA,0)+13))</f>
        <v>192</v>
      </c>
      <c r="AN207" s="378"/>
      <c r="AO207" s="377">
        <f>ABS(INDEX(AO:AO,MATCH(AO202,$AA:$AA,0)+11)+INDEX(AO:AO,MATCH(AO202,$AA:$AA,0)+12)+INDEX(AO:AO,MATCH(AO202,$AA:$AA,0)+13))</f>
        <v>209</v>
      </c>
      <c r="AP207" s="378"/>
      <c r="AQ207" s="377">
        <f>ABS(INDEX(AQ:AQ,MATCH(AQ202,$AA:$AA,0)+11)+INDEX(AQ:AQ,MATCH(AQ202,$AA:$AA,0)+12)+INDEX(AQ:AQ,MATCH(AQ202,$AA:$AA,0)+13))</f>
        <v>150</v>
      </c>
      <c r="AR207" s="378"/>
      <c r="AS207" s="377">
        <f>ABS(INDEX(AS:AS,MATCH(AS202,$AA:$AA,0)+11)+INDEX(AS:AS,MATCH(AS202,$AA:$AA,0)+12)+INDEX(AS:AS,MATCH(AS202,$AA:$AA,0)+13))</f>
        <v>211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250</v>
      </c>
      <c r="E208" s="342" t="str">
        <f>IF(AD208=0,"",AD208)</f>
        <v/>
      </c>
      <c r="F208" s="342">
        <f>IF(AE208=301,"",AE208)</f>
        <v>184</v>
      </c>
      <c r="G208" s="342" t="str">
        <f>IF(AF208=0,"",AF208)</f>
        <v/>
      </c>
      <c r="H208" s="342">
        <f>IF(AG208=301,"",AG208)</f>
        <v>227</v>
      </c>
      <c r="I208" s="342" t="str">
        <f>IF(AH208=0,"",AH208)</f>
        <v/>
      </c>
      <c r="J208" s="342">
        <f>IF(AI208=301,"",AI208)</f>
        <v>203</v>
      </c>
      <c r="K208" s="342" t="str">
        <f>IF(AJ208=0,"",AJ208)</f>
        <v/>
      </c>
      <c r="L208" s="342">
        <f>IF(AK208=301,"",AK208)</f>
        <v>258</v>
      </c>
      <c r="M208" s="342" t="str">
        <f>IF(AL208=0,"",AL208)</f>
        <v/>
      </c>
      <c r="N208" s="342">
        <f>IF(AM208=301,"",AM208)</f>
        <v>202</v>
      </c>
      <c r="O208" s="342" t="str">
        <f>IF(AN208=0,"",AN208)</f>
        <v/>
      </c>
      <c r="P208" s="342">
        <f>IF(AO208=301,"",AO208)</f>
        <v>189</v>
      </c>
      <c r="Q208" s="342" t="str">
        <f>IF(AP208=0,"",AP208)</f>
        <v/>
      </c>
      <c r="R208" s="342">
        <f>IF(AQ208=301,"",AQ208)</f>
        <v>220</v>
      </c>
      <c r="S208" s="342" t="str">
        <f>IF(AR208=0,"",AR208)</f>
        <v/>
      </c>
      <c r="T208" s="342">
        <f>IF(AS208=301,"",AS208)</f>
        <v>170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250</v>
      </c>
      <c r="AD208" s="378"/>
      <c r="AE208" s="377">
        <f>ABS(INDEX(AE:AE,MATCH(AE202,$AA:$AA,0)+14)+INDEX(AE:AE,MATCH(AE202,$AA:$AA,0)+15)+INDEX(AE:AE,MATCH(AE202,$AA:$AA,0)+16))</f>
        <v>184</v>
      </c>
      <c r="AF208" s="378"/>
      <c r="AG208" s="377">
        <f>ABS(INDEX(AG:AG,MATCH(AG202,$AA:$AA,0)+14)+INDEX(AG:AG,MATCH(AG202,$AA:$AA,0)+15)+INDEX(AG:AG,MATCH(AG202,$AA:$AA,0)+16))</f>
        <v>227</v>
      </c>
      <c r="AH208" s="378"/>
      <c r="AI208" s="377">
        <f>ABS(INDEX(AI:AI,MATCH(AI202,$AA:$AA,0)+14)+INDEX(AI:AI,MATCH(AI202,$AA:$AA,0)+15)+INDEX(AI:AI,MATCH(AI202,$AA:$AA,0)+16))</f>
        <v>203</v>
      </c>
      <c r="AJ208" s="378"/>
      <c r="AK208" s="377">
        <f>ABS(INDEX(AK:AK,MATCH(AK202,$AA:$AA,0)+14)+INDEX(AK:AK,MATCH(AK202,$AA:$AA,0)+15)+INDEX(AK:AK,MATCH(AK202,$AA:$AA,0)+16))</f>
        <v>258</v>
      </c>
      <c r="AL208" s="378"/>
      <c r="AM208" s="377">
        <f>ABS(INDEX(AM:AM,MATCH(AM202,$AA:$AA,0)+14)+INDEX(AM:AM,MATCH(AM202,$AA:$AA,0)+15)+INDEX(AM:AM,MATCH(AM202,$AA:$AA,0)+16))</f>
        <v>202</v>
      </c>
      <c r="AN208" s="378"/>
      <c r="AO208" s="377">
        <f>ABS(INDEX(AO:AO,MATCH(AO202,$AA:$AA,0)+14)+INDEX(AO:AO,MATCH(AO202,$AA:$AA,0)+15)+INDEX(AO:AO,MATCH(AO202,$AA:$AA,0)+16))</f>
        <v>189</v>
      </c>
      <c r="AP208" s="378"/>
      <c r="AQ208" s="377">
        <f>ABS(INDEX(AQ:AQ,MATCH(AQ202,$AA:$AA,0)+14)+INDEX(AQ:AQ,MATCH(AQ202,$AA:$AA,0)+15)+INDEX(AQ:AQ,MATCH(AQ202,$AA:$AA,0)+16))</f>
        <v>220</v>
      </c>
      <c r="AR208" s="378"/>
      <c r="AS208" s="377">
        <f>ABS(INDEX(AS:AS,MATCH(AS202,$AA:$AA,0)+14)+INDEX(AS:AS,MATCH(AS202,$AA:$AA,0)+15)+INDEX(AS:AS,MATCH(AS202,$AA:$AA,0)+16))</f>
        <v>170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850</v>
      </c>
      <c r="E209" s="341" t="str">
        <f>IF(AD209=0,"",AD209)</f>
        <v/>
      </c>
      <c r="F209" s="341">
        <f>IF(AE209=1505,"",AE209)</f>
        <v>824</v>
      </c>
      <c r="G209" s="341" t="str">
        <f>IF(AF209=0,"",AF209)</f>
        <v/>
      </c>
      <c r="H209" s="341">
        <f>IF(AG209=1505,"",AG209)</f>
        <v>813</v>
      </c>
      <c r="I209" s="341" t="str">
        <f>IF(AH209=0,"",AH209)</f>
        <v/>
      </c>
      <c r="J209" s="341">
        <f>IF(AI209=1505,"",AI209)</f>
        <v>836</v>
      </c>
      <c r="K209" s="341" t="str">
        <f>IF(AJ209=0,"",AJ209)</f>
        <v/>
      </c>
      <c r="L209" s="341">
        <f>IF(AK209=1505,"",AK209)</f>
        <v>928</v>
      </c>
      <c r="M209" s="341" t="str">
        <f>IF(AL209=0,"",AL209)</f>
        <v/>
      </c>
      <c r="N209" s="341">
        <f>IF(AM209=1505,"",AM209)</f>
        <v>813</v>
      </c>
      <c r="O209" s="341" t="str">
        <f>IF(AN209=0,"",AN209)</f>
        <v/>
      </c>
      <c r="P209" s="341">
        <f>IF(AO209=1505,"",AO209)</f>
        <v>753</v>
      </c>
      <c r="Q209" s="341" t="str">
        <f>IF(AP209=0,"",AP209)</f>
        <v/>
      </c>
      <c r="R209" s="341">
        <f>IF(AQ209=1505,"",AQ209)</f>
        <v>834</v>
      </c>
      <c r="S209" s="341" t="str">
        <f>IF(AR209=0,"",AR209)</f>
        <v/>
      </c>
      <c r="T209" s="341">
        <f>IF(AS209=1505,"",AS209)</f>
        <v>815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850</v>
      </c>
      <c r="AD209" s="358"/>
      <c r="AE209" s="357">
        <f>SUM(AE205:AE208)</f>
        <v>824</v>
      </c>
      <c r="AF209" s="358"/>
      <c r="AG209" s="357">
        <f>SUM(AG205:AG208)</f>
        <v>813</v>
      </c>
      <c r="AH209" s="358"/>
      <c r="AI209" s="357">
        <f>SUM(AI205:AI208)</f>
        <v>836</v>
      </c>
      <c r="AJ209" s="358"/>
      <c r="AK209" s="357">
        <f>SUM(AK205:AK208)</f>
        <v>928</v>
      </c>
      <c r="AL209" s="358"/>
      <c r="AM209" s="357">
        <f>SUM(AM205:AM208)</f>
        <v>813</v>
      </c>
      <c r="AN209" s="358"/>
      <c r="AO209" s="357">
        <f>SUM(AO205:AO208)</f>
        <v>753</v>
      </c>
      <c r="AP209" s="358"/>
      <c r="AQ209" s="357">
        <f>SUM(AQ205:AQ208)</f>
        <v>834</v>
      </c>
      <c r="AR209" s="358"/>
      <c r="AS209" s="357">
        <f>SUM(AS205:AS208)</f>
        <v>815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15.03./16.03.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15.03./16.03.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Brunnthal Max Munich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184</v>
      </c>
      <c r="E217" s="351">
        <f>IF(AD217="","",AD217)</f>
        <v>0</v>
      </c>
      <c r="F217" s="75">
        <f t="shared" ref="F217:F230" si="244">IF(AE217=0,"",AE217)</f>
        <v>209</v>
      </c>
      <c r="G217" s="351">
        <f>IF(AF217="","",AF217)</f>
        <v>1</v>
      </c>
      <c r="H217" s="75">
        <f t="shared" ref="H217:H230" si="245">IF(AG217=0,"",AG217)</f>
        <v>206</v>
      </c>
      <c r="I217" s="351">
        <f>IF(AH217="","",AH217)</f>
        <v>0</v>
      </c>
      <c r="J217" s="75">
        <f t="shared" ref="J217:J230" si="246">IF(AI217=0,"",AI217)</f>
        <v>175</v>
      </c>
      <c r="K217" s="351">
        <f>IF(AJ217="","",AJ217)</f>
        <v>0</v>
      </c>
      <c r="L217" s="75" t="str">
        <f t="shared" ref="L217:L230" si="247">IF(AK217=0,"",AK217)</f>
        <v/>
      </c>
      <c r="M217" s="351">
        <f>IF(AL217="","",AL217)</f>
        <v>0</v>
      </c>
      <c r="N217" s="75">
        <f>IF(AM217=0,"",AM217)</f>
        <v>214</v>
      </c>
      <c r="O217" s="351">
        <f>IF(AN217="","",AN217)</f>
        <v>1</v>
      </c>
      <c r="P217" s="75">
        <f t="shared" ref="P217:P230" si="248">IF(AO217=0,"",AO217)</f>
        <v>230</v>
      </c>
      <c r="Q217" s="351">
        <f>IF(AP217="","",AP217)</f>
        <v>1</v>
      </c>
      <c r="R217" s="75">
        <f t="shared" ref="R217:R230" si="249">IF(AQ217=0,"",AQ217)</f>
        <v>193</v>
      </c>
      <c r="S217" s="351">
        <f>IF(AR217="","",AR217)</f>
        <v>1</v>
      </c>
      <c r="T217" s="75">
        <f t="shared" ref="T217:T230" si="250">IF(AS217=0,"",AS217)</f>
        <v>232</v>
      </c>
      <c r="U217" s="351">
        <f>IF(AT217="","",AT217)</f>
        <v>1</v>
      </c>
      <c r="V217" s="75">
        <f t="shared" ref="V217:V230" si="251">IF(AU217=0,"",AU217)</f>
        <v>1643</v>
      </c>
      <c r="W217" s="351">
        <f>IF(AV217="","",AV217)</f>
        <v>5</v>
      </c>
      <c r="Z217" s="354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184</v>
      </c>
      <c r="AD217" s="109">
        <f>IF(SUM(AC217:AC219)+AC235=0,0,IF(SUM(AC217:AC219)=AC235,0.5,IF(SUM(AC217:AC219)&gt;AC235,1,0)))</f>
        <v>0</v>
      </c>
      <c r="AE217" s="185">
        <v>209</v>
      </c>
      <c r="AF217" s="109">
        <f>IF(SUM(AE217:AE219)+AE235=0,0,IF(SUM(AE217:AE219)=AE235,0.5,IF(SUM(AE217:AE219)&gt;AE235,1,0)))</f>
        <v>1</v>
      </c>
      <c r="AG217" s="185">
        <v>206</v>
      </c>
      <c r="AH217" s="109">
        <f>IF(SUM(AG217:AG219)+AG235=0,0,IF(SUM(AG217:AG219)=AG235,0.5,IF(SUM(AG217:AG219)&gt;AG235,1,0)))</f>
        <v>0</v>
      </c>
      <c r="AI217" s="185">
        <v>175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230</v>
      </c>
      <c r="AP217" s="109">
        <f>IF(SUM(AO217:AO219)+AO235=0,0,IF(SUM(AO217:AO219)=AO235,0.5,IF(SUM(AO217:AO219)&gt;AO235,1,0)))</f>
        <v>1</v>
      </c>
      <c r="AQ217" s="185">
        <v>193</v>
      </c>
      <c r="AR217" s="109">
        <f>IF(SUM(AQ217:AQ219)+AQ235=0,0,IF(SUM(AQ217:AQ219)=AQ235,0.5,IF(SUM(AQ217:AQ219)&gt;AQ235,1,0)))</f>
        <v>1</v>
      </c>
      <c r="AS217" s="185">
        <v>232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1643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1643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184</v>
      </c>
      <c r="BI217" s="215">
        <f t="shared" ref="BI217:BI228" si="254">IF(AE217=0,"",AE217)</f>
        <v>209</v>
      </c>
      <c r="BJ217" s="215">
        <f t="shared" ref="BJ217:BJ228" si="255">IF(AG217=0,"",AG217)</f>
        <v>206</v>
      </c>
      <c r="BK217" s="215">
        <f t="shared" ref="BK217:BK228" si="256">IF(AI217=0,"",AI217)</f>
        <v>175</v>
      </c>
      <c r="BL217" s="215" t="str">
        <f t="shared" ref="BL217:BL228" si="257">IF(AK217=0,"",AK217)</f>
        <v/>
      </c>
      <c r="BM217" s="215">
        <f t="shared" ref="BM217:BM228" si="258">IF(AM217=0,"",AM217)</f>
        <v>214</v>
      </c>
      <c r="BN217" s="215">
        <f t="shared" ref="BN217:BN228" si="259">IF(AO217=0,"",AO217)</f>
        <v>230</v>
      </c>
      <c r="BO217" s="215">
        <f t="shared" ref="BO217:BO228" si="260">IF(AQ217=0,"",AQ217)</f>
        <v>193</v>
      </c>
      <c r="BP217" s="215">
        <f t="shared" ref="BP217:BP228" si="261">IF(AS217=0,"",AS217)</f>
        <v>232</v>
      </c>
      <c r="BQ217" s="216"/>
      <c r="BR217" s="214"/>
      <c r="BS217" s="215">
        <f>MAX(BH217:BP217)</f>
        <v>232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3</v>
      </c>
      <c r="BW217" s="215">
        <f>SUMIF(BH217:BP217,"&gt;0")</f>
        <v>1643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Lohse, Sebastian</v>
      </c>
      <c r="C218" s="77">
        <f t="shared" si="263"/>
        <v>27134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>
        <f t="shared" si="247"/>
        <v>165</v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>
        <f t="shared" si="251"/>
        <v>165</v>
      </c>
      <c r="W218" s="352"/>
      <c r="Z218" s="355"/>
      <c r="AA218" s="108" t="str">
        <f>IF(AB218=0,"",VLOOKUP(AB218,Starter!$A$1:$D$199,2,FALSE))</f>
        <v>Lohse, Sebastian</v>
      </c>
      <c r="AB218" s="98">
        <v>27134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165</v>
      </c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165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27134</v>
      </c>
      <c r="BE218" s="213">
        <f t="shared" ref="BE218:BE228" si="266">+AU218</f>
        <v>165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>
        <f t="shared" si="257"/>
        <v>165</v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165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3</v>
      </c>
      <c r="BW218" s="215">
        <f t="shared" ref="BW218:BW228" si="273">SUMIF(BH218:BP218,"&gt;0")</f>
        <v>165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3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201</v>
      </c>
      <c r="E220" s="351">
        <f>IF(AD220="","",AD220)</f>
        <v>1</v>
      </c>
      <c r="F220" s="75">
        <f t="shared" si="244"/>
        <v>225</v>
      </c>
      <c r="G220" s="351">
        <f>IF(AF220="","",AF220)</f>
        <v>0</v>
      </c>
      <c r="H220" s="75">
        <f t="shared" si="245"/>
        <v>189</v>
      </c>
      <c r="I220" s="351">
        <f>IF(AH220="","",AH220)</f>
        <v>1</v>
      </c>
      <c r="J220" s="75">
        <f t="shared" si="246"/>
        <v>232</v>
      </c>
      <c r="K220" s="351">
        <f>IF(AJ220="","",AJ220)</f>
        <v>1</v>
      </c>
      <c r="L220" s="75">
        <f t="shared" si="247"/>
        <v>194</v>
      </c>
      <c r="M220" s="351">
        <f>IF(AL220="","",AL220)</f>
        <v>0</v>
      </c>
      <c r="N220" s="75">
        <f t="shared" si="264"/>
        <v>214</v>
      </c>
      <c r="O220" s="351">
        <f>IF(AN220="","",AN220)</f>
        <v>1</v>
      </c>
      <c r="P220" s="75">
        <f t="shared" si="248"/>
        <v>168</v>
      </c>
      <c r="Q220" s="351">
        <f>IF(AP220="","",AP220)</f>
        <v>0</v>
      </c>
      <c r="R220" s="75" t="str">
        <f t="shared" si="249"/>
        <v/>
      </c>
      <c r="S220" s="351">
        <f>IF(AR220="","",AR220)</f>
        <v>1</v>
      </c>
      <c r="T220" s="75" t="str">
        <f t="shared" si="250"/>
        <v/>
      </c>
      <c r="U220" s="351">
        <f>IF(AT220="","",AT220)</f>
        <v>0</v>
      </c>
      <c r="V220" s="75">
        <f t="shared" si="251"/>
        <v>1423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201</v>
      </c>
      <c r="AD220" s="109">
        <f>IF(SUM(AC220:AC222)+AC236=0,0,IF(SUM(AC220:AC222)=AC236,0.5,IF(SUM(AC220:AC222)&gt;AC236,1,0)))</f>
        <v>1</v>
      </c>
      <c r="AE220" s="188">
        <v>225</v>
      </c>
      <c r="AF220" s="109">
        <f>IF(SUM(AE220:AE222)+AE236=0,0,IF(SUM(AE220:AE222)=AE236,0.5,IF(SUM(AE220:AE222)&gt;AE236,1,0)))</f>
        <v>0</v>
      </c>
      <c r="AG220" s="188">
        <v>189</v>
      </c>
      <c r="AH220" s="109">
        <f>IF(SUM(AG220:AG222)+AG236=0,0,IF(SUM(AG220:AG222)=AG236,0.5,IF(SUM(AG220:AG222)&gt;AG236,1,0)))</f>
        <v>1</v>
      </c>
      <c r="AI220" s="188">
        <v>232</v>
      </c>
      <c r="AJ220" s="109">
        <f>IF(SUM(AI220:AI222)+AI236=0,0,IF(SUM(AI220:AI222)=AI236,0.5,IF(SUM(AI220:AI222)&gt;AI236,1,0)))</f>
        <v>1</v>
      </c>
      <c r="AK220" s="188">
        <v>194</v>
      </c>
      <c r="AL220" s="109">
        <f>IF(SUM(AK220:AK222)+AK236=0,0,IF(SUM(AK220:AK222)=AK236,0.5,IF(SUM(AK220:AK222)&gt;AK236,1,0)))</f>
        <v>0</v>
      </c>
      <c r="AM220" s="188">
        <v>214</v>
      </c>
      <c r="AN220" s="109">
        <f>IF(SUM(AM220:AM222)+AM236=0,0,IF(SUM(AM220:AM222)=AM236,0.5,IF(SUM(AM220:AM222)&gt;AM236,1,0)))</f>
        <v>1</v>
      </c>
      <c r="AO220" s="188">
        <v>168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1423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1423</v>
      </c>
      <c r="BF220" s="215">
        <f t="shared" si="267"/>
        <v>7</v>
      </c>
      <c r="BG220" s="215">
        <f t="shared" si="268"/>
        <v>7</v>
      </c>
      <c r="BH220" s="215">
        <f t="shared" si="253"/>
        <v>201</v>
      </c>
      <c r="BI220" s="215">
        <f t="shared" si="254"/>
        <v>225</v>
      </c>
      <c r="BJ220" s="215">
        <f t="shared" si="255"/>
        <v>189</v>
      </c>
      <c r="BK220" s="215">
        <f t="shared" si="256"/>
        <v>232</v>
      </c>
      <c r="BL220" s="215">
        <f t="shared" si="257"/>
        <v>194</v>
      </c>
      <c r="BM220" s="215">
        <f t="shared" si="258"/>
        <v>214</v>
      </c>
      <c r="BN220" s="215">
        <f t="shared" si="259"/>
        <v>168</v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232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3</v>
      </c>
      <c r="BW220" s="215">
        <f t="shared" si="273"/>
        <v>1423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Lohse, Sebastian</v>
      </c>
      <c r="C221" s="77">
        <f t="shared" si="263"/>
        <v>27134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>
        <f t="shared" si="249"/>
        <v>214</v>
      </c>
      <c r="S221" s="352"/>
      <c r="T221" s="78">
        <f t="shared" si="250"/>
        <v>144</v>
      </c>
      <c r="U221" s="352"/>
      <c r="V221" s="78">
        <f t="shared" si="251"/>
        <v>358</v>
      </c>
      <c r="W221" s="352"/>
      <c r="Z221" s="355"/>
      <c r="AA221" s="108" t="str">
        <f>IF(AB221=0,"",VLOOKUP(AB221,Starter!$A$1:$D$199,2,FALSE))</f>
        <v>Lohse, Sebastian</v>
      </c>
      <c r="AB221" s="98">
        <v>27134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>
        <v>214</v>
      </c>
      <c r="AR221" s="112"/>
      <c r="AS221" s="190">
        <v>144</v>
      </c>
      <c r="AT221" s="112"/>
      <c r="AU221" s="113">
        <f t="shared" si="252"/>
        <v>358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27134</v>
      </c>
      <c r="BE221" s="213">
        <f t="shared" si="266"/>
        <v>358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>
        <f t="shared" si="260"/>
        <v>214</v>
      </c>
      <c r="BP221" s="215">
        <f t="shared" si="261"/>
        <v>144</v>
      </c>
      <c r="BQ221" s="216"/>
      <c r="BR221" s="214"/>
      <c r="BS221" s="215">
        <f t="shared" si="269"/>
        <v>214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3</v>
      </c>
      <c r="BW221" s="215">
        <f t="shared" si="273"/>
        <v>358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3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Probst, Marco</v>
      </c>
      <c r="C223" s="74">
        <f t="shared" si="263"/>
        <v>7602</v>
      </c>
      <c r="D223" s="75">
        <f t="shared" si="263"/>
        <v>215</v>
      </c>
      <c r="E223" s="351">
        <f>IF(AD223="","",AD223)</f>
        <v>0</v>
      </c>
      <c r="F223" s="75">
        <f t="shared" si="244"/>
        <v>193</v>
      </c>
      <c r="G223" s="351">
        <f>IF(AF223="","",AF223)</f>
        <v>0</v>
      </c>
      <c r="H223" s="75">
        <f t="shared" si="245"/>
        <v>223</v>
      </c>
      <c r="I223" s="351">
        <f>IF(AH223="","",AH223)</f>
        <v>1</v>
      </c>
      <c r="J223" s="75">
        <f t="shared" si="246"/>
        <v>244</v>
      </c>
      <c r="K223" s="351">
        <f>IF(AJ223="","",AJ223)</f>
        <v>1</v>
      </c>
      <c r="L223" s="75">
        <f t="shared" si="247"/>
        <v>212</v>
      </c>
      <c r="M223" s="351">
        <f>IF(AL223="","",AL223)</f>
        <v>0</v>
      </c>
      <c r="N223" s="75">
        <f t="shared" si="264"/>
        <v>198</v>
      </c>
      <c r="O223" s="351">
        <f>IF(AN223="","",AN223)</f>
        <v>1</v>
      </c>
      <c r="P223" s="75">
        <f t="shared" si="248"/>
        <v>205</v>
      </c>
      <c r="Q223" s="351">
        <f>IF(AP223="","",AP223)</f>
        <v>1</v>
      </c>
      <c r="R223" s="75">
        <f t="shared" si="249"/>
        <v>171</v>
      </c>
      <c r="S223" s="351">
        <f>IF(AR223="","",AR223)</f>
        <v>0</v>
      </c>
      <c r="T223" s="75" t="str">
        <f t="shared" si="250"/>
        <v/>
      </c>
      <c r="U223" s="351">
        <f>IF(AT223="","",AT223)</f>
        <v>0</v>
      </c>
      <c r="V223" s="75">
        <f t="shared" si="251"/>
        <v>1661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Probst, Marco</v>
      </c>
      <c r="AB223" s="99">
        <v>7602</v>
      </c>
      <c r="AC223" s="188">
        <v>215</v>
      </c>
      <c r="AD223" s="109">
        <f>IF(SUM(AC223:AC225)+AC237=0,0,IF(SUM(AC223:AC225)=AC237,0.5,IF(SUM(AC223:AC225)&gt;AC237,1,0)))</f>
        <v>0</v>
      </c>
      <c r="AE223" s="188">
        <v>193</v>
      </c>
      <c r="AF223" s="109">
        <f>IF(SUM(AE223:AE225)+AE237=0,0,IF(SUM(AE223:AE225)=AE237,0.5,IF(SUM(AE223:AE225)&gt;AE237,1,0)))</f>
        <v>0</v>
      </c>
      <c r="AG223" s="188">
        <v>223</v>
      </c>
      <c r="AH223" s="109">
        <f>IF(SUM(AG223:AG225)+AG237=0,0,IF(SUM(AG223:AG225)=AG237,0.5,IF(SUM(AG223:AG225)&gt;AG237,1,0)))</f>
        <v>1</v>
      </c>
      <c r="AI223" s="188">
        <v>244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0</v>
      </c>
      <c r="AM223" s="188">
        <v>198</v>
      </c>
      <c r="AN223" s="109">
        <f>IF(SUM(AM223:AM225)+AM237=0,0,IF(SUM(AM223:AM225)=AM237,0.5,IF(SUM(AM223:AM225)&gt;AM237,1,0)))</f>
        <v>1</v>
      </c>
      <c r="AO223" s="188">
        <v>205</v>
      </c>
      <c r="AP223" s="109">
        <f>IF(SUM(AO223:AO225)+AO237=0,0,IF(SUM(AO223:AO225)=AO237,0.5,IF(SUM(AO223:AO225)&gt;AO237,1,0)))</f>
        <v>1</v>
      </c>
      <c r="AQ223" s="188">
        <v>171</v>
      </c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1661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7602</v>
      </c>
      <c r="BE223" s="213">
        <f t="shared" si="266"/>
        <v>1661</v>
      </c>
      <c r="BF223" s="215">
        <f t="shared" si="267"/>
        <v>8</v>
      </c>
      <c r="BG223" s="215">
        <f t="shared" si="268"/>
        <v>8</v>
      </c>
      <c r="BH223" s="215">
        <f t="shared" si="253"/>
        <v>215</v>
      </c>
      <c r="BI223" s="215">
        <f t="shared" si="254"/>
        <v>193</v>
      </c>
      <c r="BJ223" s="215">
        <f t="shared" si="255"/>
        <v>223</v>
      </c>
      <c r="BK223" s="215">
        <f t="shared" si="256"/>
        <v>244</v>
      </c>
      <c r="BL223" s="215">
        <f t="shared" si="257"/>
        <v>212</v>
      </c>
      <c r="BM223" s="215">
        <f t="shared" si="258"/>
        <v>198</v>
      </c>
      <c r="BN223" s="215">
        <f t="shared" si="259"/>
        <v>205</v>
      </c>
      <c r="BO223" s="215">
        <f t="shared" si="260"/>
        <v>171</v>
      </c>
      <c r="BP223" s="215" t="str">
        <f t="shared" si="261"/>
        <v/>
      </c>
      <c r="BQ223" s="216"/>
      <c r="BR223" s="214"/>
      <c r="BS223" s="215">
        <f t="shared" si="269"/>
        <v>244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3</v>
      </c>
      <c r="BW223" s="215">
        <f t="shared" si="273"/>
        <v>1661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>Blasits, Ernst</v>
      </c>
      <c r="C224" s="77">
        <f t="shared" si="263"/>
        <v>25554</v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>
        <f t="shared" si="250"/>
        <v>180</v>
      </c>
      <c r="U224" s="352"/>
      <c r="V224" s="78">
        <f t="shared" si="251"/>
        <v>180</v>
      </c>
      <c r="W224" s="352"/>
      <c r="Z224" s="355"/>
      <c r="AA224" s="108" t="str">
        <f>IF(AB224=0,"",VLOOKUP(AB224,Starter!$A$1:$D$199,2,FALSE))</f>
        <v>Blasits, Ernst</v>
      </c>
      <c r="AB224" s="98">
        <v>25554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>
        <v>180</v>
      </c>
      <c r="AT224" s="112"/>
      <c r="AU224" s="113">
        <f t="shared" si="252"/>
        <v>180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25554</v>
      </c>
      <c r="BE224" s="213">
        <f t="shared" si="266"/>
        <v>180</v>
      </c>
      <c r="BF224" s="215">
        <f t="shared" si="267"/>
        <v>1</v>
      </c>
      <c r="BG224" s="215">
        <f t="shared" si="268"/>
        <v>1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>
        <f t="shared" si="261"/>
        <v>180</v>
      </c>
      <c r="BQ224" s="216"/>
      <c r="BR224" s="214"/>
      <c r="BS224" s="215">
        <f t="shared" si="269"/>
        <v>180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3</v>
      </c>
      <c r="BW224" s="215">
        <f t="shared" si="273"/>
        <v>180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3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250</v>
      </c>
      <c r="E226" s="351">
        <f>IF(AD226="","",AD226)</f>
        <v>1</v>
      </c>
      <c r="F226" s="75">
        <f t="shared" si="244"/>
        <v>243</v>
      </c>
      <c r="G226" s="351">
        <f>IF(AF226="","",AF226)</f>
        <v>1</v>
      </c>
      <c r="H226" s="75">
        <f t="shared" si="245"/>
        <v>205</v>
      </c>
      <c r="I226" s="351">
        <f>IF(AH226="","",AH226)</f>
        <v>0</v>
      </c>
      <c r="J226" s="75">
        <f t="shared" si="246"/>
        <v>200</v>
      </c>
      <c r="K226" s="351">
        <f>IF(AJ226="","",AJ226)</f>
        <v>0</v>
      </c>
      <c r="L226" s="75">
        <f t="shared" si="247"/>
        <v>212</v>
      </c>
      <c r="M226" s="351">
        <f>IF(AL226="","",AL226)</f>
        <v>0</v>
      </c>
      <c r="N226" s="75">
        <f t="shared" si="264"/>
        <v>193</v>
      </c>
      <c r="O226" s="351">
        <f>IF(AN226="","",AN226)</f>
        <v>0</v>
      </c>
      <c r="P226" s="75">
        <f t="shared" si="248"/>
        <v>193</v>
      </c>
      <c r="Q226" s="351">
        <f>IF(AP226="","",AP226)</f>
        <v>0</v>
      </c>
      <c r="R226" s="75">
        <f t="shared" si="249"/>
        <v>218</v>
      </c>
      <c r="S226" s="351">
        <f>IF(AR226="","",AR226)</f>
        <v>1</v>
      </c>
      <c r="T226" s="75">
        <f t="shared" si="250"/>
        <v>224</v>
      </c>
      <c r="U226" s="351">
        <f>IF(AT226="","",AT226)</f>
        <v>1</v>
      </c>
      <c r="V226" s="75">
        <f t="shared" si="251"/>
        <v>1938</v>
      </c>
      <c r="W226" s="351">
        <f>IF(AV226="","",AV226)</f>
        <v>4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250</v>
      </c>
      <c r="AD226" s="109">
        <f>IF(SUM(AC226:AC228)+AC238=0,0,IF(SUM(AC226:AC228)=AC238,0.5,IF(SUM(AC226:AC228)&gt;AC238,1,0)))</f>
        <v>1</v>
      </c>
      <c r="AE226" s="188">
        <v>243</v>
      </c>
      <c r="AF226" s="109">
        <f>IF(SUM(AE226:AE228)+AE238=0,0,IF(SUM(AE226:AE228)=AE238,0.5,IF(SUM(AE226:AE228)&gt;AE238,1,0)))</f>
        <v>1</v>
      </c>
      <c r="AG226" s="188">
        <v>205</v>
      </c>
      <c r="AH226" s="109">
        <f>IF(SUM(AG226:AG228)+AG238=0,0,IF(SUM(AG226:AG228)=AG238,0.5,IF(SUM(AG226:AG228)&gt;AG238,1,0)))</f>
        <v>0</v>
      </c>
      <c r="AI226" s="188">
        <v>200</v>
      </c>
      <c r="AJ226" s="109">
        <f>IF(SUM(AI226:AI228)+AI238=0,0,IF(SUM(AI226:AI228)=AI238,0.5,IF(SUM(AI226:AI228)&gt;AI238,1,0)))</f>
        <v>0</v>
      </c>
      <c r="AK226" s="188">
        <v>212</v>
      </c>
      <c r="AL226" s="109">
        <f>IF(SUM(AK226:AK228)+AK238=0,0,IF(SUM(AK226:AK228)=AK238,0.5,IF(SUM(AK226:AK228)&gt;AK238,1,0)))</f>
        <v>0</v>
      </c>
      <c r="AM226" s="188">
        <v>193</v>
      </c>
      <c r="AN226" s="109">
        <f>IF(SUM(AM226:AM228)+AM238=0,0,IF(SUM(AM226:AM228)=AM238,0.5,IF(SUM(AM226:AM228)&gt;AM238,1,0)))</f>
        <v>0</v>
      </c>
      <c r="AO226" s="188">
        <v>193</v>
      </c>
      <c r="AP226" s="109">
        <f>IF(SUM(AO226:AO228)+AO238=0,0,IF(SUM(AO226:AO228)=AO238,0.5,IF(SUM(AO226:AO228)&gt;AO238,1,0)))</f>
        <v>0</v>
      </c>
      <c r="AQ226" s="188">
        <v>218</v>
      </c>
      <c r="AR226" s="109">
        <f>IF(SUM(AQ226:AQ228)+AQ238=0,0,IF(SUM(AQ226:AQ228)=AQ238,0.5,IF(SUM(AQ226:AQ228)&gt;AQ238,1,0)))</f>
        <v>1</v>
      </c>
      <c r="AS226" s="188">
        <v>224</v>
      </c>
      <c r="AT226" s="109">
        <f>IF(SUM(AS226:AS228)+AS238=0,0,IF(SUM(AS226:AS228)=AS238,0.5,IF(SUM(AS226:AS228)&gt;AS238,1,0)))</f>
        <v>1</v>
      </c>
      <c r="AU226" s="110">
        <f t="shared" si="252"/>
        <v>1938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1938</v>
      </c>
      <c r="BF226" s="215">
        <f t="shared" si="267"/>
        <v>9</v>
      </c>
      <c r="BG226" s="215">
        <f t="shared" si="268"/>
        <v>9</v>
      </c>
      <c r="BH226" s="215">
        <f t="shared" si="253"/>
        <v>250</v>
      </c>
      <c r="BI226" s="215">
        <f t="shared" si="254"/>
        <v>243</v>
      </c>
      <c r="BJ226" s="215">
        <f t="shared" si="255"/>
        <v>205</v>
      </c>
      <c r="BK226" s="215">
        <f t="shared" si="256"/>
        <v>200</v>
      </c>
      <c r="BL226" s="215">
        <f t="shared" si="257"/>
        <v>212</v>
      </c>
      <c r="BM226" s="215">
        <f t="shared" si="258"/>
        <v>193</v>
      </c>
      <c r="BN226" s="215">
        <f t="shared" si="259"/>
        <v>193</v>
      </c>
      <c r="BO226" s="215">
        <f t="shared" si="260"/>
        <v>218</v>
      </c>
      <c r="BP226" s="215">
        <f t="shared" si="261"/>
        <v>224</v>
      </c>
      <c r="BQ226" s="216"/>
      <c r="BR226" s="214"/>
      <c r="BS226" s="215">
        <f t="shared" si="269"/>
        <v>250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3</v>
      </c>
      <c r="BW226" s="215">
        <f t="shared" si="273"/>
        <v>1938</v>
      </c>
      <c r="BX226" s="215">
        <f>IF(COUNTIF(BH226:BP226,"&gt;0")&lt;Spielorte!$A$23,0,BE226/Spielorte!$A$23)</f>
        <v>215.33333333333334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2"/>
      <c r="F227" s="78" t="str">
        <f t="shared" si="244"/>
        <v/>
      </c>
      <c r="G227" s="352"/>
      <c r="H227" s="78" t="str">
        <f t="shared" si="245"/>
        <v/>
      </c>
      <c r="I227" s="352"/>
      <c r="J227" s="78" t="str">
        <f t="shared" si="246"/>
        <v/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 t="str">
        <f t="shared" si="251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3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3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850</v>
      </c>
      <c r="E229" s="84">
        <f>IF(AD229="","",AD229)</f>
        <v>2</v>
      </c>
      <c r="F229" s="83">
        <f t="shared" si="244"/>
        <v>870</v>
      </c>
      <c r="G229" s="84">
        <f>IF(AF229="","",AF229)</f>
        <v>2</v>
      </c>
      <c r="H229" s="83">
        <f t="shared" si="245"/>
        <v>823</v>
      </c>
      <c r="I229" s="84">
        <f>IF(AH229="","",AH229)</f>
        <v>2</v>
      </c>
      <c r="J229" s="83">
        <f t="shared" si="246"/>
        <v>851</v>
      </c>
      <c r="K229" s="84">
        <f>IF(AJ229="","",AJ229)</f>
        <v>2</v>
      </c>
      <c r="L229" s="83">
        <f t="shared" si="247"/>
        <v>783</v>
      </c>
      <c r="M229" s="84">
        <f>IF(AL229="","",AL229)</f>
        <v>0</v>
      </c>
      <c r="N229" s="83">
        <f t="shared" si="264"/>
        <v>819</v>
      </c>
      <c r="O229" s="84">
        <f>IF(AN229="","",AN229)</f>
        <v>2</v>
      </c>
      <c r="P229" s="83">
        <f t="shared" si="248"/>
        <v>796</v>
      </c>
      <c r="Q229" s="84">
        <f>IF(AP229="","",AP229)</f>
        <v>0</v>
      </c>
      <c r="R229" s="83">
        <f t="shared" si="249"/>
        <v>796</v>
      </c>
      <c r="S229" s="84">
        <f>IF(AR229="","",AR229)</f>
        <v>0</v>
      </c>
      <c r="T229" s="83">
        <f t="shared" si="250"/>
        <v>780</v>
      </c>
      <c r="U229" s="84">
        <f>IF(AT229="","",AT229)</f>
        <v>0</v>
      </c>
      <c r="V229" s="83">
        <f t="shared" si="251"/>
        <v>7368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850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823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851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819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796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796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780</v>
      </c>
      <c r="AT229" s="121">
        <f>IF(AS229+AS239=0,0,IF(AS229=AS239,1,IF(AS229&gt;AS239,2,0)))</f>
        <v>0</v>
      </c>
      <c r="AU229" s="122">
        <f>SUM(AC229+AE229+AG229+AI229+AK229+AM229+AO229+AQ229+AS229)</f>
        <v>7368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4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4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5</v>
      </c>
      <c r="P230" s="86" t="str">
        <f t="shared" si="248"/>
        <v/>
      </c>
      <c r="Q230" s="87">
        <f>IF(AP230="","",AP230)</f>
        <v>2</v>
      </c>
      <c r="R230" s="86" t="str">
        <f t="shared" si="249"/>
        <v/>
      </c>
      <c r="S230" s="87">
        <f>IF(AR230="","",AR230)</f>
        <v>3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28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5</v>
      </c>
      <c r="AO230" s="86"/>
      <c r="AP230" s="124">
        <f>SUM(AP217:AP229)</f>
        <v>2</v>
      </c>
      <c r="AQ230" s="86"/>
      <c r="AR230" s="124">
        <f>SUM(AR217:AR229)</f>
        <v>3</v>
      </c>
      <c r="AS230" s="86"/>
      <c r="AT230" s="124">
        <f>SUM(AT217:AT229)</f>
        <v>2</v>
      </c>
      <c r="AU230" s="86"/>
      <c r="AV230" s="125">
        <f>SUM(AV217:AV229)</f>
        <v>28</v>
      </c>
      <c r="AW230" s="101"/>
      <c r="AX230" s="102"/>
      <c r="BA230" s="212">
        <f>+AV230</f>
        <v>28</v>
      </c>
      <c r="BB230" s="213">
        <f>+AU229</f>
        <v>7368</v>
      </c>
      <c r="BC230" s="214">
        <f>+AA212</f>
        <v>8</v>
      </c>
      <c r="BF230" s="215">
        <f>SUM(BF211:BF229)</f>
        <v>36</v>
      </c>
      <c r="BQ230" s="212">
        <f>+BB230/1000000+BA230</f>
        <v>28.007368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7</v>
      </c>
      <c r="E232" s="349" t="str">
        <f t="shared" si="275"/>
        <v/>
      </c>
      <c r="F232" s="349">
        <f t="shared" si="275"/>
        <v>4</v>
      </c>
      <c r="G232" s="349" t="str">
        <f t="shared" si="275"/>
        <v/>
      </c>
      <c r="H232" s="349">
        <f t="shared" si="275"/>
        <v>9</v>
      </c>
      <c r="I232" s="349" t="str">
        <f t="shared" si="275"/>
        <v/>
      </c>
      <c r="J232" s="349">
        <f t="shared" si="275"/>
        <v>6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5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L232:U234" si="276">IF(AQ232=0,"",AQ232)</f>
        <v>1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VLOOKUP($AA212,Schlüssel!$A$5:$DG$14,83)</f>
        <v>7</v>
      </c>
      <c r="AD232" s="374"/>
      <c r="AE232" s="373">
        <f>VLOOKUP($AA212,Schlüssel!$A$5:$EK$14,84)</f>
        <v>4</v>
      </c>
      <c r="AF232" s="374"/>
      <c r="AG232" s="373">
        <f>VLOOKUP($AA212,Schlüssel!$A$5:$EK$14,85)</f>
        <v>9</v>
      </c>
      <c r="AH232" s="374"/>
      <c r="AI232" s="373">
        <f>VLOOKUP($AA212,Schlüssel!$A$5:$EK$14,86)</f>
        <v>6</v>
      </c>
      <c r="AJ232" s="374"/>
      <c r="AK232" s="373">
        <f>VLOOKUP($AA212,Schlüssel!$A$5:$EK$14,87)</f>
        <v>3</v>
      </c>
      <c r="AL232" s="374"/>
      <c r="AM232" s="373">
        <f>VLOOKUP($AA212,Schlüssel!$A$5:$EK$14,88)</f>
        <v>5</v>
      </c>
      <c r="AN232" s="374"/>
      <c r="AO232" s="373">
        <f>VLOOKUP($AA212,Schlüssel!$A$5:$EK$14,89)</f>
        <v>2</v>
      </c>
      <c r="AP232" s="374"/>
      <c r="AQ232" s="373">
        <f>VLOOKUP($AA212,Schlüssel!$A$5:$EK$14,90)</f>
        <v>1</v>
      </c>
      <c r="AR232" s="374"/>
      <c r="AS232" s="373">
        <f>VLOOKUP($AA212,Schlüssel!$A$5:$EK$14,91)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Schanzer Ingolstadt 1</v>
      </c>
      <c r="E233" s="347" t="str">
        <f t="shared" si="277"/>
        <v/>
      </c>
      <c r="F233" s="346" t="str">
        <f t="shared" si="277"/>
        <v>SG DJK Rimpar</v>
      </c>
      <c r="G233" s="347" t="str">
        <f t="shared" si="277"/>
        <v/>
      </c>
      <c r="H233" s="346" t="str">
        <f t="shared" si="277"/>
        <v>Bowlinghaus Bamberg 1</v>
      </c>
      <c r="I233" s="347" t="str">
        <f t="shared" si="277"/>
        <v/>
      </c>
      <c r="J233" s="346" t="str">
        <f t="shared" si="277"/>
        <v>SG Rottendorf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RW Lichtenhof Stein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BC Comet Nürnberg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Schanzer Ingolstadt 1</v>
      </c>
      <c r="AD233" s="347"/>
      <c r="AE233" s="346" t="str">
        <f>VLOOKUP(AE232,Schlüssel!$A$5:$K$14,2)</f>
        <v>SG DJK Rimpar</v>
      </c>
      <c r="AF233" s="347"/>
      <c r="AG233" s="346" t="str">
        <f>VLOOKUP(AG232,Schlüssel!$A$5:$K$14,2)</f>
        <v>Bowlinghaus Bamberg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BC Comet Nürnberg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217</v>
      </c>
      <c r="E235" s="342" t="str">
        <f>IF(AD235=0,"",AD235)</f>
        <v/>
      </c>
      <c r="F235" s="342">
        <f>IF(AE235=301,"",AE235)</f>
        <v>205</v>
      </c>
      <c r="G235" s="342" t="str">
        <f>IF(AF235=0,"",AF235)</f>
        <v/>
      </c>
      <c r="H235" s="342">
        <f>IF(AG235=301,"",AG235)</f>
        <v>208</v>
      </c>
      <c r="I235" s="342" t="str">
        <f>IF(AH235=0,"",AH235)</f>
        <v/>
      </c>
      <c r="J235" s="342">
        <f>IF(AI235=301,"",AI235)</f>
        <v>213</v>
      </c>
      <c r="K235" s="342" t="str">
        <f>IF(AJ235=0,"",AJ235)</f>
        <v/>
      </c>
      <c r="L235" s="342">
        <f>IF(AK235=301,"",AK235)</f>
        <v>200</v>
      </c>
      <c r="M235" s="342" t="str">
        <f>IF(AL235=0,"",AL235)</f>
        <v/>
      </c>
      <c r="N235" s="342">
        <f>IF(AM235=301,"",AM235)</f>
        <v>190</v>
      </c>
      <c r="O235" s="342" t="str">
        <f>IF(AN235=0,"",AN235)</f>
        <v/>
      </c>
      <c r="P235" s="342">
        <f>IF(AO235=301,"",AO235)</f>
        <v>196</v>
      </c>
      <c r="Q235" s="342" t="str">
        <f>IF(AP235=0,"",AP235)</f>
        <v/>
      </c>
      <c r="R235" s="342">
        <f>IF(AQ235=301,"",AQ235)</f>
        <v>179</v>
      </c>
      <c r="S235" s="342" t="str">
        <f>IF(AR235=0,"",AR235)</f>
        <v/>
      </c>
      <c r="T235" s="342">
        <f>IF(AS235=301,"",AS235)</f>
        <v>212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217</v>
      </c>
      <c r="AD235" s="376"/>
      <c r="AE235" s="375">
        <f>ABS(INDEX(AE:AE,MATCH(AE232,$AA:$AA,0)+5)+INDEX(AE:AE,MATCH(AE232,$AA:$AA,0)+6)+INDEX(AE:AE,MATCH(AE232,$AA:$AA,0)+7))</f>
        <v>205</v>
      </c>
      <c r="AF235" s="376"/>
      <c r="AG235" s="375">
        <f>ABS(INDEX(AG:AG,MATCH(AG232,$AA:$AA,0)+5)+INDEX(AG:AG,MATCH(AG232,$AA:$AA,0)+6)+INDEX(AG:AG,MATCH(AG232,$AA:$AA,0)+7))</f>
        <v>208</v>
      </c>
      <c r="AH235" s="376"/>
      <c r="AI235" s="375">
        <f>ABS(INDEX(AI:AI,MATCH(AI232,$AA:$AA,0)+5)+INDEX(AI:AI,MATCH(AI232,$AA:$AA,0)+6)+INDEX(AI:AI,MATCH(AI232,$AA:$AA,0)+7))</f>
        <v>213</v>
      </c>
      <c r="AJ235" s="376"/>
      <c r="AK235" s="375">
        <f>ABS(INDEX(AK:AK,MATCH(AK232,$AA:$AA,0)+5)+INDEX(AK:AK,MATCH(AK232,$AA:$AA,0)+6)+INDEX(AK:AK,MATCH(AK232,$AA:$AA,0)+7))</f>
        <v>200</v>
      </c>
      <c r="AL235" s="376"/>
      <c r="AM235" s="375">
        <f>ABS(INDEX(AM:AM,MATCH(AM232,$AA:$AA,0)+5)+INDEX(AM:AM,MATCH(AM232,$AA:$AA,0)+6)+INDEX(AM:AM,MATCH(AM232,$AA:$AA,0)+7))</f>
        <v>190</v>
      </c>
      <c r="AN235" s="376"/>
      <c r="AO235" s="375">
        <f>ABS(INDEX(AO:AO,MATCH(AO232,$AA:$AA,0)+5)+INDEX(AO:AO,MATCH(AO232,$AA:$AA,0)+6)+INDEX(AO:AO,MATCH(AO232,$AA:$AA,0)+7))</f>
        <v>196</v>
      </c>
      <c r="AP235" s="376"/>
      <c r="AQ235" s="375">
        <f>ABS(INDEX(AQ:AQ,MATCH(AQ232,$AA:$AA,0)+5)+INDEX(AQ:AQ,MATCH(AQ232,$AA:$AA,0)+6)+INDEX(AQ:AQ,MATCH(AQ232,$AA:$AA,0)+7))</f>
        <v>179</v>
      </c>
      <c r="AR235" s="376"/>
      <c r="AS235" s="375">
        <f>ABS(INDEX(AS:AS,MATCH(AS232,$AA:$AA,0)+5)+INDEX(AS:AS,MATCH(AS232,$AA:$AA,0)+6)+INDEX(AS:AS,MATCH(AS232,$AA:$AA,0)+7))</f>
        <v>212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182</v>
      </c>
      <c r="E236" s="342" t="str">
        <f>IF(AD236=0,"",AD236)</f>
        <v/>
      </c>
      <c r="F236" s="342">
        <f>IF(AE236=301,"",AE236)</f>
        <v>235</v>
      </c>
      <c r="G236" s="342" t="str">
        <f>IF(AF236=0,"",AF236)</f>
        <v/>
      </c>
      <c r="H236" s="342">
        <f>IF(AG236=301,"",AG236)</f>
        <v>157</v>
      </c>
      <c r="I236" s="342" t="str">
        <f>IF(AH236=0,"",AH236)</f>
        <v/>
      </c>
      <c r="J236" s="342">
        <f>IF(AI236=301,"",AI236)</f>
        <v>195</v>
      </c>
      <c r="K236" s="342" t="str">
        <f>IF(AJ236=0,"",AJ236)</f>
        <v/>
      </c>
      <c r="L236" s="342">
        <f>IF(AK236=301,"",AK236)</f>
        <v>228</v>
      </c>
      <c r="M236" s="342" t="str">
        <f>IF(AL236=0,"",AL236)</f>
        <v/>
      </c>
      <c r="N236" s="342">
        <f>IF(AM236=301,"",AM236)</f>
        <v>195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210</v>
      </c>
      <c r="S236" s="342" t="str">
        <f>IF(AR236=0,"",AR236)</f>
        <v/>
      </c>
      <c r="T236" s="342">
        <f>IF(AS236=301,"",AS236)</f>
        <v>167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182</v>
      </c>
      <c r="AD236" s="378"/>
      <c r="AE236" s="377">
        <f>ABS(INDEX(AE:AE,MATCH(AE232,$AA:$AA,0)+8)+INDEX(AE:AE,MATCH(AE232,$AA:$AA,0)+9)+INDEX(AE:AE,MATCH(AE232,$AA:$AA,0)+10))</f>
        <v>235</v>
      </c>
      <c r="AF236" s="378"/>
      <c r="AG236" s="377">
        <f>ABS(INDEX(AG:AG,MATCH(AG232,$AA:$AA,0)+8)+INDEX(AG:AG,MATCH(AG232,$AA:$AA,0)+9)+INDEX(AG:AG,MATCH(AG232,$AA:$AA,0)+10))</f>
        <v>157</v>
      </c>
      <c r="AH236" s="378"/>
      <c r="AI236" s="377">
        <f>ABS(INDEX(AI:AI,MATCH(AI232,$AA:$AA,0)+8)+INDEX(AI:AI,MATCH(AI232,$AA:$AA,0)+9)+INDEX(AI:AI,MATCH(AI232,$AA:$AA,0)+10))</f>
        <v>195</v>
      </c>
      <c r="AJ236" s="378"/>
      <c r="AK236" s="377">
        <f>ABS(INDEX(AK:AK,MATCH(AK232,$AA:$AA,0)+8)+INDEX(AK:AK,MATCH(AK232,$AA:$AA,0)+9)+INDEX(AK:AK,MATCH(AK232,$AA:$AA,0)+10))</f>
        <v>228</v>
      </c>
      <c r="AL236" s="378"/>
      <c r="AM236" s="377">
        <f>ABS(INDEX(AM:AM,MATCH(AM232,$AA:$AA,0)+8)+INDEX(AM:AM,MATCH(AM232,$AA:$AA,0)+9)+INDEX(AM:AM,MATCH(AM232,$AA:$AA,0)+10))</f>
        <v>195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210</v>
      </c>
      <c r="AR236" s="378"/>
      <c r="AS236" s="377">
        <f>ABS(INDEX(AS:AS,MATCH(AS232,$AA:$AA,0)+8)+INDEX(AS:AS,MATCH(AS232,$AA:$AA,0)+9)+INDEX(AS:AS,MATCH(AS232,$AA:$AA,0)+10))</f>
        <v>167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231</v>
      </c>
      <c r="E237" s="342" t="str">
        <f>IF(AD237=0,"",AD237)</f>
        <v/>
      </c>
      <c r="F237" s="342">
        <f>IF(AE237=301,"",AE237)</f>
        <v>200</v>
      </c>
      <c r="G237" s="342" t="str">
        <f>IF(AF237=0,"",AF237)</f>
        <v/>
      </c>
      <c r="H237" s="342">
        <f>IF(AG237=301,"",AG237)</f>
        <v>171</v>
      </c>
      <c r="I237" s="342" t="str">
        <f>IF(AH237=0,"",AH237)</f>
        <v/>
      </c>
      <c r="J237" s="342">
        <f>IF(AI237=301,"",AI237)</f>
        <v>191</v>
      </c>
      <c r="K237" s="342" t="str">
        <f>IF(AJ237=0,"",AJ237)</f>
        <v/>
      </c>
      <c r="L237" s="342">
        <f>IF(AK237=301,"",AK237)</f>
        <v>216</v>
      </c>
      <c r="M237" s="342" t="str">
        <f>IF(AL237=0,"",AL237)</f>
        <v/>
      </c>
      <c r="N237" s="342">
        <f>IF(AM237=301,"",AM237)</f>
        <v>190</v>
      </c>
      <c r="O237" s="342" t="str">
        <f>IF(AN237=0,"",AN237)</f>
        <v/>
      </c>
      <c r="P237" s="342">
        <f>IF(AO237=301,"",AO237)</f>
        <v>201</v>
      </c>
      <c r="Q237" s="342" t="str">
        <f>IF(AP237=0,"",AP237)</f>
        <v/>
      </c>
      <c r="R237" s="342">
        <f>IF(AQ237=301,"",AQ237)</f>
        <v>210</v>
      </c>
      <c r="S237" s="342" t="str">
        <f>IF(AR237=0,"",AR237)</f>
        <v/>
      </c>
      <c r="T237" s="342">
        <f>IF(AS237=301,"",AS237)</f>
        <v>212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231</v>
      </c>
      <c r="AD237" s="378"/>
      <c r="AE237" s="377">
        <f>ABS(INDEX(AE:AE,MATCH(AE232,$AA:$AA,0)+11)+INDEX(AE:AE,MATCH(AE232,$AA:$AA,0)+12)+INDEX(AE:AE,MATCH(AE232,$AA:$AA,0)+13))</f>
        <v>200</v>
      </c>
      <c r="AF237" s="378"/>
      <c r="AG237" s="377">
        <f>ABS(INDEX(AG:AG,MATCH(AG232,$AA:$AA,0)+11)+INDEX(AG:AG,MATCH(AG232,$AA:$AA,0)+12)+INDEX(AG:AG,MATCH(AG232,$AA:$AA,0)+13))</f>
        <v>171</v>
      </c>
      <c r="AH237" s="378"/>
      <c r="AI237" s="377">
        <f>ABS(INDEX(AI:AI,MATCH(AI232,$AA:$AA,0)+11)+INDEX(AI:AI,MATCH(AI232,$AA:$AA,0)+12)+INDEX(AI:AI,MATCH(AI232,$AA:$AA,0)+13))</f>
        <v>191</v>
      </c>
      <c r="AJ237" s="378"/>
      <c r="AK237" s="377">
        <f>ABS(INDEX(AK:AK,MATCH(AK232,$AA:$AA,0)+11)+INDEX(AK:AK,MATCH(AK232,$AA:$AA,0)+12)+INDEX(AK:AK,MATCH(AK232,$AA:$AA,0)+13))</f>
        <v>216</v>
      </c>
      <c r="AL237" s="378"/>
      <c r="AM237" s="377">
        <f>ABS(INDEX(AM:AM,MATCH(AM232,$AA:$AA,0)+11)+INDEX(AM:AM,MATCH(AM232,$AA:$AA,0)+12)+INDEX(AM:AM,MATCH(AM232,$AA:$AA,0)+13))</f>
        <v>190</v>
      </c>
      <c r="AN237" s="378"/>
      <c r="AO237" s="377">
        <f>ABS(INDEX(AO:AO,MATCH(AO232,$AA:$AA,0)+11)+INDEX(AO:AO,MATCH(AO232,$AA:$AA,0)+12)+INDEX(AO:AO,MATCH(AO232,$AA:$AA,0)+13))</f>
        <v>201</v>
      </c>
      <c r="AP237" s="378"/>
      <c r="AQ237" s="377">
        <f>ABS(INDEX(AQ:AQ,MATCH(AQ232,$AA:$AA,0)+11)+INDEX(AQ:AQ,MATCH(AQ232,$AA:$AA,0)+12)+INDEX(AQ:AQ,MATCH(AQ232,$AA:$AA,0)+13))</f>
        <v>210</v>
      </c>
      <c r="AR237" s="378"/>
      <c r="AS237" s="377">
        <f>ABS(INDEX(AS:AS,MATCH(AS232,$AA:$AA,0)+11)+INDEX(AS:AS,MATCH(AS232,$AA:$AA,0)+12)+INDEX(AS:AS,MATCH(AS232,$AA:$AA,0)+13))</f>
        <v>212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215</v>
      </c>
      <c r="E238" s="342" t="str">
        <f>IF(AD238=0,"",AD238)</f>
        <v/>
      </c>
      <c r="F238" s="342">
        <f>IF(AE238=301,"",AE238)</f>
        <v>199</v>
      </c>
      <c r="G238" s="342" t="str">
        <f>IF(AF238=0,"",AF238)</f>
        <v/>
      </c>
      <c r="H238" s="342">
        <f>IF(AG238=301,"",AG238)</f>
        <v>215</v>
      </c>
      <c r="I238" s="342" t="str">
        <f>IF(AH238=0,"",AH238)</f>
        <v/>
      </c>
      <c r="J238" s="342">
        <f>IF(AI238=301,"",AI238)</f>
        <v>212</v>
      </c>
      <c r="K238" s="342" t="str">
        <f>IF(AJ238=0,"",AJ238)</f>
        <v/>
      </c>
      <c r="L238" s="342">
        <f>IF(AK238=301,"",AK238)</f>
        <v>241</v>
      </c>
      <c r="M238" s="342" t="str">
        <f>IF(AL238=0,"",AL238)</f>
        <v/>
      </c>
      <c r="N238" s="342">
        <f>IF(AM238=301,"",AM238)</f>
        <v>222</v>
      </c>
      <c r="O238" s="342" t="str">
        <f>IF(AN238=0,"",AN238)</f>
        <v/>
      </c>
      <c r="P238" s="342">
        <f>IF(AO238=301,"",AO238)</f>
        <v>234</v>
      </c>
      <c r="Q238" s="342" t="str">
        <f>IF(AP238=0,"",AP238)</f>
        <v/>
      </c>
      <c r="R238" s="342">
        <f>IF(AQ238=301,"",AQ238)</f>
        <v>214</v>
      </c>
      <c r="S238" s="342" t="str">
        <f>IF(AR238=0,"",AR238)</f>
        <v/>
      </c>
      <c r="T238" s="342">
        <f>IF(AS238=301,"",AS238)</f>
        <v>210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215</v>
      </c>
      <c r="AD238" s="378"/>
      <c r="AE238" s="377">
        <f>ABS(INDEX(AE:AE,MATCH(AE232,$AA:$AA,0)+14)+INDEX(AE:AE,MATCH(AE232,$AA:$AA,0)+15)+INDEX(AE:AE,MATCH(AE232,$AA:$AA,0)+16))</f>
        <v>199</v>
      </c>
      <c r="AF238" s="378"/>
      <c r="AG238" s="377">
        <f>ABS(INDEX(AG:AG,MATCH(AG232,$AA:$AA,0)+14)+INDEX(AG:AG,MATCH(AG232,$AA:$AA,0)+15)+INDEX(AG:AG,MATCH(AG232,$AA:$AA,0)+16))</f>
        <v>215</v>
      </c>
      <c r="AH238" s="378"/>
      <c r="AI238" s="377">
        <f>ABS(INDEX(AI:AI,MATCH(AI232,$AA:$AA,0)+14)+INDEX(AI:AI,MATCH(AI232,$AA:$AA,0)+15)+INDEX(AI:AI,MATCH(AI232,$AA:$AA,0)+16))</f>
        <v>212</v>
      </c>
      <c r="AJ238" s="378"/>
      <c r="AK238" s="377">
        <f>ABS(INDEX(AK:AK,MATCH(AK232,$AA:$AA,0)+14)+INDEX(AK:AK,MATCH(AK232,$AA:$AA,0)+15)+INDEX(AK:AK,MATCH(AK232,$AA:$AA,0)+16))</f>
        <v>241</v>
      </c>
      <c r="AL238" s="378"/>
      <c r="AM238" s="377">
        <f>ABS(INDEX(AM:AM,MATCH(AM232,$AA:$AA,0)+14)+INDEX(AM:AM,MATCH(AM232,$AA:$AA,0)+15)+INDEX(AM:AM,MATCH(AM232,$AA:$AA,0)+16))</f>
        <v>222</v>
      </c>
      <c r="AN238" s="378"/>
      <c r="AO238" s="377">
        <f>ABS(INDEX(AO:AO,MATCH(AO232,$AA:$AA,0)+14)+INDEX(AO:AO,MATCH(AO232,$AA:$AA,0)+15)+INDEX(AO:AO,MATCH(AO232,$AA:$AA,0)+16))</f>
        <v>234</v>
      </c>
      <c r="AP238" s="378"/>
      <c r="AQ238" s="377">
        <f>ABS(INDEX(AQ:AQ,MATCH(AQ232,$AA:$AA,0)+14)+INDEX(AQ:AQ,MATCH(AQ232,$AA:$AA,0)+15)+INDEX(AQ:AQ,MATCH(AQ232,$AA:$AA,0)+16))</f>
        <v>214</v>
      </c>
      <c r="AR238" s="378"/>
      <c r="AS238" s="377">
        <f>ABS(INDEX(AS:AS,MATCH(AS232,$AA:$AA,0)+14)+INDEX(AS:AS,MATCH(AS232,$AA:$AA,0)+15)+INDEX(AS:AS,MATCH(AS232,$AA:$AA,0)+16))</f>
        <v>210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845</v>
      </c>
      <c r="E239" s="341" t="str">
        <f>IF(AD239=0,"",AD239)</f>
        <v/>
      </c>
      <c r="F239" s="341">
        <f>IF(AE239=1505,"",AE239)</f>
        <v>839</v>
      </c>
      <c r="G239" s="341" t="str">
        <f>IF(AF239=0,"",AF239)</f>
        <v/>
      </c>
      <c r="H239" s="341">
        <f>IF(AG239=1505,"",AG239)</f>
        <v>751</v>
      </c>
      <c r="I239" s="341" t="str">
        <f>IF(AH239=0,"",AH239)</f>
        <v/>
      </c>
      <c r="J239" s="341">
        <f>IF(AI239=1505,"",AI239)</f>
        <v>811</v>
      </c>
      <c r="K239" s="341" t="str">
        <f>IF(AJ239=0,"",AJ239)</f>
        <v/>
      </c>
      <c r="L239" s="341">
        <f>IF(AK239=1505,"",AK239)</f>
        <v>885</v>
      </c>
      <c r="M239" s="341" t="str">
        <f>IF(AL239=0,"",AL239)</f>
        <v/>
      </c>
      <c r="N239" s="341">
        <f>IF(AM239=1505,"",AM239)</f>
        <v>797</v>
      </c>
      <c r="O239" s="341" t="str">
        <f>IF(AN239=0,"",AN239)</f>
        <v/>
      </c>
      <c r="P239" s="341">
        <f>IF(AO239=1505,"",AO239)</f>
        <v>813</v>
      </c>
      <c r="Q239" s="341" t="str">
        <f>IF(AP239=0,"",AP239)</f>
        <v/>
      </c>
      <c r="R239" s="341">
        <f>IF(AQ239=1505,"",AQ239)</f>
        <v>813</v>
      </c>
      <c r="S239" s="341" t="str">
        <f>IF(AR239=0,"",AR239)</f>
        <v/>
      </c>
      <c r="T239" s="341">
        <f>IF(AS239=1505,"",AS239)</f>
        <v>801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845</v>
      </c>
      <c r="AD239" s="358"/>
      <c r="AE239" s="357">
        <f>SUM(AE235:AE238)</f>
        <v>839</v>
      </c>
      <c r="AF239" s="358"/>
      <c r="AG239" s="357">
        <f>SUM(AG235:AG238)</f>
        <v>751</v>
      </c>
      <c r="AH239" s="358"/>
      <c r="AI239" s="357">
        <f>SUM(AI235:AI238)</f>
        <v>811</v>
      </c>
      <c r="AJ239" s="358"/>
      <c r="AK239" s="357">
        <f>SUM(AK235:AK238)</f>
        <v>885</v>
      </c>
      <c r="AL239" s="358"/>
      <c r="AM239" s="357">
        <f>SUM(AM235:AM238)</f>
        <v>797</v>
      </c>
      <c r="AN239" s="358"/>
      <c r="AO239" s="357">
        <f>SUM(AO235:AO238)</f>
        <v>813</v>
      </c>
      <c r="AP239" s="358"/>
      <c r="AQ239" s="357">
        <f>SUM(AQ235:AQ238)</f>
        <v>813</v>
      </c>
      <c r="AR239" s="358"/>
      <c r="AS239" s="357">
        <f>SUM(AS235:AS238)</f>
        <v>801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15.03./16.03.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15.03./16.03.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Brunnthal Max Munich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179</v>
      </c>
      <c r="E247" s="351">
        <f>IF(AD247="","",AD247)</f>
        <v>0</v>
      </c>
      <c r="F247" s="75">
        <f t="shared" ref="F247:F260" si="279">IF(AE247=0,"",AE247)</f>
        <v>201</v>
      </c>
      <c r="G247" s="351">
        <f>IF(AF247="","",AF247)</f>
        <v>0</v>
      </c>
      <c r="H247" s="75">
        <f t="shared" ref="H247:H260" si="280">IF(AG247=0,"",AG247)</f>
        <v>208</v>
      </c>
      <c r="I247" s="351">
        <f>IF(AH247="","",AH247)</f>
        <v>1</v>
      </c>
      <c r="J247" s="75">
        <f t="shared" ref="J247:J260" si="281">IF(AI247=0,"",AI247)</f>
        <v>205</v>
      </c>
      <c r="K247" s="351">
        <f>IF(AJ247="","",AJ247)</f>
        <v>1</v>
      </c>
      <c r="L247" s="75">
        <f t="shared" ref="L247:L260" si="282">IF(AK247=0,"",AK247)</f>
        <v>209</v>
      </c>
      <c r="M247" s="351">
        <f>IF(AL247="","",AL247)</f>
        <v>0</v>
      </c>
      <c r="N247" s="75">
        <f>IF(AM247=0,"",AM247)</f>
        <v>202</v>
      </c>
      <c r="O247" s="351">
        <f>IF(AN247="","",AN247)</f>
        <v>0</v>
      </c>
      <c r="P247" s="75">
        <f t="shared" ref="P247:P260" si="283">IF(AO247=0,"",AO247)</f>
        <v>172</v>
      </c>
      <c r="Q247" s="351">
        <f>IF(AP247="","",AP247)</f>
        <v>0</v>
      </c>
      <c r="R247" s="75">
        <f t="shared" ref="R247:R260" si="284">IF(AQ247=0,"",AQ247)</f>
        <v>189</v>
      </c>
      <c r="S247" s="351">
        <f>IF(AR247="","",AR247)</f>
        <v>0</v>
      </c>
      <c r="T247" s="75">
        <f t="shared" ref="T247:T260" si="285">IF(AS247=0,"",AS247)</f>
        <v>172</v>
      </c>
      <c r="U247" s="351">
        <f>IF(AT247="","",AT247)</f>
        <v>0</v>
      </c>
      <c r="V247" s="75">
        <f t="shared" ref="V247:V260" si="286">IF(AU247=0,"",AU247)</f>
        <v>1737</v>
      </c>
      <c r="W247" s="351">
        <f>IF(AV247="","",AV247)</f>
        <v>2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179</v>
      </c>
      <c r="AD247" s="109">
        <f>IF(SUM(AC247:AC249)+AC265=0,0,IF(SUM(AC247:AC249)=AC265,0.5,IF(SUM(AC247:AC249)&gt;AC265,1,0)))</f>
        <v>0</v>
      </c>
      <c r="AE247" s="185">
        <v>201</v>
      </c>
      <c r="AF247" s="109">
        <f>IF(SUM(AE247:AE249)+AE265=0,0,IF(SUM(AE247:AE249)=AE265,0.5,IF(SUM(AE247:AE249)&gt;AE265,1,0)))</f>
        <v>0</v>
      </c>
      <c r="AG247" s="185">
        <v>208</v>
      </c>
      <c r="AH247" s="109">
        <f>IF(SUM(AG247:AG249)+AG265=0,0,IF(SUM(AG247:AG249)=AG265,0.5,IF(SUM(AG247:AG249)&gt;AG265,1,0)))</f>
        <v>1</v>
      </c>
      <c r="AI247" s="185">
        <v>205</v>
      </c>
      <c r="AJ247" s="109">
        <f>IF(SUM(AI247:AI249)+AI265=0,0,IF(SUM(AI247:AI249)=AI265,0.5,IF(SUM(AI247:AI249)&gt;AI265,1,0)))</f>
        <v>1</v>
      </c>
      <c r="AK247" s="185">
        <v>209</v>
      </c>
      <c r="AL247" s="109">
        <f>IF(SUM(AK247:AK249)+AK265=0,0,IF(SUM(AK247:AK249)=AK265,0.5,IF(SUM(AK247:AK249)&gt;AK265,1,0)))</f>
        <v>0</v>
      </c>
      <c r="AM247" s="185">
        <v>202</v>
      </c>
      <c r="AN247" s="109">
        <f>IF(SUM(AM247:AM249)+AM265=0,0,IF(SUM(AM247:AM249)=AM265,0.5,IF(SUM(AM247:AM249)&gt;AM265,1,0)))</f>
        <v>0</v>
      </c>
      <c r="AO247" s="185">
        <v>172</v>
      </c>
      <c r="AP247" s="109">
        <f>IF(SUM(AO247:AO249)+AO265=0,0,IF(SUM(AO247:AO249)=AO265,0.5,IF(SUM(AO247:AO249)&gt;AO265,1,0)))</f>
        <v>0</v>
      </c>
      <c r="AQ247" s="185">
        <v>189</v>
      </c>
      <c r="AR247" s="109">
        <f>IF(SUM(AQ247:AQ249)+AQ265=0,0,IF(SUM(AQ247:AQ249)=AQ265,0.5,IF(SUM(AQ247:AQ249)&gt;AQ265,1,0)))</f>
        <v>0</v>
      </c>
      <c r="AS247" s="185">
        <v>172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1737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1737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179</v>
      </c>
      <c r="BI247" s="215">
        <f t="shared" ref="BI247:BI258" si="289">IF(AE247=0,"",AE247)</f>
        <v>201</v>
      </c>
      <c r="BJ247" s="215">
        <f t="shared" ref="BJ247:BJ258" si="290">IF(AG247=0,"",AG247)</f>
        <v>208</v>
      </c>
      <c r="BK247" s="215">
        <f t="shared" ref="BK247:BK258" si="291">IF(AI247=0,"",AI247)</f>
        <v>205</v>
      </c>
      <c r="BL247" s="215">
        <f t="shared" ref="BL247:BL258" si="292">IF(AK247=0,"",AK247)</f>
        <v>209</v>
      </c>
      <c r="BM247" s="215">
        <f t="shared" ref="BM247:BM258" si="293">IF(AM247=0,"",AM247)</f>
        <v>202</v>
      </c>
      <c r="BN247" s="215">
        <f t="shared" ref="BN247:BN258" si="294">IF(AO247=0,"",AO247)</f>
        <v>172</v>
      </c>
      <c r="BO247" s="215">
        <f t="shared" ref="BO247:BO258" si="295">IF(AQ247=0,"",AQ247)</f>
        <v>189</v>
      </c>
      <c r="BP247" s="215">
        <f t="shared" ref="BP247:BP258" si="296">IF(AS247=0,"",AS247)</f>
        <v>172</v>
      </c>
      <c r="BQ247" s="216"/>
      <c r="BR247" s="214"/>
      <c r="BS247" s="215">
        <f>MAX(BH247:BP247)</f>
        <v>209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3</v>
      </c>
      <c r="BW247" s="215">
        <f>SUMIF(BH247:BP247,"&gt;0")</f>
        <v>1737</v>
      </c>
      <c r="BX247" s="215">
        <f>IF(COUNTIF(BH247:BP247,"&gt;0")&lt;Spielorte!$A$23,0,BE247/Spielorte!$A$23)</f>
        <v>193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3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Röhlig, Jörg</v>
      </c>
      <c r="C250" s="74">
        <f t="shared" si="298"/>
        <v>38041</v>
      </c>
      <c r="D250" s="75">
        <f t="shared" si="298"/>
        <v>225</v>
      </c>
      <c r="E250" s="351">
        <f>IF(AD250="","",AD250)</f>
        <v>1</v>
      </c>
      <c r="F250" s="75">
        <f t="shared" si="279"/>
        <v>165</v>
      </c>
      <c r="G250" s="351">
        <f>IF(AF250="","",AF250)</f>
        <v>0</v>
      </c>
      <c r="H250" s="75">
        <f t="shared" si="280"/>
        <v>157</v>
      </c>
      <c r="I250" s="351">
        <f>IF(AH250="","",AH250)</f>
        <v>0</v>
      </c>
      <c r="J250" s="75">
        <f t="shared" si="281"/>
        <v>227</v>
      </c>
      <c r="K250" s="351">
        <f>IF(AJ250="","",AJ250)</f>
        <v>1</v>
      </c>
      <c r="L250" s="75">
        <f t="shared" si="282"/>
        <v>190</v>
      </c>
      <c r="M250" s="351">
        <f>IF(AL250="","",AL250)</f>
        <v>1</v>
      </c>
      <c r="N250" s="75">
        <f t="shared" si="299"/>
        <v>206</v>
      </c>
      <c r="O250" s="351">
        <f>IF(AN250="","",AN250)</f>
        <v>1</v>
      </c>
      <c r="P250" s="75">
        <f t="shared" si="283"/>
        <v>183</v>
      </c>
      <c r="Q250" s="351">
        <f>IF(AP250="","",AP250)</f>
        <v>0</v>
      </c>
      <c r="R250" s="75">
        <f t="shared" si="284"/>
        <v>202</v>
      </c>
      <c r="S250" s="351">
        <f>IF(AR250="","",AR250)</f>
        <v>0.5</v>
      </c>
      <c r="T250" s="75">
        <f t="shared" si="285"/>
        <v>186</v>
      </c>
      <c r="U250" s="351">
        <f>IF(AT250="","",AT250)</f>
        <v>0</v>
      </c>
      <c r="V250" s="75">
        <f t="shared" si="286"/>
        <v>1741</v>
      </c>
      <c r="W250" s="351">
        <f>IF(AV250="","",AV250)</f>
        <v>4.5</v>
      </c>
      <c r="Z250" s="354" t="s">
        <v>2</v>
      </c>
      <c r="AA250" s="108" t="str">
        <f>IF(AB250=0,"",VLOOKUP(AB250,Starter!$A$1:$D$199,2,FALSE))</f>
        <v>Röhlig, Jörg</v>
      </c>
      <c r="AB250" s="99">
        <v>38041</v>
      </c>
      <c r="AC250" s="188">
        <v>225</v>
      </c>
      <c r="AD250" s="109">
        <f>IF(SUM(AC250:AC252)+AC266=0,0,IF(SUM(AC250:AC252)=AC266,0.5,IF(SUM(AC250:AC252)&gt;AC266,1,0)))</f>
        <v>1</v>
      </c>
      <c r="AE250" s="188">
        <v>165</v>
      </c>
      <c r="AF250" s="109">
        <f>IF(SUM(AE250:AE252)+AE266=0,0,IF(SUM(AE250:AE252)=AE266,0.5,IF(SUM(AE250:AE252)&gt;AE266,1,0)))</f>
        <v>0</v>
      </c>
      <c r="AG250" s="188">
        <v>157</v>
      </c>
      <c r="AH250" s="109">
        <f>IF(SUM(AG250:AG252)+AG266=0,0,IF(SUM(AG250:AG252)=AG266,0.5,IF(SUM(AG250:AG252)&gt;AG266,1,0)))</f>
        <v>0</v>
      </c>
      <c r="AI250" s="188">
        <v>227</v>
      </c>
      <c r="AJ250" s="109">
        <f>IF(SUM(AI250:AI252)+AI266=0,0,IF(SUM(AI250:AI252)=AI266,0.5,IF(SUM(AI250:AI252)&gt;AI266,1,0)))</f>
        <v>1</v>
      </c>
      <c r="AK250" s="188">
        <v>190</v>
      </c>
      <c r="AL250" s="109">
        <f>IF(SUM(AK250:AK252)+AK266=0,0,IF(SUM(AK250:AK252)=AK266,0.5,IF(SUM(AK250:AK252)&gt;AK266,1,0)))</f>
        <v>1</v>
      </c>
      <c r="AM250" s="188">
        <v>206</v>
      </c>
      <c r="AN250" s="109">
        <f>IF(SUM(AM250:AM252)+AM266=0,0,IF(SUM(AM250:AM252)=AM266,0.5,IF(SUM(AM250:AM252)&gt;AM266,1,0)))</f>
        <v>1</v>
      </c>
      <c r="AO250" s="188">
        <v>183</v>
      </c>
      <c r="AP250" s="109">
        <f>IF(SUM(AO250:AO252)+AO266=0,0,IF(SUM(AO250:AO252)=AO266,0.5,IF(SUM(AO250:AO252)&gt;AO266,1,0)))</f>
        <v>0</v>
      </c>
      <c r="AQ250" s="188">
        <v>202</v>
      </c>
      <c r="AR250" s="109">
        <f>IF(SUM(AQ250:AQ252)+AQ266=0,0,IF(SUM(AQ250:AQ252)=AQ266,0.5,IF(SUM(AQ250:AQ252)&gt;AQ266,1,0)))</f>
        <v>0.5</v>
      </c>
      <c r="AS250" s="188">
        <v>186</v>
      </c>
      <c r="AT250" s="109">
        <f>IF(SUM(AS250:AS252)+AS266=0,0,IF(SUM(AS250:AS252)=AS266,0.5,IF(SUM(AS250:AS252)&gt;AS266,1,0)))</f>
        <v>0</v>
      </c>
      <c r="AU250" s="110">
        <f t="shared" si="287"/>
        <v>1741</v>
      </c>
      <c r="AV250" s="111">
        <f>SUM(AD250+AF250+AH250+AJ250+AL250+AN250+AP250+AR250+AT250)</f>
        <v>4.5</v>
      </c>
      <c r="AW250" s="101"/>
      <c r="AX250" s="102"/>
      <c r="AZ250" s="63"/>
      <c r="BA250" s="212"/>
      <c r="BB250" s="213"/>
      <c r="BC250" s="214"/>
      <c r="BD250" s="217">
        <f t="shared" si="300"/>
        <v>38041</v>
      </c>
      <c r="BE250" s="213">
        <f t="shared" si="301"/>
        <v>1741</v>
      </c>
      <c r="BF250" s="215">
        <f t="shared" si="302"/>
        <v>9</v>
      </c>
      <c r="BG250" s="215">
        <f t="shared" si="303"/>
        <v>9</v>
      </c>
      <c r="BH250" s="215">
        <f t="shared" si="288"/>
        <v>225</v>
      </c>
      <c r="BI250" s="215">
        <f t="shared" si="289"/>
        <v>165</v>
      </c>
      <c r="BJ250" s="215">
        <f t="shared" si="290"/>
        <v>157</v>
      </c>
      <c r="BK250" s="215">
        <f t="shared" si="291"/>
        <v>227</v>
      </c>
      <c r="BL250" s="215">
        <f t="shared" si="292"/>
        <v>190</v>
      </c>
      <c r="BM250" s="215">
        <f t="shared" si="293"/>
        <v>206</v>
      </c>
      <c r="BN250" s="215">
        <f t="shared" si="294"/>
        <v>183</v>
      </c>
      <c r="BO250" s="215">
        <f t="shared" si="295"/>
        <v>202</v>
      </c>
      <c r="BP250" s="215">
        <f t="shared" si="296"/>
        <v>186</v>
      </c>
      <c r="BQ250" s="216"/>
      <c r="BR250" s="214"/>
      <c r="BS250" s="215">
        <f t="shared" si="304"/>
        <v>227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3</v>
      </c>
      <c r="BW250" s="215">
        <f t="shared" si="308"/>
        <v>1741</v>
      </c>
      <c r="BX250" s="215">
        <f>IF(COUNTIF(BH250:BP250,"&gt;0")&lt;Spielorte!$A$23,0,BE250/Spielorte!$A$23)</f>
        <v>193.44444444444446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3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3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227</v>
      </c>
      <c r="E253" s="351">
        <f>IF(AD253="","",AD253)</f>
        <v>1</v>
      </c>
      <c r="F253" s="75">
        <f t="shared" si="279"/>
        <v>167</v>
      </c>
      <c r="G253" s="351">
        <f>IF(AF253="","",AF253)</f>
        <v>0</v>
      </c>
      <c r="H253" s="75">
        <f t="shared" si="280"/>
        <v>171</v>
      </c>
      <c r="I253" s="351">
        <f>IF(AH253="","",AH253)</f>
        <v>0</v>
      </c>
      <c r="J253" s="75">
        <f t="shared" si="281"/>
        <v>178</v>
      </c>
      <c r="K253" s="351">
        <f>IF(AJ253="","",AJ253)</f>
        <v>0</v>
      </c>
      <c r="L253" s="75">
        <f t="shared" si="282"/>
        <v>166</v>
      </c>
      <c r="M253" s="351">
        <f>IF(AL253="","",AL253)</f>
        <v>0</v>
      </c>
      <c r="N253" s="75">
        <f t="shared" si="299"/>
        <v>192</v>
      </c>
      <c r="O253" s="351">
        <f>IF(AN253="","",AN253)</f>
        <v>1</v>
      </c>
      <c r="P253" s="75">
        <f t="shared" si="283"/>
        <v>209</v>
      </c>
      <c r="Q253" s="351">
        <f>IF(AP253="","",AP253)</f>
        <v>0</v>
      </c>
      <c r="R253" s="75">
        <f t="shared" si="284"/>
        <v>166</v>
      </c>
      <c r="S253" s="351">
        <f>IF(AR253="","",AR253)</f>
        <v>0</v>
      </c>
      <c r="T253" s="75">
        <f t="shared" si="285"/>
        <v>234</v>
      </c>
      <c r="U253" s="351">
        <f>IF(AT253="","",AT253)</f>
        <v>1</v>
      </c>
      <c r="V253" s="75">
        <f t="shared" si="286"/>
        <v>1710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227</v>
      </c>
      <c r="AD253" s="109">
        <f>IF(SUM(AC253:AC255)+AC267=0,0,IF(SUM(AC253:AC255)=AC267,0.5,IF(SUM(AC253:AC255)&gt;AC267,1,0)))</f>
        <v>1</v>
      </c>
      <c r="AE253" s="188">
        <v>167</v>
      </c>
      <c r="AF253" s="109">
        <f>IF(SUM(AE253:AE255)+AE267=0,0,IF(SUM(AE253:AE255)=AE267,0.5,IF(SUM(AE253:AE255)&gt;AE267,1,0)))</f>
        <v>0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178</v>
      </c>
      <c r="AJ253" s="109">
        <f>IF(SUM(AI253:AI255)+AI267=0,0,IF(SUM(AI253:AI255)=AI267,0.5,IF(SUM(AI253:AI255)&gt;AI267,1,0)))</f>
        <v>0</v>
      </c>
      <c r="AK253" s="188">
        <v>166</v>
      </c>
      <c r="AL253" s="109">
        <f>IF(SUM(AK253:AK255)+AK267=0,0,IF(SUM(AK253:AK255)=AK267,0.5,IF(SUM(AK253:AK255)&gt;AK267,1,0)))</f>
        <v>0</v>
      </c>
      <c r="AM253" s="188">
        <v>192</v>
      </c>
      <c r="AN253" s="109">
        <f>IF(SUM(AM253:AM255)+AM267=0,0,IF(SUM(AM253:AM255)=AM267,0.5,IF(SUM(AM253:AM255)&gt;AM267,1,0)))</f>
        <v>1</v>
      </c>
      <c r="AO253" s="188">
        <v>209</v>
      </c>
      <c r="AP253" s="109">
        <f>IF(SUM(AO253:AO255)+AO267=0,0,IF(SUM(AO253:AO255)=AO267,0.5,IF(SUM(AO253:AO255)&gt;AO267,1,0)))</f>
        <v>0</v>
      </c>
      <c r="AQ253" s="188">
        <v>166</v>
      </c>
      <c r="AR253" s="109">
        <f>IF(SUM(AQ253:AQ255)+AQ267=0,0,IF(SUM(AQ253:AQ255)=AQ267,0.5,IF(SUM(AQ253:AQ255)&gt;AQ267,1,0)))</f>
        <v>0</v>
      </c>
      <c r="AS253" s="188">
        <v>234</v>
      </c>
      <c r="AT253" s="109">
        <f>IF(SUM(AS253:AS255)+AS267=0,0,IF(SUM(AS253:AS255)=AS267,0.5,IF(SUM(AS253:AS255)&gt;AS267,1,0)))</f>
        <v>1</v>
      </c>
      <c r="AU253" s="110">
        <f t="shared" si="287"/>
        <v>1710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1710</v>
      </c>
      <c r="BF253" s="215">
        <f t="shared" si="302"/>
        <v>9</v>
      </c>
      <c r="BG253" s="215">
        <f t="shared" si="303"/>
        <v>9</v>
      </c>
      <c r="BH253" s="215">
        <f t="shared" si="288"/>
        <v>227</v>
      </c>
      <c r="BI253" s="215">
        <f t="shared" si="289"/>
        <v>167</v>
      </c>
      <c r="BJ253" s="215">
        <f t="shared" si="290"/>
        <v>171</v>
      </c>
      <c r="BK253" s="215">
        <f t="shared" si="291"/>
        <v>178</v>
      </c>
      <c r="BL253" s="215">
        <f t="shared" si="292"/>
        <v>166</v>
      </c>
      <c r="BM253" s="215">
        <f t="shared" si="293"/>
        <v>192</v>
      </c>
      <c r="BN253" s="215">
        <f t="shared" si="294"/>
        <v>209</v>
      </c>
      <c r="BO253" s="215">
        <f t="shared" si="295"/>
        <v>166</v>
      </c>
      <c r="BP253" s="215">
        <f t="shared" si="296"/>
        <v>234</v>
      </c>
      <c r="BQ253" s="216"/>
      <c r="BR253" s="214"/>
      <c r="BS253" s="215">
        <f t="shared" si="304"/>
        <v>234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3</v>
      </c>
      <c r="BW253" s="215">
        <f t="shared" si="308"/>
        <v>1710</v>
      </c>
      <c r="BX253" s="215">
        <f>IF(COUNTIF(BH253:BP253,"&gt;0")&lt;Spielorte!$A$23,0,BE253/Spielorte!$A$23)</f>
        <v>190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 t="str">
        <f t="shared" si="286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3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3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Karl, William</v>
      </c>
      <c r="C256" s="74">
        <f t="shared" si="298"/>
        <v>16532</v>
      </c>
      <c r="D256" s="75">
        <f t="shared" si="298"/>
        <v>213</v>
      </c>
      <c r="E256" s="351">
        <f>IF(AD256="","",AD256)</f>
        <v>0</v>
      </c>
      <c r="F256" s="75">
        <f t="shared" si="279"/>
        <v>172</v>
      </c>
      <c r="G256" s="351">
        <f>IF(AF256="","",AF256)</f>
        <v>0</v>
      </c>
      <c r="H256" s="75">
        <f t="shared" si="280"/>
        <v>215</v>
      </c>
      <c r="I256" s="351">
        <f>IF(AH256="","",AH256)</f>
        <v>1</v>
      </c>
      <c r="J256" s="75">
        <f t="shared" si="281"/>
        <v>256</v>
      </c>
      <c r="K256" s="351">
        <f>IF(AJ256="","",AJ256)</f>
        <v>1</v>
      </c>
      <c r="L256" s="75">
        <f t="shared" si="282"/>
        <v>244</v>
      </c>
      <c r="M256" s="351">
        <f>IF(AL256="","",AL256)</f>
        <v>0</v>
      </c>
      <c r="N256" s="75">
        <f t="shared" si="299"/>
        <v>193</v>
      </c>
      <c r="O256" s="351">
        <f>IF(AN256="","",AN256)</f>
        <v>0</v>
      </c>
      <c r="P256" s="75">
        <f t="shared" si="283"/>
        <v>189</v>
      </c>
      <c r="Q256" s="351">
        <f>IF(AP256="","",AP256)</f>
        <v>0</v>
      </c>
      <c r="R256" s="75">
        <f t="shared" si="284"/>
        <v>205</v>
      </c>
      <c r="S256" s="351">
        <f>IF(AR256="","",AR256)</f>
        <v>0</v>
      </c>
      <c r="T256" s="75">
        <f t="shared" si="285"/>
        <v>162</v>
      </c>
      <c r="U256" s="351">
        <f>IF(AT256="","",AT256)</f>
        <v>0</v>
      </c>
      <c r="V256" s="75">
        <f t="shared" si="286"/>
        <v>1849</v>
      </c>
      <c r="W256" s="351">
        <f>IF(AV256="","",AV256)</f>
        <v>2</v>
      </c>
      <c r="Z256" s="354" t="s">
        <v>11</v>
      </c>
      <c r="AA256" s="108" t="str">
        <f>IF(AB256=0,"",VLOOKUP(AB256,Starter!$A$1:$D$199,2,FALSE))</f>
        <v>Karl, William</v>
      </c>
      <c r="AB256" s="99">
        <v>16532</v>
      </c>
      <c r="AC256" s="188">
        <v>213</v>
      </c>
      <c r="AD256" s="109">
        <f>IF(SUM(AC256:AC258)+AC268=0,0,IF(SUM(AC256:AC258)=AC268,0.5,IF(SUM(AC256:AC258)&gt;AC268,1,0)))</f>
        <v>0</v>
      </c>
      <c r="AE256" s="188">
        <v>172</v>
      </c>
      <c r="AF256" s="109">
        <f>IF(SUM(AE256:AE258)+AE268=0,0,IF(SUM(AE256:AE258)=AE268,0.5,IF(SUM(AE256:AE258)&gt;AE268,1,0)))</f>
        <v>0</v>
      </c>
      <c r="AG256" s="188">
        <v>215</v>
      </c>
      <c r="AH256" s="109">
        <f>IF(SUM(AG256:AG258)+AG268=0,0,IF(SUM(AG256:AG258)=AG268,0.5,IF(SUM(AG256:AG258)&gt;AG268,1,0)))</f>
        <v>1</v>
      </c>
      <c r="AI256" s="188">
        <v>256</v>
      </c>
      <c r="AJ256" s="109">
        <f>IF(SUM(AI256:AI258)+AI268=0,0,IF(SUM(AI256:AI258)=AI268,0.5,IF(SUM(AI256:AI258)&gt;AI268,1,0)))</f>
        <v>1</v>
      </c>
      <c r="AK256" s="188">
        <v>244</v>
      </c>
      <c r="AL256" s="109">
        <f>IF(SUM(AK256:AK258)+AK268=0,0,IF(SUM(AK256:AK258)=AK268,0.5,IF(SUM(AK256:AK258)&gt;AK268,1,0)))</f>
        <v>0</v>
      </c>
      <c r="AM256" s="188">
        <v>193</v>
      </c>
      <c r="AN256" s="109">
        <f>IF(SUM(AM256:AM258)+AM268=0,0,IF(SUM(AM256:AM258)=AM268,0.5,IF(SUM(AM256:AM258)&gt;AM268,1,0)))</f>
        <v>0</v>
      </c>
      <c r="AO256" s="188">
        <v>189</v>
      </c>
      <c r="AP256" s="109">
        <f>IF(SUM(AO256:AO258)+AO268=0,0,IF(SUM(AO256:AO258)=AO268,0.5,IF(SUM(AO256:AO258)&gt;AO268,1,0)))</f>
        <v>0</v>
      </c>
      <c r="AQ256" s="188">
        <v>205</v>
      </c>
      <c r="AR256" s="109">
        <f>IF(SUM(AQ256:AQ258)+AQ268=0,0,IF(SUM(AQ256:AQ258)=AQ268,0.5,IF(SUM(AQ256:AQ258)&gt;AQ268,1,0)))</f>
        <v>0</v>
      </c>
      <c r="AS256" s="188">
        <v>162</v>
      </c>
      <c r="AT256" s="109">
        <f>IF(SUM(AS256:AS258)+AS268=0,0,IF(SUM(AS256:AS258)=AS268,0.5,IF(SUM(AS256:AS258)&gt;AS268,1,0)))</f>
        <v>0</v>
      </c>
      <c r="AU256" s="110">
        <f t="shared" si="287"/>
        <v>1849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16532</v>
      </c>
      <c r="BE256" s="213">
        <f t="shared" si="301"/>
        <v>1849</v>
      </c>
      <c r="BF256" s="215">
        <f t="shared" si="302"/>
        <v>9</v>
      </c>
      <c r="BG256" s="215">
        <f t="shared" si="303"/>
        <v>9</v>
      </c>
      <c r="BH256" s="215">
        <f t="shared" si="288"/>
        <v>213</v>
      </c>
      <c r="BI256" s="215">
        <f t="shared" si="289"/>
        <v>172</v>
      </c>
      <c r="BJ256" s="215">
        <f t="shared" si="290"/>
        <v>215</v>
      </c>
      <c r="BK256" s="215">
        <f t="shared" si="291"/>
        <v>256</v>
      </c>
      <c r="BL256" s="215">
        <f t="shared" si="292"/>
        <v>244</v>
      </c>
      <c r="BM256" s="215">
        <f t="shared" si="293"/>
        <v>193</v>
      </c>
      <c r="BN256" s="215">
        <f t="shared" si="294"/>
        <v>189</v>
      </c>
      <c r="BO256" s="215">
        <f t="shared" si="295"/>
        <v>205</v>
      </c>
      <c r="BP256" s="215">
        <f t="shared" si="296"/>
        <v>162</v>
      </c>
      <c r="BQ256" s="216"/>
      <c r="BR256" s="214"/>
      <c r="BS256" s="215">
        <f t="shared" si="304"/>
        <v>256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3</v>
      </c>
      <c r="BW256" s="215">
        <f t="shared" si="308"/>
        <v>1849</v>
      </c>
      <c r="BX256" s="215">
        <f>IF(COUNTIF(BH256:BP256,"&gt;0")&lt;Spielorte!$A$23,0,BE256/Spielorte!$A$23)</f>
        <v>205.44444444444446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3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844</v>
      </c>
      <c r="E259" s="84">
        <f>IF(AD259="","",AD259)</f>
        <v>0</v>
      </c>
      <c r="F259" s="83">
        <f t="shared" si="279"/>
        <v>705</v>
      </c>
      <c r="G259" s="84">
        <f>IF(AF259="","",AF259)</f>
        <v>0</v>
      </c>
      <c r="H259" s="83">
        <f t="shared" si="280"/>
        <v>751</v>
      </c>
      <c r="I259" s="84">
        <f>IF(AH259="","",AH259)</f>
        <v>0</v>
      </c>
      <c r="J259" s="83">
        <f t="shared" si="281"/>
        <v>866</v>
      </c>
      <c r="K259" s="84">
        <f>IF(AJ259="","",AJ259)</f>
        <v>2</v>
      </c>
      <c r="L259" s="83">
        <f t="shared" si="282"/>
        <v>809</v>
      </c>
      <c r="M259" s="84">
        <f>IF(AL259="","",AL259)</f>
        <v>0</v>
      </c>
      <c r="N259" s="83">
        <f t="shared" si="299"/>
        <v>793</v>
      </c>
      <c r="O259" s="84">
        <f>IF(AN259="","",AN259)</f>
        <v>2</v>
      </c>
      <c r="P259" s="83">
        <f t="shared" si="283"/>
        <v>753</v>
      </c>
      <c r="Q259" s="84">
        <f>IF(AP259="","",AP259)</f>
        <v>0</v>
      </c>
      <c r="R259" s="83">
        <f t="shared" si="284"/>
        <v>762</v>
      </c>
      <c r="S259" s="84">
        <f>IF(AR259="","",AR259)</f>
        <v>0</v>
      </c>
      <c r="T259" s="83">
        <f t="shared" si="285"/>
        <v>754</v>
      </c>
      <c r="U259" s="84">
        <f>IF(AT259="","",AT259)</f>
        <v>0</v>
      </c>
      <c r="V259" s="83">
        <f t="shared" si="286"/>
        <v>7037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844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705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751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866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809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793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753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762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754</v>
      </c>
      <c r="AT259" s="121">
        <f>IF(AS259+AS269=0,0,IF(AS259=AS269,1,IF(AS259&gt;AS269,2,0)))</f>
        <v>0</v>
      </c>
      <c r="AU259" s="122">
        <f>SUM(AC259+AE259+AG259+AI259+AK259+AM259+AO259+AQ259+AS259)</f>
        <v>7037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5</v>
      </c>
      <c r="L260" s="86" t="str">
        <f t="shared" si="282"/>
        <v/>
      </c>
      <c r="M260" s="87">
        <f>IF(AL260="","",AL260)</f>
        <v>1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0.5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0</v>
      </c>
      <c r="AG260" s="86"/>
      <c r="AH260" s="124">
        <f>SUM(AH247:AH259)</f>
        <v>2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0</v>
      </c>
      <c r="AQ260" s="86"/>
      <c r="AR260" s="124">
        <f>SUM(AR247:AR259)</f>
        <v>0.5</v>
      </c>
      <c r="AS260" s="86"/>
      <c r="AT260" s="124">
        <f>SUM(AT247:AT259)</f>
        <v>1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7037</v>
      </c>
      <c r="BC260" s="214">
        <f>+AA242</f>
        <v>9</v>
      </c>
      <c r="BF260" s="215">
        <f>SUM(BF241:BF259)</f>
        <v>36</v>
      </c>
      <c r="BQ260" s="212">
        <f>+BB260/1000000+BA260</f>
        <v>15.507037</v>
      </c>
      <c r="BR260" s="214">
        <f>RANK(BQ260,BQ:BQ)</f>
        <v>10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10</v>
      </c>
      <c r="E262" s="349" t="str">
        <f t="shared" si="310"/>
        <v/>
      </c>
      <c r="F262" s="349">
        <f t="shared" si="310"/>
        <v>2</v>
      </c>
      <c r="G262" s="349" t="str">
        <f t="shared" si="310"/>
        <v/>
      </c>
      <c r="H262" s="349">
        <f t="shared" si="310"/>
        <v>8</v>
      </c>
      <c r="I262" s="349" t="str">
        <f t="shared" si="310"/>
        <v/>
      </c>
      <c r="J262" s="349">
        <f t="shared" si="310"/>
        <v>1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6</v>
      </c>
      <c r="O262" s="349" t="str">
        <f t="shared" si="310"/>
        <v/>
      </c>
      <c r="P262" s="349">
        <f t="shared" si="310"/>
        <v>7</v>
      </c>
      <c r="Q262" s="349" t="str">
        <f t="shared" si="310"/>
        <v/>
      </c>
      <c r="R262" s="349">
        <f t="shared" ref="L262:U264" si="311">IF(AQ262=0,"",AQ262)</f>
        <v>3</v>
      </c>
      <c r="S262" s="349" t="str">
        <f t="shared" si="311"/>
        <v/>
      </c>
      <c r="T262" s="349">
        <f t="shared" si="311"/>
        <v>4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VLOOKUP($AA242,Schlüssel!$A$5:$DG$14,83)</f>
        <v>10</v>
      </c>
      <c r="AD262" s="374"/>
      <c r="AE262" s="373">
        <f>VLOOKUP($AA242,Schlüssel!$A$5:$EK$14,84)</f>
        <v>2</v>
      </c>
      <c r="AF262" s="374"/>
      <c r="AG262" s="373">
        <f>VLOOKUP($AA242,Schlüssel!$A$5:$EK$14,85)</f>
        <v>8</v>
      </c>
      <c r="AH262" s="374"/>
      <c r="AI262" s="373">
        <f>VLOOKUP($AA242,Schlüssel!$A$5:$EK$14,86)</f>
        <v>1</v>
      </c>
      <c r="AJ262" s="374"/>
      <c r="AK262" s="373">
        <f>VLOOKUP($AA242,Schlüssel!$A$5:$EK$14,87)</f>
        <v>5</v>
      </c>
      <c r="AL262" s="374"/>
      <c r="AM262" s="373">
        <f>VLOOKUP($AA242,Schlüssel!$A$5:$EK$14,88)</f>
        <v>6</v>
      </c>
      <c r="AN262" s="374"/>
      <c r="AO262" s="373">
        <f>VLOOKUP($AA242,Schlüssel!$A$5:$EK$14,89)</f>
        <v>7</v>
      </c>
      <c r="AP262" s="374"/>
      <c r="AQ262" s="373">
        <f>VLOOKUP($AA242,Schlüssel!$A$5:$EK$14,90)</f>
        <v>3</v>
      </c>
      <c r="AR262" s="374"/>
      <c r="AS262" s="373">
        <f>VLOOKUP($AA242,Schlüssel!$A$5:$EK$14,91)</f>
        <v>4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High Roller Rosenheim 1</v>
      </c>
      <c r="E263" s="347" t="str">
        <f t="shared" si="312"/>
        <v/>
      </c>
      <c r="F263" s="346" t="str">
        <f t="shared" si="312"/>
        <v>Bajuwaren München 1</v>
      </c>
      <c r="G263" s="347" t="str">
        <f t="shared" si="312"/>
        <v/>
      </c>
      <c r="H263" s="346" t="str">
        <f t="shared" si="312"/>
        <v>BC EMAX Unterföhring 2</v>
      </c>
      <c r="I263" s="347" t="str">
        <f t="shared" si="312"/>
        <v/>
      </c>
      <c r="J263" s="346" t="str">
        <f t="shared" si="312"/>
        <v>BC Comet Nürnberg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SG Rottendorf 1</v>
      </c>
      <c r="O263" s="347" t="str">
        <f t="shared" si="311"/>
        <v/>
      </c>
      <c r="P263" s="346" t="str">
        <f t="shared" si="311"/>
        <v>Schanzer Ingolstadt 1</v>
      </c>
      <c r="Q263" s="347" t="str">
        <f t="shared" si="311"/>
        <v/>
      </c>
      <c r="R263" s="346" t="str">
        <f t="shared" si="311"/>
        <v>BK München 3</v>
      </c>
      <c r="S263" s="347" t="str">
        <f t="shared" si="311"/>
        <v/>
      </c>
      <c r="T263" s="346" t="str">
        <f t="shared" si="311"/>
        <v>SG DJK Rimpar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High Roller Rosenheim 1</v>
      </c>
      <c r="AD263" s="347"/>
      <c r="AE263" s="346" t="str">
        <f>VLOOKUP(AE262,Schlüssel!$A$5:$K$14,2)</f>
        <v>Bajuwaren München 1</v>
      </c>
      <c r="AF263" s="347"/>
      <c r="AG263" s="346" t="str">
        <f>VLOOKUP(AG262,Schlüssel!$A$5:$K$14,2)</f>
        <v>BC EMAX Unterföhring 2</v>
      </c>
      <c r="AH263" s="347"/>
      <c r="AI263" s="346" t="str">
        <f>VLOOKUP(AI262,Schlüssel!$A$5:$K$14,2)</f>
        <v>BC Comet Nürnberg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SG Rottendorf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BK München 3</v>
      </c>
      <c r="AR263" s="347"/>
      <c r="AS263" s="346" t="str">
        <f>VLOOKUP(AS262,Schlüssel!$A$5:$K$14,2)</f>
        <v>SG DJK Rimpar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197</v>
      </c>
      <c r="E265" s="342" t="str">
        <f>IF(AD265=0,"",AD265)</f>
        <v/>
      </c>
      <c r="F265" s="342">
        <f>IF(AE265=301,"",AE265)</f>
        <v>214</v>
      </c>
      <c r="G265" s="342" t="str">
        <f>IF(AF265=0,"",AF265)</f>
        <v/>
      </c>
      <c r="H265" s="342">
        <f>IF(AG265=301,"",AG265)</f>
        <v>206</v>
      </c>
      <c r="I265" s="342" t="str">
        <f>IF(AH265=0,"",AH265)</f>
        <v/>
      </c>
      <c r="J265" s="342">
        <f>IF(AI265=301,"",AI265)</f>
        <v>204</v>
      </c>
      <c r="K265" s="342" t="str">
        <f>IF(AJ265=0,"",AJ265)</f>
        <v/>
      </c>
      <c r="L265" s="342">
        <f>IF(AK265=301,"",AK265)</f>
        <v>237</v>
      </c>
      <c r="M265" s="342" t="str">
        <f>IF(AL265=0,"",AL265)</f>
        <v/>
      </c>
      <c r="N265" s="342">
        <f>IF(AM265=301,"",AM265)</f>
        <v>217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227</v>
      </c>
      <c r="S265" s="342" t="str">
        <f>IF(AR265=0,"",AR265)</f>
        <v/>
      </c>
      <c r="T265" s="342">
        <f>IF(AS265=301,"",AS265)</f>
        <v>221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197</v>
      </c>
      <c r="AD265" s="376"/>
      <c r="AE265" s="375">
        <f>ABS(INDEX(AE:AE,MATCH(AE262,$AA:$AA,0)+5)+INDEX(AE:AE,MATCH(AE262,$AA:$AA,0)+6)+INDEX(AE:AE,MATCH(AE262,$AA:$AA,0)+7))</f>
        <v>214</v>
      </c>
      <c r="AF265" s="376"/>
      <c r="AG265" s="375">
        <f>ABS(INDEX(AG:AG,MATCH(AG262,$AA:$AA,0)+5)+INDEX(AG:AG,MATCH(AG262,$AA:$AA,0)+6)+INDEX(AG:AG,MATCH(AG262,$AA:$AA,0)+7))</f>
        <v>206</v>
      </c>
      <c r="AH265" s="376"/>
      <c r="AI265" s="375">
        <f>ABS(INDEX(AI:AI,MATCH(AI262,$AA:$AA,0)+5)+INDEX(AI:AI,MATCH(AI262,$AA:$AA,0)+6)+INDEX(AI:AI,MATCH(AI262,$AA:$AA,0)+7))</f>
        <v>204</v>
      </c>
      <c r="AJ265" s="376"/>
      <c r="AK265" s="375">
        <f>ABS(INDEX(AK:AK,MATCH(AK262,$AA:$AA,0)+5)+INDEX(AK:AK,MATCH(AK262,$AA:$AA,0)+6)+INDEX(AK:AK,MATCH(AK262,$AA:$AA,0)+7))</f>
        <v>237</v>
      </c>
      <c r="AL265" s="376"/>
      <c r="AM265" s="375">
        <f>ABS(INDEX(AM:AM,MATCH(AM262,$AA:$AA,0)+5)+INDEX(AM:AM,MATCH(AM262,$AA:$AA,0)+6)+INDEX(AM:AM,MATCH(AM262,$AA:$AA,0)+7))</f>
        <v>217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227</v>
      </c>
      <c r="AR265" s="376"/>
      <c r="AS265" s="375">
        <f>ABS(INDEX(AS:AS,MATCH(AS262,$AA:$AA,0)+5)+INDEX(AS:AS,MATCH(AS262,$AA:$AA,0)+6)+INDEX(AS:AS,MATCH(AS262,$AA:$AA,0)+7))</f>
        <v>221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215</v>
      </c>
      <c r="E266" s="342" t="str">
        <f>IF(AD266=0,"",AD266)</f>
        <v/>
      </c>
      <c r="F266" s="342">
        <f>IF(AE266=301,"",AE266)</f>
        <v>211</v>
      </c>
      <c r="G266" s="342" t="str">
        <f>IF(AF266=0,"",AF266)</f>
        <v/>
      </c>
      <c r="H266" s="342">
        <f>IF(AG266=301,"",AG266)</f>
        <v>189</v>
      </c>
      <c r="I266" s="342" t="str">
        <f>IF(AH266=0,"",AH266)</f>
        <v/>
      </c>
      <c r="J266" s="342">
        <f>IF(AI266=301,"",AI266)</f>
        <v>174</v>
      </c>
      <c r="K266" s="342" t="str">
        <f>IF(AJ266=0,"",AJ266)</f>
        <v/>
      </c>
      <c r="L266" s="342">
        <f>IF(AK266=301,"",AK266)</f>
        <v>137</v>
      </c>
      <c r="M266" s="342" t="str">
        <f>IF(AL266=0,"",AL266)</f>
        <v/>
      </c>
      <c r="N266" s="342">
        <f>IF(AM266=301,"",AM266)</f>
        <v>142</v>
      </c>
      <c r="O266" s="342" t="str">
        <f>IF(AN266=0,"",AN266)</f>
        <v/>
      </c>
      <c r="P266" s="342">
        <f>IF(AO266=301,"",AO266)</f>
        <v>190</v>
      </c>
      <c r="Q266" s="342" t="str">
        <f>IF(AP266=0,"",AP266)</f>
        <v/>
      </c>
      <c r="R266" s="342">
        <f>IF(AQ266=301,"",AQ266)</f>
        <v>202</v>
      </c>
      <c r="S266" s="342" t="str">
        <f>IF(AR266=0,"",AR266)</f>
        <v/>
      </c>
      <c r="T266" s="342">
        <f>IF(AS266=301,"",AS266)</f>
        <v>205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215</v>
      </c>
      <c r="AD266" s="378"/>
      <c r="AE266" s="377">
        <f>ABS(INDEX(AE:AE,MATCH(AE262,$AA:$AA,0)+8)+INDEX(AE:AE,MATCH(AE262,$AA:$AA,0)+9)+INDEX(AE:AE,MATCH(AE262,$AA:$AA,0)+10))</f>
        <v>211</v>
      </c>
      <c r="AF266" s="378"/>
      <c r="AG266" s="377">
        <f>ABS(INDEX(AG:AG,MATCH(AG262,$AA:$AA,0)+8)+INDEX(AG:AG,MATCH(AG262,$AA:$AA,0)+9)+INDEX(AG:AG,MATCH(AG262,$AA:$AA,0)+10))</f>
        <v>189</v>
      </c>
      <c r="AH266" s="378"/>
      <c r="AI266" s="377">
        <f>ABS(INDEX(AI:AI,MATCH(AI262,$AA:$AA,0)+8)+INDEX(AI:AI,MATCH(AI262,$AA:$AA,0)+9)+INDEX(AI:AI,MATCH(AI262,$AA:$AA,0)+10))</f>
        <v>174</v>
      </c>
      <c r="AJ266" s="378"/>
      <c r="AK266" s="377">
        <f>ABS(INDEX(AK:AK,MATCH(AK262,$AA:$AA,0)+8)+INDEX(AK:AK,MATCH(AK262,$AA:$AA,0)+9)+INDEX(AK:AK,MATCH(AK262,$AA:$AA,0)+10))</f>
        <v>137</v>
      </c>
      <c r="AL266" s="378"/>
      <c r="AM266" s="377">
        <f>ABS(INDEX(AM:AM,MATCH(AM262,$AA:$AA,0)+8)+INDEX(AM:AM,MATCH(AM262,$AA:$AA,0)+9)+INDEX(AM:AM,MATCH(AM262,$AA:$AA,0)+10))</f>
        <v>142</v>
      </c>
      <c r="AN266" s="378"/>
      <c r="AO266" s="377">
        <f>ABS(INDEX(AO:AO,MATCH(AO262,$AA:$AA,0)+8)+INDEX(AO:AO,MATCH(AO262,$AA:$AA,0)+9)+INDEX(AO:AO,MATCH(AO262,$AA:$AA,0)+10))</f>
        <v>190</v>
      </c>
      <c r="AP266" s="378"/>
      <c r="AQ266" s="377">
        <f>ABS(INDEX(AQ:AQ,MATCH(AQ262,$AA:$AA,0)+8)+INDEX(AQ:AQ,MATCH(AQ262,$AA:$AA,0)+9)+INDEX(AQ:AQ,MATCH(AQ262,$AA:$AA,0)+10))</f>
        <v>202</v>
      </c>
      <c r="AR266" s="378"/>
      <c r="AS266" s="377">
        <f>ABS(INDEX(AS:AS,MATCH(AS262,$AA:$AA,0)+8)+INDEX(AS:AS,MATCH(AS262,$AA:$AA,0)+9)+INDEX(AS:AS,MATCH(AS262,$AA:$AA,0)+10))</f>
        <v>205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204</v>
      </c>
      <c r="E267" s="342" t="str">
        <f>IF(AD267=0,"",AD267)</f>
        <v/>
      </c>
      <c r="F267" s="342">
        <f>IF(AE267=301,"",AE267)</f>
        <v>202</v>
      </c>
      <c r="G267" s="342" t="str">
        <f>IF(AF267=0,"",AF267)</f>
        <v/>
      </c>
      <c r="H267" s="342">
        <f>IF(AG267=301,"",AG267)</f>
        <v>223</v>
      </c>
      <c r="I267" s="342" t="str">
        <f>IF(AH267=0,"",AH267)</f>
        <v/>
      </c>
      <c r="J267" s="342">
        <f>IF(AI267=301,"",AI267)</f>
        <v>199</v>
      </c>
      <c r="K267" s="342" t="str">
        <f>IF(AJ267=0,"",AJ267)</f>
        <v/>
      </c>
      <c r="L267" s="342">
        <f>IF(AK267=301,"",AK267)</f>
        <v>186</v>
      </c>
      <c r="M267" s="342" t="str">
        <f>IF(AL267=0,"",AL267)</f>
        <v/>
      </c>
      <c r="N267" s="342">
        <f>IF(AM267=301,"",AM267)</f>
        <v>183</v>
      </c>
      <c r="O267" s="342" t="str">
        <f>IF(AN267=0,"",AN267)</f>
        <v/>
      </c>
      <c r="P267" s="342">
        <f>IF(AO267=301,"",AO267)</f>
        <v>248</v>
      </c>
      <c r="Q267" s="342" t="str">
        <f>IF(AP267=0,"",AP267)</f>
        <v/>
      </c>
      <c r="R267" s="342">
        <f>IF(AQ267=301,"",AQ267)</f>
        <v>211</v>
      </c>
      <c r="S267" s="342" t="str">
        <f>IF(AR267=0,"",AR267)</f>
        <v/>
      </c>
      <c r="T267" s="342">
        <f>IF(AS267=301,"",AS267)</f>
        <v>169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204</v>
      </c>
      <c r="AD267" s="378"/>
      <c r="AE267" s="377">
        <f>ABS(INDEX(AE:AE,MATCH(AE262,$AA:$AA,0)+11)+INDEX(AE:AE,MATCH(AE262,$AA:$AA,0)+12)+INDEX(AE:AE,MATCH(AE262,$AA:$AA,0)+13))</f>
        <v>202</v>
      </c>
      <c r="AF267" s="378"/>
      <c r="AG267" s="377">
        <f>ABS(INDEX(AG:AG,MATCH(AG262,$AA:$AA,0)+11)+INDEX(AG:AG,MATCH(AG262,$AA:$AA,0)+12)+INDEX(AG:AG,MATCH(AG262,$AA:$AA,0)+13))</f>
        <v>223</v>
      </c>
      <c r="AH267" s="378"/>
      <c r="AI267" s="377">
        <f>ABS(INDEX(AI:AI,MATCH(AI262,$AA:$AA,0)+11)+INDEX(AI:AI,MATCH(AI262,$AA:$AA,0)+12)+INDEX(AI:AI,MATCH(AI262,$AA:$AA,0)+13))</f>
        <v>199</v>
      </c>
      <c r="AJ267" s="378"/>
      <c r="AK267" s="377">
        <f>ABS(INDEX(AK:AK,MATCH(AK262,$AA:$AA,0)+11)+INDEX(AK:AK,MATCH(AK262,$AA:$AA,0)+12)+INDEX(AK:AK,MATCH(AK262,$AA:$AA,0)+13))</f>
        <v>186</v>
      </c>
      <c r="AL267" s="378"/>
      <c r="AM267" s="377">
        <f>ABS(INDEX(AM:AM,MATCH(AM262,$AA:$AA,0)+11)+INDEX(AM:AM,MATCH(AM262,$AA:$AA,0)+12)+INDEX(AM:AM,MATCH(AM262,$AA:$AA,0)+13))</f>
        <v>183</v>
      </c>
      <c r="AN267" s="378"/>
      <c r="AO267" s="377">
        <f>ABS(INDEX(AO:AO,MATCH(AO262,$AA:$AA,0)+11)+INDEX(AO:AO,MATCH(AO262,$AA:$AA,0)+12)+INDEX(AO:AO,MATCH(AO262,$AA:$AA,0)+13))</f>
        <v>248</v>
      </c>
      <c r="AP267" s="378"/>
      <c r="AQ267" s="377">
        <f>ABS(INDEX(AQ:AQ,MATCH(AQ262,$AA:$AA,0)+11)+INDEX(AQ:AQ,MATCH(AQ262,$AA:$AA,0)+12)+INDEX(AQ:AQ,MATCH(AQ262,$AA:$AA,0)+13))</f>
        <v>211</v>
      </c>
      <c r="AR267" s="378"/>
      <c r="AS267" s="377">
        <f>ABS(INDEX(AS:AS,MATCH(AS262,$AA:$AA,0)+11)+INDEX(AS:AS,MATCH(AS262,$AA:$AA,0)+12)+INDEX(AS:AS,MATCH(AS262,$AA:$AA,0)+13))</f>
        <v>169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245</v>
      </c>
      <c r="E268" s="342" t="str">
        <f>IF(AD268=0,"",AD268)</f>
        <v/>
      </c>
      <c r="F268" s="342">
        <f>IF(AE268=301,"",AE268)</f>
        <v>203</v>
      </c>
      <c r="G268" s="342" t="str">
        <f>IF(AF268=0,"",AF268)</f>
        <v/>
      </c>
      <c r="H268" s="342">
        <f>IF(AG268=301,"",AG268)</f>
        <v>205</v>
      </c>
      <c r="I268" s="342" t="str">
        <f>IF(AH268=0,"",AH268)</f>
        <v/>
      </c>
      <c r="J268" s="342">
        <f>IF(AI268=301,"",AI268)</f>
        <v>215</v>
      </c>
      <c r="K268" s="342" t="str">
        <f>IF(AJ268=0,"",AJ268)</f>
        <v/>
      </c>
      <c r="L268" s="342">
        <f>IF(AK268=301,"",AK268)</f>
        <v>268</v>
      </c>
      <c r="M268" s="342" t="str">
        <f>IF(AL268=0,"",AL268)</f>
        <v/>
      </c>
      <c r="N268" s="342">
        <f>IF(AM268=301,"",AM268)</f>
        <v>206</v>
      </c>
      <c r="O268" s="342" t="str">
        <f>IF(AN268=0,"",AN268)</f>
        <v/>
      </c>
      <c r="P268" s="342">
        <f>IF(AO268=301,"",AO268)</f>
        <v>212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233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245</v>
      </c>
      <c r="AD268" s="378"/>
      <c r="AE268" s="377">
        <f>ABS(INDEX(AE:AE,MATCH(AE262,$AA:$AA,0)+14)+INDEX(AE:AE,MATCH(AE262,$AA:$AA,0)+15)+INDEX(AE:AE,MATCH(AE262,$AA:$AA,0)+16))</f>
        <v>203</v>
      </c>
      <c r="AF268" s="378"/>
      <c r="AG268" s="377">
        <f>ABS(INDEX(AG:AG,MATCH(AG262,$AA:$AA,0)+14)+INDEX(AG:AG,MATCH(AG262,$AA:$AA,0)+15)+INDEX(AG:AG,MATCH(AG262,$AA:$AA,0)+16))</f>
        <v>205</v>
      </c>
      <c r="AH268" s="378"/>
      <c r="AI268" s="377">
        <f>ABS(INDEX(AI:AI,MATCH(AI262,$AA:$AA,0)+14)+INDEX(AI:AI,MATCH(AI262,$AA:$AA,0)+15)+INDEX(AI:AI,MATCH(AI262,$AA:$AA,0)+16))</f>
        <v>215</v>
      </c>
      <c r="AJ268" s="378"/>
      <c r="AK268" s="377">
        <f>ABS(INDEX(AK:AK,MATCH(AK262,$AA:$AA,0)+14)+INDEX(AK:AK,MATCH(AK262,$AA:$AA,0)+15)+INDEX(AK:AK,MATCH(AK262,$AA:$AA,0)+16))</f>
        <v>268</v>
      </c>
      <c r="AL268" s="378"/>
      <c r="AM268" s="377">
        <f>ABS(INDEX(AM:AM,MATCH(AM262,$AA:$AA,0)+14)+INDEX(AM:AM,MATCH(AM262,$AA:$AA,0)+15)+INDEX(AM:AM,MATCH(AM262,$AA:$AA,0)+16))</f>
        <v>206</v>
      </c>
      <c r="AN268" s="378"/>
      <c r="AO268" s="377">
        <f>ABS(INDEX(AO:AO,MATCH(AO262,$AA:$AA,0)+14)+INDEX(AO:AO,MATCH(AO262,$AA:$AA,0)+15)+INDEX(AO:AO,MATCH(AO262,$AA:$AA,0)+16))</f>
        <v>212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233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861</v>
      </c>
      <c r="E269" s="341" t="str">
        <f>IF(AD269=0,"",AD269)</f>
        <v/>
      </c>
      <c r="F269" s="341">
        <f>IF(AE269=1505,"",AE269)</f>
        <v>830</v>
      </c>
      <c r="G269" s="341" t="str">
        <f>IF(AF269=0,"",AF269)</f>
        <v/>
      </c>
      <c r="H269" s="341">
        <f>IF(AG269=1505,"",AG269)</f>
        <v>823</v>
      </c>
      <c r="I269" s="341" t="str">
        <f>IF(AH269=0,"",AH269)</f>
        <v/>
      </c>
      <c r="J269" s="341">
        <f>IF(AI269=1505,"",AI269)</f>
        <v>792</v>
      </c>
      <c r="K269" s="341" t="str">
        <f>IF(AJ269=0,"",AJ269)</f>
        <v/>
      </c>
      <c r="L269" s="341">
        <f>IF(AK269=1505,"",AK269)</f>
        <v>828</v>
      </c>
      <c r="M269" s="341" t="str">
        <f>IF(AL269=0,"",AL269)</f>
        <v/>
      </c>
      <c r="N269" s="341">
        <f>IF(AM269=1505,"",AM269)</f>
        <v>748</v>
      </c>
      <c r="O269" s="341" t="str">
        <f>IF(AN269=0,"",AN269)</f>
        <v/>
      </c>
      <c r="P269" s="341">
        <f>IF(AO269=1505,"",AO269)</f>
        <v>843</v>
      </c>
      <c r="Q269" s="341" t="str">
        <f>IF(AP269=0,"",AP269)</f>
        <v/>
      </c>
      <c r="R269" s="341">
        <f>IF(AQ269=1505,"",AQ269)</f>
        <v>906</v>
      </c>
      <c r="S269" s="341" t="str">
        <f>IF(AR269=0,"",AR269)</f>
        <v/>
      </c>
      <c r="T269" s="341">
        <f>IF(AS269=1505,"",AS269)</f>
        <v>828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861</v>
      </c>
      <c r="AD269" s="358"/>
      <c r="AE269" s="357">
        <f>SUM(AE265:AE268)</f>
        <v>830</v>
      </c>
      <c r="AF269" s="358"/>
      <c r="AG269" s="357">
        <f>SUM(AG265:AG268)</f>
        <v>823</v>
      </c>
      <c r="AH269" s="358"/>
      <c r="AI269" s="357">
        <f>SUM(AI265:AI268)</f>
        <v>792</v>
      </c>
      <c r="AJ269" s="358"/>
      <c r="AK269" s="357">
        <f>SUM(AK265:AK268)</f>
        <v>828</v>
      </c>
      <c r="AL269" s="358"/>
      <c r="AM269" s="357">
        <f>SUM(AM265:AM268)</f>
        <v>748</v>
      </c>
      <c r="AN269" s="358"/>
      <c r="AO269" s="357">
        <f>SUM(AO265:AO268)</f>
        <v>843</v>
      </c>
      <c r="AP269" s="358"/>
      <c r="AQ269" s="357">
        <f>SUM(AQ265:AQ268)</f>
        <v>906</v>
      </c>
      <c r="AR269" s="358"/>
      <c r="AS269" s="357">
        <f>SUM(AS265:AS268)</f>
        <v>828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15.03./16.03.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15.03./16.03.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Brunnthal Max Munich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197</v>
      </c>
      <c r="E277" s="351">
        <f>IF(AD277="","",AD277)</f>
        <v>1</v>
      </c>
      <c r="F277" s="75">
        <f t="shared" ref="F277:F290" si="314">IF(AE277=0,"",AE277)</f>
        <v>206</v>
      </c>
      <c r="G277" s="351">
        <f>IF(AF277="","",AF277)</f>
        <v>1</v>
      </c>
      <c r="H277" s="75">
        <f t="shared" ref="H277:H290" si="315">IF(AG277=0,"",AG277)</f>
        <v>204</v>
      </c>
      <c r="I277" s="351">
        <f>IF(AH277="","",AH277)</f>
        <v>0</v>
      </c>
      <c r="J277" s="75">
        <f t="shared" ref="J277:J290" si="316">IF(AI277=0,"",AI277)</f>
        <v>202</v>
      </c>
      <c r="K277" s="351">
        <f>IF(AJ277="","",AJ277)</f>
        <v>0</v>
      </c>
      <c r="L277" s="75">
        <f t="shared" ref="L277:L290" si="317">IF(AK277=0,"",AK277)</f>
        <v>257</v>
      </c>
      <c r="M277" s="351">
        <f>IF(AL277="","",AL277)</f>
        <v>1</v>
      </c>
      <c r="N277" s="75">
        <f>IF(AM277=0,"",AM277)</f>
        <v>194</v>
      </c>
      <c r="O277" s="351">
        <f>IF(AN277="","",AN277)</f>
        <v>0</v>
      </c>
      <c r="P277" s="75">
        <f t="shared" ref="P277:P290" si="318">IF(AO277=0,"",AO277)</f>
        <v>226</v>
      </c>
      <c r="Q277" s="351">
        <f>IF(AP277="","",AP277)</f>
        <v>1</v>
      </c>
      <c r="R277" s="75">
        <f t="shared" ref="R277:R290" si="319">IF(AQ277=0,"",AQ277)</f>
        <v>236</v>
      </c>
      <c r="S277" s="351">
        <f>IF(AR277="","",AR277)</f>
        <v>0</v>
      </c>
      <c r="T277" s="75">
        <f t="shared" ref="T277:T290" si="320">IF(AS277=0,"",AS277)</f>
        <v>212</v>
      </c>
      <c r="U277" s="351">
        <f>IF(AT277="","",AT277)</f>
        <v>0</v>
      </c>
      <c r="V277" s="75">
        <f t="shared" ref="V277:V290" si="321">IF(AU277=0,"",AU277)</f>
        <v>1934</v>
      </c>
      <c r="W277" s="351">
        <f>IF(AV277="","",AV277)</f>
        <v>4</v>
      </c>
      <c r="Z277" s="354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197</v>
      </c>
      <c r="AD277" s="109">
        <f>IF(SUM(AC277:AC279)+AC295=0,0,IF(SUM(AC277:AC279)=AC295,0.5,IF(SUM(AC277:AC279)&gt;AC295,1,0)))</f>
        <v>1</v>
      </c>
      <c r="AE277" s="185">
        <v>206</v>
      </c>
      <c r="AF277" s="109">
        <f>IF(SUM(AE277:AE279)+AE295=0,0,IF(SUM(AE277:AE279)=AE295,0.5,IF(SUM(AE277:AE279)&gt;AE295,1,0)))</f>
        <v>1</v>
      </c>
      <c r="AG277" s="185">
        <v>204</v>
      </c>
      <c r="AH277" s="109">
        <f>IF(SUM(AG277:AG279)+AG295=0,0,IF(SUM(AG277:AG279)=AG295,0.5,IF(SUM(AG277:AG279)&gt;AG295,1,0)))</f>
        <v>0</v>
      </c>
      <c r="AI277" s="185">
        <v>202</v>
      </c>
      <c r="AJ277" s="109">
        <f>IF(SUM(AI277:AI279)+AI295=0,0,IF(SUM(AI277:AI279)=AI295,0.5,IF(SUM(AI277:AI279)&gt;AI295,1,0)))</f>
        <v>0</v>
      </c>
      <c r="AK277" s="185">
        <v>257</v>
      </c>
      <c r="AL277" s="109">
        <f>IF(SUM(AK277:AK279)+AK295=0,0,IF(SUM(AK277:AK279)=AK295,0.5,IF(SUM(AK277:AK279)&gt;AK295,1,0)))</f>
        <v>1</v>
      </c>
      <c r="AM277" s="185">
        <v>194</v>
      </c>
      <c r="AN277" s="109">
        <f>IF(SUM(AM277:AM279)+AM295=0,0,IF(SUM(AM277:AM279)=AM295,0.5,IF(SUM(AM277:AM279)&gt;AM295,1,0)))</f>
        <v>0</v>
      </c>
      <c r="AO277" s="185">
        <v>226</v>
      </c>
      <c r="AP277" s="109">
        <f>IF(SUM(AO277:AO279)+AO295=0,0,IF(SUM(AO277:AO279)=AO295,0.5,IF(SUM(AO277:AO279)&gt;AO295,1,0)))</f>
        <v>1</v>
      </c>
      <c r="AQ277" s="185">
        <v>236</v>
      </c>
      <c r="AR277" s="109">
        <f>IF(SUM(AQ277:AQ279)+AQ295=0,0,IF(SUM(AQ277:AQ279)=AQ295,0.5,IF(SUM(AQ277:AQ279)&gt;AQ295,1,0)))</f>
        <v>0</v>
      </c>
      <c r="AS277" s="185">
        <v>212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1934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1934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197</v>
      </c>
      <c r="BI277" s="215">
        <f t="shared" ref="BI277:BI288" si="324">IF(AE277=0,"",AE277)</f>
        <v>206</v>
      </c>
      <c r="BJ277" s="215">
        <f t="shared" ref="BJ277:BJ288" si="325">IF(AG277=0,"",AG277)</f>
        <v>204</v>
      </c>
      <c r="BK277" s="215">
        <f t="shared" ref="BK277:BK288" si="326">IF(AI277=0,"",AI277)</f>
        <v>202</v>
      </c>
      <c r="BL277" s="215">
        <f t="shared" ref="BL277:BL288" si="327">IF(AK277=0,"",AK277)</f>
        <v>257</v>
      </c>
      <c r="BM277" s="215">
        <f t="shared" ref="BM277:BM288" si="328">IF(AM277=0,"",AM277)</f>
        <v>194</v>
      </c>
      <c r="BN277" s="215">
        <f t="shared" ref="BN277:BN288" si="329">IF(AO277=0,"",AO277)</f>
        <v>226</v>
      </c>
      <c r="BO277" s="215">
        <f t="shared" ref="BO277:BO288" si="330">IF(AQ277=0,"",AQ277)</f>
        <v>236</v>
      </c>
      <c r="BP277" s="215">
        <f t="shared" ref="BP277:BP288" si="331">IF(AS277=0,"",AS277)</f>
        <v>212</v>
      </c>
      <c r="BQ277" s="216"/>
      <c r="BR277" s="214"/>
      <c r="BS277" s="215">
        <f>MAX(BH277:BP277)</f>
        <v>257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3</v>
      </c>
      <c r="BW277" s="215">
        <f>SUMIF(BH277:BP277,"&gt;0")</f>
        <v>1934</v>
      </c>
      <c r="BX277" s="215">
        <f>IF(COUNTIF(BH277:BP277,"&gt;0")&lt;Spielorte!$A$23,0,BE277/Spielorte!$A$23)</f>
        <v>214.88888888888889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3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3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215</v>
      </c>
      <c r="E280" s="351">
        <f>IF(AD280="","",AD280)</f>
        <v>0</v>
      </c>
      <c r="F280" s="75">
        <f t="shared" si="314"/>
        <v>223</v>
      </c>
      <c r="G280" s="351">
        <f>IF(AF280="","",AF280)</f>
        <v>1</v>
      </c>
      <c r="H280" s="75">
        <f t="shared" si="315"/>
        <v>225</v>
      </c>
      <c r="I280" s="351">
        <f>IF(AH280="","",AH280)</f>
        <v>1</v>
      </c>
      <c r="J280" s="75">
        <f t="shared" si="316"/>
        <v>200</v>
      </c>
      <c r="K280" s="351">
        <f>IF(AJ280="","",AJ280)</f>
        <v>0</v>
      </c>
      <c r="L280" s="75">
        <f t="shared" si="317"/>
        <v>242</v>
      </c>
      <c r="M280" s="351">
        <f>IF(AL280="","",AL280)</f>
        <v>1</v>
      </c>
      <c r="N280" s="75">
        <f t="shared" si="334"/>
        <v>172</v>
      </c>
      <c r="O280" s="351">
        <f>IF(AN280="","",AN280)</f>
        <v>0</v>
      </c>
      <c r="P280" s="75">
        <f t="shared" si="318"/>
        <v>171</v>
      </c>
      <c r="Q280" s="351">
        <f>IF(AP280="","",AP280)</f>
        <v>0</v>
      </c>
      <c r="R280" s="75">
        <f t="shared" si="319"/>
        <v>183</v>
      </c>
      <c r="S280" s="351">
        <f>IF(AR280="","",AR280)</f>
        <v>0</v>
      </c>
      <c r="T280" s="75">
        <f t="shared" si="320"/>
        <v>167</v>
      </c>
      <c r="U280" s="351">
        <f>IF(AT280="","",AT280)</f>
        <v>1</v>
      </c>
      <c r="V280" s="75">
        <f t="shared" si="321"/>
        <v>1798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215</v>
      </c>
      <c r="AD280" s="109">
        <f>IF(SUM(AC280:AC282)+AC296=0,0,IF(SUM(AC280:AC282)=AC296,0.5,IF(SUM(AC280:AC282)&gt;AC296,1,0)))</f>
        <v>0</v>
      </c>
      <c r="AE280" s="188">
        <v>223</v>
      </c>
      <c r="AF280" s="109">
        <f>IF(SUM(AE280:AE282)+AE296=0,0,IF(SUM(AE280:AE282)=AE296,0.5,IF(SUM(AE280:AE282)&gt;AE296,1,0)))</f>
        <v>1</v>
      </c>
      <c r="AG280" s="188">
        <v>225</v>
      </c>
      <c r="AH280" s="109">
        <f>IF(SUM(AG280:AG282)+AG296=0,0,IF(SUM(AG280:AG282)=AG296,0.5,IF(SUM(AG280:AG282)&gt;AG296,1,0)))</f>
        <v>1</v>
      </c>
      <c r="AI280" s="188">
        <v>200</v>
      </c>
      <c r="AJ280" s="109">
        <f>IF(SUM(AI280:AI282)+AI296=0,0,IF(SUM(AI280:AI282)=AI296,0.5,IF(SUM(AI280:AI282)&gt;AI296,1,0)))</f>
        <v>0</v>
      </c>
      <c r="AK280" s="188">
        <v>242</v>
      </c>
      <c r="AL280" s="109">
        <f>IF(SUM(AK280:AK282)+AK296=0,0,IF(SUM(AK280:AK282)=AK296,0.5,IF(SUM(AK280:AK282)&gt;AK296,1,0)))</f>
        <v>1</v>
      </c>
      <c r="AM280" s="188">
        <v>172</v>
      </c>
      <c r="AN280" s="109">
        <f>IF(SUM(AM280:AM282)+AM296=0,0,IF(SUM(AM280:AM282)=AM296,0.5,IF(SUM(AM280:AM282)&gt;AM296,1,0)))</f>
        <v>0</v>
      </c>
      <c r="AO280" s="188">
        <v>171</v>
      </c>
      <c r="AP280" s="109">
        <f>IF(SUM(AO280:AO282)+AO296=0,0,IF(SUM(AO280:AO282)=AO296,0.5,IF(SUM(AO280:AO282)&gt;AO296,1,0)))</f>
        <v>0</v>
      </c>
      <c r="AQ280" s="188">
        <v>183</v>
      </c>
      <c r="AR280" s="109">
        <f>IF(SUM(AQ280:AQ282)+AQ296=0,0,IF(SUM(AQ280:AQ282)=AQ296,0.5,IF(SUM(AQ280:AQ282)&gt;AQ296,1,0)))</f>
        <v>0</v>
      </c>
      <c r="AS280" s="188">
        <v>167</v>
      </c>
      <c r="AT280" s="109">
        <f>IF(SUM(AS280:AS282)+AS296=0,0,IF(SUM(AS280:AS282)=AS296,0.5,IF(SUM(AS280:AS282)&gt;AS296,1,0)))</f>
        <v>1</v>
      </c>
      <c r="AU280" s="110">
        <f t="shared" si="322"/>
        <v>1798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1798</v>
      </c>
      <c r="BF280" s="215">
        <f t="shared" si="337"/>
        <v>9</v>
      </c>
      <c r="BG280" s="215">
        <f t="shared" si="338"/>
        <v>9</v>
      </c>
      <c r="BH280" s="215">
        <f t="shared" si="323"/>
        <v>215</v>
      </c>
      <c r="BI280" s="215">
        <f t="shared" si="324"/>
        <v>223</v>
      </c>
      <c r="BJ280" s="215">
        <f t="shared" si="325"/>
        <v>225</v>
      </c>
      <c r="BK280" s="215">
        <f t="shared" si="326"/>
        <v>200</v>
      </c>
      <c r="BL280" s="215">
        <f t="shared" si="327"/>
        <v>242</v>
      </c>
      <c r="BM280" s="215">
        <f t="shared" si="328"/>
        <v>172</v>
      </c>
      <c r="BN280" s="215">
        <f t="shared" si="329"/>
        <v>171</v>
      </c>
      <c r="BO280" s="215">
        <f t="shared" si="330"/>
        <v>183</v>
      </c>
      <c r="BP280" s="215">
        <f t="shared" si="331"/>
        <v>167</v>
      </c>
      <c r="BQ280" s="216"/>
      <c r="BR280" s="214"/>
      <c r="BS280" s="215">
        <f t="shared" si="339"/>
        <v>242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3</v>
      </c>
      <c r="BW280" s="215">
        <f t="shared" si="343"/>
        <v>1798</v>
      </c>
      <c r="BX280" s="215">
        <f>IF(COUNTIF(BH280:BP280,"&gt;0")&lt;Spielorte!$A$23,0,BE280/Spielorte!$A$23)</f>
        <v>199.77777777777777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3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3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204</v>
      </c>
      <c r="E283" s="351">
        <f>IF(AD283="","",AD283)</f>
        <v>0</v>
      </c>
      <c r="F283" s="75">
        <f t="shared" si="314"/>
        <v>192</v>
      </c>
      <c r="G283" s="351">
        <f>IF(AF283="","",AF283)</f>
        <v>1</v>
      </c>
      <c r="H283" s="75">
        <f t="shared" si="315"/>
        <v>172</v>
      </c>
      <c r="I283" s="351">
        <f>IF(AH283="","",AH283)</f>
        <v>0</v>
      </c>
      <c r="J283" s="75">
        <f t="shared" si="316"/>
        <v>205</v>
      </c>
      <c r="K283" s="351">
        <f>IF(AJ283="","",AJ283)</f>
        <v>1</v>
      </c>
      <c r="L283" s="75">
        <f t="shared" si="317"/>
        <v>171</v>
      </c>
      <c r="M283" s="351">
        <f>IF(AL283="","",AL283)</f>
        <v>0</v>
      </c>
      <c r="N283" s="75">
        <f t="shared" si="334"/>
        <v>170</v>
      </c>
      <c r="O283" s="351">
        <f>IF(AN283="","",AN283)</f>
        <v>0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1</v>
      </c>
      <c r="T283" s="75" t="str">
        <f t="shared" si="320"/>
        <v/>
      </c>
      <c r="U283" s="351">
        <f>IF(AT283="","",AT283)</f>
        <v>1</v>
      </c>
      <c r="V283" s="75">
        <f t="shared" si="321"/>
        <v>1114</v>
      </c>
      <c r="W283" s="351">
        <f>IF(AV283="","",AV283)</f>
        <v>4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204</v>
      </c>
      <c r="AD283" s="109">
        <f>IF(SUM(AC283:AC285)+AC297=0,0,IF(SUM(AC283:AC285)=AC297,0.5,IF(SUM(AC283:AC285)&gt;AC297,1,0)))</f>
        <v>0</v>
      </c>
      <c r="AE283" s="188">
        <v>192</v>
      </c>
      <c r="AF283" s="109">
        <f>IF(SUM(AE283:AE285)+AE297=0,0,IF(SUM(AE283:AE285)=AE297,0.5,IF(SUM(AE283:AE285)&gt;AE297,1,0)))</f>
        <v>1</v>
      </c>
      <c r="AG283" s="188">
        <v>172</v>
      </c>
      <c r="AH283" s="109">
        <f>IF(SUM(AG283:AG285)+AG297=0,0,IF(SUM(AG283:AG285)=AG297,0.5,IF(SUM(AG283:AG285)&gt;AG297,1,0)))</f>
        <v>0</v>
      </c>
      <c r="AI283" s="188">
        <v>205</v>
      </c>
      <c r="AJ283" s="109">
        <f>IF(SUM(AI283:AI285)+AI297=0,0,IF(SUM(AI283:AI285)=AI297,0.5,IF(SUM(AI283:AI285)&gt;AI297,1,0)))</f>
        <v>1</v>
      </c>
      <c r="AK283" s="188">
        <v>171</v>
      </c>
      <c r="AL283" s="109">
        <f>IF(SUM(AK283:AK285)+AK297=0,0,IF(SUM(AK283:AK285)=AK297,0.5,IF(SUM(AK283:AK285)&gt;AK297,1,0)))</f>
        <v>0</v>
      </c>
      <c r="AM283" s="188">
        <v>170</v>
      </c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1114</v>
      </c>
      <c r="AV283" s="111">
        <f>SUM(AD283+AF283+AH283+AJ283+AL283+AN283+AP283+AR283+AT283)</f>
        <v>4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1114</v>
      </c>
      <c r="BF283" s="215">
        <f t="shared" si="337"/>
        <v>6</v>
      </c>
      <c r="BG283" s="215">
        <f t="shared" si="338"/>
        <v>6</v>
      </c>
      <c r="BH283" s="215">
        <f t="shared" si="323"/>
        <v>204</v>
      </c>
      <c r="BI283" s="215">
        <f t="shared" si="324"/>
        <v>192</v>
      </c>
      <c r="BJ283" s="215">
        <f t="shared" si="325"/>
        <v>172</v>
      </c>
      <c r="BK283" s="215">
        <f t="shared" si="326"/>
        <v>205</v>
      </c>
      <c r="BL283" s="215">
        <f t="shared" si="327"/>
        <v>171</v>
      </c>
      <c r="BM283" s="215">
        <f t="shared" si="328"/>
        <v>170</v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205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3</v>
      </c>
      <c r="BW283" s="215">
        <f t="shared" si="343"/>
        <v>1114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Tos, Sascha</v>
      </c>
      <c r="C284" s="77">
        <f t="shared" si="333"/>
        <v>16519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>
        <f t="shared" si="318"/>
        <v>172</v>
      </c>
      <c r="Q284" s="352"/>
      <c r="R284" s="78">
        <f t="shared" si="319"/>
        <v>182</v>
      </c>
      <c r="S284" s="352"/>
      <c r="T284" s="78">
        <f t="shared" si="320"/>
        <v>212</v>
      </c>
      <c r="U284" s="352"/>
      <c r="V284" s="78">
        <f t="shared" si="321"/>
        <v>566</v>
      </c>
      <c r="W284" s="352"/>
      <c r="Z284" s="355"/>
      <c r="AA284" s="108" t="str">
        <f>IF(AB284=0,"",VLOOKUP(AB284,Starter!$A$1:$D$199,2,FALSE))</f>
        <v>Tos, Sascha</v>
      </c>
      <c r="AB284" s="98">
        <v>16519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>
        <v>172</v>
      </c>
      <c r="AP284" s="112"/>
      <c r="AQ284" s="186">
        <v>182</v>
      </c>
      <c r="AR284" s="112"/>
      <c r="AS284" s="186">
        <v>212</v>
      </c>
      <c r="AT284" s="112"/>
      <c r="AU284" s="113">
        <f t="shared" si="322"/>
        <v>566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16519</v>
      </c>
      <c r="BE284" s="213">
        <f t="shared" si="336"/>
        <v>566</v>
      </c>
      <c r="BF284" s="215">
        <f t="shared" si="337"/>
        <v>3</v>
      </c>
      <c r="BG284" s="215">
        <f t="shared" si="338"/>
        <v>3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>
        <f t="shared" si="329"/>
        <v>172</v>
      </c>
      <c r="BO284" s="215">
        <f t="shared" si="330"/>
        <v>182</v>
      </c>
      <c r="BP284" s="215">
        <f t="shared" si="331"/>
        <v>212</v>
      </c>
      <c r="BQ284" s="216"/>
      <c r="BR284" s="214"/>
      <c r="BS284" s="215">
        <f t="shared" si="339"/>
        <v>212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3</v>
      </c>
      <c r="BW284" s="215">
        <f t="shared" si="343"/>
        <v>566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3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245</v>
      </c>
      <c r="E286" s="351">
        <f>IF(AD286="","",AD286)</f>
        <v>1</v>
      </c>
      <c r="F286" s="75">
        <f t="shared" si="314"/>
        <v>187</v>
      </c>
      <c r="G286" s="351">
        <f>IF(AF286="","",AF286)</f>
        <v>0</v>
      </c>
      <c r="H286" s="75">
        <f t="shared" si="315"/>
        <v>216</v>
      </c>
      <c r="I286" s="351">
        <f>IF(AH286="","",AH286)</f>
        <v>0</v>
      </c>
      <c r="J286" s="75">
        <f t="shared" si="316"/>
        <v>211</v>
      </c>
      <c r="K286" s="351">
        <f>IF(AJ286="","",AJ286)</f>
        <v>0</v>
      </c>
      <c r="L286" s="75">
        <f t="shared" si="317"/>
        <v>258</v>
      </c>
      <c r="M286" s="351">
        <f>IF(AL286="","",AL286)</f>
        <v>1</v>
      </c>
      <c r="N286" s="75">
        <f t="shared" si="334"/>
        <v>171</v>
      </c>
      <c r="O286" s="351">
        <f>IF(AN286="","",AN286)</f>
        <v>0</v>
      </c>
      <c r="P286" s="75">
        <f t="shared" si="318"/>
        <v>163</v>
      </c>
      <c r="Q286" s="351">
        <f>IF(AP286="","",AP286)</f>
        <v>0</v>
      </c>
      <c r="R286" s="75">
        <f t="shared" si="319"/>
        <v>203</v>
      </c>
      <c r="S286" s="351">
        <f>IF(AR286="","",AR286)</f>
        <v>1</v>
      </c>
      <c r="T286" s="75">
        <f t="shared" si="320"/>
        <v>210</v>
      </c>
      <c r="U286" s="351">
        <f>IF(AT286="","",AT286)</f>
        <v>0</v>
      </c>
      <c r="V286" s="75">
        <f t="shared" si="321"/>
        <v>1864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245</v>
      </c>
      <c r="AD286" s="109">
        <f>IF(SUM(AC286:AC288)+AC298=0,0,IF(SUM(AC286:AC288)=AC298,0.5,IF(SUM(AC286:AC288)&gt;AC298,1,0)))</f>
        <v>1</v>
      </c>
      <c r="AE286" s="188">
        <v>187</v>
      </c>
      <c r="AF286" s="109">
        <f>IF(SUM(AE286:AE288)+AE298=0,0,IF(SUM(AE286:AE288)=AE298,0.5,IF(SUM(AE286:AE288)&gt;AE298,1,0)))</f>
        <v>0</v>
      </c>
      <c r="AG286" s="188">
        <v>216</v>
      </c>
      <c r="AH286" s="109">
        <f>IF(SUM(AG286:AG288)+AG298=0,0,IF(SUM(AG286:AG288)=AG298,0.5,IF(SUM(AG286:AG288)&gt;AG298,1,0)))</f>
        <v>0</v>
      </c>
      <c r="AI286" s="188">
        <v>211</v>
      </c>
      <c r="AJ286" s="109">
        <f>IF(SUM(AI286:AI288)+AI298=0,0,IF(SUM(AI286:AI288)=AI298,0.5,IF(SUM(AI286:AI288)&gt;AI298,1,0)))</f>
        <v>0</v>
      </c>
      <c r="AK286" s="188">
        <v>258</v>
      </c>
      <c r="AL286" s="109">
        <f>IF(SUM(AK286:AK288)+AK298=0,0,IF(SUM(AK286:AK288)=AK298,0.5,IF(SUM(AK286:AK288)&gt;AK298,1,0)))</f>
        <v>1</v>
      </c>
      <c r="AM286" s="188">
        <v>171</v>
      </c>
      <c r="AN286" s="109">
        <f>IF(SUM(AM286:AM288)+AM298=0,0,IF(SUM(AM286:AM288)=AM298,0.5,IF(SUM(AM286:AM288)&gt;AM298,1,0)))</f>
        <v>0</v>
      </c>
      <c r="AO286" s="188">
        <v>163</v>
      </c>
      <c r="AP286" s="109">
        <f>IF(SUM(AO286:AO288)+AO298=0,0,IF(SUM(AO286:AO288)=AO298,0.5,IF(SUM(AO286:AO288)&gt;AO298,1,0)))</f>
        <v>0</v>
      </c>
      <c r="AQ286" s="188">
        <v>203</v>
      </c>
      <c r="AR286" s="109">
        <f>IF(SUM(AQ286:AQ288)+AQ298=0,0,IF(SUM(AQ286:AQ288)=AQ298,0.5,IF(SUM(AQ286:AQ288)&gt;AQ298,1,0)))</f>
        <v>1</v>
      </c>
      <c r="AS286" s="188">
        <v>210</v>
      </c>
      <c r="AT286" s="109">
        <f>IF(SUM(AS286:AS288)+AS298=0,0,IF(SUM(AS286:AS288)=AS298,0.5,IF(SUM(AS286:AS288)&gt;AS298,1,0)))</f>
        <v>0</v>
      </c>
      <c r="AU286" s="110">
        <f t="shared" si="322"/>
        <v>1864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1864</v>
      </c>
      <c r="BF286" s="215">
        <f t="shared" si="337"/>
        <v>9</v>
      </c>
      <c r="BG286" s="215">
        <f t="shared" si="338"/>
        <v>9</v>
      </c>
      <c r="BH286" s="215">
        <f t="shared" si="323"/>
        <v>245</v>
      </c>
      <c r="BI286" s="215">
        <f t="shared" si="324"/>
        <v>187</v>
      </c>
      <c r="BJ286" s="215">
        <f t="shared" si="325"/>
        <v>216</v>
      </c>
      <c r="BK286" s="215">
        <f t="shared" si="326"/>
        <v>211</v>
      </c>
      <c r="BL286" s="215">
        <f t="shared" si="327"/>
        <v>258</v>
      </c>
      <c r="BM286" s="215">
        <f t="shared" si="328"/>
        <v>171</v>
      </c>
      <c r="BN286" s="215">
        <f t="shared" si="329"/>
        <v>163</v>
      </c>
      <c r="BO286" s="215">
        <f t="shared" si="330"/>
        <v>203</v>
      </c>
      <c r="BP286" s="215">
        <f t="shared" si="331"/>
        <v>210</v>
      </c>
      <c r="BQ286" s="216"/>
      <c r="BR286" s="214"/>
      <c r="BS286" s="215">
        <f t="shared" si="339"/>
        <v>258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1864</v>
      </c>
      <c r="BX286" s="215">
        <f>IF(COUNTIF(BH286:BP286,"&gt;0")&lt;Spielorte!$A$23,0,BE286/Spielorte!$A$23)</f>
        <v>207.11111111111111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3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3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861</v>
      </c>
      <c r="E289" s="84">
        <f>IF(AD289="","",AD289)</f>
        <v>2</v>
      </c>
      <c r="F289" s="83">
        <f t="shared" si="314"/>
        <v>808</v>
      </c>
      <c r="G289" s="84">
        <f>IF(AF289="","",AF289)</f>
        <v>2</v>
      </c>
      <c r="H289" s="83">
        <f t="shared" si="315"/>
        <v>817</v>
      </c>
      <c r="I289" s="84">
        <f>IF(AH289="","",AH289)</f>
        <v>0</v>
      </c>
      <c r="J289" s="83">
        <f t="shared" si="316"/>
        <v>818</v>
      </c>
      <c r="K289" s="84">
        <f>IF(AJ289="","",AJ289)</f>
        <v>0</v>
      </c>
      <c r="L289" s="83">
        <f t="shared" si="317"/>
        <v>928</v>
      </c>
      <c r="M289" s="84">
        <f>IF(AL289="","",AL289)</f>
        <v>2</v>
      </c>
      <c r="N289" s="83">
        <f t="shared" si="334"/>
        <v>707</v>
      </c>
      <c r="O289" s="84">
        <f>IF(AN289="","",AN289)</f>
        <v>0</v>
      </c>
      <c r="P289" s="83">
        <f t="shared" si="318"/>
        <v>732</v>
      </c>
      <c r="Q289" s="84">
        <f>IF(AP289="","",AP289)</f>
        <v>0</v>
      </c>
      <c r="R289" s="83">
        <f t="shared" si="319"/>
        <v>804</v>
      </c>
      <c r="S289" s="84">
        <f>IF(AR289="","",AR289)</f>
        <v>0</v>
      </c>
      <c r="T289" s="83">
        <f t="shared" si="320"/>
        <v>801</v>
      </c>
      <c r="U289" s="84">
        <f>IF(AT289="","",AT289)</f>
        <v>2</v>
      </c>
      <c r="V289" s="83">
        <f t="shared" si="321"/>
        <v>7276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861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808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817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818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928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707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732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804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801</v>
      </c>
      <c r="AT289" s="121">
        <f>IF(AS289+AS299=0,0,IF(AS289=AS299,1,IF(AS289&gt;AS299,2,0)))</f>
        <v>2</v>
      </c>
      <c r="AU289" s="122">
        <f>SUM(AC289+AE289+AG289+AI289+AK289+AM289+AO289+AQ289+AS289)</f>
        <v>7276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1</v>
      </c>
      <c r="J290" s="86" t="str">
        <f t="shared" si="316"/>
        <v/>
      </c>
      <c r="K290" s="87">
        <f>IF(AJ290="","",AJ290)</f>
        <v>1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1</v>
      </c>
      <c r="AI290" s="86"/>
      <c r="AJ290" s="124">
        <f>SUM(AJ277:AJ289)</f>
        <v>1</v>
      </c>
      <c r="AK290" s="86"/>
      <c r="AL290" s="124">
        <f>SUM(AL277:AL289)</f>
        <v>5</v>
      </c>
      <c r="AM290" s="86"/>
      <c r="AN290" s="124">
        <f>SUM(AN277:AN289)</f>
        <v>0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7276</v>
      </c>
      <c r="BC290" s="214">
        <f>+AA272</f>
        <v>10</v>
      </c>
      <c r="BF290" s="215">
        <f>SUM(BF271:BF289)</f>
        <v>36</v>
      </c>
      <c r="BQ290" s="212">
        <f>+BB290/1000000+BA290</f>
        <v>23.007276000000001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9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1</v>
      </c>
      <c r="I292" s="349" t="str">
        <f t="shared" si="345"/>
        <v/>
      </c>
      <c r="J292" s="349">
        <f t="shared" si="345"/>
        <v>2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3</v>
      </c>
      <c r="Q292" s="349" t="str">
        <f t="shared" si="345"/>
        <v/>
      </c>
      <c r="R292" s="349">
        <f t="shared" ref="L292:U294" si="346">IF(AQ292=0,"",AQ292)</f>
        <v>6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VLOOKUP($AA272,Schlüssel!$A$5:$DG$14,83)</f>
        <v>9</v>
      </c>
      <c r="AD292" s="374"/>
      <c r="AE292" s="373">
        <f>VLOOKUP($AA272,Schlüssel!$A$5:$EK$14,84)</f>
        <v>5</v>
      </c>
      <c r="AF292" s="374"/>
      <c r="AG292" s="373">
        <f>VLOOKUP($AA272,Schlüssel!$A$5:$EK$14,85)</f>
        <v>1</v>
      </c>
      <c r="AH292" s="374"/>
      <c r="AI292" s="373">
        <f>VLOOKUP($AA272,Schlüssel!$A$5:$EK$14,86)</f>
        <v>2</v>
      </c>
      <c r="AJ292" s="374"/>
      <c r="AK292" s="373">
        <f>VLOOKUP($AA272,Schlüssel!$A$5:$EK$14,87)</f>
        <v>7</v>
      </c>
      <c r="AL292" s="374"/>
      <c r="AM292" s="373">
        <f>VLOOKUP($AA272,Schlüssel!$A$5:$EK$14,88)</f>
        <v>4</v>
      </c>
      <c r="AN292" s="374"/>
      <c r="AO292" s="373">
        <f>VLOOKUP($AA272,Schlüssel!$A$5:$EK$14,89)</f>
        <v>3</v>
      </c>
      <c r="AP292" s="374"/>
      <c r="AQ292" s="373">
        <f>VLOOKUP($AA272,Schlüssel!$A$5:$EK$14,90)</f>
        <v>6</v>
      </c>
      <c r="AR292" s="374"/>
      <c r="AS292" s="373">
        <f>VLOOKUP($AA272,Schlüssel!$A$5:$EK$14,91)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Bowlinghaus Bamberg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BC Comet Nürnberg</v>
      </c>
      <c r="I293" s="347" t="str">
        <f t="shared" si="347"/>
        <v/>
      </c>
      <c r="J293" s="346" t="str">
        <f t="shared" si="347"/>
        <v>Bajuwaren München 1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BK München 3</v>
      </c>
      <c r="Q293" s="347" t="str">
        <f t="shared" si="346"/>
        <v/>
      </c>
      <c r="R293" s="346" t="str">
        <f t="shared" si="346"/>
        <v>SG Rottendorf 1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Bowlinghaus Bamberg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BC Comet Nürnberg</v>
      </c>
      <c r="AH293" s="347"/>
      <c r="AI293" s="346" t="str">
        <f>VLOOKUP(AI292,Schlüssel!$A$5:$K$14,2)</f>
        <v>Bajuwaren München 1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BK München 3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179</v>
      </c>
      <c r="E295" s="342" t="str">
        <f>IF(AD295=0,"",AD295)</f>
        <v/>
      </c>
      <c r="F295" s="342">
        <f>IF(AE295=301,"",AE295)</f>
        <v>170</v>
      </c>
      <c r="G295" s="342" t="str">
        <f>IF(AF295=0,"",AF295)</f>
        <v/>
      </c>
      <c r="H295" s="342">
        <f>IF(AG295=301,"",AG295)</f>
        <v>217</v>
      </c>
      <c r="I295" s="342" t="str">
        <f>IF(AH295=0,"",AH295)</f>
        <v/>
      </c>
      <c r="J295" s="342">
        <f>IF(AI295=301,"",AI295)</f>
        <v>258</v>
      </c>
      <c r="K295" s="342" t="str">
        <f>IF(AJ295=0,"",AJ295)</f>
        <v/>
      </c>
      <c r="L295" s="342">
        <f>IF(AK295=301,"",AK295)</f>
        <v>202</v>
      </c>
      <c r="M295" s="342" t="str">
        <f>IF(AL295=0,"",AL295)</f>
        <v/>
      </c>
      <c r="N295" s="342">
        <f>IF(AM295=301,"",AM295)</f>
        <v>247</v>
      </c>
      <c r="O295" s="342" t="str">
        <f>IF(AN295=0,"",AN295)</f>
        <v/>
      </c>
      <c r="P295" s="342">
        <f>IF(AO295=301,"",AO295)</f>
        <v>179</v>
      </c>
      <c r="Q295" s="342" t="str">
        <f>IF(AP295=0,"",AP295)</f>
        <v/>
      </c>
      <c r="R295" s="342">
        <f>IF(AQ295=301,"",AQ295)</f>
        <v>247</v>
      </c>
      <c r="S295" s="342" t="str">
        <f>IF(AR295=0,"",AR295)</f>
        <v/>
      </c>
      <c r="T295" s="342">
        <f>IF(AS295=301,"",AS295)</f>
        <v>232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179</v>
      </c>
      <c r="AD295" s="376"/>
      <c r="AE295" s="375">
        <f>ABS(INDEX(AE:AE,MATCH(AE292,$AA:$AA,0)+5)+INDEX(AE:AE,MATCH(AE292,$AA:$AA,0)+6)+INDEX(AE:AE,MATCH(AE292,$AA:$AA,0)+7))</f>
        <v>170</v>
      </c>
      <c r="AF295" s="376"/>
      <c r="AG295" s="375">
        <f>ABS(INDEX(AG:AG,MATCH(AG292,$AA:$AA,0)+5)+INDEX(AG:AG,MATCH(AG292,$AA:$AA,0)+6)+INDEX(AG:AG,MATCH(AG292,$AA:$AA,0)+7))</f>
        <v>217</v>
      </c>
      <c r="AH295" s="376"/>
      <c r="AI295" s="375">
        <f>ABS(INDEX(AI:AI,MATCH(AI292,$AA:$AA,0)+5)+INDEX(AI:AI,MATCH(AI292,$AA:$AA,0)+6)+INDEX(AI:AI,MATCH(AI292,$AA:$AA,0)+7))</f>
        <v>258</v>
      </c>
      <c r="AJ295" s="376"/>
      <c r="AK295" s="375">
        <f>ABS(INDEX(AK:AK,MATCH(AK292,$AA:$AA,0)+5)+INDEX(AK:AK,MATCH(AK292,$AA:$AA,0)+6)+INDEX(AK:AK,MATCH(AK292,$AA:$AA,0)+7))</f>
        <v>202</v>
      </c>
      <c r="AL295" s="376"/>
      <c r="AM295" s="375">
        <f>ABS(INDEX(AM:AM,MATCH(AM292,$AA:$AA,0)+5)+INDEX(AM:AM,MATCH(AM292,$AA:$AA,0)+6)+INDEX(AM:AM,MATCH(AM292,$AA:$AA,0)+7))</f>
        <v>247</v>
      </c>
      <c r="AN295" s="376"/>
      <c r="AO295" s="375">
        <f>ABS(INDEX(AO:AO,MATCH(AO292,$AA:$AA,0)+5)+INDEX(AO:AO,MATCH(AO292,$AA:$AA,0)+6)+INDEX(AO:AO,MATCH(AO292,$AA:$AA,0)+7))</f>
        <v>179</v>
      </c>
      <c r="AP295" s="376"/>
      <c r="AQ295" s="375">
        <f>ABS(INDEX(AQ:AQ,MATCH(AQ292,$AA:$AA,0)+5)+INDEX(AQ:AQ,MATCH(AQ292,$AA:$AA,0)+6)+INDEX(AQ:AQ,MATCH(AQ292,$AA:$AA,0)+7))</f>
        <v>247</v>
      </c>
      <c r="AR295" s="376"/>
      <c r="AS295" s="375">
        <f>ABS(INDEX(AS:AS,MATCH(AS292,$AA:$AA,0)+5)+INDEX(AS:AS,MATCH(AS292,$AA:$AA,0)+6)+INDEX(AS:AS,MATCH(AS292,$AA:$AA,0)+7))</f>
        <v>232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195</v>
      </c>
      <c r="G296" s="342" t="str">
        <f>IF(AF296=0,"",AF296)</f>
        <v/>
      </c>
      <c r="H296" s="342">
        <f>IF(AG296=301,"",AG296)</f>
        <v>188</v>
      </c>
      <c r="I296" s="342" t="str">
        <f>IF(AH296=0,"",AH296)</f>
        <v/>
      </c>
      <c r="J296" s="342">
        <f>IF(AI296=301,"",AI296)</f>
        <v>225</v>
      </c>
      <c r="K296" s="342" t="str">
        <f>IF(AJ296=0,"",AJ296)</f>
        <v/>
      </c>
      <c r="L296" s="342">
        <f>IF(AK296=301,"",AK296)</f>
        <v>164</v>
      </c>
      <c r="M296" s="342" t="str">
        <f>IF(AL296=0,"",AL296)</f>
        <v/>
      </c>
      <c r="N296" s="342">
        <f>IF(AM296=301,"",AM296)</f>
        <v>256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213</v>
      </c>
      <c r="S296" s="342" t="str">
        <f>IF(AR296=0,"",AR296)</f>
        <v/>
      </c>
      <c r="T296" s="342">
        <f>IF(AS296=301,"",AS296)</f>
        <v>144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195</v>
      </c>
      <c r="AF296" s="378"/>
      <c r="AG296" s="377">
        <f>ABS(INDEX(AG:AG,MATCH(AG292,$AA:$AA,0)+8)+INDEX(AG:AG,MATCH(AG292,$AA:$AA,0)+9)+INDEX(AG:AG,MATCH(AG292,$AA:$AA,0)+10))</f>
        <v>188</v>
      </c>
      <c r="AH296" s="378"/>
      <c r="AI296" s="377">
        <f>ABS(INDEX(AI:AI,MATCH(AI292,$AA:$AA,0)+8)+INDEX(AI:AI,MATCH(AI292,$AA:$AA,0)+9)+INDEX(AI:AI,MATCH(AI292,$AA:$AA,0)+10))</f>
        <v>225</v>
      </c>
      <c r="AJ296" s="378"/>
      <c r="AK296" s="377">
        <f>ABS(INDEX(AK:AK,MATCH(AK292,$AA:$AA,0)+8)+INDEX(AK:AK,MATCH(AK292,$AA:$AA,0)+9)+INDEX(AK:AK,MATCH(AK292,$AA:$AA,0)+10))</f>
        <v>164</v>
      </c>
      <c r="AL296" s="378"/>
      <c r="AM296" s="377">
        <f>ABS(INDEX(AM:AM,MATCH(AM292,$AA:$AA,0)+8)+INDEX(AM:AM,MATCH(AM292,$AA:$AA,0)+9)+INDEX(AM:AM,MATCH(AM292,$AA:$AA,0)+10))</f>
        <v>256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213</v>
      </c>
      <c r="AR296" s="378"/>
      <c r="AS296" s="377">
        <f>ABS(INDEX(AS:AS,MATCH(AS292,$AA:$AA,0)+8)+INDEX(AS:AS,MATCH(AS292,$AA:$AA,0)+9)+INDEX(AS:AS,MATCH(AS292,$AA:$AA,0)+10))</f>
        <v>144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227</v>
      </c>
      <c r="E297" s="342" t="str">
        <f>IF(AD297=0,"",AD297)</f>
        <v/>
      </c>
      <c r="F297" s="342">
        <f>IF(AE297=301,"",AE297)</f>
        <v>172</v>
      </c>
      <c r="G297" s="342" t="str">
        <f>IF(AF297=0,"",AF297)</f>
        <v/>
      </c>
      <c r="H297" s="342">
        <f>IF(AG297=301,"",AG297)</f>
        <v>209</v>
      </c>
      <c r="I297" s="342" t="str">
        <f>IF(AH297=0,"",AH297)</f>
        <v/>
      </c>
      <c r="J297" s="342">
        <f>IF(AI297=301,"",AI297)</f>
        <v>171</v>
      </c>
      <c r="K297" s="342" t="str">
        <f>IF(AJ297=0,"",AJ297)</f>
        <v/>
      </c>
      <c r="L297" s="342">
        <f>IF(AK297=301,"",AK297)</f>
        <v>226</v>
      </c>
      <c r="M297" s="342" t="str">
        <f>IF(AL297=0,"",AL297)</f>
        <v/>
      </c>
      <c r="N297" s="342">
        <f>IF(AM297=301,"",AM297)</f>
        <v>185</v>
      </c>
      <c r="O297" s="342" t="str">
        <f>IF(AN297=0,"",AN297)</f>
        <v/>
      </c>
      <c r="P297" s="342">
        <f>IF(AO297=301,"",AO297)</f>
        <v>277</v>
      </c>
      <c r="Q297" s="342" t="str">
        <f>IF(AP297=0,"",AP297)</f>
        <v/>
      </c>
      <c r="R297" s="342">
        <f>IF(AQ297=301,"",AQ297)</f>
        <v>179</v>
      </c>
      <c r="S297" s="342" t="str">
        <f>IF(AR297=0,"",AR297)</f>
        <v/>
      </c>
      <c r="T297" s="342">
        <f>IF(AS297=301,"",AS297)</f>
        <v>180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227</v>
      </c>
      <c r="AD297" s="378"/>
      <c r="AE297" s="377">
        <f>ABS(INDEX(AE:AE,MATCH(AE292,$AA:$AA,0)+11)+INDEX(AE:AE,MATCH(AE292,$AA:$AA,0)+12)+INDEX(AE:AE,MATCH(AE292,$AA:$AA,0)+13))</f>
        <v>172</v>
      </c>
      <c r="AF297" s="378"/>
      <c r="AG297" s="377">
        <f>ABS(INDEX(AG:AG,MATCH(AG292,$AA:$AA,0)+11)+INDEX(AG:AG,MATCH(AG292,$AA:$AA,0)+12)+INDEX(AG:AG,MATCH(AG292,$AA:$AA,0)+13))</f>
        <v>209</v>
      </c>
      <c r="AH297" s="378"/>
      <c r="AI297" s="377">
        <f>ABS(INDEX(AI:AI,MATCH(AI292,$AA:$AA,0)+11)+INDEX(AI:AI,MATCH(AI292,$AA:$AA,0)+12)+INDEX(AI:AI,MATCH(AI292,$AA:$AA,0)+13))</f>
        <v>171</v>
      </c>
      <c r="AJ297" s="378"/>
      <c r="AK297" s="377">
        <f>ABS(INDEX(AK:AK,MATCH(AK292,$AA:$AA,0)+11)+INDEX(AK:AK,MATCH(AK292,$AA:$AA,0)+12)+INDEX(AK:AK,MATCH(AK292,$AA:$AA,0)+13))</f>
        <v>226</v>
      </c>
      <c r="AL297" s="378"/>
      <c r="AM297" s="377">
        <f>ABS(INDEX(AM:AM,MATCH(AM292,$AA:$AA,0)+11)+INDEX(AM:AM,MATCH(AM292,$AA:$AA,0)+12)+INDEX(AM:AM,MATCH(AM292,$AA:$AA,0)+13))</f>
        <v>185</v>
      </c>
      <c r="AN297" s="378"/>
      <c r="AO297" s="377">
        <f>ABS(INDEX(AO:AO,MATCH(AO292,$AA:$AA,0)+11)+INDEX(AO:AO,MATCH(AO292,$AA:$AA,0)+12)+INDEX(AO:AO,MATCH(AO292,$AA:$AA,0)+13))</f>
        <v>277</v>
      </c>
      <c r="AP297" s="378"/>
      <c r="AQ297" s="377">
        <f>ABS(INDEX(AQ:AQ,MATCH(AQ292,$AA:$AA,0)+11)+INDEX(AQ:AQ,MATCH(AQ292,$AA:$AA,0)+12)+INDEX(AQ:AQ,MATCH(AQ292,$AA:$AA,0)+13))</f>
        <v>179</v>
      </c>
      <c r="AR297" s="378"/>
      <c r="AS297" s="377">
        <f>ABS(INDEX(AS:AS,MATCH(AS292,$AA:$AA,0)+11)+INDEX(AS:AS,MATCH(AS292,$AA:$AA,0)+12)+INDEX(AS:AS,MATCH(AS292,$AA:$AA,0)+13))</f>
        <v>180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213</v>
      </c>
      <c r="E298" s="342" t="str">
        <f>IF(AD298=0,"",AD298)</f>
        <v/>
      </c>
      <c r="F298" s="342">
        <f>IF(AE298=301,"",AE298)</f>
        <v>245</v>
      </c>
      <c r="G298" s="342" t="str">
        <f>IF(AF298=0,"",AF298)</f>
        <v/>
      </c>
      <c r="H298" s="342">
        <f>IF(AG298=301,"",AG298)</f>
        <v>265</v>
      </c>
      <c r="I298" s="342" t="str">
        <f>IF(AH298=0,"",AH298)</f>
        <v/>
      </c>
      <c r="J298" s="342">
        <f>IF(AI298=301,"",AI298)</f>
        <v>225</v>
      </c>
      <c r="K298" s="342" t="str">
        <f>IF(AJ298=0,"",AJ298)</f>
        <v/>
      </c>
      <c r="L298" s="342">
        <f>IF(AK298=301,"",AK298)</f>
        <v>206</v>
      </c>
      <c r="M298" s="342" t="str">
        <f>IF(AL298=0,"",AL298)</f>
        <v/>
      </c>
      <c r="N298" s="342">
        <f>IF(AM298=301,"",AM298)</f>
        <v>178</v>
      </c>
      <c r="O298" s="342" t="str">
        <f>IF(AN298=0,"",AN298)</f>
        <v/>
      </c>
      <c r="P298" s="342">
        <f>IF(AO298=301,"",AO298)</f>
        <v>239</v>
      </c>
      <c r="Q298" s="342" t="str">
        <f>IF(AP298=0,"",AP298)</f>
        <v/>
      </c>
      <c r="R298" s="342">
        <f>IF(AQ298=301,"",AQ298)</f>
        <v>202</v>
      </c>
      <c r="S298" s="342" t="str">
        <f>IF(AR298=0,"",AR298)</f>
        <v/>
      </c>
      <c r="T298" s="342">
        <f>IF(AS298=301,"",AS298)</f>
        <v>224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213</v>
      </c>
      <c r="AD298" s="378"/>
      <c r="AE298" s="377">
        <f>ABS(INDEX(AE:AE,MATCH(AE292,$AA:$AA,0)+14)+INDEX(AE:AE,MATCH(AE292,$AA:$AA,0)+15)+INDEX(AE:AE,MATCH(AE292,$AA:$AA,0)+16))</f>
        <v>245</v>
      </c>
      <c r="AF298" s="378"/>
      <c r="AG298" s="377">
        <f>ABS(INDEX(AG:AG,MATCH(AG292,$AA:$AA,0)+14)+INDEX(AG:AG,MATCH(AG292,$AA:$AA,0)+15)+INDEX(AG:AG,MATCH(AG292,$AA:$AA,0)+16))</f>
        <v>265</v>
      </c>
      <c r="AH298" s="378"/>
      <c r="AI298" s="377">
        <f>ABS(INDEX(AI:AI,MATCH(AI292,$AA:$AA,0)+14)+INDEX(AI:AI,MATCH(AI292,$AA:$AA,0)+15)+INDEX(AI:AI,MATCH(AI292,$AA:$AA,0)+16))</f>
        <v>225</v>
      </c>
      <c r="AJ298" s="378"/>
      <c r="AK298" s="377">
        <f>ABS(INDEX(AK:AK,MATCH(AK292,$AA:$AA,0)+14)+INDEX(AK:AK,MATCH(AK292,$AA:$AA,0)+15)+INDEX(AK:AK,MATCH(AK292,$AA:$AA,0)+16))</f>
        <v>206</v>
      </c>
      <c r="AL298" s="378"/>
      <c r="AM298" s="377">
        <f>ABS(INDEX(AM:AM,MATCH(AM292,$AA:$AA,0)+14)+INDEX(AM:AM,MATCH(AM292,$AA:$AA,0)+15)+INDEX(AM:AM,MATCH(AM292,$AA:$AA,0)+16))</f>
        <v>178</v>
      </c>
      <c r="AN298" s="378"/>
      <c r="AO298" s="377">
        <f>ABS(INDEX(AO:AO,MATCH(AO292,$AA:$AA,0)+14)+INDEX(AO:AO,MATCH(AO292,$AA:$AA,0)+15)+INDEX(AO:AO,MATCH(AO292,$AA:$AA,0)+16))</f>
        <v>239</v>
      </c>
      <c r="AP298" s="378"/>
      <c r="AQ298" s="377">
        <f>ABS(INDEX(AQ:AQ,MATCH(AQ292,$AA:$AA,0)+14)+INDEX(AQ:AQ,MATCH(AQ292,$AA:$AA,0)+15)+INDEX(AQ:AQ,MATCH(AQ292,$AA:$AA,0)+16))</f>
        <v>202</v>
      </c>
      <c r="AR298" s="378"/>
      <c r="AS298" s="377">
        <f>ABS(INDEX(AS:AS,MATCH(AS292,$AA:$AA,0)+14)+INDEX(AS:AS,MATCH(AS292,$AA:$AA,0)+15)+INDEX(AS:AS,MATCH(AS292,$AA:$AA,0)+16))</f>
        <v>224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844</v>
      </c>
      <c r="E299" s="341" t="str">
        <f>IF(AD299=0,"",AD299)</f>
        <v/>
      </c>
      <c r="F299" s="341">
        <f>IF(AE299=1505,"",AE299)</f>
        <v>782</v>
      </c>
      <c r="G299" s="341" t="str">
        <f>IF(AF299=0,"",AF299)</f>
        <v/>
      </c>
      <c r="H299" s="341">
        <f>IF(AG299=1505,"",AG299)</f>
        <v>879</v>
      </c>
      <c r="I299" s="341" t="str">
        <f>IF(AH299=0,"",AH299)</f>
        <v/>
      </c>
      <c r="J299" s="341">
        <f>IF(AI299=1505,"",AI299)</f>
        <v>879</v>
      </c>
      <c r="K299" s="341" t="str">
        <f>IF(AJ299=0,"",AJ299)</f>
        <v/>
      </c>
      <c r="L299" s="341">
        <f>IF(AK299=1505,"",AK299)</f>
        <v>798</v>
      </c>
      <c r="M299" s="341" t="str">
        <f>IF(AL299=0,"",AL299)</f>
        <v/>
      </c>
      <c r="N299" s="341">
        <f>IF(AM299=1505,"",AM299)</f>
        <v>866</v>
      </c>
      <c r="O299" s="341" t="str">
        <f>IF(AN299=0,"",AN299)</f>
        <v/>
      </c>
      <c r="P299" s="341">
        <f>IF(AO299=1505,"",AO299)</f>
        <v>898</v>
      </c>
      <c r="Q299" s="341" t="str">
        <f>IF(AP299=0,"",AP299)</f>
        <v/>
      </c>
      <c r="R299" s="341">
        <f>IF(AQ299=1505,"",AQ299)</f>
        <v>841</v>
      </c>
      <c r="S299" s="341" t="str">
        <f>IF(AR299=0,"",AR299)</f>
        <v/>
      </c>
      <c r="T299" s="341">
        <f>IF(AS299=1505,"",AS299)</f>
        <v>780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844</v>
      </c>
      <c r="AD299" s="358"/>
      <c r="AE299" s="357">
        <f>SUM(AE295:AE298)</f>
        <v>782</v>
      </c>
      <c r="AF299" s="358"/>
      <c r="AG299" s="357">
        <f>SUM(AG295:AG298)</f>
        <v>879</v>
      </c>
      <c r="AH299" s="358"/>
      <c r="AI299" s="357">
        <f>SUM(AI295:AI298)</f>
        <v>879</v>
      </c>
      <c r="AJ299" s="358"/>
      <c r="AK299" s="357">
        <f>SUM(AK295:AK298)</f>
        <v>798</v>
      </c>
      <c r="AL299" s="358"/>
      <c r="AM299" s="357">
        <f>SUM(AM295:AM298)</f>
        <v>866</v>
      </c>
      <c r="AN299" s="358"/>
      <c r="AO299" s="357">
        <f>SUM(AO295:AO298)</f>
        <v>898</v>
      </c>
      <c r="AP299" s="358"/>
      <c r="AQ299" s="357">
        <f>SUM(AQ295:AQ298)</f>
        <v>841</v>
      </c>
      <c r="AR299" s="358"/>
      <c r="AS299" s="357">
        <f>SUM(AS295:AS298)</f>
        <v>780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"&amp;Erfassung5!AS2&amp;"     -     "&amp;Erfassung5!AT1</f>
        <v>Saison 2024/2025     -     Spieltag 5     -     15.03./16.03.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+Erfassung5!AE2</f>
        <v>Brunnthal Max Munich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BK München 3</v>
      </c>
      <c r="C7" s="129">
        <f>INDEX(Erfassung5!AC:AC,MATCH($A7,Erfassung5!$BR:$BR,0)-1)</f>
        <v>914</v>
      </c>
      <c r="D7" s="130">
        <f>INDEX(Erfassung5!AD:AD,MATCH($A7,Erfassung5!$BR:$BR,0))</f>
        <v>4</v>
      </c>
      <c r="E7" s="129">
        <f>INDEX(Erfassung5!AE:AE,MATCH($A7,Erfassung5!$BR:$BR,0)-1)</f>
        <v>824</v>
      </c>
      <c r="F7" s="130">
        <f>INDEX(Erfassung5!AF:AF,MATCH($A7,Erfassung5!$BR:$BR,0))</f>
        <v>5</v>
      </c>
      <c r="G7" s="129">
        <f>INDEX(Erfassung5!AG:AG,MATCH($A7,Erfassung5!$BR:$BR,0)-1)</f>
        <v>806</v>
      </c>
      <c r="H7" s="130">
        <f>INDEX(Erfassung5!AH:AH,MATCH($A7,Erfassung5!$BR:$BR,0))</f>
        <v>5</v>
      </c>
      <c r="I7" s="129">
        <f>INDEX(Erfassung5!AI:AI,MATCH($A7,Erfassung5!$BR:$BR,0)-1)</f>
        <v>817</v>
      </c>
      <c r="J7" s="130">
        <f>INDEX(Erfassung5!AJ:AJ,MATCH($A7,Erfassung5!$BR:$BR,0))</f>
        <v>1</v>
      </c>
      <c r="K7" s="129">
        <f>INDEX(Erfassung5!AK:AK,MATCH($A7,Erfassung5!$BR:$BR,0)-1)</f>
        <v>885</v>
      </c>
      <c r="L7" s="130">
        <f>INDEX(Erfassung5!AL:AL,MATCH($A7,Erfassung5!$BR:$BR,0))</f>
        <v>6</v>
      </c>
      <c r="M7" s="129">
        <f>INDEX(Erfassung5!AM:AM,MATCH($A7,Erfassung5!$BR:$BR,0)-1)</f>
        <v>820</v>
      </c>
      <c r="N7" s="130">
        <f>INDEX(Erfassung5!AN:AN,MATCH($A7,Erfassung5!$BR:$BR,0))</f>
        <v>2</v>
      </c>
      <c r="O7" s="129">
        <f>INDEX(Erfassung5!AO:AO,MATCH($A7,Erfassung5!$BR:$BR,0)-1)</f>
        <v>898</v>
      </c>
      <c r="P7" s="130">
        <f>INDEX(Erfassung5!AP:AP,MATCH($A7,Erfassung5!$BR:$BR,0))</f>
        <v>5</v>
      </c>
      <c r="Q7" s="129">
        <f>INDEX(Erfassung5!AQ:AQ,MATCH($A7,Erfassung5!$BR:$BR,0)-1)</f>
        <v>906</v>
      </c>
      <c r="R7" s="130">
        <f>INDEX(Erfassung5!AR:AR,MATCH($A7,Erfassung5!$BR:$BR,0))</f>
        <v>5.5</v>
      </c>
      <c r="S7" s="129">
        <f>INDEX(Erfassung5!AS:AS,MATCH($A7,Erfassung5!$BR:$BR,0)-1)</f>
        <v>885</v>
      </c>
      <c r="T7" s="130">
        <f>INDEX(Erfassung5!AT:AT,MATCH($A7,Erfassung5!$BR:$BR,0))</f>
        <v>4</v>
      </c>
      <c r="U7" s="131">
        <f t="shared" ref="U7:V16" si="0">SUM(C7+E7+G7+I7+K7+M7+O7+Q7+S7)</f>
        <v>7755</v>
      </c>
      <c r="V7" s="132">
        <f t="shared" si="0"/>
        <v>37.5</v>
      </c>
      <c r="W7" s="224">
        <f>IFERROR(U7/INDEX(Erfassung5!BF:BF,MATCH(A7,Erfassung5!BR:BR,0)),0)</f>
        <v>215.41666666666666</v>
      </c>
      <c r="X7" s="25"/>
      <c r="AA7" s="225">
        <f>INDEX(TabGes4!K:K,MATCH($B7,TabGes4!$B:$B,0))+U7</f>
        <v>36362</v>
      </c>
      <c r="AB7" s="225">
        <f>INDEX(TabGes4!L:L,MATCH($B7,TabGes4!$B:$B,0))+V7</f>
        <v>165</v>
      </c>
      <c r="AC7" s="215">
        <f>+AB7+AA7/1000000000</f>
        <v>165.000036362</v>
      </c>
      <c r="AD7" s="215">
        <f>RANK(AC7,AC:AC)</f>
        <v>2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BC Comet Nürnberg</v>
      </c>
      <c r="C8" s="129">
        <f>INDEX(Erfassung5!AC:AC,MATCH($A8,Erfassung5!$BR:$BR,0)-1)</f>
        <v>790</v>
      </c>
      <c r="D8" s="130">
        <f>INDEX(Erfassung5!AD:AD,MATCH($A8,Erfassung5!$BR:$BR,0))</f>
        <v>5</v>
      </c>
      <c r="E8" s="129">
        <f>INDEX(Erfassung5!AE:AE,MATCH($A8,Erfassung5!$BR:$BR,0)-1)</f>
        <v>971</v>
      </c>
      <c r="F8" s="130">
        <f>INDEX(Erfassung5!AF:AF,MATCH($A8,Erfassung5!$BR:$BR,0))</f>
        <v>5</v>
      </c>
      <c r="G8" s="129">
        <f>INDEX(Erfassung5!AG:AG,MATCH($A8,Erfassung5!$BR:$BR,0)-1)</f>
        <v>879</v>
      </c>
      <c r="H8" s="130">
        <f>INDEX(Erfassung5!AH:AH,MATCH($A8,Erfassung5!$BR:$BR,0))</f>
        <v>5</v>
      </c>
      <c r="I8" s="129">
        <f>INDEX(Erfassung5!AI:AI,MATCH($A8,Erfassung5!$BR:$BR,0)-1)</f>
        <v>792</v>
      </c>
      <c r="J8" s="130">
        <f>INDEX(Erfassung5!AJ:AJ,MATCH($A8,Erfassung5!$BR:$BR,0))</f>
        <v>1</v>
      </c>
      <c r="K8" s="129">
        <f>INDEX(Erfassung5!AK:AK,MATCH($A8,Erfassung5!$BR:$BR,0)-1)</f>
        <v>918</v>
      </c>
      <c r="L8" s="130">
        <f>INDEX(Erfassung5!AL:AL,MATCH($A8,Erfassung5!$BR:$BR,0))</f>
        <v>5</v>
      </c>
      <c r="M8" s="129">
        <f>INDEX(Erfassung5!AM:AM,MATCH($A8,Erfassung5!$BR:$BR,0)-1)</f>
        <v>842</v>
      </c>
      <c r="N8" s="130">
        <f>INDEX(Erfassung5!AN:AN,MATCH($A8,Erfassung5!$BR:$BR,0))</f>
        <v>4</v>
      </c>
      <c r="O8" s="129">
        <f>INDEX(Erfassung5!AO:AO,MATCH($A8,Erfassung5!$BR:$BR,0)-1)</f>
        <v>888</v>
      </c>
      <c r="P8" s="130">
        <f>INDEX(Erfassung5!AP:AP,MATCH($A8,Erfassung5!$BR:$BR,0))</f>
        <v>2</v>
      </c>
      <c r="Q8" s="129">
        <f>INDEX(Erfassung5!AQ:AQ,MATCH($A8,Erfassung5!$BR:$BR,0)-1)</f>
        <v>813</v>
      </c>
      <c r="R8" s="130">
        <f>INDEX(Erfassung5!AR:AR,MATCH($A8,Erfassung5!$BR:$BR,0))</f>
        <v>3</v>
      </c>
      <c r="S8" s="129">
        <f>INDEX(Erfassung5!AS:AS,MATCH($A8,Erfassung5!$BR:$BR,0)-1)</f>
        <v>815</v>
      </c>
      <c r="T8" s="130">
        <f>INDEX(Erfassung5!AT:AT,MATCH($A8,Erfassung5!$BR:$BR,0))</f>
        <v>3.5</v>
      </c>
      <c r="U8" s="131">
        <f t="shared" si="0"/>
        <v>7708</v>
      </c>
      <c r="V8" s="132">
        <f t="shared" si="0"/>
        <v>33.5</v>
      </c>
      <c r="W8" s="224">
        <f>IFERROR(U8/INDEX(Erfassung5!BF:BF,MATCH(A8,Erfassung5!BR:BR,0)),0)</f>
        <v>214.11111111111111</v>
      </c>
      <c r="X8" s="25"/>
      <c r="AA8" s="225">
        <f>INDEX(TabGes4!K:K,MATCH($B8,TabGes4!$B:$B,0))+U8</f>
        <v>36316</v>
      </c>
      <c r="AB8" s="225">
        <f>INDEX(TabGes4!L:L,MATCH($B8,TabGes4!$B:$B,0))+V8</f>
        <v>178</v>
      </c>
      <c r="AC8" s="215">
        <f t="shared" ref="AC8:AC16" si="1">+AB8+AA8/1000000000</f>
        <v>178.00003631600001</v>
      </c>
      <c r="AD8" s="215">
        <f t="shared" ref="AD8:AD16" si="2">RANK(AC8,AC:AC)</f>
        <v>1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SG DJK Rimpar</v>
      </c>
      <c r="C9" s="129">
        <f>INDEX(Erfassung5!AC:AC,MATCH($A9,Erfassung5!$BR:$BR,0)-1)</f>
        <v>860</v>
      </c>
      <c r="D9" s="130">
        <f>INDEX(Erfassung5!AD:AD,MATCH($A9,Erfassung5!$BR:$BR,0))</f>
        <v>2</v>
      </c>
      <c r="E9" s="129">
        <f>INDEX(Erfassung5!AE:AE,MATCH($A9,Erfassung5!$BR:$BR,0)-1)</f>
        <v>839</v>
      </c>
      <c r="F9" s="130">
        <f>INDEX(Erfassung5!AF:AF,MATCH($A9,Erfassung5!$BR:$BR,0))</f>
        <v>2</v>
      </c>
      <c r="G9" s="129">
        <f>INDEX(Erfassung5!AG:AG,MATCH($A9,Erfassung5!$BR:$BR,0)-1)</f>
        <v>824</v>
      </c>
      <c r="H9" s="130">
        <f>INDEX(Erfassung5!AH:AH,MATCH($A9,Erfassung5!$BR:$BR,0))</f>
        <v>4</v>
      </c>
      <c r="I9" s="129">
        <f>INDEX(Erfassung5!AI:AI,MATCH($A9,Erfassung5!$BR:$BR,0)-1)</f>
        <v>836</v>
      </c>
      <c r="J9" s="130">
        <f>INDEX(Erfassung5!AJ:AJ,MATCH($A9,Erfassung5!$BR:$BR,0))</f>
        <v>2</v>
      </c>
      <c r="K9" s="129">
        <f>INDEX(Erfassung5!AK:AK,MATCH($A9,Erfassung5!$BR:$BR,0)-1)</f>
        <v>790</v>
      </c>
      <c r="L9" s="130">
        <f>INDEX(Erfassung5!AL:AL,MATCH($A9,Erfassung5!$BR:$BR,0))</f>
        <v>1</v>
      </c>
      <c r="M9" s="129">
        <f>INDEX(Erfassung5!AM:AM,MATCH($A9,Erfassung5!$BR:$BR,0)-1)</f>
        <v>866</v>
      </c>
      <c r="N9" s="130">
        <f>INDEX(Erfassung5!AN:AN,MATCH($A9,Erfassung5!$BR:$BR,0))</f>
        <v>6</v>
      </c>
      <c r="O9" s="129">
        <f>INDEX(Erfassung5!AO:AO,MATCH($A9,Erfassung5!$BR:$BR,0)-1)</f>
        <v>721</v>
      </c>
      <c r="P9" s="130">
        <f>INDEX(Erfassung5!AP:AP,MATCH($A9,Erfassung5!$BR:$BR,0))</f>
        <v>1</v>
      </c>
      <c r="Q9" s="129">
        <f>INDEX(Erfassung5!AQ:AQ,MATCH($A9,Erfassung5!$BR:$BR,0)-1)</f>
        <v>902</v>
      </c>
      <c r="R9" s="130">
        <f>INDEX(Erfassung5!AR:AR,MATCH($A9,Erfassung5!$BR:$BR,0))</f>
        <v>6</v>
      </c>
      <c r="S9" s="129">
        <f>INDEX(Erfassung5!AS:AS,MATCH($A9,Erfassung5!$BR:$BR,0)-1)</f>
        <v>828</v>
      </c>
      <c r="T9" s="130">
        <f>INDEX(Erfassung5!AT:AT,MATCH($A9,Erfassung5!$BR:$BR,0))</f>
        <v>5</v>
      </c>
      <c r="U9" s="131">
        <f t="shared" si="0"/>
        <v>7466</v>
      </c>
      <c r="V9" s="132">
        <f t="shared" si="0"/>
        <v>29</v>
      </c>
      <c r="W9" s="224">
        <f>IFERROR(U9/INDEX(Erfassung5!BF:BF,MATCH(A9,Erfassung5!BR:BR,0)),0)</f>
        <v>207.38888888888889</v>
      </c>
      <c r="X9" s="25"/>
      <c r="AA9" s="225">
        <f>INDEX(TabGes4!K:K,MATCH($B9,TabGes4!$B:$B,0))+U9</f>
        <v>35834</v>
      </c>
      <c r="AB9" s="225">
        <f>INDEX(TabGes4!L:L,MATCH($B9,TabGes4!$B:$B,0))+V9</f>
        <v>158.5</v>
      </c>
      <c r="AC9" s="215">
        <f t="shared" si="1"/>
        <v>158.50003583399999</v>
      </c>
      <c r="AD9" s="215">
        <f t="shared" si="2"/>
        <v>3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RW Lichtenhof Stein 1</v>
      </c>
      <c r="C10" s="129">
        <f>INDEX(Erfassung5!AC:AC,MATCH($A10,Erfassung5!$BR:$BR,0)-1)</f>
        <v>828</v>
      </c>
      <c r="D10" s="130">
        <f>INDEX(Erfassung5!AD:AD,MATCH($A10,Erfassung5!$BR:$BR,0))</f>
        <v>2</v>
      </c>
      <c r="E10" s="129">
        <f>INDEX(Erfassung5!AE:AE,MATCH($A10,Erfassung5!$BR:$BR,0)-1)</f>
        <v>782</v>
      </c>
      <c r="F10" s="130">
        <f>INDEX(Erfassung5!AF:AF,MATCH($A10,Erfassung5!$BR:$BR,0))</f>
        <v>1</v>
      </c>
      <c r="G10" s="129">
        <f>INDEX(Erfassung5!AG:AG,MATCH($A10,Erfassung5!$BR:$BR,0)-1)</f>
        <v>777</v>
      </c>
      <c r="H10" s="130">
        <f>INDEX(Erfassung5!AH:AH,MATCH($A10,Erfassung5!$BR:$BR,0))</f>
        <v>2</v>
      </c>
      <c r="I10" s="129">
        <f>INDEX(Erfassung5!AI:AI,MATCH($A10,Erfassung5!$BR:$BR,0)-1)</f>
        <v>862</v>
      </c>
      <c r="J10" s="130">
        <f>INDEX(Erfassung5!AJ:AJ,MATCH($A10,Erfassung5!$BR:$BR,0))</f>
        <v>5</v>
      </c>
      <c r="K10" s="129">
        <f>INDEX(Erfassung5!AK:AK,MATCH($A10,Erfassung5!$BR:$BR,0)-1)</f>
        <v>828</v>
      </c>
      <c r="L10" s="130">
        <f>INDEX(Erfassung5!AL:AL,MATCH($A10,Erfassung5!$BR:$BR,0))</f>
        <v>5</v>
      </c>
      <c r="M10" s="129">
        <f>INDEX(Erfassung5!AM:AM,MATCH($A10,Erfassung5!$BR:$BR,0)-1)</f>
        <v>797</v>
      </c>
      <c r="N10" s="130">
        <f>INDEX(Erfassung5!AN:AN,MATCH($A10,Erfassung5!$BR:$BR,0))</f>
        <v>1</v>
      </c>
      <c r="O10" s="129">
        <f>INDEX(Erfassung5!AO:AO,MATCH($A10,Erfassung5!$BR:$BR,0)-1)</f>
        <v>928</v>
      </c>
      <c r="P10" s="130">
        <f>INDEX(Erfassung5!AP:AP,MATCH($A10,Erfassung5!$BR:$BR,0))</f>
        <v>4</v>
      </c>
      <c r="Q10" s="129">
        <f>INDEX(Erfassung5!AQ:AQ,MATCH($A10,Erfassung5!$BR:$BR,0)-1)</f>
        <v>834</v>
      </c>
      <c r="R10" s="130">
        <f>INDEX(Erfassung5!AR:AR,MATCH($A10,Erfassung5!$BR:$BR,0))</f>
        <v>4</v>
      </c>
      <c r="S10" s="129">
        <f>INDEX(Erfassung5!AS:AS,MATCH($A10,Erfassung5!$BR:$BR,0)-1)</f>
        <v>829</v>
      </c>
      <c r="T10" s="130">
        <f>INDEX(Erfassung5!AT:AT,MATCH($A10,Erfassung5!$BR:$BR,0))</f>
        <v>4</v>
      </c>
      <c r="U10" s="131">
        <f t="shared" si="0"/>
        <v>7465</v>
      </c>
      <c r="V10" s="132">
        <f t="shared" si="0"/>
        <v>28</v>
      </c>
      <c r="W10" s="224">
        <f>IFERROR(U10/INDEX(Erfassung5!BF:BF,MATCH(A10,Erfassung5!BR:BR,0)),0)</f>
        <v>207.36111111111111</v>
      </c>
      <c r="X10" s="25"/>
      <c r="AA10" s="225">
        <f>INDEX(TabGes4!K:K,MATCH($B10,TabGes4!$B:$B,0))+U10</f>
        <v>33509</v>
      </c>
      <c r="AB10" s="225">
        <f>INDEX(TabGes4!L:L,MATCH($B10,TabGes4!$B:$B,0))+V10</f>
        <v>100.5</v>
      </c>
      <c r="AC10" s="215">
        <f t="shared" si="1"/>
        <v>100.500033509</v>
      </c>
      <c r="AD10" s="215">
        <f t="shared" si="2"/>
        <v>10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BC EMAX Unterföhring 2</v>
      </c>
      <c r="C11" s="129">
        <f>INDEX(Erfassung5!AC:AC,MATCH($A11,Erfassung5!$BR:$BR,0)-1)</f>
        <v>850</v>
      </c>
      <c r="D11" s="130">
        <f>INDEX(Erfassung5!AD:AD,MATCH($A11,Erfassung5!$BR:$BR,0))</f>
        <v>4</v>
      </c>
      <c r="E11" s="129">
        <f>INDEX(Erfassung5!AE:AE,MATCH($A11,Erfassung5!$BR:$BR,0)-1)</f>
        <v>870</v>
      </c>
      <c r="F11" s="130">
        <f>INDEX(Erfassung5!AF:AF,MATCH($A11,Erfassung5!$BR:$BR,0))</f>
        <v>4</v>
      </c>
      <c r="G11" s="129">
        <f>INDEX(Erfassung5!AG:AG,MATCH($A11,Erfassung5!$BR:$BR,0)-1)</f>
        <v>823</v>
      </c>
      <c r="H11" s="130">
        <f>INDEX(Erfassung5!AH:AH,MATCH($A11,Erfassung5!$BR:$BR,0))</f>
        <v>4</v>
      </c>
      <c r="I11" s="129">
        <f>INDEX(Erfassung5!AI:AI,MATCH($A11,Erfassung5!$BR:$BR,0)-1)</f>
        <v>851</v>
      </c>
      <c r="J11" s="130">
        <f>INDEX(Erfassung5!AJ:AJ,MATCH($A11,Erfassung5!$BR:$BR,0))</f>
        <v>4</v>
      </c>
      <c r="K11" s="129">
        <f>INDEX(Erfassung5!AK:AK,MATCH($A11,Erfassung5!$BR:$BR,0)-1)</f>
        <v>783</v>
      </c>
      <c r="L11" s="130">
        <f>INDEX(Erfassung5!AL:AL,MATCH($A11,Erfassung5!$BR:$BR,0))</f>
        <v>0</v>
      </c>
      <c r="M11" s="129">
        <f>INDEX(Erfassung5!AM:AM,MATCH($A11,Erfassung5!$BR:$BR,0)-1)</f>
        <v>819</v>
      </c>
      <c r="N11" s="130">
        <f>INDEX(Erfassung5!AN:AN,MATCH($A11,Erfassung5!$BR:$BR,0))</f>
        <v>5</v>
      </c>
      <c r="O11" s="129">
        <f>INDEX(Erfassung5!AO:AO,MATCH($A11,Erfassung5!$BR:$BR,0)-1)</f>
        <v>796</v>
      </c>
      <c r="P11" s="130">
        <f>INDEX(Erfassung5!AP:AP,MATCH($A11,Erfassung5!$BR:$BR,0))</f>
        <v>2</v>
      </c>
      <c r="Q11" s="129">
        <f>INDEX(Erfassung5!AQ:AQ,MATCH($A11,Erfassung5!$BR:$BR,0)-1)</f>
        <v>796</v>
      </c>
      <c r="R11" s="130">
        <f>INDEX(Erfassung5!AR:AR,MATCH($A11,Erfassung5!$BR:$BR,0))</f>
        <v>3</v>
      </c>
      <c r="S11" s="129">
        <f>INDEX(Erfassung5!AS:AS,MATCH($A11,Erfassung5!$BR:$BR,0)-1)</f>
        <v>780</v>
      </c>
      <c r="T11" s="130">
        <f>INDEX(Erfassung5!AT:AT,MATCH($A11,Erfassung5!$BR:$BR,0))</f>
        <v>2</v>
      </c>
      <c r="U11" s="131">
        <f t="shared" si="0"/>
        <v>7368</v>
      </c>
      <c r="V11" s="132">
        <f t="shared" si="0"/>
        <v>28</v>
      </c>
      <c r="W11" s="224">
        <f>IFERROR(U11/INDEX(Erfassung5!BF:BF,MATCH(A11,Erfassung5!BR:BR,0)),0)</f>
        <v>204.66666666666666</v>
      </c>
      <c r="X11" s="25"/>
      <c r="AA11" s="225">
        <f>INDEX(TabGes4!K:K,MATCH($B11,TabGes4!$B:$B,0))+U11</f>
        <v>34335</v>
      </c>
      <c r="AB11" s="225">
        <f>INDEX(TabGes4!L:L,MATCH($B11,TabGes4!$B:$B,0))+V11</f>
        <v>134.5</v>
      </c>
      <c r="AC11" s="215">
        <f t="shared" si="1"/>
        <v>134.50003433500001</v>
      </c>
      <c r="AD11" s="215">
        <f t="shared" si="2"/>
        <v>6</v>
      </c>
      <c r="AE11" s="215">
        <f>INDEX(Tabelle4!AE:AE,MATCH(B11,Tabelle4!B:B,0))+SUMIF(Erfassung5!BU:BU,B11,Erfassung5!BF:BF)</f>
        <v>178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>Bajuwaren München 1</v>
      </c>
      <c r="C12" s="129">
        <f>INDEX(Erfassung5!AC:AC,MATCH($A12,Erfassung5!$BR:$BR,0)-1)</f>
        <v>734</v>
      </c>
      <c r="D12" s="130">
        <f>INDEX(Erfassung5!AD:AD,MATCH($A12,Erfassung5!$BR:$BR,0))</f>
        <v>1</v>
      </c>
      <c r="E12" s="129">
        <f>INDEX(Erfassung5!AE:AE,MATCH($A12,Erfassung5!$BR:$BR,0)-1)</f>
        <v>830</v>
      </c>
      <c r="F12" s="130">
        <f>INDEX(Erfassung5!AF:AF,MATCH($A12,Erfassung5!$BR:$BR,0))</f>
        <v>6</v>
      </c>
      <c r="G12" s="129">
        <f>INDEX(Erfassung5!AG:AG,MATCH($A12,Erfassung5!$BR:$BR,0)-1)</f>
        <v>730</v>
      </c>
      <c r="H12" s="130">
        <f>INDEX(Erfassung5!AH:AH,MATCH($A12,Erfassung5!$BR:$BR,0))</f>
        <v>1</v>
      </c>
      <c r="I12" s="129">
        <f>INDEX(Erfassung5!AI:AI,MATCH($A12,Erfassung5!$BR:$BR,0)-1)</f>
        <v>879</v>
      </c>
      <c r="J12" s="130">
        <f>INDEX(Erfassung5!AJ:AJ,MATCH($A12,Erfassung5!$BR:$BR,0))</f>
        <v>5</v>
      </c>
      <c r="K12" s="129">
        <f>INDEX(Erfassung5!AK:AK,MATCH($A12,Erfassung5!$BR:$BR,0)-1)</f>
        <v>867</v>
      </c>
      <c r="L12" s="130">
        <f>INDEX(Erfassung5!AL:AL,MATCH($A12,Erfassung5!$BR:$BR,0))</f>
        <v>5</v>
      </c>
      <c r="M12" s="129">
        <f>INDEX(Erfassung5!AM:AM,MATCH($A12,Erfassung5!$BR:$BR,0)-1)</f>
        <v>813</v>
      </c>
      <c r="N12" s="130">
        <f>INDEX(Erfassung5!AN:AN,MATCH($A12,Erfassung5!$BR:$BR,0))</f>
        <v>4</v>
      </c>
      <c r="O12" s="129">
        <f>INDEX(Erfassung5!AO:AO,MATCH($A12,Erfassung5!$BR:$BR,0)-1)</f>
        <v>813</v>
      </c>
      <c r="P12" s="130">
        <f>INDEX(Erfassung5!AP:AP,MATCH($A12,Erfassung5!$BR:$BR,0))</f>
        <v>4</v>
      </c>
      <c r="Q12" s="129">
        <f>INDEX(Erfassung5!AQ:AQ,MATCH($A12,Erfassung5!$BR:$BR,0)-1)</f>
        <v>732</v>
      </c>
      <c r="R12" s="130">
        <f>INDEX(Erfassung5!AR:AR,MATCH($A12,Erfassung5!$BR:$BR,0))</f>
        <v>0</v>
      </c>
      <c r="S12" s="129">
        <f>INDEX(Erfassung5!AS:AS,MATCH($A12,Erfassung5!$BR:$BR,0)-1)</f>
        <v>795</v>
      </c>
      <c r="T12" s="130">
        <f>INDEX(Erfassung5!AT:AT,MATCH($A12,Erfassung5!$BR:$BR,0))</f>
        <v>2</v>
      </c>
      <c r="U12" s="131">
        <f t="shared" si="0"/>
        <v>7193</v>
      </c>
      <c r="V12" s="132">
        <f t="shared" si="0"/>
        <v>28</v>
      </c>
      <c r="W12" s="224">
        <f>IFERROR(U12/INDEX(Erfassung5!BF:BF,MATCH(A12,Erfassung5!BR:BR,0)),0)</f>
        <v>199.80555555555554</v>
      </c>
      <c r="X12" s="25"/>
      <c r="AA12" s="225">
        <f>INDEX(TabGes4!K:K,MATCH($B12,TabGes4!$B:$B,0))+U12</f>
        <v>34507</v>
      </c>
      <c r="AB12" s="225">
        <f>INDEX(TabGes4!L:L,MATCH($B12,TabGes4!$B:$B,0))+V12</f>
        <v>143</v>
      </c>
      <c r="AC12" s="215">
        <f t="shared" si="1"/>
        <v>143.00003450700001</v>
      </c>
      <c r="AD12" s="215">
        <f t="shared" si="2"/>
        <v>4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SG Rottendorf 1</v>
      </c>
      <c r="C13" s="129">
        <f>INDEX(Erfassung5!AC:AC,MATCH($A13,Erfassung5!$BR:$BR,0)-1)</f>
        <v>880</v>
      </c>
      <c r="D13" s="130">
        <f>INDEX(Erfassung5!AD:AD,MATCH($A13,Erfassung5!$BR:$BR,0))</f>
        <v>4</v>
      </c>
      <c r="E13" s="129">
        <f>INDEX(Erfassung5!AE:AE,MATCH($A13,Erfassung5!$BR:$BR,0)-1)</f>
        <v>865</v>
      </c>
      <c r="F13" s="130">
        <f>INDEX(Erfassung5!AF:AF,MATCH($A13,Erfassung5!$BR:$BR,0))</f>
        <v>1</v>
      </c>
      <c r="G13" s="129">
        <f>INDEX(Erfassung5!AG:AG,MATCH($A13,Erfassung5!$BR:$BR,0)-1)</f>
        <v>813</v>
      </c>
      <c r="H13" s="130">
        <f>INDEX(Erfassung5!AH:AH,MATCH($A13,Erfassung5!$BR:$BR,0))</f>
        <v>6</v>
      </c>
      <c r="I13" s="129">
        <f>INDEX(Erfassung5!AI:AI,MATCH($A13,Erfassung5!$BR:$BR,0)-1)</f>
        <v>811</v>
      </c>
      <c r="J13" s="130">
        <f>INDEX(Erfassung5!AJ:AJ,MATCH($A13,Erfassung5!$BR:$BR,0))</f>
        <v>2</v>
      </c>
      <c r="K13" s="129">
        <f>INDEX(Erfassung5!AK:AK,MATCH($A13,Erfassung5!$BR:$BR,0)-1)</f>
        <v>752</v>
      </c>
      <c r="L13" s="130">
        <f>INDEX(Erfassung5!AL:AL,MATCH($A13,Erfassung5!$BR:$BR,0))</f>
        <v>1</v>
      </c>
      <c r="M13" s="129">
        <f>INDEX(Erfassung5!AM:AM,MATCH($A13,Erfassung5!$BR:$BR,0)-1)</f>
        <v>748</v>
      </c>
      <c r="N13" s="130">
        <f>INDEX(Erfassung5!AN:AN,MATCH($A13,Erfassung5!$BR:$BR,0))</f>
        <v>2</v>
      </c>
      <c r="O13" s="129">
        <f>INDEX(Erfassung5!AO:AO,MATCH($A13,Erfassung5!$BR:$BR,0)-1)</f>
        <v>763</v>
      </c>
      <c r="P13" s="130">
        <f>INDEX(Erfassung5!AP:AP,MATCH($A13,Erfassung5!$BR:$BR,0))</f>
        <v>5</v>
      </c>
      <c r="Q13" s="129">
        <f>INDEX(Erfassung5!AQ:AQ,MATCH($A13,Erfassung5!$BR:$BR,0)-1)</f>
        <v>841</v>
      </c>
      <c r="R13" s="130">
        <f>INDEX(Erfassung5!AR:AR,MATCH($A13,Erfassung5!$BR:$BR,0))</f>
        <v>4</v>
      </c>
      <c r="S13" s="129">
        <f>INDEX(Erfassung5!AS:AS,MATCH($A13,Erfassung5!$BR:$BR,0)-1)</f>
        <v>786</v>
      </c>
      <c r="T13" s="130">
        <f>INDEX(Erfassung5!AT:AT,MATCH($A13,Erfassung5!$BR:$BR,0))</f>
        <v>2</v>
      </c>
      <c r="U13" s="131">
        <f t="shared" si="0"/>
        <v>7259</v>
      </c>
      <c r="V13" s="132">
        <f t="shared" si="0"/>
        <v>27</v>
      </c>
      <c r="W13" s="224">
        <f>IFERROR(U13/INDEX(Erfassung5!BF:BF,MATCH(A13,Erfassung5!BR:BR,0)),0)</f>
        <v>201.63888888888889</v>
      </c>
      <c r="X13" s="25"/>
      <c r="AA13" s="225">
        <f>INDEX(TabGes4!K:K,MATCH($B13,TabGes4!$B:$B,0))+U13</f>
        <v>33885</v>
      </c>
      <c r="AB13" s="225">
        <f>INDEX(TabGes4!L:L,MATCH($B13,TabGes4!$B:$B,0))+V13</f>
        <v>135.5</v>
      </c>
      <c r="AC13" s="215">
        <f t="shared" si="1"/>
        <v>135.50003388499999</v>
      </c>
      <c r="AD13" s="215">
        <f t="shared" si="2"/>
        <v>5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High Roller Rosenheim 1</v>
      </c>
      <c r="C14" s="129">
        <f>INDEX(Erfassung5!AC:AC,MATCH($A14,Erfassung5!$BR:$BR,0)-1)</f>
        <v>861</v>
      </c>
      <c r="D14" s="130">
        <f>INDEX(Erfassung5!AD:AD,MATCH($A14,Erfassung5!$BR:$BR,0))</f>
        <v>4</v>
      </c>
      <c r="E14" s="129">
        <f>INDEX(Erfassung5!AE:AE,MATCH($A14,Erfassung5!$BR:$BR,0)-1)</f>
        <v>808</v>
      </c>
      <c r="F14" s="130">
        <f>INDEX(Erfassung5!AF:AF,MATCH($A14,Erfassung5!$BR:$BR,0))</f>
        <v>5</v>
      </c>
      <c r="G14" s="129">
        <f>INDEX(Erfassung5!AG:AG,MATCH($A14,Erfassung5!$BR:$BR,0)-1)</f>
        <v>817</v>
      </c>
      <c r="H14" s="130">
        <f>INDEX(Erfassung5!AH:AH,MATCH($A14,Erfassung5!$BR:$BR,0))</f>
        <v>1</v>
      </c>
      <c r="I14" s="129">
        <f>INDEX(Erfassung5!AI:AI,MATCH($A14,Erfassung5!$BR:$BR,0)-1)</f>
        <v>818</v>
      </c>
      <c r="J14" s="130">
        <f>INDEX(Erfassung5!AJ:AJ,MATCH($A14,Erfassung5!$BR:$BR,0))</f>
        <v>1</v>
      </c>
      <c r="K14" s="129">
        <f>INDEX(Erfassung5!AK:AK,MATCH($A14,Erfassung5!$BR:$BR,0)-1)</f>
        <v>928</v>
      </c>
      <c r="L14" s="130">
        <f>INDEX(Erfassung5!AL:AL,MATCH($A14,Erfassung5!$BR:$BR,0))</f>
        <v>5</v>
      </c>
      <c r="M14" s="129">
        <f>INDEX(Erfassung5!AM:AM,MATCH($A14,Erfassung5!$BR:$BR,0)-1)</f>
        <v>707</v>
      </c>
      <c r="N14" s="130">
        <f>INDEX(Erfassung5!AN:AN,MATCH($A14,Erfassung5!$BR:$BR,0))</f>
        <v>0</v>
      </c>
      <c r="O14" s="129">
        <f>INDEX(Erfassung5!AO:AO,MATCH($A14,Erfassung5!$BR:$BR,0)-1)</f>
        <v>732</v>
      </c>
      <c r="P14" s="130">
        <f>INDEX(Erfassung5!AP:AP,MATCH($A14,Erfassung5!$BR:$BR,0))</f>
        <v>1</v>
      </c>
      <c r="Q14" s="129">
        <f>INDEX(Erfassung5!AQ:AQ,MATCH($A14,Erfassung5!$BR:$BR,0)-1)</f>
        <v>804</v>
      </c>
      <c r="R14" s="130">
        <f>INDEX(Erfassung5!AR:AR,MATCH($A14,Erfassung5!$BR:$BR,0))</f>
        <v>2</v>
      </c>
      <c r="S14" s="129">
        <f>INDEX(Erfassung5!AS:AS,MATCH($A14,Erfassung5!$BR:$BR,0)-1)</f>
        <v>801</v>
      </c>
      <c r="T14" s="130">
        <f>INDEX(Erfassung5!AT:AT,MATCH($A14,Erfassung5!$BR:$BR,0))</f>
        <v>4</v>
      </c>
      <c r="U14" s="131">
        <f t="shared" si="0"/>
        <v>7276</v>
      </c>
      <c r="V14" s="132">
        <f t="shared" si="0"/>
        <v>23</v>
      </c>
      <c r="W14" s="224">
        <f>IFERROR(U14/INDEX(Erfassung5!BF:BF,MATCH(A14,Erfassung5!BR:BR,0)),0)</f>
        <v>202.11111111111111</v>
      </c>
      <c r="X14" s="25"/>
      <c r="AA14" s="225">
        <f>INDEX(TabGes4!K:K,MATCH($B14,TabGes4!$B:$B,0))+U14</f>
        <v>33272</v>
      </c>
      <c r="AB14" s="225">
        <f>INDEX(TabGes4!L:L,MATCH($B14,TabGes4!$B:$B,0))+V14</f>
        <v>109.5</v>
      </c>
      <c r="AC14" s="215">
        <f t="shared" si="1"/>
        <v>109.500033272</v>
      </c>
      <c r="AD14" s="215">
        <f t="shared" si="2"/>
        <v>8</v>
      </c>
      <c r="AE14" s="215">
        <f>INDEX(Tabelle4!AE:AE,MATCH(B14,Tabelle4!B:B,0))+SUMIF(Erfassung5!BU:BU,B14,Erfassung5!BF:BF)</f>
        <v>180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Schanzer Ingolstadt 1</v>
      </c>
      <c r="C15" s="129">
        <f>INDEX(Erfassung5!AC:AC,MATCH($A15,Erfassung5!$BR:$BR,0)-1)</f>
        <v>845</v>
      </c>
      <c r="D15" s="130">
        <f>INDEX(Erfassung5!AD:AD,MATCH($A15,Erfassung5!$BR:$BR,0))</f>
        <v>2</v>
      </c>
      <c r="E15" s="129">
        <f>INDEX(Erfassung5!AE:AE,MATCH($A15,Erfassung5!$BR:$BR,0)-1)</f>
        <v>770</v>
      </c>
      <c r="F15" s="130">
        <f>INDEX(Erfassung5!AF:AF,MATCH($A15,Erfassung5!$BR:$BR,0))</f>
        <v>1</v>
      </c>
      <c r="G15" s="129">
        <f>INDEX(Erfassung5!AG:AG,MATCH($A15,Erfassung5!$BR:$BR,0)-1)</f>
        <v>710</v>
      </c>
      <c r="H15" s="130">
        <f>INDEX(Erfassung5!AH:AH,MATCH($A15,Erfassung5!$BR:$BR,0))</f>
        <v>0</v>
      </c>
      <c r="I15" s="129">
        <f>INDEX(Erfassung5!AI:AI,MATCH($A15,Erfassung5!$BR:$BR,0)-1)</f>
        <v>866</v>
      </c>
      <c r="J15" s="130">
        <f>INDEX(Erfassung5!AJ:AJ,MATCH($A15,Erfassung5!$BR:$BR,0))</f>
        <v>4</v>
      </c>
      <c r="K15" s="129">
        <f>INDEX(Erfassung5!AK:AK,MATCH($A15,Erfassung5!$BR:$BR,0)-1)</f>
        <v>798</v>
      </c>
      <c r="L15" s="130">
        <f>INDEX(Erfassung5!AL:AL,MATCH($A15,Erfassung5!$BR:$BR,0))</f>
        <v>1</v>
      </c>
      <c r="M15" s="129">
        <f>INDEX(Erfassung5!AM:AM,MATCH($A15,Erfassung5!$BR:$BR,0)-1)</f>
        <v>701</v>
      </c>
      <c r="N15" s="130">
        <f>INDEX(Erfassung5!AN:AN,MATCH($A15,Erfassung5!$BR:$BR,0))</f>
        <v>2</v>
      </c>
      <c r="O15" s="129">
        <f>INDEX(Erfassung5!AO:AO,MATCH($A15,Erfassung5!$BR:$BR,0)-1)</f>
        <v>843</v>
      </c>
      <c r="P15" s="130">
        <f>INDEX(Erfassung5!AP:AP,MATCH($A15,Erfassung5!$BR:$BR,0))</f>
        <v>6</v>
      </c>
      <c r="Q15" s="129">
        <f>INDEX(Erfassung5!AQ:AQ,MATCH($A15,Erfassung5!$BR:$BR,0)-1)</f>
        <v>790</v>
      </c>
      <c r="R15" s="130">
        <f>INDEX(Erfassung5!AR:AR,MATCH($A15,Erfassung5!$BR:$BR,0))</f>
        <v>2</v>
      </c>
      <c r="S15" s="129">
        <f>INDEX(Erfassung5!AS:AS,MATCH($A15,Erfassung5!$BR:$BR,0)-1)</f>
        <v>807</v>
      </c>
      <c r="T15" s="130">
        <f>INDEX(Erfassung5!AT:AT,MATCH($A15,Erfassung5!$BR:$BR,0))</f>
        <v>2.5</v>
      </c>
      <c r="U15" s="131">
        <f t="shared" si="0"/>
        <v>7130</v>
      </c>
      <c r="V15" s="132">
        <f t="shared" si="0"/>
        <v>20.5</v>
      </c>
      <c r="W15" s="224">
        <f>IFERROR(U15/INDEX(Erfassung5!BF:BF,MATCH(A15,Erfassung5!BR:BR,0)),0)</f>
        <v>198.05555555555554</v>
      </c>
      <c r="X15" s="25"/>
      <c r="AA15" s="225">
        <f>INDEX(TabGes4!K:K,MATCH($B15,TabGes4!$B:$B,0))+U15</f>
        <v>32546</v>
      </c>
      <c r="AB15" s="225">
        <f>INDEX(TabGes4!L:L,MATCH($B15,TabGes4!$B:$B,0))+V15</f>
        <v>105.5</v>
      </c>
      <c r="AC15" s="215">
        <f t="shared" si="1"/>
        <v>105.500032546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Bowlinghaus Bamberg 1</v>
      </c>
      <c r="C16" s="129">
        <f>INDEX(Erfassung5!AC:AC,MATCH($A16,Erfassung5!$BR:$BR,0)-1)</f>
        <v>844</v>
      </c>
      <c r="D16" s="130">
        <f>INDEX(Erfassung5!AD:AD,MATCH($A16,Erfassung5!$BR:$BR,0))</f>
        <v>2</v>
      </c>
      <c r="E16" s="129">
        <f>INDEX(Erfassung5!AE:AE,MATCH($A16,Erfassung5!$BR:$BR,0)-1)</f>
        <v>705</v>
      </c>
      <c r="F16" s="130">
        <f>INDEX(Erfassung5!AF:AF,MATCH($A16,Erfassung5!$BR:$BR,0))</f>
        <v>0</v>
      </c>
      <c r="G16" s="129">
        <f>INDEX(Erfassung5!AG:AG,MATCH($A16,Erfassung5!$BR:$BR,0)-1)</f>
        <v>751</v>
      </c>
      <c r="H16" s="130">
        <f>INDEX(Erfassung5!AH:AH,MATCH($A16,Erfassung5!$BR:$BR,0))</f>
        <v>2</v>
      </c>
      <c r="I16" s="129">
        <f>INDEX(Erfassung5!AI:AI,MATCH($A16,Erfassung5!$BR:$BR,0)-1)</f>
        <v>866</v>
      </c>
      <c r="J16" s="130">
        <f>INDEX(Erfassung5!AJ:AJ,MATCH($A16,Erfassung5!$BR:$BR,0))</f>
        <v>5</v>
      </c>
      <c r="K16" s="129">
        <f>INDEX(Erfassung5!AK:AK,MATCH($A16,Erfassung5!$BR:$BR,0)-1)</f>
        <v>809</v>
      </c>
      <c r="L16" s="130">
        <f>INDEX(Erfassung5!AL:AL,MATCH($A16,Erfassung5!$BR:$BR,0))</f>
        <v>1</v>
      </c>
      <c r="M16" s="129">
        <f>INDEX(Erfassung5!AM:AM,MATCH($A16,Erfassung5!$BR:$BR,0)-1)</f>
        <v>793</v>
      </c>
      <c r="N16" s="130">
        <f>INDEX(Erfassung5!AN:AN,MATCH($A16,Erfassung5!$BR:$BR,0))</f>
        <v>4</v>
      </c>
      <c r="O16" s="129">
        <f>INDEX(Erfassung5!AO:AO,MATCH($A16,Erfassung5!$BR:$BR,0)-1)</f>
        <v>753</v>
      </c>
      <c r="P16" s="130">
        <f>INDEX(Erfassung5!AP:AP,MATCH($A16,Erfassung5!$BR:$BR,0))</f>
        <v>0</v>
      </c>
      <c r="Q16" s="129">
        <f>INDEX(Erfassung5!AQ:AQ,MATCH($A16,Erfassung5!$BR:$BR,0)-1)</f>
        <v>762</v>
      </c>
      <c r="R16" s="130">
        <f>INDEX(Erfassung5!AR:AR,MATCH($A16,Erfassung5!$BR:$BR,0))</f>
        <v>0.5</v>
      </c>
      <c r="S16" s="129">
        <f>INDEX(Erfassung5!AS:AS,MATCH($A16,Erfassung5!$BR:$BR,0)-1)</f>
        <v>754</v>
      </c>
      <c r="T16" s="130">
        <f>INDEX(Erfassung5!AT:AT,MATCH($A16,Erfassung5!$BR:$BR,0))</f>
        <v>1</v>
      </c>
      <c r="U16" s="131">
        <f t="shared" si="0"/>
        <v>7037</v>
      </c>
      <c r="V16" s="132">
        <f t="shared" si="0"/>
        <v>15.5</v>
      </c>
      <c r="W16" s="224">
        <f>IFERROR(U16/INDEX(Erfassung5!BF:BF,MATCH(A16,Erfassung5!BR:BR,0)),0)</f>
        <v>195.47222222222223</v>
      </c>
      <c r="X16" s="25"/>
      <c r="AA16" s="225">
        <f>INDEX(TabGes4!K:K,MATCH($B16,TabGes4!$B:$B,0))+U16</f>
        <v>34324</v>
      </c>
      <c r="AB16" s="225">
        <f>INDEX(TabGes4!L:L,MATCH($B16,TabGes4!$B:$B,0))+V16</f>
        <v>120</v>
      </c>
      <c r="AC16" s="215">
        <f t="shared" si="1"/>
        <v>120.000034324</v>
      </c>
      <c r="AD16" s="215">
        <f t="shared" si="2"/>
        <v>7</v>
      </c>
      <c r="AE16" s="215">
        <f>INDEX(Tabelle4!AE:AE,MATCH(B16,Tabelle4!B:B,0))+SUMIF(Erfassung5!BU:BU,B16,Erfassung5!BF:BF)</f>
        <v>180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IFERROR(INDEX(Erfassung5!AA:AA,MATCH(1,Erfassung5!BV:BV,0)),"")</f>
        <v>Hinterwimmer, Sebastian</v>
      </c>
      <c r="H21" t="str">
        <f>INDEX(Erfassung5!BU:BU,MATCH(C21,Erfassung5!AA:AA,0))</f>
        <v>BK München 3</v>
      </c>
      <c r="N21" s="133">
        <f>IFERROR(ROUND(INDEX(Erfassung5!BT:BT,MATCH(1,Erfassung5!BV:BV,0)),0),"")</f>
        <v>300</v>
      </c>
    </row>
    <row r="22" spans="2:23" x14ac:dyDescent="0.25">
      <c r="B22" s="166"/>
      <c r="C22" t="str">
        <f>IF(N22="","",IFERROR(INDEX(Erfassung5!AA:AA,MATCH(2,Erfassung5!BV:BV,0)),""))</f>
        <v>Schwarz, Jan</v>
      </c>
      <c r="H22" t="str">
        <f>IF(C22="","",INDEX(Erfassung5!BU:BU,MATCH(C22,Erfassung5!AA:AA,0)))</f>
        <v>BC Comet Nürnberg</v>
      </c>
      <c r="N22" s="134">
        <f>IF(IFERROR(ROUND(INDEX(Erfassung5!BT:BT,MATCH(2,Erfassung5!BV:BV,0)),0),0)=0,"",IFERROR(ROUND(INDEX(Erfassung5!BT:BT,MATCH(2,Erfassung5!BV:BV,0)),0),0))</f>
        <v>300</v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Birkner, Jochen</v>
      </c>
      <c r="H24" t="str">
        <f>INDEX(Erfassung5!BU:BU,MATCH(C24,Erfassung5!AA:AA,0))</f>
        <v>RW Lichtenhof Stein 1</v>
      </c>
      <c r="N24" s="379" t="str">
        <f>IFERROR(ROUND(INDEX(Erfassung5!BW:BW,MATCH(1,Erfassung5!BZ:BZ,0)),0),"")&amp;"  /  "&amp;ROUND(IFERROR(ROUND(INDEX(Erfassung5!BW:BW,MATCH(1,Erfassung5!BZ:BZ,0)),0),"")/9,2)</f>
        <v>2136  /  237,33</v>
      </c>
      <c r="O24" s="379"/>
      <c r="P24" s="379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"&amp;Erfassung5!AS2&amp;"     -     "&amp;Erfassung5!AT1</f>
        <v>Saison 2024/2025     -     Spieltag 5     -     15.03./16.03.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0"/>
      <c r="O4" s="33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90" t="s">
        <v>1824</v>
      </c>
      <c r="L5" s="383"/>
      <c r="M5" s="382" t="s">
        <v>1799</v>
      </c>
      <c r="N5" s="383"/>
      <c r="O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5"/>
    </row>
    <row r="7" spans="1:31" ht="42" customHeight="1" thickBot="1" x14ac:dyDescent="0.3">
      <c r="A7" s="34">
        <v>1</v>
      </c>
      <c r="B7" s="128" t="str">
        <f>INDEX(Tabelle5!B:B,MATCH(A7,Tabelle5!AD:AD,0))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9">
        <f t="shared" ref="M7:M16" si="0">SUM(C7+E7+G7+I7+K7)</f>
        <v>36316</v>
      </c>
      <c r="N7" s="42">
        <f t="shared" ref="N7:N16" si="1">SUM(D7+F7+H7+J7+L7)</f>
        <v>178</v>
      </c>
      <c r="O7" s="37">
        <f>M7/INDEX(Tabelle5!$AE:$AE,MATCH($B7,Tabelle5!$B:$B,0))</f>
        <v>201.75555555555556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9">
        <f t="shared" si="0"/>
        <v>36362</v>
      </c>
      <c r="N8" s="42">
        <f t="shared" si="1"/>
        <v>165</v>
      </c>
      <c r="O8" s="37">
        <f>M8/INDEX(Tabelle5!$AE:$AE,MATCH($B8,Tabelle5!$B:$B,0))</f>
        <v>202.01111111111112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9">
        <f t="shared" si="0"/>
        <v>35834</v>
      </c>
      <c r="N9" s="42">
        <f t="shared" si="1"/>
        <v>158.5</v>
      </c>
      <c r="O9" s="37">
        <f>M9/INDEX(Tabelle5!$AE:$AE,MATCH($B9,Tabelle5!$B:$B,0))</f>
        <v>199.07777777777778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9">
        <f t="shared" si="0"/>
        <v>34507</v>
      </c>
      <c r="N10" s="42">
        <f t="shared" si="1"/>
        <v>143</v>
      </c>
      <c r="O10" s="37">
        <f>M10/INDEX(Tabelle5!$AE:$AE,MATCH($B10,Tabelle5!$B:$B,0))</f>
        <v>191.70555555555555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9">
        <f t="shared" si="0"/>
        <v>33885</v>
      </c>
      <c r="N11" s="42">
        <f t="shared" si="1"/>
        <v>135.5</v>
      </c>
      <c r="O11" s="37">
        <f>M11/INDEX(Tabelle5!$AE:$AE,MATCH($B11,Tabelle5!$B:$B,0))</f>
        <v>189.30167597765364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9">
        <f t="shared" si="0"/>
        <v>34335</v>
      </c>
      <c r="N12" s="42">
        <f t="shared" si="1"/>
        <v>134.5</v>
      </c>
      <c r="O12" s="37">
        <f>M12/INDEX(Tabelle5!$AE:$AE,MATCH($B12,Tabelle5!$B:$B,0))</f>
        <v>192.8932584269663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9">
        <f t="shared" si="0"/>
        <v>34324</v>
      </c>
      <c r="N13" s="42">
        <f t="shared" si="1"/>
        <v>120</v>
      </c>
      <c r="O13" s="37">
        <f>M13/INDEX(Tabelle5!$AE:$AE,MATCH($B13,Tabelle5!$B:$B,0))</f>
        <v>190.6888888888889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9">
        <f t="shared" si="0"/>
        <v>33272</v>
      </c>
      <c r="N14" s="42">
        <f t="shared" si="1"/>
        <v>109.5</v>
      </c>
      <c r="O14" s="37">
        <f>M14/INDEX(Tabelle5!$AE:$AE,MATCH($B14,Tabelle5!$B:$B,0))</f>
        <v>184.84444444444443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9">
        <f t="shared" si="0"/>
        <v>32546</v>
      </c>
      <c r="N15" s="42">
        <f t="shared" si="1"/>
        <v>105.5</v>
      </c>
      <c r="O15" s="37">
        <f>M15/INDEX(Tabelle5!$AE:$AE,MATCH($B15,Tabelle5!$B:$B,0))</f>
        <v>180.8111111111111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9">
        <f t="shared" si="0"/>
        <v>33509</v>
      </c>
      <c r="N16" s="42">
        <f t="shared" si="1"/>
        <v>100.5</v>
      </c>
      <c r="O16" s="37">
        <f>M16/INDEX(Tabelle5!$AE:$AE,MATCH($B16,Tabelle5!$B:$B,0))</f>
        <v>186.1611111111111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topLeftCell="A1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1972</v>
      </c>
      <c r="N2">
        <f>SUMIF(Erfassung5!BD:BD,L2,Erfassung5!BG:BG)</f>
        <v>9</v>
      </c>
      <c r="O2">
        <f t="shared" ref="O2:O65" si="0">IF(N2=0,0,M2/N2-ROW()/1000000000)</f>
        <v>219.11111110911111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SUMIF(Erfassung5!BD:BD,L3,Erfassung5!BW:BW)</f>
        <v>1004</v>
      </c>
      <c r="N3">
        <f>SUMIF(Erfassung5!BD:BD,L3,Erfassung5!BG:BG)</f>
        <v>5</v>
      </c>
      <c r="O3">
        <f t="shared" si="0"/>
        <v>200.79999999700001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2023</v>
      </c>
      <c r="N4">
        <f>SUMIF(Erfassung5!BD:BD,L4,Erfassung5!BG:BG)</f>
        <v>9</v>
      </c>
      <c r="O4">
        <f t="shared" si="0"/>
        <v>224.77777777377779</v>
      </c>
      <c r="P4">
        <f t="shared" si="1"/>
        <v>2</v>
      </c>
    </row>
    <row r="5" spans="1:16" x14ac:dyDescent="0.25">
      <c r="A5">
        <v>1</v>
      </c>
      <c r="B5">
        <f t="shared" ref="B5:B36" si="2">IFERROR(INDEX(L:L,MATCH(A5,P:P,0)),"")</f>
        <v>7937</v>
      </c>
      <c r="C5" t="str">
        <f>IFERROR(INDEX(Starter!B:B,MATCH(B5,Starter!A:A,0)),"")</f>
        <v>Birkner, Jochen</v>
      </c>
      <c r="D5" t="str">
        <f>IFERROR(INDEX(Starter!C:C,MATCH(B5,Starter!A:A,0)),"")</f>
        <v>BF Rot-Weiß Lichtenhof 69</v>
      </c>
      <c r="E5" s="102">
        <f t="shared" ref="E5:E36" si="3">IFERROR(INDEX(M:M,MATCH(A5,P:P,0)),"")</f>
        <v>2136</v>
      </c>
      <c r="F5">
        <f t="shared" ref="F5:F36" si="4">IFERROR(INDEX(N:N,MATCH(A5,P:P,0)),"")</f>
        <v>9</v>
      </c>
      <c r="G5" s="137">
        <f t="shared" ref="G5:G36" si="5">IFERROR(INDEX(O:O,MATCH(A5,P:P,0)),"")</f>
        <v>237.33333329233335</v>
      </c>
      <c r="L5" s="227">
        <f>INDEX(Starter!A:A,ROW()-1)</f>
        <v>16301</v>
      </c>
      <c r="M5">
        <f>SUMIF(Erfassung5!BD:BD,L5,Erfassung5!BW:BW)</f>
        <v>1306</v>
      </c>
      <c r="N5">
        <f>SUMIF(Erfassung5!BD:BD,L5,Erfassung5!BG:BG)</f>
        <v>7</v>
      </c>
      <c r="O5">
        <f t="shared" si="0"/>
        <v>186.57142856642858</v>
      </c>
      <c r="P5">
        <f t="shared" si="1"/>
        <v>42</v>
      </c>
    </row>
    <row r="6" spans="1:16" x14ac:dyDescent="0.25">
      <c r="A6">
        <f t="shared" ref="A6:A37" si="6">IFERROR(IF(A5+1&gt;MAX(P:P)-1,"",A5+1),"")</f>
        <v>2</v>
      </c>
      <c r="B6">
        <f t="shared" si="2"/>
        <v>10622</v>
      </c>
      <c r="C6" t="str">
        <f>IFERROR(INDEX(Starter!B:B,MATCH(B6,Starter!A:A,0)),"")</f>
        <v>Kreß, Michael</v>
      </c>
      <c r="D6" t="str">
        <f>IFERROR(INDEX(Starter!C:C,MATCH(B6,Starter!A:A,0)),"")</f>
        <v>DJK Rimpar</v>
      </c>
      <c r="E6" s="102">
        <f t="shared" si="3"/>
        <v>2023</v>
      </c>
      <c r="F6">
        <f t="shared" si="4"/>
        <v>9</v>
      </c>
      <c r="G6" s="137">
        <f t="shared" si="5"/>
        <v>224.77777777377779</v>
      </c>
      <c r="L6" s="227">
        <f>INDEX(Starter!A:A,ROW()-1)</f>
        <v>38411</v>
      </c>
      <c r="M6">
        <f>SUMIF(Erfassung5!BD:BD,L6,Erfassung5!BW:BW)</f>
        <v>1599</v>
      </c>
      <c r="N6">
        <f>SUMIF(Erfassung5!BD:BD,L6,Erfassung5!BG:BG)</f>
        <v>9</v>
      </c>
      <c r="O6">
        <f t="shared" si="0"/>
        <v>177.66666666066666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7885</v>
      </c>
      <c r="C7" t="str">
        <f>IFERROR(INDEX(Starter!B:B,MATCH(B7,Starter!A:A,0)),"")</f>
        <v>Hinterwimmer, Sebastian</v>
      </c>
      <c r="D7" t="str">
        <f>IFERROR(INDEX(Starter!C:C,MATCH(B7,Starter!A:A,0)),"")</f>
        <v>BK München</v>
      </c>
      <c r="E7" s="102">
        <f t="shared" si="3"/>
        <v>2013</v>
      </c>
      <c r="F7">
        <f t="shared" si="4"/>
        <v>9</v>
      </c>
      <c r="G7" s="137">
        <f t="shared" si="5"/>
        <v>223.66666664966667</v>
      </c>
      <c r="L7" s="227">
        <f>INDEX(Starter!A:A,ROW()-1)</f>
        <v>38361</v>
      </c>
      <c r="M7">
        <f>SUMIF(Erfassung5!BD:BD,L7,Erfassung5!BW:BW)</f>
        <v>1647</v>
      </c>
      <c r="N7">
        <f>SUMIF(Erfassung5!BD:BD,L7,Erfassung5!BG:BG)</f>
        <v>9</v>
      </c>
      <c r="O7">
        <f t="shared" si="0"/>
        <v>182.99999999299999</v>
      </c>
      <c r="P7">
        <f t="shared" si="1"/>
        <v>44</v>
      </c>
    </row>
    <row r="8" spans="1:16" x14ac:dyDescent="0.25">
      <c r="A8">
        <f t="shared" si="6"/>
        <v>4</v>
      </c>
      <c r="B8">
        <f t="shared" si="2"/>
        <v>7867</v>
      </c>
      <c r="C8" t="str">
        <f>IFERROR(INDEX(Starter!B:B,MATCH(B8,Starter!A:A,0)),"")</f>
        <v>Hinterwimmer, Georg</v>
      </c>
      <c r="D8" t="str">
        <f>IFERROR(INDEX(Starter!C:C,MATCH(B8,Starter!A:A,0)),"")</f>
        <v>BK München</v>
      </c>
      <c r="E8" s="102">
        <f t="shared" si="3"/>
        <v>2012</v>
      </c>
      <c r="F8">
        <f t="shared" si="4"/>
        <v>9</v>
      </c>
      <c r="G8" s="137">
        <f t="shared" si="5"/>
        <v>223.55555554155555</v>
      </c>
      <c r="L8" s="227">
        <f>INDEX(Starter!A:A,ROW()-1)</f>
        <v>38550</v>
      </c>
      <c r="M8">
        <f>SUMIF(Erfassung5!BD:BD,L8,Erfassung5!BW:BW)</f>
        <v>1941</v>
      </c>
      <c r="N8">
        <f>SUMIF(Erfassung5!BD:BD,L8,Erfassung5!BG:BG)</f>
        <v>9</v>
      </c>
      <c r="O8">
        <f t="shared" si="0"/>
        <v>215.66666665866666</v>
      </c>
      <c r="P8">
        <f t="shared" si="1"/>
        <v>10</v>
      </c>
    </row>
    <row r="9" spans="1:16" x14ac:dyDescent="0.25">
      <c r="A9">
        <f t="shared" si="6"/>
        <v>5</v>
      </c>
      <c r="B9">
        <f t="shared" si="2"/>
        <v>7734</v>
      </c>
      <c r="C9" t="str">
        <f>IFERROR(INDEX(Starter!B:B,MATCH(B9,Starter!A:A,0)),"")</f>
        <v>Schwarz, Jan</v>
      </c>
      <c r="D9" t="str">
        <f>IFERROR(INDEX(Starter!C:C,MATCH(B9,Starter!A:A,0)),"")</f>
        <v>Comet</v>
      </c>
      <c r="E9" s="102">
        <f t="shared" si="3"/>
        <v>2010</v>
      </c>
      <c r="F9">
        <f t="shared" si="4"/>
        <v>9</v>
      </c>
      <c r="G9" s="137">
        <f t="shared" si="5"/>
        <v>223.33333330533335</v>
      </c>
      <c r="L9" s="227">
        <f>INDEX(Starter!A:A,ROW()-1)</f>
        <v>7348</v>
      </c>
      <c r="M9">
        <f>SUMIF(Erfassung5!BD:BD,L9,Erfassung5!BW:BW)</f>
        <v>1943</v>
      </c>
      <c r="N9">
        <f>SUMIF(Erfassung5!BD:BD,L9,Erfassung5!BG:BG)</f>
        <v>9</v>
      </c>
      <c r="O9">
        <f t="shared" si="0"/>
        <v>215.8888888798889</v>
      </c>
      <c r="P9">
        <f t="shared" si="1"/>
        <v>9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1972</v>
      </c>
      <c r="F10">
        <f t="shared" si="4"/>
        <v>9</v>
      </c>
      <c r="G10" s="137">
        <f t="shared" si="5"/>
        <v>219.11111110911111</v>
      </c>
      <c r="L10" s="227">
        <f>INDEX(Starter!A:A,ROW()-1)</f>
        <v>16852</v>
      </c>
      <c r="M10">
        <f>SUMIF(Erfassung5!BD:BD,L10,Erfassung5!BW:BW)</f>
        <v>596</v>
      </c>
      <c r="N10">
        <f>SUMIF(Erfassung5!BD:BD,L10,Erfassung5!BG:BG)</f>
        <v>3</v>
      </c>
      <c r="O10">
        <f t="shared" si="0"/>
        <v>198.66666665666665</v>
      </c>
      <c r="P10">
        <f t="shared" si="1"/>
        <v>30</v>
      </c>
    </row>
    <row r="11" spans="1:16" x14ac:dyDescent="0.25">
      <c r="A11">
        <f t="shared" si="6"/>
        <v>7</v>
      </c>
      <c r="B11">
        <f t="shared" si="2"/>
        <v>16862</v>
      </c>
      <c r="C11" t="str">
        <f>IFERROR(INDEX(Starter!B:B,MATCH(B11,Starter!A:A,0)),"")</f>
        <v>Büttner, Christian</v>
      </c>
      <c r="D11" t="str">
        <f>IFERROR(INDEX(Starter!C:C,MATCH(B11,Starter!A:A,0)),"")</f>
        <v>SG Rottendorf</v>
      </c>
      <c r="E11" s="102">
        <f t="shared" si="3"/>
        <v>1957</v>
      </c>
      <c r="F11">
        <f t="shared" si="4"/>
        <v>9</v>
      </c>
      <c r="G11" s="137">
        <f t="shared" si="5"/>
        <v>217.44444439444445</v>
      </c>
      <c r="L11" s="227">
        <f>INDEX(Starter!A:A,ROW()-1)</f>
        <v>16352</v>
      </c>
      <c r="M11">
        <f>SUMIF(Erfassung5!BD:BD,L11,Erfassung5!BW:BW)</f>
        <v>1705</v>
      </c>
      <c r="N11">
        <f>SUMIF(Erfassung5!BD:BD,L11,Erfassung5!BG:BG)</f>
        <v>9</v>
      </c>
      <c r="O11">
        <f t="shared" si="0"/>
        <v>189.44444443344446</v>
      </c>
      <c r="P11">
        <f t="shared" si="1"/>
        <v>40</v>
      </c>
    </row>
    <row r="12" spans="1:16" x14ac:dyDescent="0.25">
      <c r="A12">
        <f t="shared" si="6"/>
        <v>8</v>
      </c>
      <c r="B12">
        <f t="shared" si="2"/>
        <v>16912</v>
      </c>
      <c r="C12" t="str">
        <f>IFERROR(INDEX(Starter!B:B,MATCH(B12,Starter!A:A,0)),"")</f>
        <v>Hellmessen, Maximilian</v>
      </c>
      <c r="D12" t="str">
        <f>IFERROR(INDEX(Starter!C:C,MATCH(B12,Starter!A:A,0)),"")</f>
        <v>BK München</v>
      </c>
      <c r="E12" s="102">
        <f t="shared" si="3"/>
        <v>865</v>
      </c>
      <c r="F12">
        <f t="shared" si="4"/>
        <v>4</v>
      </c>
      <c r="G12" s="137">
        <f t="shared" si="5"/>
        <v>216.249999984</v>
      </c>
      <c r="L12" s="227">
        <f>INDEX(Starter!A:A,ROW()-1)</f>
        <v>16495</v>
      </c>
      <c r="M12">
        <f>SUMIF(Erfassung5!BD:BD,L12,Erfassung5!BW:BW)</f>
        <v>1834</v>
      </c>
      <c r="N12">
        <f>SUMIF(Erfassung5!BD:BD,L12,Erfassung5!BG:BG)</f>
        <v>9</v>
      </c>
      <c r="O12">
        <f t="shared" si="0"/>
        <v>203.77777776577778</v>
      </c>
      <c r="P12">
        <f t="shared" si="1"/>
        <v>24</v>
      </c>
    </row>
    <row r="13" spans="1:16" x14ac:dyDescent="0.25">
      <c r="A13">
        <f t="shared" si="6"/>
        <v>9</v>
      </c>
      <c r="B13">
        <f t="shared" si="2"/>
        <v>7348</v>
      </c>
      <c r="C13" t="str">
        <f>IFERROR(INDEX(Starter!B:B,MATCH(B13,Starter!A:A,0)),"")</f>
        <v>Spielvogel, Jochen</v>
      </c>
      <c r="D13" t="str">
        <f>IFERROR(INDEX(Starter!C:C,MATCH(B13,Starter!A:A,0)),"")</f>
        <v>BC Schanzer Strikers</v>
      </c>
      <c r="E13" s="102">
        <f t="shared" si="3"/>
        <v>1943</v>
      </c>
      <c r="F13">
        <f t="shared" si="4"/>
        <v>9</v>
      </c>
      <c r="G13" s="137">
        <f t="shared" si="5"/>
        <v>215.8888888798889</v>
      </c>
      <c r="L13" s="227">
        <f>INDEX(Starter!A:A,ROW()-1)</f>
        <v>16945</v>
      </c>
      <c r="M13">
        <f>SUMIF(Erfassung5!BD:BD,L13,Erfassung5!BW:BW)</f>
        <v>1167</v>
      </c>
      <c r="N13">
        <f>SUMIF(Erfassung5!BD:BD,L13,Erfassung5!BG:BG)</f>
        <v>6</v>
      </c>
      <c r="O13">
        <f t="shared" si="0"/>
        <v>194.499999987</v>
      </c>
      <c r="P13">
        <f t="shared" si="1"/>
        <v>34</v>
      </c>
    </row>
    <row r="14" spans="1:16" x14ac:dyDescent="0.25">
      <c r="A14">
        <f t="shared" si="6"/>
        <v>10</v>
      </c>
      <c r="B14">
        <f t="shared" si="2"/>
        <v>38550</v>
      </c>
      <c r="C14" t="str">
        <f>IFERROR(INDEX(Starter!B:B,MATCH(B14,Starter!A:A,0)),"")</f>
        <v>Schütze, Oliver</v>
      </c>
      <c r="D14" t="str">
        <f>IFERROR(INDEX(Starter!C:C,MATCH(B14,Starter!A:A,0)),"")</f>
        <v>BC Schanzer Strikers</v>
      </c>
      <c r="E14" s="102">
        <f t="shared" si="3"/>
        <v>1941</v>
      </c>
      <c r="F14">
        <f t="shared" si="4"/>
        <v>9</v>
      </c>
      <c r="G14" s="137">
        <f t="shared" si="5"/>
        <v>215.66666665866666</v>
      </c>
      <c r="L14" s="227">
        <f>INDEX(Starter!A:A,ROW()-1)</f>
        <v>7867</v>
      </c>
      <c r="M14">
        <f>SUMIF(Erfassung5!BD:BD,L14,Erfassung5!BW:BW)</f>
        <v>2012</v>
      </c>
      <c r="N14">
        <f>SUMIF(Erfassung5!BD:BD,L14,Erfassung5!BG:BG)</f>
        <v>9</v>
      </c>
      <c r="O14">
        <f t="shared" si="0"/>
        <v>223.55555554155555</v>
      </c>
      <c r="P14">
        <f t="shared" si="1"/>
        <v>4</v>
      </c>
    </row>
    <row r="15" spans="1:16" x14ac:dyDescent="0.25">
      <c r="A15">
        <f t="shared" si="6"/>
        <v>11</v>
      </c>
      <c r="B15">
        <f t="shared" si="2"/>
        <v>16398</v>
      </c>
      <c r="C15" t="str">
        <f>IFERROR(INDEX(Starter!B:B,MATCH(B15,Starter!A:A,0)),"")</f>
        <v>Denz, Günter</v>
      </c>
      <c r="D15" t="str">
        <f>IFERROR(INDEX(Starter!C:C,MATCH(B15,Starter!A:A,0)),"")</f>
        <v>BC EMAX</v>
      </c>
      <c r="E15" s="102">
        <f t="shared" si="3"/>
        <v>1938</v>
      </c>
      <c r="F15">
        <f t="shared" si="4"/>
        <v>9</v>
      </c>
      <c r="G15" s="137">
        <f t="shared" si="5"/>
        <v>215.33333326733333</v>
      </c>
      <c r="L15" s="227">
        <f>INDEX(Starter!A:A,ROW()-1)</f>
        <v>7597</v>
      </c>
      <c r="M15">
        <f>SUMIF(Erfassung5!BD:BD,L15,Erfassung5!BW:BW)</f>
        <v>1478</v>
      </c>
      <c r="N15">
        <f>SUMIF(Erfassung5!BD:BD,L15,Erfassung5!BG:BG)</f>
        <v>7</v>
      </c>
      <c r="O15">
        <f t="shared" si="0"/>
        <v>211.14285712785713</v>
      </c>
      <c r="P15">
        <f t="shared" si="1"/>
        <v>16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1937</v>
      </c>
      <c r="F16">
        <f t="shared" si="4"/>
        <v>9</v>
      </c>
      <c r="G16" s="137">
        <f t="shared" si="5"/>
        <v>215.22222219122222</v>
      </c>
      <c r="L16" s="227">
        <f>INDEX(Starter!A:A,ROW()-1)</f>
        <v>16912</v>
      </c>
      <c r="M16">
        <f>SUMIF(Erfassung5!BD:BD,L16,Erfassung5!BW:BW)</f>
        <v>865</v>
      </c>
      <c r="N16">
        <f>SUMIF(Erfassung5!BD:BD,L16,Erfassung5!BG:BG)</f>
        <v>4</v>
      </c>
      <c r="O16">
        <f t="shared" si="0"/>
        <v>216.249999984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25297</v>
      </c>
      <c r="C17" t="str">
        <f>IFERROR(INDEX(Starter!B:B,MATCH(B17,Starter!A:A,0)),"")</f>
        <v>Lengen, Peter</v>
      </c>
      <c r="D17" t="str">
        <f>IFERROR(INDEX(Starter!C:C,MATCH(B17,Starter!A:A,0)),"")</f>
        <v>BSC Highroller Rosenheim</v>
      </c>
      <c r="E17" s="102">
        <f t="shared" si="3"/>
        <v>1934</v>
      </c>
      <c r="F17">
        <f t="shared" si="4"/>
        <v>9</v>
      </c>
      <c r="G17" s="137">
        <f t="shared" si="5"/>
        <v>214.88888886588887</v>
      </c>
      <c r="L17" s="227">
        <f>INDEX(Starter!A:A,ROW()-1)</f>
        <v>7885</v>
      </c>
      <c r="M17">
        <f>SUMIF(Erfassung5!BD:BD,L17,Erfassung5!BW:BW)</f>
        <v>2013</v>
      </c>
      <c r="N17">
        <f>SUMIF(Erfassung5!BD:BD,L17,Erfassung5!BG:BG)</f>
        <v>9</v>
      </c>
      <c r="O17">
        <f t="shared" si="0"/>
        <v>223.66666664966667</v>
      </c>
      <c r="P17">
        <f t="shared" si="1"/>
        <v>3</v>
      </c>
    </row>
    <row r="18" spans="1:16" x14ac:dyDescent="0.25">
      <c r="A18">
        <f t="shared" si="6"/>
        <v>14</v>
      </c>
      <c r="B18">
        <f t="shared" si="2"/>
        <v>16243</v>
      </c>
      <c r="C18" t="str">
        <f>IFERROR(INDEX(Starter!B:B,MATCH(B18,Starter!A:A,0)),"")</f>
        <v>Glatzer, Daniel</v>
      </c>
      <c r="D18" t="str">
        <f>IFERROR(INDEX(Starter!C:C,MATCH(B18,Starter!A:A,0)),"")</f>
        <v>Comet</v>
      </c>
      <c r="E18" s="102">
        <f t="shared" si="3"/>
        <v>1926</v>
      </c>
      <c r="F18">
        <f t="shared" si="4"/>
        <v>9</v>
      </c>
      <c r="G18" s="137">
        <f t="shared" si="5"/>
        <v>213.99999997399999</v>
      </c>
      <c r="L18" s="227">
        <f>INDEX(Starter!A:A,ROW()-1)</f>
        <v>7408</v>
      </c>
      <c r="M18">
        <f>SUMIF(Erfassung5!BD:BD,L18,Erfassung5!BW:BW)</f>
        <v>1916</v>
      </c>
      <c r="N18">
        <f>SUMIF(Erfassung5!BD:BD,L18,Erfassung5!BG:BG)</f>
        <v>9</v>
      </c>
      <c r="O18">
        <f t="shared" si="0"/>
        <v>212.88888887088888</v>
      </c>
      <c r="P18">
        <f t="shared" si="1"/>
        <v>15</v>
      </c>
    </row>
    <row r="19" spans="1:16" x14ac:dyDescent="0.25">
      <c r="A19">
        <f t="shared" si="6"/>
        <v>15</v>
      </c>
      <c r="B19">
        <f t="shared" si="2"/>
        <v>7408</v>
      </c>
      <c r="C19" t="str">
        <f>IFERROR(INDEX(Starter!B:B,MATCH(B19,Starter!A:A,0)),"")</f>
        <v>Glasl jun., Hans-Jürgen</v>
      </c>
      <c r="D19" t="str">
        <f>IFERROR(INDEX(Starter!C:C,MATCH(B19,Starter!A:A,0)),"")</f>
        <v>BC Bajuwaren 1976 München</v>
      </c>
      <c r="E19" s="102">
        <f t="shared" si="3"/>
        <v>1916</v>
      </c>
      <c r="F19">
        <f t="shared" si="4"/>
        <v>9</v>
      </c>
      <c r="G19" s="137">
        <f t="shared" si="5"/>
        <v>212.88888887088888</v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50</v>
      </c>
    </row>
    <row r="20" spans="1:16" x14ac:dyDescent="0.25">
      <c r="A20">
        <f t="shared" si="6"/>
        <v>16</v>
      </c>
      <c r="B20">
        <f t="shared" si="2"/>
        <v>7597</v>
      </c>
      <c r="C20" t="str">
        <f>IFERROR(INDEX(Starter!B:B,MATCH(B20,Starter!A:A,0)),"")</f>
        <v>Laub, Harald</v>
      </c>
      <c r="D20" t="str">
        <f>IFERROR(INDEX(Starter!C:C,MATCH(B20,Starter!A:A,0)),"")</f>
        <v>BK München</v>
      </c>
      <c r="E20" s="102">
        <f t="shared" si="3"/>
        <v>1478</v>
      </c>
      <c r="F20">
        <f t="shared" si="4"/>
        <v>7</v>
      </c>
      <c r="G20" s="137">
        <f t="shared" si="5"/>
        <v>211.14285712785713</v>
      </c>
      <c r="L20" s="227">
        <f>INDEX(Starter!A:A,ROW()-1)</f>
        <v>7600</v>
      </c>
      <c r="M20">
        <f>SUMIF(Erfassung5!BD:BD,L20,Erfassung5!BW:BW)</f>
        <v>1754</v>
      </c>
      <c r="N20">
        <f>SUMIF(Erfassung5!BD:BD,L20,Erfassung5!BG:BG)</f>
        <v>9</v>
      </c>
      <c r="O20">
        <f t="shared" si="0"/>
        <v>194.8888888688889</v>
      </c>
      <c r="P20">
        <f t="shared" si="1"/>
        <v>33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421</v>
      </c>
      <c r="F21">
        <f t="shared" si="4"/>
        <v>2</v>
      </c>
      <c r="G21" s="137">
        <f t="shared" si="5"/>
        <v>210.49999997</v>
      </c>
      <c r="L21" s="227">
        <f>INDEX(Starter!A:A,ROW()-1)</f>
        <v>7416</v>
      </c>
      <c r="M21">
        <f>SUMIF(Erfassung5!BD:BD,L21,Erfassung5!BW:BW)</f>
        <v>1802</v>
      </c>
      <c r="N21">
        <f>SUMIF(Erfassung5!BD:BD,L21,Erfassung5!BG:BG)</f>
        <v>9</v>
      </c>
      <c r="O21">
        <f t="shared" si="0"/>
        <v>200.22222220122222</v>
      </c>
      <c r="P21">
        <f t="shared" si="1"/>
        <v>27</v>
      </c>
    </row>
    <row r="22" spans="1:16" x14ac:dyDescent="0.25">
      <c r="A22">
        <f t="shared" si="6"/>
        <v>18</v>
      </c>
      <c r="B22">
        <f t="shared" si="2"/>
        <v>7724</v>
      </c>
      <c r="C22" t="str">
        <f>IFERROR(INDEX(Starter!B:B,MATCH(B22,Starter!A:A,0)),"")</f>
        <v>Schlick, Christian</v>
      </c>
      <c r="D22" t="str">
        <f>IFERROR(INDEX(Starter!C:C,MATCH(B22,Starter!A:A,0)),"")</f>
        <v>Comet</v>
      </c>
      <c r="E22" s="102">
        <f t="shared" si="3"/>
        <v>1252</v>
      </c>
      <c r="F22">
        <f t="shared" si="4"/>
        <v>6</v>
      </c>
      <c r="G22" s="137">
        <f t="shared" si="5"/>
        <v>208.66666663766665</v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10124</v>
      </c>
      <c r="C23" t="str">
        <f>IFERROR(INDEX(Starter!B:B,MATCH(B23,Starter!A:A,0)),"")</f>
        <v>Kristof, Robert</v>
      </c>
      <c r="D23" t="str">
        <f>IFERROR(INDEX(Starter!C:C,MATCH(B23,Starter!A:A,0)),"")</f>
        <v>BF Rot-Weiß Lichtenhof 69</v>
      </c>
      <c r="E23" s="102">
        <f t="shared" si="3"/>
        <v>1871</v>
      </c>
      <c r="F23">
        <f t="shared" si="4"/>
        <v>9</v>
      </c>
      <c r="G23" s="137">
        <f t="shared" si="5"/>
        <v>207.88888884688888</v>
      </c>
      <c r="L23" s="227">
        <f>INDEX(Starter!A:A,ROW()-1)</f>
        <v>25297</v>
      </c>
      <c r="M23">
        <f>SUMIF(Erfassung5!BD:BD,L23,Erfassung5!BW:BW)</f>
        <v>1934</v>
      </c>
      <c r="N23">
        <f>SUMIF(Erfassung5!BD:BD,L23,Erfassung5!BG:BG)</f>
        <v>9</v>
      </c>
      <c r="O23">
        <f t="shared" si="0"/>
        <v>214.88888886588887</v>
      </c>
      <c r="P23">
        <f t="shared" si="1"/>
        <v>13</v>
      </c>
    </row>
    <row r="24" spans="1:16" x14ac:dyDescent="0.25">
      <c r="A24">
        <f t="shared" si="6"/>
        <v>20</v>
      </c>
      <c r="B24">
        <f t="shared" si="2"/>
        <v>7602</v>
      </c>
      <c r="C24" t="str">
        <f>IFERROR(INDEX(Starter!B:B,MATCH(B24,Starter!A:A,0)),"")</f>
        <v>Probst, Marco</v>
      </c>
      <c r="D24" t="str">
        <f>IFERROR(INDEX(Starter!C:C,MATCH(B24,Starter!A:A,0)),"")</f>
        <v>BC EMAX</v>
      </c>
      <c r="E24" s="102">
        <f t="shared" si="3"/>
        <v>1661</v>
      </c>
      <c r="F24">
        <f t="shared" si="4"/>
        <v>8</v>
      </c>
      <c r="G24" s="137">
        <f t="shared" si="5"/>
        <v>207.624999946</v>
      </c>
      <c r="L24" s="227">
        <f>INDEX(Starter!A:A,ROW()-1)</f>
        <v>16888</v>
      </c>
      <c r="M24">
        <f>SUMIF(Erfassung5!BD:BD,L24,Erfassung5!BW:BW)</f>
        <v>1864</v>
      </c>
      <c r="N24">
        <f>SUMIF(Erfassung5!BD:BD,L24,Erfassung5!BG:BG)</f>
        <v>9</v>
      </c>
      <c r="O24">
        <f t="shared" si="0"/>
        <v>207.11111108711111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1864</v>
      </c>
      <c r="F25">
        <f t="shared" si="4"/>
        <v>9</v>
      </c>
      <c r="G25" s="137">
        <f t="shared" si="5"/>
        <v>207.11111108711111</v>
      </c>
      <c r="L25" s="227">
        <f>INDEX(Starter!A:A,ROW()-1)</f>
        <v>38092</v>
      </c>
      <c r="M25">
        <f>SUMIF(Erfassung5!BD:BD,L25,Erfassung5!BW:BW)</f>
        <v>1798</v>
      </c>
      <c r="N25">
        <f>SUMIF(Erfassung5!BD:BD,L25,Erfassung5!BG:BG)</f>
        <v>9</v>
      </c>
      <c r="O25">
        <f t="shared" si="0"/>
        <v>199.77777775277778</v>
      </c>
      <c r="P25">
        <f t="shared" si="1"/>
        <v>28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1849</v>
      </c>
      <c r="F26">
        <f t="shared" si="4"/>
        <v>9</v>
      </c>
      <c r="G26" s="137">
        <f t="shared" si="5"/>
        <v>205.44444438744446</v>
      </c>
      <c r="L26" s="227">
        <f>INDEX(Starter!A:A,ROW()-1)</f>
        <v>16243</v>
      </c>
      <c r="M26">
        <f>SUMIF(Erfassung5!BD:BD,L26,Erfassung5!BW:BW)</f>
        <v>1926</v>
      </c>
      <c r="N26">
        <f>SUMIF(Erfassung5!BD:BD,L26,Erfassung5!BG:BG)</f>
        <v>9</v>
      </c>
      <c r="O26">
        <f t="shared" si="0"/>
        <v>213.99999997399999</v>
      </c>
      <c r="P26">
        <f t="shared" si="1"/>
        <v>14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1643</v>
      </c>
      <c r="F27">
        <f t="shared" si="4"/>
        <v>8</v>
      </c>
      <c r="G27" s="137">
        <f t="shared" si="5"/>
        <v>205.37499994500001</v>
      </c>
      <c r="L27" s="227">
        <f>INDEX(Starter!A:A,ROW()-1)</f>
        <v>7725</v>
      </c>
      <c r="M27">
        <f>SUMIF(Erfassung5!BD:BD,L27,Erfassung5!BW:BW)</f>
        <v>162</v>
      </c>
      <c r="N27">
        <f>SUMIF(Erfassung5!BD:BD,L27,Erfassung5!BG:BG)</f>
        <v>1</v>
      </c>
      <c r="O27">
        <f t="shared" si="0"/>
        <v>161.999999973</v>
      </c>
      <c r="P27">
        <f t="shared" si="1"/>
        <v>49</v>
      </c>
    </row>
    <row r="28" spans="1:16" x14ac:dyDescent="0.25">
      <c r="A28">
        <f t="shared" si="6"/>
        <v>24</v>
      </c>
      <c r="B28">
        <f t="shared" si="2"/>
        <v>16495</v>
      </c>
      <c r="C28" t="str">
        <f>IFERROR(INDEX(Starter!B:B,MATCH(B28,Starter!A:A,0)),"")</f>
        <v>Stemmler, Patrick</v>
      </c>
      <c r="D28" t="str">
        <f>IFERROR(INDEX(Starter!C:C,MATCH(B28,Starter!A:A,0)),"")</f>
        <v>SG Rottendorf</v>
      </c>
      <c r="E28" s="102">
        <f t="shared" si="3"/>
        <v>1834</v>
      </c>
      <c r="F28">
        <f t="shared" si="4"/>
        <v>9</v>
      </c>
      <c r="G28" s="137">
        <f t="shared" si="5"/>
        <v>203.77777776577778</v>
      </c>
      <c r="L28" s="227">
        <f>INDEX(Starter!A:A,ROW()-1)</f>
        <v>7734</v>
      </c>
      <c r="M28">
        <f>SUMIF(Erfassung5!BD:BD,L28,Erfassung5!BW:BW)</f>
        <v>2010</v>
      </c>
      <c r="N28">
        <f>SUMIF(Erfassung5!BD:BD,L28,Erfassung5!BG:BG)</f>
        <v>9</v>
      </c>
      <c r="O28">
        <f t="shared" si="0"/>
        <v>223.33333330533335</v>
      </c>
      <c r="P28">
        <f t="shared" si="1"/>
        <v>5</v>
      </c>
    </row>
    <row r="29" spans="1:16" x14ac:dyDescent="0.25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1423</v>
      </c>
      <c r="F29">
        <f t="shared" si="4"/>
        <v>7</v>
      </c>
      <c r="G29" s="137">
        <f t="shared" si="5"/>
        <v>203.28571422071428</v>
      </c>
      <c r="L29" s="227">
        <f>INDEX(Starter!A:A,ROW()-1)</f>
        <v>7724</v>
      </c>
      <c r="M29">
        <f>SUMIF(Erfassung5!BD:BD,L29,Erfassung5!BW:BW)</f>
        <v>1252</v>
      </c>
      <c r="N29">
        <f>SUMIF(Erfassung5!BD:BD,L29,Erfassung5!BG:BG)</f>
        <v>6</v>
      </c>
      <c r="O29">
        <f t="shared" si="0"/>
        <v>208.66666663766665</v>
      </c>
      <c r="P29">
        <f t="shared" si="1"/>
        <v>18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1004</v>
      </c>
      <c r="F30">
        <f t="shared" si="4"/>
        <v>5</v>
      </c>
      <c r="G30" s="137">
        <f t="shared" si="5"/>
        <v>200.79999999700001</v>
      </c>
      <c r="L30" s="227">
        <f>INDEX(Starter!A:A,ROW()-1)</f>
        <v>16896</v>
      </c>
      <c r="M30">
        <f>SUMIF(Erfassung5!BD:BD,L30,Erfassung5!BW:BW)</f>
        <v>421</v>
      </c>
      <c r="N30">
        <f>SUMIF(Erfassung5!BD:BD,L30,Erfassung5!BG:BG)</f>
        <v>2</v>
      </c>
      <c r="O30">
        <f t="shared" si="0"/>
        <v>210.49999997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7416</v>
      </c>
      <c r="C31" t="str">
        <f>IFERROR(INDEX(Starter!B:B,MATCH(B31,Starter!A:A,0)),"")</f>
        <v>Reichert, Ralph</v>
      </c>
      <c r="D31" t="str">
        <f>IFERROR(INDEX(Starter!C:C,MATCH(B31,Starter!A:A,0)),"")</f>
        <v>BC Bajuwaren 1976 München</v>
      </c>
      <c r="E31" s="102">
        <f t="shared" si="3"/>
        <v>1802</v>
      </c>
      <c r="F31">
        <f t="shared" si="4"/>
        <v>9</v>
      </c>
      <c r="G31" s="137">
        <f t="shared" si="5"/>
        <v>200.22222220122222</v>
      </c>
      <c r="L31" s="227">
        <f>INDEX(Starter!A:A,ROW()-1)</f>
        <v>7102</v>
      </c>
      <c r="M31">
        <f>SUMIF(Erfassung5!BD:BD,L31,Erfassung5!BW:BW)</f>
        <v>1937</v>
      </c>
      <c r="N31">
        <f>SUMIF(Erfassung5!BD:BD,L31,Erfassung5!BG:BG)</f>
        <v>9</v>
      </c>
      <c r="O31">
        <f t="shared" si="0"/>
        <v>215.22222219122222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38092</v>
      </c>
      <c r="C32" t="str">
        <f>IFERROR(INDEX(Starter!B:B,MATCH(B32,Starter!A:A,0)),"")</f>
        <v>Kabel, Nicolas</v>
      </c>
      <c r="D32" t="str">
        <f>IFERROR(INDEX(Starter!C:C,MATCH(B32,Starter!A:A,0)),"")</f>
        <v>BSC Highroller Rosenheim</v>
      </c>
      <c r="E32" s="102">
        <f t="shared" si="3"/>
        <v>1798</v>
      </c>
      <c r="F32">
        <f t="shared" si="4"/>
        <v>9</v>
      </c>
      <c r="G32" s="137">
        <f t="shared" si="5"/>
        <v>199.77777775277778</v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16263</v>
      </c>
      <c r="C33" t="str">
        <f>IFERROR(INDEX(Starter!B:B,MATCH(B33,Starter!A:A,0)),"")</f>
        <v>Jackwerth, Enno</v>
      </c>
      <c r="D33" t="str">
        <f>IFERROR(INDEX(Starter!C:C,MATCH(B33,Starter!A:A,0)),"")</f>
        <v>BF Rot-Weiß Lichtenhof 69</v>
      </c>
      <c r="E33" s="102">
        <f t="shared" si="3"/>
        <v>1789</v>
      </c>
      <c r="F33">
        <f t="shared" si="4"/>
        <v>9</v>
      </c>
      <c r="G33" s="137">
        <f t="shared" si="5"/>
        <v>198.77777773477777</v>
      </c>
      <c r="L33" s="227">
        <f>INDEX(Starter!A:A,ROW()-1)</f>
        <v>27134</v>
      </c>
      <c r="M33">
        <f>SUMIF(Erfassung5!BD:BD,L33,Erfassung5!BW:BW)</f>
        <v>523</v>
      </c>
      <c r="N33">
        <f>SUMIF(Erfassung5!BD:BD,L33,Erfassung5!BG:BG)</f>
        <v>3</v>
      </c>
      <c r="O33">
        <f t="shared" si="0"/>
        <v>174.33333330033335</v>
      </c>
      <c r="P33">
        <f t="shared" si="1"/>
        <v>47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596</v>
      </c>
      <c r="F34">
        <f t="shared" si="4"/>
        <v>3</v>
      </c>
      <c r="G34" s="137">
        <f t="shared" si="5"/>
        <v>198.66666665666665</v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7591</v>
      </c>
      <c r="C35" t="str">
        <f>IFERROR(INDEX(Starter!B:B,MATCH(B35,Starter!A:A,0)),"")</f>
        <v>Börding, Daniel</v>
      </c>
      <c r="D35" t="str">
        <f>IFERROR(INDEX(Starter!C:C,MATCH(B35,Starter!A:A,0)),"")</f>
        <v>BK München</v>
      </c>
      <c r="E35" s="102">
        <f t="shared" si="3"/>
        <v>1387</v>
      </c>
      <c r="F35">
        <f t="shared" si="4"/>
        <v>7</v>
      </c>
      <c r="G35" s="137">
        <f t="shared" si="5"/>
        <v>198.14285709585715</v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16469</v>
      </c>
      <c r="C36" t="str">
        <f>IFERROR(INDEX(Starter!B:B,MATCH(B36,Starter!A:A,0)),"")</f>
        <v>Breitenstein, Alexander Kurt</v>
      </c>
      <c r="D36" t="str">
        <f>IFERROR(INDEX(Starter!C:C,MATCH(B36,Starter!A:A,0)),"")</f>
        <v>BF Rot-Weiß Lichtenhof 69</v>
      </c>
      <c r="E36" s="102">
        <f t="shared" si="3"/>
        <v>980</v>
      </c>
      <c r="F36">
        <f t="shared" si="4"/>
        <v>5</v>
      </c>
      <c r="G36" s="137">
        <f t="shared" si="5"/>
        <v>195.999999927</v>
      </c>
      <c r="L36" s="227">
        <f>INDEX(Starter!A:A,ROW()-1)</f>
        <v>25554</v>
      </c>
      <c r="M36">
        <f>SUMIF(Erfassung5!BD:BD,L36,Erfassung5!BW:BW)</f>
        <v>180</v>
      </c>
      <c r="N36">
        <f>SUMIF(Erfassung5!BD:BD,L36,Erfassung5!BG:BG)</f>
        <v>1</v>
      </c>
      <c r="O36">
        <f t="shared" si="0"/>
        <v>179.99999996400001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7600</v>
      </c>
      <c r="C37" t="str">
        <f>IFERROR(INDEX(Starter!B:B,MATCH(B37,Starter!A:A,0)),"")</f>
        <v>Lüthje, Dennis</v>
      </c>
      <c r="D37" t="str">
        <f>IFERROR(INDEX(Starter!C:C,MATCH(B37,Starter!A:A,0)),"")</f>
        <v>BC Bajuwaren 1976 München</v>
      </c>
      <c r="E37" s="102">
        <f t="shared" ref="E37:E68" si="8">IFERROR(INDEX(M:M,MATCH(A37,P:P,0)),"")</f>
        <v>1754</v>
      </c>
      <c r="F37">
        <f t="shared" ref="F37:F68" si="9">IFERROR(INDEX(N:N,MATCH(A37,P:P,0)),"")</f>
        <v>9</v>
      </c>
      <c r="G37" s="137">
        <f t="shared" ref="G37:G68" si="10">IFERROR(INDEX(O:O,MATCH(A37,P:P,0)),"")</f>
        <v>194.8888888688889</v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50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16945</v>
      </c>
      <c r="C38" t="str">
        <f>IFERROR(INDEX(Starter!B:B,MATCH(B38,Starter!A:A,0)),"")</f>
        <v>Reichardt, Stefan</v>
      </c>
      <c r="D38" t="str">
        <f>IFERROR(INDEX(Starter!C:C,MATCH(B38,Starter!A:A,0)),"")</f>
        <v>SG Rottendorf</v>
      </c>
      <c r="E38" s="102">
        <f t="shared" si="8"/>
        <v>1167</v>
      </c>
      <c r="F38">
        <f t="shared" si="9"/>
        <v>6</v>
      </c>
      <c r="G38" s="137">
        <f t="shared" si="10"/>
        <v>194.499999987</v>
      </c>
      <c r="L38" s="227">
        <f>INDEX(Starter!A:A,ROW()-1)</f>
        <v>38041</v>
      </c>
      <c r="M38">
        <f>SUMIF(Erfassung5!BD:BD,L38,Erfassung5!BW:BW)</f>
        <v>1741</v>
      </c>
      <c r="N38">
        <f>SUMIF(Erfassung5!BD:BD,L38,Erfassung5!BG:BG)</f>
        <v>9</v>
      </c>
      <c r="O38">
        <f t="shared" si="0"/>
        <v>193.44444440644446</v>
      </c>
      <c r="P38">
        <f t="shared" si="1"/>
        <v>36</v>
      </c>
    </row>
    <row r="39" spans="1:16" x14ac:dyDescent="0.25">
      <c r="A39">
        <f t="shared" si="11"/>
        <v>35</v>
      </c>
      <c r="B39">
        <f t="shared" si="7"/>
        <v>38039</v>
      </c>
      <c r="C39" t="str">
        <f>IFERROR(INDEX(Starter!B:B,MATCH(B39,Starter!A:A,0)),"")</f>
        <v>Plaschka, Nico</v>
      </c>
      <c r="D39" t="str">
        <f>IFERROR(INDEX(Starter!C:C,MATCH(B39,Starter!A:A,0)),"")</f>
        <v>DJK Rimpar</v>
      </c>
      <c r="E39" s="102">
        <f t="shared" si="8"/>
        <v>1161</v>
      </c>
      <c r="F39">
        <f t="shared" si="9"/>
        <v>6</v>
      </c>
      <c r="G39" s="137">
        <f t="shared" si="10"/>
        <v>193.499999952</v>
      </c>
      <c r="L39" s="227">
        <f>INDEX(Starter!A:A,ROW()-1)</f>
        <v>25516</v>
      </c>
      <c r="M39">
        <f>SUMIF(Erfassung5!BD:BD,L39,Erfassung5!BW:BW)</f>
        <v>1737</v>
      </c>
      <c r="N39">
        <f>SUMIF(Erfassung5!BD:BD,L39,Erfassung5!BG:BG)</f>
        <v>9</v>
      </c>
      <c r="O39">
        <f t="shared" si="0"/>
        <v>192.99999996099999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38041</v>
      </c>
      <c r="C40" t="str">
        <f>IFERROR(INDEX(Starter!B:B,MATCH(B40,Starter!A:A,0)),"")</f>
        <v>Röhlig, Jörg</v>
      </c>
      <c r="D40" t="str">
        <f>IFERROR(INDEX(Starter!C:C,MATCH(B40,Starter!A:A,0)),"")</f>
        <v>BC Bamberger Bowlinghaus</v>
      </c>
      <c r="E40" s="102">
        <f t="shared" si="8"/>
        <v>1741</v>
      </c>
      <c r="F40">
        <f t="shared" si="9"/>
        <v>9</v>
      </c>
      <c r="G40" s="137">
        <f t="shared" si="10"/>
        <v>193.44444440644446</v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50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1737</v>
      </c>
      <c r="F41">
        <f t="shared" si="9"/>
        <v>9</v>
      </c>
      <c r="G41" s="137">
        <f t="shared" si="10"/>
        <v>192.99999996099999</v>
      </c>
      <c r="L41" s="227">
        <f>INDEX(Starter!A:A,ROW()-1)</f>
        <v>7937</v>
      </c>
      <c r="M41">
        <f>SUMIF(Erfassung5!BD:BD,L41,Erfassung5!BW:BW)</f>
        <v>2136</v>
      </c>
      <c r="N41">
        <f>SUMIF(Erfassung5!BD:BD,L41,Erfassung5!BG:BG)</f>
        <v>9</v>
      </c>
      <c r="O41">
        <f t="shared" si="0"/>
        <v>237.33333329233335</v>
      </c>
      <c r="P41">
        <f t="shared" si="1"/>
        <v>1</v>
      </c>
    </row>
    <row r="42" spans="1:16" x14ac:dyDescent="0.25">
      <c r="A42">
        <f t="shared" si="11"/>
        <v>38</v>
      </c>
      <c r="B42">
        <f t="shared" si="7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8"/>
        <v>1721</v>
      </c>
      <c r="F42">
        <f t="shared" si="9"/>
        <v>9</v>
      </c>
      <c r="G42" s="137">
        <f t="shared" si="10"/>
        <v>191.22222217722222</v>
      </c>
      <c r="L42" s="227">
        <f>INDEX(Starter!A:A,ROW()-1)</f>
        <v>10124</v>
      </c>
      <c r="M42">
        <f>SUMIF(Erfassung5!BD:BD,L42,Erfassung5!BW:BW)</f>
        <v>1871</v>
      </c>
      <c r="N42">
        <f>SUMIF(Erfassung5!BD:BD,L42,Erfassung5!BG:BG)</f>
        <v>9</v>
      </c>
      <c r="O42">
        <f t="shared" si="0"/>
        <v>207.88888884688888</v>
      </c>
      <c r="P42">
        <f t="shared" si="1"/>
        <v>19</v>
      </c>
    </row>
    <row r="43" spans="1:16" x14ac:dyDescent="0.25">
      <c r="A43">
        <f t="shared" si="11"/>
        <v>39</v>
      </c>
      <c r="B43">
        <f t="shared" si="7"/>
        <v>38043</v>
      </c>
      <c r="C43" t="str">
        <f>IFERROR(INDEX(Starter!B:B,MATCH(B43,Starter!A:A,0)),"")</f>
        <v>Badum, Daniel</v>
      </c>
      <c r="D43" t="str">
        <f>IFERROR(INDEX(Starter!C:C,MATCH(B43,Starter!A:A,0)),"")</f>
        <v>BC Bamberger Bowlinghaus</v>
      </c>
      <c r="E43" s="102">
        <f t="shared" si="8"/>
        <v>1710</v>
      </c>
      <c r="F43">
        <f t="shared" si="9"/>
        <v>9</v>
      </c>
      <c r="G43" s="137">
        <f t="shared" si="10"/>
        <v>189.99999994199999</v>
      </c>
      <c r="L43" s="227">
        <f>INDEX(Starter!A:A,ROW()-1)</f>
        <v>16263</v>
      </c>
      <c r="M43">
        <f>SUMIF(Erfassung5!BD:BD,L43,Erfassung5!BW:BW)</f>
        <v>1789</v>
      </c>
      <c r="N43">
        <f>SUMIF(Erfassung5!BD:BD,L43,Erfassung5!BG:BG)</f>
        <v>9</v>
      </c>
      <c r="O43">
        <f t="shared" si="0"/>
        <v>198.77777773477777</v>
      </c>
      <c r="P43">
        <f t="shared" si="1"/>
        <v>29</v>
      </c>
    </row>
    <row r="44" spans="1:16" x14ac:dyDescent="0.25">
      <c r="A44">
        <f t="shared" si="11"/>
        <v>40</v>
      </c>
      <c r="B44">
        <f t="shared" si="7"/>
        <v>16352</v>
      </c>
      <c r="C44" t="str">
        <f>IFERROR(INDEX(Starter!B:B,MATCH(B44,Starter!A:A,0)),"")</f>
        <v>Scholz, Alexander</v>
      </c>
      <c r="D44" t="str">
        <f>IFERROR(INDEX(Starter!C:C,MATCH(B44,Starter!A:A,0)),"")</f>
        <v>SG Rottendorf</v>
      </c>
      <c r="E44" s="102">
        <f t="shared" si="8"/>
        <v>1705</v>
      </c>
      <c r="F44">
        <f t="shared" si="9"/>
        <v>9</v>
      </c>
      <c r="G44" s="137">
        <f t="shared" si="10"/>
        <v>189.44444443344446</v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50</v>
      </c>
    </row>
    <row r="45" spans="1:16" x14ac:dyDescent="0.25">
      <c r="A45">
        <f t="shared" si="11"/>
        <v>41</v>
      </c>
      <c r="B45">
        <f t="shared" si="7"/>
        <v>16519</v>
      </c>
      <c r="C45" t="str">
        <f>IFERROR(INDEX(Starter!B:B,MATCH(B45,Starter!A:A,0)),"")</f>
        <v>Tos, Sascha</v>
      </c>
      <c r="D45" t="str">
        <f>IFERROR(INDEX(Starter!C:C,MATCH(B45,Starter!A:A,0)),"")</f>
        <v>BSC Highroller Rosenheim</v>
      </c>
      <c r="E45" s="102">
        <f t="shared" si="8"/>
        <v>566</v>
      </c>
      <c r="F45">
        <f t="shared" si="9"/>
        <v>3</v>
      </c>
      <c r="G45" s="137">
        <f t="shared" si="10"/>
        <v>188.66666660666667</v>
      </c>
      <c r="L45" s="227">
        <f>INDEX(Starter!A:A,ROW()-1)</f>
        <v>7601</v>
      </c>
      <c r="M45">
        <f>SUMIF(Erfassung5!BD:BD,L45,Erfassung5!BW:BW)</f>
        <v>1721</v>
      </c>
      <c r="N45">
        <f>SUMIF(Erfassung5!BD:BD,L45,Erfassung5!BG:BG)</f>
        <v>9</v>
      </c>
      <c r="O45">
        <f t="shared" si="0"/>
        <v>191.22222217722222</v>
      </c>
      <c r="P45">
        <f t="shared" si="1"/>
        <v>38</v>
      </c>
    </row>
    <row r="46" spans="1:16" x14ac:dyDescent="0.25">
      <c r="A46">
        <f t="shared" si="11"/>
        <v>42</v>
      </c>
      <c r="B46">
        <f t="shared" si="7"/>
        <v>16301</v>
      </c>
      <c r="C46" t="str">
        <f>IFERROR(INDEX(Starter!B:B,MATCH(B46,Starter!A:A,0)),"")</f>
        <v>Werder, Jan-Uwe</v>
      </c>
      <c r="D46" t="str">
        <f>IFERROR(INDEX(Starter!C:C,MATCH(B46,Starter!A:A,0)),"")</f>
        <v>DJK Rimpar</v>
      </c>
      <c r="E46" s="102">
        <f t="shared" si="8"/>
        <v>1306</v>
      </c>
      <c r="F46">
        <f t="shared" si="9"/>
        <v>7</v>
      </c>
      <c r="G46" s="137">
        <f t="shared" si="10"/>
        <v>186.57142856642858</v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50</v>
      </c>
    </row>
    <row r="47" spans="1:16" x14ac:dyDescent="0.25">
      <c r="A47">
        <f t="shared" si="11"/>
        <v>43</v>
      </c>
      <c r="B47">
        <f t="shared" si="7"/>
        <v>25061</v>
      </c>
      <c r="C47" t="str">
        <f>IFERROR(INDEX(Starter!B:B,MATCH(B47,Starter!A:A,0)),"")</f>
        <v>Schwarz, Christian</v>
      </c>
      <c r="D47" t="str">
        <f>IFERROR(INDEX(Starter!C:C,MATCH(B47,Starter!A:A,0)),"")</f>
        <v>BSC Highroller Rosenheim</v>
      </c>
      <c r="E47" s="102">
        <f t="shared" si="8"/>
        <v>1114</v>
      </c>
      <c r="F47">
        <f t="shared" si="9"/>
        <v>6</v>
      </c>
      <c r="G47" s="137">
        <f t="shared" si="10"/>
        <v>185.66666660766666</v>
      </c>
      <c r="L47" s="227">
        <f>INDEX(Starter!A:A,ROW()-1)</f>
        <v>7591</v>
      </c>
      <c r="M47">
        <f>SUMIF(Erfassung5!BD:BD,L47,Erfassung5!BW:BW)</f>
        <v>1387</v>
      </c>
      <c r="N47">
        <f>SUMIF(Erfassung5!BD:BD,L47,Erfassung5!BG:BG)</f>
        <v>7</v>
      </c>
      <c r="O47">
        <f t="shared" si="0"/>
        <v>198.14285709585715</v>
      </c>
      <c r="P47">
        <f t="shared" si="1"/>
        <v>31</v>
      </c>
    </row>
    <row r="48" spans="1:16" x14ac:dyDescent="0.25">
      <c r="A48">
        <f t="shared" si="11"/>
        <v>44</v>
      </c>
      <c r="B48">
        <f t="shared" si="7"/>
        <v>38361</v>
      </c>
      <c r="C48" t="str">
        <f>IFERROR(INDEX(Starter!B:B,MATCH(B48,Starter!A:A,0)),"")</f>
        <v>Schmied, Markus</v>
      </c>
      <c r="D48" t="str">
        <f>IFERROR(INDEX(Starter!C:C,MATCH(B48,Starter!A:A,0)),"")</f>
        <v>BC Schanzer Strikers</v>
      </c>
      <c r="E48" s="102">
        <f t="shared" si="8"/>
        <v>1647</v>
      </c>
      <c r="F48">
        <f t="shared" si="9"/>
        <v>9</v>
      </c>
      <c r="G48" s="137">
        <f t="shared" si="10"/>
        <v>182.99999999299999</v>
      </c>
      <c r="L48" s="227">
        <f>INDEX(Starter!A:A,ROW()-1)</f>
        <v>38039</v>
      </c>
      <c r="M48">
        <f>SUMIF(Erfassung5!BD:BD,L48,Erfassung5!BW:BW)</f>
        <v>1161</v>
      </c>
      <c r="N48">
        <f>SUMIF(Erfassung5!BD:BD,L48,Erfassung5!BG:BG)</f>
        <v>6</v>
      </c>
      <c r="O48">
        <f t="shared" si="0"/>
        <v>193.499999952</v>
      </c>
      <c r="P48">
        <f t="shared" si="1"/>
        <v>35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180</v>
      </c>
      <c r="F49">
        <f t="shared" si="9"/>
        <v>1</v>
      </c>
      <c r="G49" s="137">
        <f t="shared" si="10"/>
        <v>179.99999996400001</v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38411</v>
      </c>
      <c r="C50" t="str">
        <f>IFERROR(INDEX(Starter!B:B,MATCH(B50,Starter!A:A,0)),"")</f>
        <v>Hartl, Thomas</v>
      </c>
      <c r="D50" t="str">
        <f>IFERROR(INDEX(Starter!C:C,MATCH(B50,Starter!A:A,0)),"")</f>
        <v>BC Schanzer Strikers</v>
      </c>
      <c r="E50" s="102">
        <f t="shared" si="8"/>
        <v>1599</v>
      </c>
      <c r="F50">
        <f t="shared" si="9"/>
        <v>9</v>
      </c>
      <c r="G50" s="137">
        <f t="shared" si="10"/>
        <v>177.66666666066666</v>
      </c>
      <c r="L50" s="227">
        <f>INDEX(Starter!A:A,ROW()-1)</f>
        <v>16862</v>
      </c>
      <c r="M50">
        <f>SUMIF(Erfassung5!BD:BD,L50,Erfassung5!BW:BW)</f>
        <v>1957</v>
      </c>
      <c r="N50">
        <f>SUMIF(Erfassung5!BD:BD,L50,Erfassung5!BG:BG)</f>
        <v>9</v>
      </c>
      <c r="O50">
        <f t="shared" si="0"/>
        <v>217.44444439444445</v>
      </c>
      <c r="P50">
        <f t="shared" si="1"/>
        <v>7</v>
      </c>
    </row>
    <row r="51" spans="1:16" x14ac:dyDescent="0.25">
      <c r="A51">
        <f t="shared" si="11"/>
        <v>47</v>
      </c>
      <c r="B51">
        <f t="shared" si="7"/>
        <v>27134</v>
      </c>
      <c r="C51" t="str">
        <f>IFERROR(INDEX(Starter!B:B,MATCH(B51,Starter!A:A,0)),"")</f>
        <v>Lohse, Sebastian</v>
      </c>
      <c r="D51" t="str">
        <f>IFERROR(INDEX(Starter!C:C,MATCH(B51,Starter!A:A,0)),"")</f>
        <v>BC EMAX</v>
      </c>
      <c r="E51" s="102">
        <f t="shared" si="8"/>
        <v>523</v>
      </c>
      <c r="F51">
        <f t="shared" si="9"/>
        <v>3</v>
      </c>
      <c r="G51" s="137">
        <f t="shared" si="10"/>
        <v>174.33333330033335</v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50</v>
      </c>
    </row>
    <row r="52" spans="1:16" x14ac:dyDescent="0.25">
      <c r="A52">
        <f t="shared" si="11"/>
        <v>48</v>
      </c>
      <c r="B52">
        <f t="shared" si="7"/>
        <v>38907</v>
      </c>
      <c r="C52" t="str">
        <f>IFERROR(INDEX(Starter!B:B,MATCH(B52,Starter!A:A,0)),"")</f>
        <v>Moser, Thomas</v>
      </c>
      <c r="D52" t="str">
        <f>IFERROR(INDEX(Starter!C:C,MATCH(B52,Starter!A:A,0)),"")</f>
        <v>BF Rot-Weiß Lichtenhof 69</v>
      </c>
      <c r="E52" s="102">
        <f t="shared" si="8"/>
        <v>689</v>
      </c>
      <c r="F52">
        <f t="shared" si="9"/>
        <v>4</v>
      </c>
      <c r="G52" s="137">
        <f t="shared" si="10"/>
        <v>172.24999992799999</v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7725</v>
      </c>
      <c r="C53" t="str">
        <f>IFERROR(INDEX(Starter!B:B,MATCH(B53,Starter!A:A,0)),"")</f>
        <v>Schlundt, Michael</v>
      </c>
      <c r="D53" t="str">
        <f>IFERROR(INDEX(Starter!C:C,MATCH(B53,Starter!A:A,0)),"")</f>
        <v>Comet</v>
      </c>
      <c r="E53" s="102">
        <f t="shared" si="8"/>
        <v>162</v>
      </c>
      <c r="F53">
        <f t="shared" si="9"/>
        <v>1</v>
      </c>
      <c r="G53" s="137">
        <f t="shared" si="10"/>
        <v>161.999999973</v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1661</v>
      </c>
      <c r="N54">
        <f>SUMIF(Erfassung5!BD:BD,L54,Erfassung5!BG:BG)</f>
        <v>8</v>
      </c>
      <c r="O54">
        <f t="shared" si="0"/>
        <v>207.624999946</v>
      </c>
      <c r="P54">
        <f t="shared" si="1"/>
        <v>20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1643</v>
      </c>
      <c r="N55">
        <f>SUMIF(Erfassung5!BD:BD,L55,Erfassung5!BG:BG)</f>
        <v>8</v>
      </c>
      <c r="O55">
        <f t="shared" si="0"/>
        <v>205.37499994500001</v>
      </c>
      <c r="P55">
        <f t="shared" si="1"/>
        <v>23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50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1849</v>
      </c>
      <c r="N57">
        <f>SUMIF(Erfassung5!BD:BD,L57,Erfassung5!BG:BG)</f>
        <v>9</v>
      </c>
      <c r="O57">
        <f t="shared" si="0"/>
        <v>205.44444438744446</v>
      </c>
      <c r="P57">
        <f t="shared" si="1"/>
        <v>22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1710</v>
      </c>
      <c r="N58">
        <f>SUMIF(Erfassung5!BD:BD,L58,Erfassung5!BG:BG)</f>
        <v>9</v>
      </c>
      <c r="O58">
        <f t="shared" si="0"/>
        <v>189.99999994199999</v>
      </c>
      <c r="P58">
        <f t="shared" si="1"/>
        <v>39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1114</v>
      </c>
      <c r="N59">
        <f>SUMIF(Erfassung5!BD:BD,L59,Erfassung5!BG:BG)</f>
        <v>6</v>
      </c>
      <c r="O59">
        <f t="shared" si="0"/>
        <v>185.66666660766666</v>
      </c>
      <c r="P59">
        <f t="shared" si="1"/>
        <v>43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566</v>
      </c>
      <c r="N60">
        <f>SUMIF(Erfassung5!BD:BD,L60,Erfassung5!BG:BG)</f>
        <v>3</v>
      </c>
      <c r="O60">
        <f t="shared" si="0"/>
        <v>188.66666660666667</v>
      </c>
      <c r="P60">
        <f t="shared" si="1"/>
        <v>41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50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50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50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50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1423</v>
      </c>
      <c r="N65">
        <f>SUMIF(Erfassung5!BD:BD,L65,Erfassung5!BG:BG)</f>
        <v>7</v>
      </c>
      <c r="O65">
        <f t="shared" si="0"/>
        <v>203.28571422071428</v>
      </c>
      <c r="P65">
        <f t="shared" si="1"/>
        <v>25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1938</v>
      </c>
      <c r="N66">
        <f>SUMIF(Erfassung5!BD:BD,L66,Erfassung5!BG:BG)</f>
        <v>9</v>
      </c>
      <c r="O66">
        <f t="shared" ref="O66:O104" si="12">IF(N66=0,0,M66/N66-ROW()/1000000000)</f>
        <v>215.33333326733333</v>
      </c>
      <c r="P66">
        <f t="shared" ref="P66:P104" si="13">RANK(O66,O:O)</f>
        <v>11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50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SUMIF(Erfassung5!BD:BD,L72,Erfassung5!BW:BW)</f>
        <v>689</v>
      </c>
      <c r="N72">
        <f>SUMIF(Erfassung5!BD:BD,L72,Erfassung5!BG:BG)</f>
        <v>4</v>
      </c>
      <c r="O72">
        <f t="shared" si="12"/>
        <v>172.24999992799999</v>
      </c>
      <c r="P72">
        <f t="shared" si="13"/>
        <v>48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SUMIF(Erfassung5!BD:BD,L73,Erfassung5!BW:BW)</f>
        <v>980</v>
      </c>
      <c r="N73">
        <f>SUMIF(Erfassung5!BD:BD,L73,Erfassung5!BG:BG)</f>
        <v>5</v>
      </c>
      <c r="O73">
        <f t="shared" si="12"/>
        <v>195.999999927</v>
      </c>
      <c r="P73">
        <f t="shared" si="13"/>
        <v>32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7722</v>
      </c>
      <c r="N2">
        <f>INDEX(SchnittGes4!N:N,MATCH(L2,SchnittGes4!L:L,0))+INDEX(Schnitt5!N:N,MATCH(L2,Schnitt5!L:L,0))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6878</v>
      </c>
      <c r="N3">
        <f>INDEX(SchnittGes4!N:N,MATCH(L3,SchnittGes4!L:L,0))+INDEX(Schnitt5!N:N,MATCH(L3,Schnitt5!L:L,0))</f>
        <v>36</v>
      </c>
      <c r="O3">
        <f t="shared" si="0"/>
        <v>191.05555555255555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9077</v>
      </c>
      <c r="N4">
        <f>INDEX(SchnittGes4!N:N,MATCH(L4,SchnittGes4!L:L,0))+INDEX(Schnitt5!N:N,MATCH(L4,Schnitt5!L:L,0))</f>
        <v>44</v>
      </c>
      <c r="O4">
        <f t="shared" si="0"/>
        <v>206.29545454145455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7315</v>
      </c>
      <c r="N5">
        <f>INDEX(SchnittGes4!N:N,MATCH(L5,SchnittGes4!L:L,0))+INDEX(Schnitt5!N:N,MATCH(L5,Schnitt5!L:L,0))</f>
        <v>38</v>
      </c>
      <c r="O5">
        <f t="shared" si="0"/>
        <v>192.499999995</v>
      </c>
      <c r="P5">
        <f t="shared" si="1"/>
        <v>30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INDEX(SchnittGes4!M:M,MATCH(L6,SchnittGes4!L:L,0))+INDEX(Schnitt5!M:M,MATCH(L6,Schnitt5!L:L,0))</f>
        <v>6132</v>
      </c>
      <c r="N6">
        <f>INDEX(SchnittGes4!N:N,MATCH(L6,SchnittGes4!L:L,0))+INDEX(Schnitt5!N:N,MATCH(L6,Schnitt5!L:L,0))</f>
        <v>36</v>
      </c>
      <c r="O6">
        <f t="shared" si="0"/>
        <v>170.33333332733335</v>
      </c>
      <c r="P6">
        <f t="shared" si="1"/>
        <v>62</v>
      </c>
    </row>
    <row r="7" spans="1:16" x14ac:dyDescent="0.25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INDEX(SchnittGes4!M:M,MATCH(L7,SchnittGes4!L:L,0))+INDEX(Schnitt5!M:M,MATCH(L7,Schnitt5!L:L,0))</f>
        <v>7728</v>
      </c>
      <c r="N7">
        <f>INDEX(SchnittGes4!N:N,MATCH(L7,SchnittGes4!L:L,0))+INDEX(Schnitt5!N:N,MATCH(L7,Schnitt5!L:L,0))</f>
        <v>45</v>
      </c>
      <c r="O7">
        <f t="shared" si="0"/>
        <v>171.73333332633331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INDEX(SchnittGes4!M:M,MATCH(L8,SchnittGes4!L:L,0))+INDEX(Schnitt5!M:M,MATCH(L8,Schnitt5!L:L,0))</f>
        <v>5180</v>
      </c>
      <c r="N8">
        <f>INDEX(SchnittGes4!N:N,MATCH(L8,SchnittGes4!L:L,0))+INDEX(Schnitt5!N:N,MATCH(L8,Schnitt5!L:L,0))</f>
        <v>27</v>
      </c>
      <c r="O8">
        <f t="shared" si="0"/>
        <v>191.85185184385185</v>
      </c>
      <c r="P8">
        <f t="shared" si="1"/>
        <v>31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INDEX(SchnittGes4!M:M,MATCH(L9,SchnittGes4!L:L,0))+INDEX(Schnitt5!M:M,MATCH(L9,Schnitt5!L:L,0))</f>
        <v>8925</v>
      </c>
      <c r="N9">
        <f>INDEX(SchnittGes4!N:N,MATCH(L9,SchnittGes4!L:L,0))+INDEX(Schnitt5!N:N,MATCH(L9,Schnitt5!L:L,0))</f>
        <v>45</v>
      </c>
      <c r="O9">
        <f t="shared" si="0"/>
        <v>198.33333332433335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INDEX(SchnittGes4!M:M,MATCH(L10,SchnittGes4!L:L,0))+INDEX(Schnitt5!M:M,MATCH(L10,Schnitt5!L:L,0))</f>
        <v>6034</v>
      </c>
      <c r="N10">
        <f>INDEX(SchnittGes4!N:N,MATCH(L10,SchnittGes4!L:L,0))+INDEX(Schnitt5!N:N,MATCH(L10,Schnitt5!L:L,0))</f>
        <v>32</v>
      </c>
      <c r="O10">
        <f t="shared" si="0"/>
        <v>188.56249998999999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INDEX(SchnittGes4!M:M,MATCH(L11,SchnittGes4!L:L,0))+INDEX(Schnitt5!M:M,MATCH(L11,Schnitt5!L:L,0))</f>
        <v>2902</v>
      </c>
      <c r="N11">
        <f>INDEX(SchnittGes4!N:N,MATCH(L11,SchnittGes4!L:L,0))+INDEX(Schnitt5!N:N,MATCH(L11,Schnitt5!L:L,0))</f>
        <v>16</v>
      </c>
      <c r="O11">
        <f t="shared" si="0"/>
        <v>181.374999989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INDEX(SchnittGes4!M:M,MATCH(L12,SchnittGes4!L:L,0))+INDEX(Schnitt5!M:M,MATCH(L12,Schnitt5!L:L,0))</f>
        <v>8276</v>
      </c>
      <c r="N12">
        <f>INDEX(SchnittGes4!N:N,MATCH(L12,SchnittGes4!L:L,0))+INDEX(Schnitt5!N:N,MATCH(L12,Schnitt5!L:L,0))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INDEX(SchnittGes4!M:M,MATCH(L13,SchnittGes4!L:L,0))+INDEX(Schnitt5!M:M,MATCH(L13,Schnitt5!L:L,0))</f>
        <v>8144</v>
      </c>
      <c r="N13">
        <f>INDEX(SchnittGes4!N:N,MATCH(L13,SchnittGes4!L:L,0))+INDEX(Schnitt5!N:N,MATCH(L13,Schnitt5!L:L,0))</f>
        <v>42</v>
      </c>
      <c r="O13">
        <f t="shared" si="7"/>
        <v>193.90476189176189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INDEX(SchnittGes4!M:M,MATCH(L14,SchnittGes4!L:L,0))+INDEX(Schnitt5!M:M,MATCH(L14,Schnitt5!L:L,0))</f>
        <v>4411</v>
      </c>
      <c r="N14">
        <f>INDEX(SchnittGes4!N:N,MATCH(L14,SchnittGes4!L:L,0))+INDEX(Schnitt5!N:N,MATCH(L14,Schnitt5!L:L,0))</f>
        <v>22</v>
      </c>
      <c r="O14">
        <f t="shared" si="7"/>
        <v>200.49999998600001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INDEX(SchnittGes4!M:M,MATCH(L15,SchnittGes4!L:L,0))+INDEX(Schnitt5!M:M,MATCH(L15,Schnitt5!L:L,0))</f>
        <v>6257</v>
      </c>
      <c r="N15">
        <f>INDEX(SchnittGes4!N:N,MATCH(L15,SchnittGes4!L:L,0))+INDEX(Schnitt5!N:N,MATCH(L15,Schnitt5!L:L,0))</f>
        <v>33</v>
      </c>
      <c r="O15">
        <f t="shared" si="7"/>
        <v>189.60606059106058</v>
      </c>
      <c r="P15">
        <f t="shared" si="1"/>
        <v>35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INDEX(SchnittGes4!M:M,MATCH(L16,SchnittGes4!L:L,0))+INDEX(Schnitt5!M:M,MATCH(L16,Schnitt5!L:L,0))</f>
        <v>5545</v>
      </c>
      <c r="N16">
        <f>INDEX(SchnittGes4!N:N,MATCH(L16,SchnittGes4!L:L,0))+INDEX(Schnitt5!N:N,MATCH(L16,Schnitt5!L:L,0))</f>
        <v>27</v>
      </c>
      <c r="O16">
        <f t="shared" si="7"/>
        <v>205.37037035437038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INDEX(SchnittGes4!M:M,MATCH(L17,SchnittGes4!L:L,0))+INDEX(Schnitt5!M:M,MATCH(L17,Schnitt5!L:L,0))</f>
        <v>6513</v>
      </c>
      <c r="N17">
        <f>INDEX(SchnittGes4!N:N,MATCH(L17,SchnittGes4!L:L,0))+INDEX(Schnitt5!N:N,MATCH(L17,Schnitt5!L:L,0))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INDEX(SchnittGes4!M:M,MATCH(L18,SchnittGes4!L:L,0))+INDEX(Schnitt5!M:M,MATCH(L18,Schnitt5!L:L,0))</f>
        <v>9317</v>
      </c>
      <c r="N18">
        <f>INDEX(SchnittGes4!N:N,MATCH(L18,SchnittGes4!L:L,0))+INDEX(Schnitt5!N:N,MATCH(L18,Schnitt5!L:L,0))</f>
        <v>45</v>
      </c>
      <c r="O18">
        <f t="shared" si="7"/>
        <v>207.04444442644444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55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INDEX(SchnittGes4!M:M,MATCH(L20,SchnittGes4!L:L,0))+INDEX(Schnitt5!M:M,MATCH(L20,Schnitt5!L:L,0))</f>
        <v>6539</v>
      </c>
      <c r="N20">
        <f>INDEX(SchnittGes4!N:N,MATCH(L20,SchnittGes4!L:L,0))+INDEX(Schnitt5!N:N,MATCH(L20,Schnitt5!L:L,0))</f>
        <v>35</v>
      </c>
      <c r="O20">
        <f t="shared" si="7"/>
        <v>186.82857140857143</v>
      </c>
      <c r="P20">
        <f t="shared" si="1"/>
        <v>43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4411</v>
      </c>
      <c r="F21">
        <f t="shared" si="4"/>
        <v>22</v>
      </c>
      <c r="G21" s="137">
        <f t="shared" si="5"/>
        <v>200.49999998600001</v>
      </c>
      <c r="L21" s="227">
        <f>INDEX(Starter!A:A,ROW()-1)</f>
        <v>7416</v>
      </c>
      <c r="M21">
        <f>INDEX(SchnittGes4!M:M,MATCH(L21,SchnittGes4!L:L,0))+INDEX(Schnitt5!M:M,MATCH(L21,Schnitt5!L:L,0))</f>
        <v>8910</v>
      </c>
      <c r="N21">
        <f>INDEX(SchnittGes4!N:N,MATCH(L21,SchnittGes4!L:L,0))+INDEX(Schnitt5!N:N,MATCH(L21,Schnitt5!L:L,0))</f>
        <v>45</v>
      </c>
      <c r="O21">
        <f t="shared" si="7"/>
        <v>197.99999997899999</v>
      </c>
      <c r="P21">
        <f t="shared" si="1"/>
        <v>22</v>
      </c>
    </row>
    <row r="22" spans="1:16" x14ac:dyDescent="0.25">
      <c r="A22">
        <f t="shared" si="6"/>
        <v>18</v>
      </c>
      <c r="B22">
        <f t="shared" si="2"/>
        <v>16532</v>
      </c>
      <c r="C22" t="str">
        <f>IFERROR(INDEX(Starter!B:B,MATCH(B22,Starter!A:A,0)),"")</f>
        <v>Karl, William</v>
      </c>
      <c r="D22" t="str">
        <f>IFERROR(INDEX(Starter!C:C,MATCH(B22,Starter!A:A,0)),"")</f>
        <v>BC Bamberger Bowlinghaus</v>
      </c>
      <c r="E22" s="102">
        <f t="shared" si="3"/>
        <v>4004</v>
      </c>
      <c r="F22">
        <f t="shared" si="4"/>
        <v>20</v>
      </c>
      <c r="G22" s="137">
        <f t="shared" si="5"/>
        <v>200.19999994299999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63</v>
      </c>
    </row>
    <row r="23" spans="1:16" x14ac:dyDescent="0.25">
      <c r="A23">
        <f t="shared" si="6"/>
        <v>19</v>
      </c>
      <c r="B23">
        <f t="shared" si="2"/>
        <v>7593</v>
      </c>
      <c r="C23" t="str">
        <f>IFERROR(INDEX(Starter!B:B,MATCH(B23,Starter!A:A,0)),"")</f>
        <v>Börding, Peter</v>
      </c>
      <c r="D23" t="str">
        <f>IFERROR(INDEX(Starter!C:C,MATCH(B23,Starter!A:A,0)),"")</f>
        <v>BK München</v>
      </c>
      <c r="E23" s="102">
        <f t="shared" si="3"/>
        <v>5389</v>
      </c>
      <c r="F23">
        <f t="shared" si="4"/>
        <v>27</v>
      </c>
      <c r="G23" s="137">
        <f t="shared" si="5"/>
        <v>199.59259254659258</v>
      </c>
      <c r="L23" s="227">
        <f>INDEX(Starter!A:A,ROW()-1)</f>
        <v>25297</v>
      </c>
      <c r="M23">
        <f>INDEX(SchnittGes4!M:M,MATCH(L23,SchnittGes4!L:L,0))+INDEX(Schnitt5!M:M,MATCH(L23,Schnitt5!L:L,0))</f>
        <v>4609</v>
      </c>
      <c r="N23">
        <f>INDEX(SchnittGes4!N:N,MATCH(L23,SchnittGes4!L:L,0))+INDEX(Schnitt5!N:N,MATCH(L23,Schnitt5!L:L,0))</f>
        <v>25</v>
      </c>
      <c r="O23">
        <f t="shared" si="7"/>
        <v>184.359999977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INDEX(SchnittGes4!M:M,MATCH(L24,SchnittGes4!L:L,0))+INDEX(Schnitt5!M:M,MATCH(L24,Schnitt5!L:L,0))</f>
        <v>7573</v>
      </c>
      <c r="N24">
        <f>INDEX(SchnittGes4!N:N,MATCH(L24,SchnittGes4!L:L,0))+INDEX(Schnitt5!N:N,MATCH(L24,Schnitt5!L:L,0))</f>
        <v>39</v>
      </c>
      <c r="O24">
        <f t="shared" si="7"/>
        <v>194.17948715548718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INDEX(SchnittGes4!M:M,MATCH(L25,SchnittGes4!L:L,0))+INDEX(Schnitt5!M:M,MATCH(L25,Schnitt5!L:L,0))</f>
        <v>7954</v>
      </c>
      <c r="N25">
        <f>INDEX(SchnittGes4!N:N,MATCH(L25,SchnittGes4!L:L,0))+INDEX(Schnitt5!N:N,MATCH(L25,Schnitt5!L:L,0))</f>
        <v>43</v>
      </c>
      <c r="O25">
        <f t="shared" si="7"/>
        <v>184.97674416104653</v>
      </c>
      <c r="P25">
        <f t="shared" si="1"/>
        <v>46</v>
      </c>
    </row>
    <row r="26" spans="1:16" x14ac:dyDescent="0.25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INDEX(SchnittGes4!M:M,MATCH(L26,SchnittGes4!L:L,0))+INDEX(Schnitt5!M:M,MATCH(L26,Schnitt5!L:L,0))</f>
        <v>5717</v>
      </c>
      <c r="N26">
        <f>INDEX(SchnittGes4!N:N,MATCH(L26,SchnittGes4!L:L,0))+INDEX(Schnitt5!N:N,MATCH(L26,Schnitt5!L:L,0))</f>
        <v>27</v>
      </c>
      <c r="O26">
        <f t="shared" si="7"/>
        <v>211.74074071474072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INDEX(SchnittGes4!M:M,MATCH(L27,SchnittGes4!L:L,0))+INDEX(Schnitt5!M:M,MATCH(L27,Schnitt5!L:L,0))</f>
        <v>7254</v>
      </c>
      <c r="N27">
        <f>INDEX(SchnittGes4!N:N,MATCH(L27,SchnittGes4!L:L,0))+INDEX(Schnitt5!N:N,MATCH(L27,Schnitt5!L:L,0))</f>
        <v>37</v>
      </c>
      <c r="O27">
        <f t="shared" si="7"/>
        <v>196.05405402705406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195.999999927</v>
      </c>
      <c r="L28" s="227">
        <f>INDEX(Starter!A:A,ROW()-1)</f>
        <v>7734</v>
      </c>
      <c r="M28">
        <f>INDEX(SchnittGes4!M:M,MATCH(L28,SchnittGes4!L:L,0))+INDEX(Schnitt5!M:M,MATCH(L28,Schnitt5!L:L,0))</f>
        <v>3828</v>
      </c>
      <c r="N28">
        <f>INDEX(SchnittGes4!N:N,MATCH(L28,SchnittGes4!L:L,0))+INDEX(Schnitt5!N:N,MATCH(L28,Schnitt5!L:L,0))</f>
        <v>18</v>
      </c>
      <c r="O28">
        <f t="shared" si="7"/>
        <v>212.66666663866667</v>
      </c>
      <c r="P28">
        <f t="shared" si="1"/>
        <v>3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INDEX(SchnittGes4!M:M,MATCH(L29,SchnittGes4!L:L,0))+INDEX(Schnitt5!M:M,MATCH(L29,Schnitt5!L:L,0))</f>
        <v>6708</v>
      </c>
      <c r="N29">
        <f>INDEX(SchnittGes4!N:N,MATCH(L29,SchnittGes4!L:L,0))+INDEX(Schnitt5!N:N,MATCH(L29,Schnitt5!L:L,0))</f>
        <v>33</v>
      </c>
      <c r="O29">
        <f t="shared" si="7"/>
        <v>203.27272724372727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5760</v>
      </c>
      <c r="N30">
        <f>INDEX(SchnittGes4!N:N,MATCH(L30,SchnittGes4!L:L,0))+INDEX(Schnitt5!N:N,MATCH(L30,Schnitt5!L:L,0))</f>
        <v>29</v>
      </c>
      <c r="O30">
        <f t="shared" si="7"/>
        <v>198.62068962517242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INDEX(SchnittGes4!M:M,MATCH(L31,SchnittGes4!L:L,0))+INDEX(Schnitt5!M:M,MATCH(L31,Schnitt5!L:L,0))</f>
        <v>5536</v>
      </c>
      <c r="N31">
        <f>INDEX(SchnittGes4!N:N,MATCH(L31,SchnittGes4!L:L,0))+INDEX(Schnitt5!N:N,MATCH(L31,Schnitt5!L:L,0))</f>
        <v>27</v>
      </c>
      <c r="O31">
        <f t="shared" si="7"/>
        <v>205.03703700603702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67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INDEX(SchnittGes4!M:M,MATCH(L33,SchnittGes4!L:L,0))+INDEX(Schnitt5!M:M,MATCH(L33,Schnitt5!L:L,0))</f>
        <v>4578</v>
      </c>
      <c r="N33">
        <f>INDEX(SchnittGes4!N:N,MATCH(L33,SchnittGes4!L:L,0))+INDEX(Schnitt5!N:N,MATCH(L33,Schnitt5!L:L,0))</f>
        <v>26</v>
      </c>
      <c r="O33">
        <f t="shared" si="7"/>
        <v>176.07692304392307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5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71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INDEX(SchnittGes4!M:M,MATCH(L36,SchnittGes4!L:L,0))+INDEX(Schnitt5!M:M,MATCH(L36,Schnitt5!L:L,0))</f>
        <v>3640</v>
      </c>
      <c r="N36">
        <f>INDEX(SchnittGes4!N:N,MATCH(L36,SchnittGes4!L:L,0))+INDEX(Schnitt5!N:N,MATCH(L36,Schnitt5!L:L,0))</f>
        <v>20</v>
      </c>
      <c r="O36">
        <f t="shared" si="7"/>
        <v>181.99999996400001</v>
      </c>
      <c r="P36">
        <f t="shared" si="8"/>
        <v>49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INDEX(SchnittGes4!M:M,MATCH(L38,SchnittGes4!L:L,0))+INDEX(Schnitt5!M:M,MATCH(L38,Schnitt5!L:L,0))</f>
        <v>5606</v>
      </c>
      <c r="N38">
        <f>INDEX(SchnittGes4!N:N,MATCH(L38,SchnittGes4!L:L,0))+INDEX(Schnitt5!N:N,MATCH(L38,Schnitt5!L:L,0))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INDEX(SchnittGes4!M:M,MATCH(L39,SchnittGes4!L:L,0))+INDEX(Schnitt5!M:M,MATCH(L39,Schnitt5!L:L,0))</f>
        <v>3971</v>
      </c>
      <c r="N39">
        <f>INDEX(SchnittGes4!N:N,MATCH(L39,SchnittGes4!L:L,0))+INDEX(Schnitt5!N:N,MATCH(L39,Schnitt5!L:L,0))</f>
        <v>22</v>
      </c>
      <c r="O39">
        <f t="shared" si="7"/>
        <v>180.49999996099999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44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INDEX(SchnittGes4!M:M,MATCH(L41,SchnittGes4!L:L,0))+INDEX(Schnitt5!M:M,MATCH(L41,Schnitt5!L:L,0))</f>
        <v>9122</v>
      </c>
      <c r="N41">
        <f>INDEX(SchnittGes4!N:N,MATCH(L41,SchnittGes4!L:L,0))+INDEX(Schnitt5!N:N,MATCH(L41,Schnitt5!L:L,0))</f>
        <v>45</v>
      </c>
      <c r="O41">
        <f t="shared" si="7"/>
        <v>202.71111107011112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INDEX(SchnittGes4!M:M,MATCH(L42,SchnittGes4!L:L,0))+INDEX(Schnitt5!M:M,MATCH(L42,Schnitt5!L:L,0))</f>
        <v>7857</v>
      </c>
      <c r="N42">
        <f>INDEX(SchnittGes4!N:N,MATCH(L42,SchnittGes4!L:L,0))+INDEX(Schnitt5!N:N,MATCH(L42,Schnitt5!L:L,0))</f>
        <v>43</v>
      </c>
      <c r="O42">
        <f t="shared" si="7"/>
        <v>182.72093019055814</v>
      </c>
      <c r="P42">
        <f t="shared" si="8"/>
        <v>48</v>
      </c>
    </row>
    <row r="43" spans="1:16" x14ac:dyDescent="0.25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INDEX(SchnittGes4!M:M,MATCH(L43,SchnittGes4!L:L,0))+INDEX(Schnitt5!M:M,MATCH(L43,Schnitt5!L:L,0))</f>
        <v>8550</v>
      </c>
      <c r="N43">
        <f>INDEX(SchnittGes4!N:N,MATCH(L43,SchnittGes4!L:L,0))+INDEX(Schnitt5!N:N,MATCH(L43,Schnitt5!L:L,0))</f>
        <v>45</v>
      </c>
      <c r="O43">
        <f t="shared" si="7"/>
        <v>189.999999957</v>
      </c>
      <c r="P43">
        <f t="shared" si="8"/>
        <v>34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61</v>
      </c>
    </row>
    <row r="45" spans="1:16" x14ac:dyDescent="0.25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INDEX(SchnittGes4!M:M,MATCH(L45,SchnittGes4!L:L,0))+INDEX(Schnitt5!M:M,MATCH(L45,Schnitt5!L:L,0))</f>
        <v>5514</v>
      </c>
      <c r="N45">
        <f>INDEX(SchnittGes4!N:N,MATCH(L45,SchnittGes4!L:L,0))+INDEX(Schnitt5!N:N,MATCH(L45,Schnitt5!L:L,0))</f>
        <v>31</v>
      </c>
      <c r="O45">
        <f t="shared" si="7"/>
        <v>177.87096769693548</v>
      </c>
      <c r="P45">
        <f t="shared" si="8"/>
        <v>53</v>
      </c>
    </row>
    <row r="46" spans="1:16" x14ac:dyDescent="0.25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19</v>
      </c>
    </row>
    <row r="47" spans="1:16" x14ac:dyDescent="0.25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INDEX(SchnittGes4!M:M,MATCH(L47,SchnittGes4!L:L,0))+INDEX(Schnitt5!M:M,MATCH(L47,Schnitt5!L:L,0))</f>
        <v>5414</v>
      </c>
      <c r="N47">
        <f>INDEX(SchnittGes4!N:N,MATCH(L47,SchnittGes4!L:L,0))+INDEX(Schnitt5!N:N,MATCH(L47,Schnitt5!L:L,0))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INDEX(SchnittGes4!M:M,MATCH(L48,SchnittGes4!L:L,0))+INDEX(Schnitt5!M:M,MATCH(L48,Schnitt5!L:L,0))</f>
        <v>4134</v>
      </c>
      <c r="N48">
        <f>INDEX(SchnittGes4!N:N,MATCH(L48,SchnittGes4!L:L,0))+INDEX(Schnitt5!N:N,MATCH(L48,Schnitt5!L:L,0))</f>
        <v>22</v>
      </c>
      <c r="O48">
        <f t="shared" si="7"/>
        <v>187.9090908610909</v>
      </c>
      <c r="P48">
        <f t="shared" si="8"/>
        <v>42</v>
      </c>
    </row>
    <row r="49" spans="1:16" x14ac:dyDescent="0.25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INDEX(SchnittGes4!M:M,MATCH(L50,SchnittGes4!L:L,0))+INDEX(Schnitt5!M:M,MATCH(L50,Schnitt5!L:L,0))</f>
        <v>8107</v>
      </c>
      <c r="N50">
        <f>INDEX(SchnittGes4!N:N,MATCH(L50,SchnittGes4!L:L,0))+INDEX(Schnitt5!N:N,MATCH(L50,Schnitt5!L:L,0))</f>
        <v>43</v>
      </c>
      <c r="O50">
        <f t="shared" si="7"/>
        <v>188.53488367093021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69</v>
      </c>
    </row>
    <row r="53" spans="1:16" x14ac:dyDescent="0.25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64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INDEX(SchnittGes4!M:M,MATCH(L54,SchnittGes4!L:L,0))+INDEX(Schnitt5!M:M,MATCH(L54,Schnitt5!L:L,0))</f>
        <v>6248</v>
      </c>
      <c r="N54">
        <f>INDEX(SchnittGes4!N:N,MATCH(L54,SchnittGes4!L:L,0))+INDEX(Schnitt5!N:N,MATCH(L54,Schnitt5!L:L,0))</f>
        <v>31</v>
      </c>
      <c r="O54">
        <f t="shared" si="7"/>
        <v>201.54838704277421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INDEX(SchnittGes4!M:M,MATCH(L55,SchnittGes4!L:L,0))+INDEX(Schnitt5!M:M,MATCH(L55,Schnitt5!L:L,0))</f>
        <v>6075</v>
      </c>
      <c r="N55">
        <f>INDEX(SchnittGes4!N:N,MATCH(L55,SchnittGes4!L:L,0))+INDEX(Schnitt5!N:N,MATCH(L55,Schnitt5!L:L,0))</f>
        <v>31</v>
      </c>
      <c r="O55">
        <f t="shared" si="7"/>
        <v>195.96774188048389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INDEX(SchnittGes4!M:M,MATCH(L57,SchnittGes4!L:L,0))+INDEX(Schnitt5!M:M,MATCH(L57,Schnitt5!L:L,0))</f>
        <v>4004</v>
      </c>
      <c r="N57">
        <f>INDEX(SchnittGes4!N:N,MATCH(L57,SchnittGes4!L:L,0))+INDEX(Schnitt5!N:N,MATCH(L57,Schnitt5!L:L,0))</f>
        <v>20</v>
      </c>
      <c r="O57">
        <f t="shared" si="7"/>
        <v>200.19999994299999</v>
      </c>
      <c r="P57">
        <f t="shared" si="8"/>
        <v>18</v>
      </c>
    </row>
    <row r="58" spans="1:16" x14ac:dyDescent="0.25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INDEX(SchnittGes4!M:M,MATCH(L58,SchnittGes4!L:L,0))+INDEX(Schnitt5!M:M,MATCH(L58,Schnitt5!L:L,0))</f>
        <v>6845</v>
      </c>
      <c r="N58">
        <f>INDEX(SchnittGes4!N:N,MATCH(L58,SchnittGes4!L:L,0))+INDEX(Schnitt5!N:N,MATCH(L58,Schnitt5!L:L,0))</f>
        <v>37</v>
      </c>
      <c r="O58">
        <f t="shared" si="7"/>
        <v>184.99999994199999</v>
      </c>
      <c r="P58">
        <f t="shared" si="8"/>
        <v>45</v>
      </c>
    </row>
    <row r="59" spans="1:16" x14ac:dyDescent="0.25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INDEX(SchnittGes4!M:M,MATCH(L59,SchnittGes4!L:L,0))+INDEX(Schnitt5!M:M,MATCH(L59,Schnitt5!L:L,0))</f>
        <v>6783</v>
      </c>
      <c r="N59">
        <f>INDEX(SchnittGes4!N:N,MATCH(L59,SchnittGes4!L:L,0))+INDEX(Schnitt5!N:N,MATCH(L59,Schnitt5!L:L,0))</f>
        <v>38</v>
      </c>
      <c r="O59">
        <f t="shared" si="7"/>
        <v>178.499999941</v>
      </c>
      <c r="P59">
        <f t="shared" si="8"/>
        <v>52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INDEX(SchnittGes4!M:M,MATCH(L60,SchnittGes4!L:L,0))+INDEX(Schnitt5!M:M,MATCH(L60,Schnitt5!L:L,0))</f>
        <v>3978</v>
      </c>
      <c r="N60">
        <f>INDEX(SchnittGes4!N:N,MATCH(L60,SchnittGes4!L:L,0))+INDEX(Schnitt5!N:N,MATCH(L60,Schnitt5!L:L,0))</f>
        <v>21</v>
      </c>
      <c r="O60">
        <f t="shared" si="7"/>
        <v>189.42857136857143</v>
      </c>
      <c r="P60">
        <f t="shared" si="8"/>
        <v>36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58</v>
      </c>
    </row>
    <row r="62" spans="1:16" x14ac:dyDescent="0.25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68</v>
      </c>
    </row>
    <row r="63" spans="1:16" x14ac:dyDescent="0.25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66</v>
      </c>
    </row>
    <row r="65" spans="1:16" x14ac:dyDescent="0.25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INDEX(SchnittGes4!M:M,MATCH(L65,SchnittGes4!L:L,0))+INDEX(Schnitt5!M:M,MATCH(L65,Schnitt5!L:L,0))</f>
        <v>3435</v>
      </c>
      <c r="N65">
        <f>INDEX(SchnittGes4!N:N,MATCH(L65,SchnittGes4!L:L,0))+INDEX(Schnitt5!N:N,MATCH(L65,Schnitt5!L:L,0))</f>
        <v>18</v>
      </c>
      <c r="O65">
        <f t="shared" si="7"/>
        <v>190.83333326833335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INDEX(SchnittGes4!M:M,MATCH(L66,SchnittGes4!L:L,0))+INDEX(Schnitt5!M:M,MATCH(L66,Schnitt5!L:L,0))</f>
        <v>3404</v>
      </c>
      <c r="N66">
        <f>INDEX(SchnittGes4!N:N,MATCH(L66,SchnittGes4!L:L,0))+INDEX(Schnitt5!N:N,MATCH(L66,Schnitt5!L:L,0))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5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54</v>
      </c>
    </row>
    <row r="69" spans="1:16" x14ac:dyDescent="0.25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65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70</v>
      </c>
    </row>
    <row r="72" spans="1:16" x14ac:dyDescent="0.25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INDEX(SchnittGes4!M:M,MATCH(L72,SchnittGes4!L:L,0))+INDEX(Schnitt5!M:M,MATCH(L72,Schnitt5!L:L,0))</f>
        <v>689</v>
      </c>
      <c r="N72">
        <f>INDEX(SchnittGes4!N:N,MATCH(L72,SchnittGes4!L:L,0))+INDEX(Schnitt5!N:N,MATCH(L72,Schnitt5!L:L,0))</f>
        <v>4</v>
      </c>
      <c r="O72">
        <f t="shared" si="7"/>
        <v>172.24999992799999</v>
      </c>
      <c r="P72">
        <f t="shared" si="14"/>
        <v>59</v>
      </c>
    </row>
    <row r="73" spans="1:16" x14ac:dyDescent="0.25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16469</v>
      </c>
      <c r="M73">
        <f>INDEX(SchnittGes4!M:M,MATCH(L73,SchnittGes4!L:L,0))+INDEX(Schnitt5!M:M,MATCH(L73,Schnitt5!L:L,0))</f>
        <v>980</v>
      </c>
      <c r="N73">
        <f>INDEX(SchnittGes4!N:N,MATCH(L73,SchnittGes4!L:L,0))+INDEX(Schnitt5!N:N,MATCH(L73,Schnitt5!L:L,0))</f>
        <v>5</v>
      </c>
      <c r="O73">
        <f t="shared" si="7"/>
        <v>195.999999927</v>
      </c>
      <c r="P73">
        <f t="shared" si="14"/>
        <v>24</v>
      </c>
    </row>
    <row r="74" spans="1:16" x14ac:dyDescent="0.25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38018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71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25465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71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71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71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71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71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71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71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71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71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71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71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71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71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71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71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71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71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71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71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71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71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71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71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71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71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71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71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D81" sqref="D81:M81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+Spielzettel6!T2</f>
        <v>6</v>
      </c>
      <c r="F6" s="320"/>
      <c r="P6" s="140" t="s">
        <v>1838</v>
      </c>
      <c r="Q6" s="321" t="str">
        <f>+Spielzettel6!U1</f>
        <v>05.04./06.04.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+Spielzettel6!F2</f>
        <v>Dettelbach Extreme Bowlingarena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+Spielzettel6!F1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4"/>
      <c r="G31" s="334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3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5"/>
      <c r="G37" s="335"/>
      <c r="H37" s="335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3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7" t="s">
        <v>1863</v>
      </c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3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9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3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9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3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9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3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9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3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9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3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4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6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P78" s="337"/>
      <c r="Q78" s="337"/>
      <c r="R78" s="337"/>
      <c r="S78" s="337"/>
      <c r="T78" s="337"/>
      <c r="U78" s="337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6" t="s">
        <v>2576</v>
      </c>
      <c r="E81" s="337"/>
      <c r="F81" s="337"/>
      <c r="G81" s="337"/>
      <c r="H81" s="337"/>
      <c r="I81" s="337"/>
      <c r="J81" s="337"/>
      <c r="K81" s="337"/>
      <c r="L81" s="337"/>
      <c r="M81" s="337"/>
      <c r="P81" s="337"/>
      <c r="Q81" s="337"/>
      <c r="R81" s="337"/>
      <c r="S81" s="337"/>
      <c r="T81" s="337"/>
      <c r="U81" s="337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Schlüssel!$DI$1</f>
        <v>05.04./06.04.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Schlüssel!$CY$2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VLOOKUP(B2,Schlüssel!$A$5:$DZ$14,103)</f>
        <v>7</v>
      </c>
      <c r="E22" s="349"/>
      <c r="F22" s="349">
        <f>VLOOKUP(B2,Schlüssel!$A$5:$DZ$14,104)</f>
        <v>8</v>
      </c>
      <c r="G22" s="349"/>
      <c r="H22" s="349">
        <f>VLOOKUP(B2,Schlüssel!$A$5:$DZ$14,105)</f>
        <v>5</v>
      </c>
      <c r="I22" s="349"/>
      <c r="J22" s="349">
        <f>VLOOKUP(B2,Schlüssel!$A$5:$DZ$14,106)</f>
        <v>3</v>
      </c>
      <c r="K22" s="349"/>
      <c r="L22" s="349">
        <f>VLOOKUP(B2,Schlüssel!$A$5:$DZ$14,107)</f>
        <v>4</v>
      </c>
      <c r="M22" s="349"/>
      <c r="N22" s="349">
        <f>VLOOKUP(B2,Schlüssel!$A$5:$DZ$14,108)</f>
        <v>9</v>
      </c>
      <c r="O22" s="349"/>
      <c r="P22" s="349">
        <f>VLOOKUP(B2,Schlüssel!$A$5:$DZ$14,109)</f>
        <v>10</v>
      </c>
      <c r="Q22" s="349"/>
      <c r="R22" s="349">
        <f>VLOOKUP(B2,Schlüssel!$A$5:$DZ$14,110)</f>
        <v>6</v>
      </c>
      <c r="S22" s="349"/>
      <c r="T22" s="349">
        <f>VLOOKUP(B2,Schlüssel!$A$5:$DZ$14,111)</f>
        <v>2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Schanzer Ingolstadt 1</v>
      </c>
      <c r="E23" s="347"/>
      <c r="F23" s="346" t="str">
        <f>VLOOKUP(F22,Schlüssel!$A$5:$K$14,2)</f>
        <v>BC EMAX Unterföhring 2</v>
      </c>
      <c r="G23" s="347"/>
      <c r="H23" s="346" t="str">
        <f>VLOOKUP(H22,Schlüssel!$A$5:$K$14,2)</f>
        <v>RW Lichtenhof Stein 1</v>
      </c>
      <c r="I23" s="347"/>
      <c r="J23" s="346" t="str">
        <f>VLOOKUP(J22,Schlüssel!$A$5:$K$14,2)</f>
        <v>BK München 3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Bowlinghaus Bamberg 1</v>
      </c>
      <c r="O23" s="347"/>
      <c r="P23" s="346" t="str">
        <f>VLOOKUP(P22,Schlüssel!$A$5:$K$14,2)</f>
        <v>High Roller Rosenheim 1</v>
      </c>
      <c r="Q23" s="347"/>
      <c r="R23" s="346" t="str">
        <f>VLOOKUP(R22,Schlüssel!$A$5:$K$14,2)</f>
        <v>SG Rottendorf 1</v>
      </c>
      <c r="S23" s="347"/>
      <c r="T23" s="346" t="str">
        <f>VLOOKUP(T22,Schlüssel!$A$5:$K$14,2)</f>
        <v>Bajuwaren München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Schlüssel!$DI$1</f>
        <v>05.04./06.04.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Schlüssel!$CY$2</f>
        <v>Dettelbach Extreme Bowlingarena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VLOOKUP(B31,Schlüssel!$A$5:$DZ$14,103)</f>
        <v>5</v>
      </c>
      <c r="E51" s="349"/>
      <c r="F51" s="349">
        <f>VLOOKUP(B31,Schlüssel!$A$5:$DZ$14,104)</f>
        <v>4</v>
      </c>
      <c r="G51" s="349"/>
      <c r="H51" s="349">
        <f>VLOOKUP(B31,Schlüssel!$A$5:$DZ$14,105)</f>
        <v>8</v>
      </c>
      <c r="I51" s="349"/>
      <c r="J51" s="349">
        <f>VLOOKUP(B31,Schlüssel!$A$5:$DZ$14,106)</f>
        <v>7</v>
      </c>
      <c r="K51" s="349"/>
      <c r="L51" s="349">
        <f>VLOOKUP(B31,Schlüssel!$A$5:$DZ$14,107)</f>
        <v>6</v>
      </c>
      <c r="M51" s="349"/>
      <c r="N51" s="349">
        <f>VLOOKUP(B31,Schlüssel!$A$5:$DZ$14,108)</f>
        <v>10</v>
      </c>
      <c r="O51" s="349"/>
      <c r="P51" s="349">
        <f>VLOOKUP(B31,Schlüssel!$A$5:$DZ$14,109)</f>
        <v>3</v>
      </c>
      <c r="Q51" s="349"/>
      <c r="R51" s="349">
        <f>VLOOKUP(B31,Schlüssel!$A$5:$DZ$14,110)</f>
        <v>9</v>
      </c>
      <c r="S51" s="349"/>
      <c r="T51" s="349">
        <f>VLOOKUP(B31,Schlüssel!$A$5:$DZ$14,111)</f>
        <v>1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RW Lichtenhof Stein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High Roller Rosenheim 1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Bowlinghaus Bamberg 1</v>
      </c>
      <c r="S52" s="347"/>
      <c r="T52" s="346" t="str">
        <f>VLOOKUP(T51,Schlüssel!$A$5:$K$14,2)</f>
        <v>BC Comet Nürnberg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Schlüssel!$DI$1</f>
        <v>05.04./06.04.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Schlüssel!$CY$2</f>
        <v>Dettelbach Extreme Bowlingarena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VLOOKUP(B60,Schlüssel!$A$5:$DZ$14,103)</f>
        <v>6</v>
      </c>
      <c r="E80" s="349"/>
      <c r="F80" s="349">
        <f>VLOOKUP(B60,Schlüssel!$A$5:$DZ$14,104)</f>
        <v>9</v>
      </c>
      <c r="G80" s="349"/>
      <c r="H80" s="349">
        <f>VLOOKUP(B60,Schlüssel!$A$5:$DZ$14,105)</f>
        <v>10</v>
      </c>
      <c r="I80" s="349"/>
      <c r="J80" s="349">
        <f>VLOOKUP(B60,Schlüssel!$A$5:$DZ$14,106)</f>
        <v>1</v>
      </c>
      <c r="K80" s="349"/>
      <c r="L80" s="349">
        <f>VLOOKUP(B60,Schlüssel!$A$5:$DZ$14,107)</f>
        <v>8</v>
      </c>
      <c r="M80" s="349"/>
      <c r="N80" s="349">
        <f>VLOOKUP(B60,Schlüssel!$A$5:$DZ$14,108)</f>
        <v>5</v>
      </c>
      <c r="O80" s="349"/>
      <c r="P80" s="349">
        <f>VLOOKUP(B60,Schlüssel!$A$5:$DZ$14,109)</f>
        <v>2</v>
      </c>
      <c r="Q80" s="349"/>
      <c r="R80" s="349">
        <f>VLOOKUP(B60,Schlüssel!$A$5:$DZ$14,110)</f>
        <v>7</v>
      </c>
      <c r="S80" s="349"/>
      <c r="T80" s="349">
        <f>VLOOKUP(B60,Schlüssel!$A$5:$DZ$14,111)</f>
        <v>4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Rottendorf 1</v>
      </c>
      <c r="E81" s="347"/>
      <c r="F81" s="346" t="str">
        <f>VLOOKUP(F80,Schlüssel!$A$5:$K$14,2)</f>
        <v>Bowlinghaus Bamberg 1</v>
      </c>
      <c r="G81" s="347"/>
      <c r="H81" s="346" t="str">
        <f>VLOOKUP(H80,Schlüssel!$A$5:$K$14,2)</f>
        <v>High Roller Rosenheim 1</v>
      </c>
      <c r="I81" s="347"/>
      <c r="J81" s="346" t="str">
        <f>VLOOKUP(J80,Schlüssel!$A$5:$K$14,2)</f>
        <v>BC Comet Nürnberg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RW Lichtenhof Stein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Schanzer Ingolstadt 1</v>
      </c>
      <c r="S81" s="347"/>
      <c r="T81" s="346" t="str">
        <f>VLOOKUP(T80,Schlüssel!$A$5:$K$14,2)</f>
        <v>SG DJK Rimpar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Schlüssel!$DI$1</f>
        <v>05.04./06.04.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Schlüssel!$CY$2</f>
        <v>Dettelbach Extreme Bowlingarena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VLOOKUP(B89,Schlüssel!$A$5:$DZ$14,103)</f>
        <v>9</v>
      </c>
      <c r="E109" s="349"/>
      <c r="F109" s="349">
        <f>VLOOKUP(B89,Schlüssel!$A$5:$DZ$14,104)</f>
        <v>2</v>
      </c>
      <c r="G109" s="349"/>
      <c r="H109" s="349">
        <f>VLOOKUP(B89,Schlüssel!$A$5:$DZ$14,105)</f>
        <v>6</v>
      </c>
      <c r="I109" s="349"/>
      <c r="J109" s="349">
        <f>VLOOKUP(B89,Schlüssel!$A$5:$DZ$14,106)</f>
        <v>10</v>
      </c>
      <c r="K109" s="349"/>
      <c r="L109" s="349">
        <f>VLOOKUP(B89,Schlüssel!$A$5:$DZ$14,107)</f>
        <v>1</v>
      </c>
      <c r="M109" s="349"/>
      <c r="N109" s="349">
        <f>VLOOKUP(B89,Schlüssel!$A$5:$DZ$14,108)</f>
        <v>7</v>
      </c>
      <c r="O109" s="349"/>
      <c r="P109" s="349">
        <f>VLOOKUP(B89,Schlüssel!$A$5:$DZ$14,109)</f>
        <v>5</v>
      </c>
      <c r="Q109" s="349"/>
      <c r="R109" s="349">
        <f>VLOOKUP(B89,Schlüssel!$A$5:$DZ$14,110)</f>
        <v>8</v>
      </c>
      <c r="S109" s="349"/>
      <c r="T109" s="349">
        <f>VLOOKUP(B89,Schlüssel!$A$5:$DZ$14,111)</f>
        <v>3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Bowlinghaus Bamberg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SG Rottendorf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RW Lichtenhof Stein 1</v>
      </c>
      <c r="Q110" s="347"/>
      <c r="R110" s="346" t="str">
        <f>VLOOKUP(R109,Schlüssel!$A$5:$K$14,2)</f>
        <v>BC EMAX Unterföhring 2</v>
      </c>
      <c r="S110" s="347"/>
      <c r="T110" s="346" t="str">
        <f>VLOOKUP(T109,Schlüssel!$A$5:$K$14,2)</f>
        <v>BK München 3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Schlüssel!$DI$1</f>
        <v>05.04./06.04.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Schlüssel!$CY$2</f>
        <v>Dettelbach Extreme Bowlingarena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VLOOKUP(B118,Schlüssel!$A$5:$DZ$14,103)</f>
        <v>2</v>
      </c>
      <c r="E138" s="349"/>
      <c r="F138" s="349">
        <f>VLOOKUP(B118,Schlüssel!$A$5:$DZ$14,104)</f>
        <v>7</v>
      </c>
      <c r="G138" s="349"/>
      <c r="H138" s="349">
        <f>VLOOKUP(B118,Schlüssel!$A$5:$DZ$14,105)</f>
        <v>1</v>
      </c>
      <c r="I138" s="349"/>
      <c r="J138" s="349">
        <f>VLOOKUP(B118,Schlüssel!$A$5:$DZ$14,106)</f>
        <v>8</v>
      </c>
      <c r="K138" s="349"/>
      <c r="L138" s="349">
        <f>VLOOKUP(B118,Schlüssel!$A$5:$DZ$14,107)</f>
        <v>9</v>
      </c>
      <c r="M138" s="349"/>
      <c r="N138" s="349">
        <f>VLOOKUP(B118,Schlüssel!$A$5:$DZ$14,108)</f>
        <v>3</v>
      </c>
      <c r="O138" s="349"/>
      <c r="P138" s="349">
        <f>VLOOKUP(B118,Schlüssel!$A$5:$DZ$14,109)</f>
        <v>4</v>
      </c>
      <c r="Q138" s="349"/>
      <c r="R138" s="349">
        <f>VLOOKUP(B118,Schlüssel!$A$5:$DZ$14,110)</f>
        <v>10</v>
      </c>
      <c r="S138" s="349"/>
      <c r="T138" s="349">
        <f>VLOOKUP(B118,Schlüssel!$A$5:$DZ$14,111)</f>
        <v>6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Bajuwaren München 1</v>
      </c>
      <c r="E139" s="347"/>
      <c r="F139" s="346" t="str">
        <f>VLOOKUP(F138,Schlüssel!$A$5:$K$14,2)</f>
        <v>Schanzer Ingolstadt 1</v>
      </c>
      <c r="G139" s="347"/>
      <c r="H139" s="346" t="str">
        <f>VLOOKUP(H138,Schlüssel!$A$5:$K$14,2)</f>
        <v>BC Comet Nürnberg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BK München 3</v>
      </c>
      <c r="O139" s="347"/>
      <c r="P139" s="346" t="str">
        <f>VLOOKUP(P138,Schlüssel!$A$5:$K$14,2)</f>
        <v>SG DJK Rimpar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Rottendorf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Schlüssel!$DI$1</f>
        <v>05.04./06.04.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Schlüssel!$CY$2</f>
        <v>Dettelbach Extreme Bowlingarena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VLOOKUP(B147,Schlüssel!$A$5:$DZ$14,103)</f>
        <v>3</v>
      </c>
      <c r="E167" s="349"/>
      <c r="F167" s="349">
        <f>VLOOKUP(B147,Schlüssel!$A$5:$DZ$14,104)</f>
        <v>10</v>
      </c>
      <c r="G167" s="349"/>
      <c r="H167" s="349">
        <f>VLOOKUP(B147,Schlüssel!$A$5:$DZ$14,105)</f>
        <v>4</v>
      </c>
      <c r="I167" s="349"/>
      <c r="J167" s="349">
        <f>VLOOKUP(B147,Schlüssel!$A$5:$DZ$14,106)</f>
        <v>9</v>
      </c>
      <c r="K167" s="349"/>
      <c r="L167" s="349">
        <f>VLOOKUP(B147,Schlüssel!$A$5:$DZ$14,107)</f>
        <v>2</v>
      </c>
      <c r="M167" s="349"/>
      <c r="N167" s="349">
        <f>VLOOKUP(B147,Schlüssel!$A$5:$DZ$14,108)</f>
        <v>8</v>
      </c>
      <c r="O167" s="349"/>
      <c r="P167" s="349">
        <f>VLOOKUP(B147,Schlüssel!$A$5:$DZ$14,109)</f>
        <v>7</v>
      </c>
      <c r="Q167" s="349"/>
      <c r="R167" s="349">
        <f>VLOOKUP(B147,Schlüssel!$A$5:$DZ$14,110)</f>
        <v>1</v>
      </c>
      <c r="S167" s="349"/>
      <c r="T167" s="349">
        <f>VLOOKUP(B147,Schlüssel!$A$5:$DZ$14,111)</f>
        <v>5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BK München 3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SG DJK Rimpar</v>
      </c>
      <c r="I168" s="347"/>
      <c r="J168" s="346" t="str">
        <f>VLOOKUP(J167,Schlüssel!$A$5:$K$14,2)</f>
        <v>Bowlinghaus Bamberg 1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Schanzer Ingolstadt 1</v>
      </c>
      <c r="Q168" s="347"/>
      <c r="R168" s="346" t="str">
        <f>VLOOKUP(R167,Schlüssel!$A$5:$K$14,2)</f>
        <v>BC Comet Nürnberg</v>
      </c>
      <c r="S168" s="347"/>
      <c r="T168" s="346" t="str">
        <f>VLOOKUP(T167,Schlüssel!$A$5:$K$14,2)</f>
        <v>RW Lichtenhof Stein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Schlüssel!$DI$1</f>
        <v>05.04./06.04.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Schlüssel!$CY$2</f>
        <v>Dettelbach Extreme Bowlingarena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VLOOKUP(B176,Schlüssel!$A$5:$DZ$14,103)</f>
        <v>1</v>
      </c>
      <c r="E196" s="349"/>
      <c r="F196" s="349">
        <f>VLOOKUP(B176,Schlüssel!$A$5:$DZ$14,104)</f>
        <v>5</v>
      </c>
      <c r="G196" s="349"/>
      <c r="H196" s="349">
        <f>VLOOKUP(B176,Schlüssel!$A$5:$DZ$14,105)</f>
        <v>9</v>
      </c>
      <c r="I196" s="349"/>
      <c r="J196" s="349">
        <f>VLOOKUP(B176,Schlüssel!$A$5:$DZ$14,106)</f>
        <v>2</v>
      </c>
      <c r="K196" s="349"/>
      <c r="L196" s="349">
        <f>VLOOKUP(B176,Schlüssel!$A$5:$DZ$14,107)</f>
        <v>10</v>
      </c>
      <c r="M196" s="349"/>
      <c r="N196" s="349">
        <f>VLOOKUP(B176,Schlüssel!$A$5:$DZ$14,108)</f>
        <v>4</v>
      </c>
      <c r="O196" s="349"/>
      <c r="P196" s="349">
        <f>VLOOKUP(B176,Schlüssel!$A$5:$DZ$14,109)</f>
        <v>6</v>
      </c>
      <c r="Q196" s="349"/>
      <c r="R196" s="349">
        <f>VLOOKUP(B176,Schlüssel!$A$5:$DZ$14,110)</f>
        <v>3</v>
      </c>
      <c r="S196" s="349"/>
      <c r="T196" s="349">
        <f>VLOOKUP(B176,Schlüssel!$A$5:$DZ$14,111)</f>
        <v>8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Comet Nürnberg</v>
      </c>
      <c r="E197" s="347"/>
      <c r="F197" s="346" t="str">
        <f>VLOOKUP(F196,Schlüssel!$A$5:$K$14,2)</f>
        <v>RW Lichtenhof Stein 1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SG Rottendorf 1</v>
      </c>
      <c r="Q197" s="347"/>
      <c r="R197" s="346" t="str">
        <f>VLOOKUP(R196,Schlüssel!$A$5:$K$14,2)</f>
        <v>BK München 3</v>
      </c>
      <c r="S197" s="347"/>
      <c r="T197" s="346" t="str">
        <f>VLOOKUP(T196,Schlüssel!$A$5:$K$14,2)</f>
        <v>BC EMAX Unterföhring 2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Schlüssel!$DI$1</f>
        <v>05.04./06.04.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Schlüssel!$CY$2</f>
        <v>Dettelbach Extreme Bowlingarena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VLOOKUP(B205,Schlüssel!$A$5:$DZ$14,103)</f>
        <v>10</v>
      </c>
      <c r="E225" s="349"/>
      <c r="F225" s="349">
        <f>VLOOKUP(B205,Schlüssel!$A$5:$DZ$14,104)</f>
        <v>1</v>
      </c>
      <c r="G225" s="349"/>
      <c r="H225" s="349">
        <f>VLOOKUP(B205,Schlüssel!$A$5:$DZ$14,105)</f>
        <v>2</v>
      </c>
      <c r="I225" s="349"/>
      <c r="J225" s="349">
        <f>VLOOKUP(B205,Schlüssel!$A$5:$DZ$14,106)</f>
        <v>5</v>
      </c>
      <c r="K225" s="349"/>
      <c r="L225" s="349">
        <f>VLOOKUP(B205,Schlüssel!$A$5:$DZ$14,107)</f>
        <v>3</v>
      </c>
      <c r="M225" s="349"/>
      <c r="N225" s="349">
        <f>VLOOKUP(B205,Schlüssel!$A$5:$DZ$14,108)</f>
        <v>6</v>
      </c>
      <c r="O225" s="349"/>
      <c r="P225" s="349">
        <f>VLOOKUP(B205,Schlüssel!$A$5:$DZ$14,109)</f>
        <v>9</v>
      </c>
      <c r="Q225" s="349"/>
      <c r="R225" s="349">
        <f>VLOOKUP(B205,Schlüssel!$A$5:$DZ$14,110)</f>
        <v>4</v>
      </c>
      <c r="S225" s="349"/>
      <c r="T225" s="349">
        <f>VLOOKUP(B205,Schlüssel!$A$5:$DZ$14,111)</f>
        <v>7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BC Comet Nürnberg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Bowlinghaus Bamberg 1</v>
      </c>
      <c r="Q226" s="347"/>
      <c r="R226" s="346" t="str">
        <f>VLOOKUP(R225,Schlüssel!$A$5:$K$14,2)</f>
        <v>SG DJK Rimpar</v>
      </c>
      <c r="S226" s="347"/>
      <c r="T226" s="346" t="str">
        <f>VLOOKUP(T225,Schlüssel!$A$5:$K$14,2)</f>
        <v>Schanzer Ingolstadt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Schlüssel!$DI$1</f>
        <v>05.04./06.04.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Schlüssel!$CY$2</f>
        <v>Dettelbach Extreme Bowlingarena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VLOOKUP(B234,Schlüssel!$A$5:$DZ$14,103)</f>
        <v>4</v>
      </c>
      <c r="E254" s="349"/>
      <c r="F254" s="349">
        <f>VLOOKUP(B234,Schlüssel!$A$5:$DZ$14,104)</f>
        <v>3</v>
      </c>
      <c r="G254" s="349"/>
      <c r="H254" s="349">
        <f>VLOOKUP(B234,Schlüssel!$A$5:$DZ$14,105)</f>
        <v>7</v>
      </c>
      <c r="I254" s="349"/>
      <c r="J254" s="349">
        <f>VLOOKUP(B234,Schlüssel!$A$5:$DZ$14,106)</f>
        <v>6</v>
      </c>
      <c r="K254" s="349"/>
      <c r="L254" s="349">
        <f>VLOOKUP(B234,Schlüssel!$A$5:$DZ$14,107)</f>
        <v>5</v>
      </c>
      <c r="M254" s="349"/>
      <c r="N254" s="349">
        <f>VLOOKUP(B234,Schlüssel!$A$5:$DZ$14,108)</f>
        <v>1</v>
      </c>
      <c r="O254" s="349"/>
      <c r="P254" s="349">
        <f>VLOOKUP(B234,Schlüssel!$A$5:$DZ$14,109)</f>
        <v>8</v>
      </c>
      <c r="Q254" s="349"/>
      <c r="R254" s="349">
        <f>VLOOKUP(B234,Schlüssel!$A$5:$DZ$14,110)</f>
        <v>2</v>
      </c>
      <c r="S254" s="349"/>
      <c r="T254" s="349">
        <f>VLOOKUP(B234,Schlüssel!$A$5:$DZ$14,111)</f>
        <v>10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DJK Rimpar</v>
      </c>
      <c r="E255" s="347"/>
      <c r="F255" s="346" t="str">
        <f>VLOOKUP(F254,Schlüssel!$A$5:$K$14,2)</f>
        <v>BK München 3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SG Rottendorf 1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BC Comet Nürnberg</v>
      </c>
      <c r="O255" s="347"/>
      <c r="P255" s="346" t="str">
        <f>VLOOKUP(P254,Schlüssel!$A$5:$K$14,2)</f>
        <v>BC EMAX Unterföhring 2</v>
      </c>
      <c r="Q255" s="347"/>
      <c r="R255" s="346" t="str">
        <f>VLOOKUP(R254,Schlüssel!$A$5:$K$14,2)</f>
        <v>Bajuwaren München 1</v>
      </c>
      <c r="S255" s="347"/>
      <c r="T255" s="346" t="str">
        <f>VLOOKUP(T254,Schlüssel!$A$5:$K$14,2)</f>
        <v>High Roller Rosenheim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Schlüssel!$DI$1</f>
        <v>05.04./06.04.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Schlüssel!$CY$2</f>
        <v>Dettelbach Extreme Bowlingarena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VLOOKUP(B263,Schlüssel!$A$5:$DZ$14,103)</f>
        <v>8</v>
      </c>
      <c r="E283" s="349"/>
      <c r="F283" s="349">
        <f>VLOOKUP(B263,Schlüssel!$A$5:$DZ$14,104)</f>
        <v>6</v>
      </c>
      <c r="G283" s="349"/>
      <c r="H283" s="349">
        <f>VLOOKUP(B263,Schlüssel!$A$5:$DZ$14,105)</f>
        <v>3</v>
      </c>
      <c r="I283" s="349"/>
      <c r="J283" s="349">
        <f>VLOOKUP(B263,Schlüssel!$A$5:$DZ$14,106)</f>
        <v>4</v>
      </c>
      <c r="K283" s="349"/>
      <c r="L283" s="349">
        <f>VLOOKUP(B263,Schlüssel!$A$5:$DZ$14,107)</f>
        <v>7</v>
      </c>
      <c r="M283" s="349"/>
      <c r="N283" s="349">
        <f>VLOOKUP(B263,Schlüssel!$A$5:$DZ$14,108)</f>
        <v>2</v>
      </c>
      <c r="O283" s="349"/>
      <c r="P283" s="349">
        <f>VLOOKUP(B263,Schlüssel!$A$5:$DZ$14,109)</f>
        <v>1</v>
      </c>
      <c r="Q283" s="349"/>
      <c r="R283" s="349">
        <f>VLOOKUP(B263,Schlüssel!$A$5:$DZ$14,110)</f>
        <v>5</v>
      </c>
      <c r="S283" s="349"/>
      <c r="T283" s="349">
        <f>VLOOKUP(B263,Schlüssel!$A$5:$DZ$14,111)</f>
        <v>9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BK München 3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Bajuwaren München 1</v>
      </c>
      <c r="O284" s="347"/>
      <c r="P284" s="346" t="str">
        <f>VLOOKUP(P283,Schlüssel!$A$5:$K$14,2)</f>
        <v>BC Comet Nürnberg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Bowlinghaus Bamberg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271" zoomScaleNormal="100" zoomScaleSheetLayoutView="100" workbookViewId="0">
      <selection activeCell="AT288" sqref="AT288:AU288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05.04./06.04.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05.04./06.04.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190</v>
      </c>
      <c r="E7" s="351">
        <f>IF(AD7="","",AD7)</f>
        <v>0.5</v>
      </c>
      <c r="F7" s="75">
        <f t="shared" ref="F7:F20" si="0">IF(AE7=0,"",AE7)</f>
        <v>201</v>
      </c>
      <c r="G7" s="351">
        <f>IF(AF7="","",AF7)</f>
        <v>0</v>
      </c>
      <c r="H7" s="75">
        <f t="shared" ref="H7:H20" si="1">IF(AG7=0,"",AG7)</f>
        <v>147</v>
      </c>
      <c r="I7" s="351">
        <f>IF(AH7="","",AH7)</f>
        <v>0</v>
      </c>
      <c r="J7" s="75" t="str">
        <f t="shared" ref="J7:J20" si="2">IF(AI7=0,"",AI7)</f>
        <v/>
      </c>
      <c r="K7" s="351">
        <f>IF(AJ7="","",AJ7)</f>
        <v>0.5</v>
      </c>
      <c r="L7" s="75" t="str">
        <f t="shared" ref="L7:L20" si="3">IF(AK7=0,"",AK7)</f>
        <v/>
      </c>
      <c r="M7" s="351">
        <f>IF(AL7="","",AL7)</f>
        <v>0</v>
      </c>
      <c r="N7" s="75" t="str">
        <f>IF(AM7=0,"",AM7)</f>
        <v/>
      </c>
      <c r="O7" s="351">
        <f>IF(AN7="","",AN7)</f>
        <v>0</v>
      </c>
      <c r="P7" s="75" t="str">
        <f t="shared" ref="P7:P20" si="4">IF(AO7=0,"",AO7)</f>
        <v/>
      </c>
      <c r="Q7" s="351">
        <f>IF(AP7="","",AP7)</f>
        <v>0</v>
      </c>
      <c r="R7" s="75" t="str">
        <f t="shared" ref="R7:R20" si="5">IF(AQ7=0,"",AQ7)</f>
        <v/>
      </c>
      <c r="S7" s="351">
        <f>IF(AR7="","",AR7)</f>
        <v>1</v>
      </c>
      <c r="T7" s="75" t="str">
        <f t="shared" ref="T7:T20" si="6">IF(AS7=0,"",AS7)</f>
        <v/>
      </c>
      <c r="U7" s="351">
        <f>IF(AT7="","",AT7)</f>
        <v>0</v>
      </c>
      <c r="V7" s="75">
        <f t="shared" ref="V7:V20" si="7">IF(AU7=0,"",AU7)</f>
        <v>538</v>
      </c>
      <c r="W7" s="351">
        <f>IF(AV7="","",AV7)</f>
        <v>2</v>
      </c>
      <c r="Z7" s="354" t="s">
        <v>0</v>
      </c>
      <c r="AA7" s="108" t="str">
        <f>IF(AB7=0,"",VLOOKUP(AB7,Starter!$A$1:$D$199,2,FALSE))</f>
        <v>Schwarz, Jan</v>
      </c>
      <c r="AB7" s="99">
        <v>7734</v>
      </c>
      <c r="AC7" s="185">
        <v>190</v>
      </c>
      <c r="AD7" s="109">
        <f>IF(SUM(AC7:AC9)+AC25=0,0,IF(SUM(AC7:AC9)=AC25,0.5,IF(SUM(AC7:AC9)&gt;AC25,1,0)))</f>
        <v>0.5</v>
      </c>
      <c r="AE7" s="185">
        <v>201</v>
      </c>
      <c r="AF7" s="109">
        <f>IF(SUM(AE7:AE9)+AE25=0,0,IF(SUM(AE7:AE9)=AE25,0.5,IF(SUM(AE7:AE9)&gt;AE25,1,0)))</f>
        <v>0</v>
      </c>
      <c r="AG7" s="185">
        <v>147</v>
      </c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0.5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538</v>
      </c>
      <c r="AV7" s="111">
        <f>SUM(AD7+AF7+AH7+AJ7+AL7+AN7+AP7+AR7+AT7)</f>
        <v>2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538</v>
      </c>
      <c r="BF7" s="215">
        <f>COUNT(BH7:BP7)</f>
        <v>3</v>
      </c>
      <c r="BG7" s="215">
        <f>COUNTIF(BH7:BP7,"&gt;0")</f>
        <v>3</v>
      </c>
      <c r="BH7" s="215">
        <f t="shared" ref="BH7:BH18" si="9">IF(AC7=0,"",AC7)</f>
        <v>190</v>
      </c>
      <c r="BI7" s="215">
        <f t="shared" ref="BI7:BI18" si="10">IF(AE7=0,"",AE7)</f>
        <v>201</v>
      </c>
      <c r="BJ7" s="215">
        <f t="shared" ref="BJ7:BJ18" si="11">IF(AG7=0,"",AG7)</f>
        <v>147</v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201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538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>Schlick, Christian</v>
      </c>
      <c r="C8" s="77">
        <f t="shared" si="19"/>
        <v>7724</v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>
        <f t="shared" si="2"/>
        <v>171</v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>
        <f t="shared" si="7"/>
        <v>171</v>
      </c>
      <c r="W8" s="352"/>
      <c r="Z8" s="355"/>
      <c r="AA8" s="108" t="str">
        <f>IF(AB8=0,"",VLOOKUP(AB8,Starter!$A$1:$D$199,2,FALSE))</f>
        <v>Schlick, Christian</v>
      </c>
      <c r="AB8" s="98">
        <v>7724</v>
      </c>
      <c r="AC8" s="186"/>
      <c r="AD8" s="112"/>
      <c r="AE8" s="186"/>
      <c r="AF8" s="112"/>
      <c r="AG8" s="186"/>
      <c r="AH8" s="112"/>
      <c r="AI8" s="186">
        <v>171</v>
      </c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171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7724</v>
      </c>
      <c r="BE8" s="213">
        <f t="shared" ref="BE8:BE18" si="22">+AU8</f>
        <v>171</v>
      </c>
      <c r="BF8" s="215">
        <f t="shared" ref="BF8:BF18" si="23">COUNT(BH8:BP8)</f>
        <v>1</v>
      </c>
      <c r="BG8" s="215">
        <f t="shared" ref="BG8:BG18" si="24">COUNTIF(BH8:BP8,"&gt;0")</f>
        <v>1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>
        <f t="shared" si="12"/>
        <v>171</v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171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171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>Mittelmaier, Andreas</v>
      </c>
      <c r="C9" s="80">
        <f t="shared" si="19"/>
        <v>16896</v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>
        <f t="shared" si="3"/>
        <v>188</v>
      </c>
      <c r="M9" s="353"/>
      <c r="N9" s="69">
        <f t="shared" si="20"/>
        <v>194</v>
      </c>
      <c r="O9" s="353"/>
      <c r="P9" s="69">
        <f t="shared" si="4"/>
        <v>151</v>
      </c>
      <c r="Q9" s="353"/>
      <c r="R9" s="69">
        <f t="shared" si="5"/>
        <v>256</v>
      </c>
      <c r="S9" s="353"/>
      <c r="T9" s="69">
        <f t="shared" si="6"/>
        <v>190</v>
      </c>
      <c r="U9" s="353"/>
      <c r="V9" s="69">
        <f t="shared" si="7"/>
        <v>979</v>
      </c>
      <c r="W9" s="353"/>
      <c r="Z9" s="356"/>
      <c r="AA9" s="115" t="str">
        <f>IF(AB9=0,"",VLOOKUP(AB9,Starter!$A$1:$D$199,2,FALSE))</f>
        <v>Mittelmaier, Andreas</v>
      </c>
      <c r="AB9" s="100">
        <v>16896</v>
      </c>
      <c r="AC9" s="187"/>
      <c r="AD9" s="112"/>
      <c r="AE9" s="187"/>
      <c r="AF9" s="112"/>
      <c r="AG9" s="187"/>
      <c r="AH9" s="112"/>
      <c r="AI9" s="187"/>
      <c r="AJ9" s="112"/>
      <c r="AK9" s="187">
        <v>188</v>
      </c>
      <c r="AL9" s="112"/>
      <c r="AM9" s="187">
        <v>194</v>
      </c>
      <c r="AN9" s="112"/>
      <c r="AO9" s="187">
        <v>151</v>
      </c>
      <c r="AP9" s="112"/>
      <c r="AQ9" s="187">
        <v>256</v>
      </c>
      <c r="AR9" s="112"/>
      <c r="AS9" s="187">
        <v>190</v>
      </c>
      <c r="AT9" s="112"/>
      <c r="AU9" s="116">
        <f t="shared" si="8"/>
        <v>979</v>
      </c>
      <c r="AV9" s="117"/>
      <c r="AW9" s="101"/>
      <c r="AX9" s="102"/>
      <c r="AZ9" s="63"/>
      <c r="BA9" s="212"/>
      <c r="BB9" s="213"/>
      <c r="BC9" s="214"/>
      <c r="BD9" s="217">
        <f t="shared" si="21"/>
        <v>16896</v>
      </c>
      <c r="BE9" s="213">
        <f t="shared" si="22"/>
        <v>979</v>
      </c>
      <c r="BF9" s="215">
        <f t="shared" si="23"/>
        <v>5</v>
      </c>
      <c r="BG9" s="215">
        <f t="shared" si="24"/>
        <v>5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>
        <f t="shared" si="13"/>
        <v>188</v>
      </c>
      <c r="BM9" s="215">
        <f t="shared" si="14"/>
        <v>194</v>
      </c>
      <c r="BN9" s="215">
        <f t="shared" si="15"/>
        <v>151</v>
      </c>
      <c r="BO9" s="215">
        <f t="shared" si="16"/>
        <v>256</v>
      </c>
      <c r="BP9" s="215">
        <f t="shared" si="17"/>
        <v>190</v>
      </c>
      <c r="BQ9" s="216"/>
      <c r="BR9" s="214"/>
      <c r="BS9" s="215">
        <f t="shared" si="25"/>
        <v>256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979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214</v>
      </c>
      <c r="E10" s="351">
        <f>IF(AD10="","",AD10)</f>
        <v>0</v>
      </c>
      <c r="F10" s="75">
        <f t="shared" si="0"/>
        <v>190</v>
      </c>
      <c r="G10" s="351">
        <f>IF(AF10="","",AF10)</f>
        <v>0</v>
      </c>
      <c r="H10" s="75">
        <f t="shared" si="1"/>
        <v>267</v>
      </c>
      <c r="I10" s="351">
        <f>IF(AH10="","",AH10)</f>
        <v>1</v>
      </c>
      <c r="J10" s="75">
        <f t="shared" si="2"/>
        <v>212</v>
      </c>
      <c r="K10" s="351">
        <f>IF(AJ10="","",AJ10)</f>
        <v>0</v>
      </c>
      <c r="L10" s="75">
        <f t="shared" si="3"/>
        <v>244</v>
      </c>
      <c r="M10" s="351">
        <f>IF(AL10="","",AL10)</f>
        <v>1</v>
      </c>
      <c r="N10" s="75">
        <f t="shared" si="20"/>
        <v>203</v>
      </c>
      <c r="O10" s="351">
        <f>IF(AN10="","",AN10)</f>
        <v>1</v>
      </c>
      <c r="P10" s="75">
        <f t="shared" si="4"/>
        <v>226</v>
      </c>
      <c r="Q10" s="351">
        <f>IF(AP10="","",AP10)</f>
        <v>1</v>
      </c>
      <c r="R10" s="75">
        <f t="shared" si="5"/>
        <v>177</v>
      </c>
      <c r="S10" s="351">
        <f>IF(AR10="","",AR10)</f>
        <v>0</v>
      </c>
      <c r="T10" s="75">
        <f t="shared" si="6"/>
        <v>164</v>
      </c>
      <c r="U10" s="351">
        <f>IF(AT10="","",AT10)</f>
        <v>0</v>
      </c>
      <c r="V10" s="75">
        <f t="shared" si="7"/>
        <v>1897</v>
      </c>
      <c r="W10" s="351">
        <f>IF(AV10="","",AV10)</f>
        <v>4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214</v>
      </c>
      <c r="AD10" s="109">
        <f>IF(SUM(AC10:AC12)+AC26=0,0,IF(SUM(AC10:AC12)=AC26,0.5,IF(SUM(AC10:AC12)&gt;AC26,1,0)))</f>
        <v>0</v>
      </c>
      <c r="AE10" s="188">
        <v>190</v>
      </c>
      <c r="AF10" s="109">
        <f>IF(SUM(AE10:AE12)+AE26=0,0,IF(SUM(AE10:AE12)=AE26,0.5,IF(SUM(AE10:AE12)&gt;AE26,1,0)))</f>
        <v>0</v>
      </c>
      <c r="AG10" s="188">
        <v>267</v>
      </c>
      <c r="AH10" s="109">
        <f>IF(SUM(AG10:AG12)+AG26=0,0,IF(SUM(AG10:AG12)=AG26,0.5,IF(SUM(AG10:AG12)&gt;AG26,1,0)))</f>
        <v>1</v>
      </c>
      <c r="AI10" s="188">
        <v>212</v>
      </c>
      <c r="AJ10" s="109">
        <f>IF(SUM(AI10:AI12)+AI26=0,0,IF(SUM(AI10:AI12)=AI26,0.5,IF(SUM(AI10:AI12)&gt;AI26,1,0)))</f>
        <v>0</v>
      </c>
      <c r="AK10" s="188">
        <v>244</v>
      </c>
      <c r="AL10" s="109">
        <f>IF(SUM(AK10:AK12)+AK26=0,0,IF(SUM(AK10:AK12)=AK26,0.5,IF(SUM(AK10:AK12)&gt;AK26,1,0)))</f>
        <v>1</v>
      </c>
      <c r="AM10" s="188">
        <v>203</v>
      </c>
      <c r="AN10" s="109">
        <f>IF(SUM(AM10:AM12)+AM26=0,0,IF(SUM(AM10:AM12)=AM26,0.5,IF(SUM(AM10:AM12)&gt;AM26,1,0)))</f>
        <v>1</v>
      </c>
      <c r="AO10" s="188">
        <v>226</v>
      </c>
      <c r="AP10" s="109">
        <f>IF(SUM(AO10:AO12)+AO26=0,0,IF(SUM(AO10:AO12)=AO26,0.5,IF(SUM(AO10:AO12)&gt;AO26,1,0)))</f>
        <v>1</v>
      </c>
      <c r="AQ10" s="188">
        <v>177</v>
      </c>
      <c r="AR10" s="109">
        <f>IF(SUM(AQ10:AQ12)+AQ26=0,0,IF(SUM(AQ10:AQ12)=AQ26,0.5,IF(SUM(AQ10:AQ12)&gt;AQ26,1,0)))</f>
        <v>0</v>
      </c>
      <c r="AS10" s="188">
        <v>164</v>
      </c>
      <c r="AT10" s="109">
        <f>IF(SUM(AS10:AS12)+AS26=0,0,IF(SUM(AS10:AS12)=AS26,0.5,IF(SUM(AS10:AS12)&gt;AS26,1,0)))</f>
        <v>0</v>
      </c>
      <c r="AU10" s="110">
        <f t="shared" si="8"/>
        <v>1897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1897</v>
      </c>
      <c r="BF10" s="215">
        <f t="shared" si="23"/>
        <v>9</v>
      </c>
      <c r="BG10" s="215">
        <f t="shared" si="24"/>
        <v>9</v>
      </c>
      <c r="BH10" s="215">
        <f t="shared" si="9"/>
        <v>214</v>
      </c>
      <c r="BI10" s="215">
        <f t="shared" si="10"/>
        <v>190</v>
      </c>
      <c r="BJ10" s="215">
        <f t="shared" si="11"/>
        <v>267</v>
      </c>
      <c r="BK10" s="215">
        <f t="shared" si="12"/>
        <v>212</v>
      </c>
      <c r="BL10" s="215">
        <f t="shared" si="13"/>
        <v>244</v>
      </c>
      <c r="BM10" s="215">
        <f t="shared" si="14"/>
        <v>203</v>
      </c>
      <c r="BN10" s="215">
        <f t="shared" si="15"/>
        <v>226</v>
      </c>
      <c r="BO10" s="215">
        <f t="shared" si="16"/>
        <v>177</v>
      </c>
      <c r="BP10" s="215">
        <f t="shared" si="17"/>
        <v>164</v>
      </c>
      <c r="BQ10" s="216"/>
      <c r="BR10" s="214"/>
      <c r="BS10" s="215">
        <f t="shared" si="25"/>
        <v>267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1897</v>
      </c>
      <c r="BX10" s="215">
        <f>IF(COUNTIF(BH10:BP10,"&gt;0")&lt;Spielorte!$A$23,0,BE10/Spielorte!$A$23)</f>
        <v>210.77777777777777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Mittelmaier, Andreas</v>
      </c>
      <c r="C13" s="74">
        <f t="shared" si="19"/>
        <v>16896</v>
      </c>
      <c r="D13" s="75">
        <f t="shared" si="19"/>
        <v>183</v>
      </c>
      <c r="E13" s="351">
        <f>IF(AD13="","",AD13)</f>
        <v>0</v>
      </c>
      <c r="F13" s="75" t="str">
        <f t="shared" si="0"/>
        <v/>
      </c>
      <c r="G13" s="351">
        <f>IF(AF13="","",AF13)</f>
        <v>1</v>
      </c>
      <c r="H13" s="75" t="str">
        <f t="shared" si="1"/>
        <v/>
      </c>
      <c r="I13" s="351">
        <f>IF(AH13="","",AH13)</f>
        <v>1</v>
      </c>
      <c r="J13" s="75" t="str">
        <f t="shared" si="2"/>
        <v/>
      </c>
      <c r="K13" s="351">
        <f>IF(AJ13="","",AJ13)</f>
        <v>1</v>
      </c>
      <c r="L13" s="75" t="str">
        <f t="shared" si="3"/>
        <v/>
      </c>
      <c r="M13" s="351">
        <f>IF(AL13="","",AL13)</f>
        <v>0</v>
      </c>
      <c r="N13" s="75" t="str">
        <f t="shared" si="20"/>
        <v/>
      </c>
      <c r="O13" s="351">
        <f>IF(AN13="","",AN13)</f>
        <v>1</v>
      </c>
      <c r="P13" s="75" t="str">
        <f t="shared" si="4"/>
        <v/>
      </c>
      <c r="Q13" s="351">
        <f>IF(AP13="","",AP13)</f>
        <v>1</v>
      </c>
      <c r="R13" s="75" t="str">
        <f t="shared" si="5"/>
        <v/>
      </c>
      <c r="S13" s="351">
        <f>IF(AR13="","",AR13)</f>
        <v>0</v>
      </c>
      <c r="T13" s="75" t="str">
        <f t="shared" si="6"/>
        <v/>
      </c>
      <c r="U13" s="351">
        <f>IF(AT13="","",AT13)</f>
        <v>1</v>
      </c>
      <c r="V13" s="75">
        <f t="shared" si="7"/>
        <v>183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Mittelmaier, Andreas</v>
      </c>
      <c r="AB13" s="99">
        <v>16896</v>
      </c>
      <c r="AC13" s="188">
        <v>183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1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1</v>
      </c>
      <c r="AU13" s="110">
        <f t="shared" si="8"/>
        <v>183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16896</v>
      </c>
      <c r="BE13" s="213">
        <f t="shared" si="22"/>
        <v>183</v>
      </c>
      <c r="BF13" s="215">
        <f t="shared" si="23"/>
        <v>1</v>
      </c>
      <c r="BG13" s="215">
        <f t="shared" si="24"/>
        <v>1</v>
      </c>
      <c r="BH13" s="215">
        <f t="shared" si="9"/>
        <v>183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183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>Schlundt, Michael</v>
      </c>
      <c r="C14" s="77">
        <f t="shared" si="19"/>
        <v>7725</v>
      </c>
      <c r="D14" s="78" t="str">
        <f t="shared" si="19"/>
        <v/>
      </c>
      <c r="E14" s="352"/>
      <c r="F14" s="78">
        <f t="shared" si="0"/>
        <v>194</v>
      </c>
      <c r="G14" s="352"/>
      <c r="H14" s="78">
        <f t="shared" si="1"/>
        <v>182</v>
      </c>
      <c r="I14" s="352"/>
      <c r="J14" s="78">
        <f t="shared" si="2"/>
        <v>259</v>
      </c>
      <c r="K14" s="352"/>
      <c r="L14" s="78">
        <f t="shared" si="3"/>
        <v>148</v>
      </c>
      <c r="M14" s="352"/>
      <c r="N14" s="78">
        <f t="shared" si="20"/>
        <v>194</v>
      </c>
      <c r="O14" s="352"/>
      <c r="P14" s="78">
        <f t="shared" si="4"/>
        <v>219</v>
      </c>
      <c r="Q14" s="352"/>
      <c r="R14" s="78">
        <f t="shared" si="5"/>
        <v>178</v>
      </c>
      <c r="S14" s="352"/>
      <c r="T14" s="78">
        <f t="shared" si="6"/>
        <v>198</v>
      </c>
      <c r="U14" s="352"/>
      <c r="V14" s="78">
        <f t="shared" si="7"/>
        <v>1572</v>
      </c>
      <c r="W14" s="352"/>
      <c r="Z14" s="355"/>
      <c r="AA14" s="108" t="str">
        <f>IF(AB14=0,"",VLOOKUP(AB14,Starter!$A$1:$D$199,2,FALSE))</f>
        <v>Schlundt, Michael</v>
      </c>
      <c r="AB14" s="98">
        <v>7725</v>
      </c>
      <c r="AC14" s="186"/>
      <c r="AD14" s="112"/>
      <c r="AE14" s="186">
        <v>194</v>
      </c>
      <c r="AF14" s="112"/>
      <c r="AG14" s="186">
        <v>182</v>
      </c>
      <c r="AH14" s="112"/>
      <c r="AI14" s="186">
        <v>259</v>
      </c>
      <c r="AJ14" s="112"/>
      <c r="AK14" s="186">
        <v>148</v>
      </c>
      <c r="AL14" s="112"/>
      <c r="AM14" s="186">
        <v>194</v>
      </c>
      <c r="AN14" s="112"/>
      <c r="AO14" s="186">
        <v>219</v>
      </c>
      <c r="AP14" s="112"/>
      <c r="AQ14" s="186">
        <v>178</v>
      </c>
      <c r="AR14" s="112"/>
      <c r="AS14" s="186">
        <v>198</v>
      </c>
      <c r="AT14" s="112"/>
      <c r="AU14" s="113">
        <f t="shared" si="8"/>
        <v>1572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7725</v>
      </c>
      <c r="BE14" s="213">
        <f t="shared" si="22"/>
        <v>1572</v>
      </c>
      <c r="BF14" s="215">
        <f t="shared" si="23"/>
        <v>8</v>
      </c>
      <c r="BG14" s="215">
        <f t="shared" si="24"/>
        <v>8</v>
      </c>
      <c r="BH14" s="215" t="str">
        <f t="shared" si="9"/>
        <v/>
      </c>
      <c r="BI14" s="215">
        <f t="shared" si="10"/>
        <v>194</v>
      </c>
      <c r="BJ14" s="215">
        <f t="shared" si="11"/>
        <v>182</v>
      </c>
      <c r="BK14" s="215">
        <f t="shared" si="12"/>
        <v>259</v>
      </c>
      <c r="BL14" s="215">
        <f t="shared" si="13"/>
        <v>148</v>
      </c>
      <c r="BM14" s="215">
        <f t="shared" si="14"/>
        <v>194</v>
      </c>
      <c r="BN14" s="215">
        <f t="shared" si="15"/>
        <v>219</v>
      </c>
      <c r="BO14" s="215">
        <f t="shared" si="16"/>
        <v>178</v>
      </c>
      <c r="BP14" s="215">
        <f t="shared" si="17"/>
        <v>198</v>
      </c>
      <c r="BQ14" s="216"/>
      <c r="BR14" s="214"/>
      <c r="BS14" s="215">
        <f t="shared" si="25"/>
        <v>259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1572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51">
        <f>IF(AD16="","",AD16)</f>
        <v>0</v>
      </c>
      <c r="F16" s="75">
        <f t="shared" si="0"/>
        <v>215</v>
      </c>
      <c r="G16" s="351">
        <f>IF(AF16="","",AF16)</f>
        <v>1</v>
      </c>
      <c r="H16" s="75">
        <f t="shared" si="1"/>
        <v>217</v>
      </c>
      <c r="I16" s="351">
        <f>IF(AH16="","",AH16)</f>
        <v>1</v>
      </c>
      <c r="J16" s="75">
        <f t="shared" si="2"/>
        <v>244</v>
      </c>
      <c r="K16" s="351">
        <f>IF(AJ16="","",AJ16)</f>
        <v>1</v>
      </c>
      <c r="L16" s="75">
        <f t="shared" si="3"/>
        <v>222</v>
      </c>
      <c r="M16" s="351">
        <f>IF(AL16="","",AL16)</f>
        <v>1</v>
      </c>
      <c r="N16" s="75">
        <f t="shared" si="20"/>
        <v>172</v>
      </c>
      <c r="O16" s="351">
        <f>IF(AN16="","",AN16)</f>
        <v>0</v>
      </c>
      <c r="P16" s="75" t="str">
        <f t="shared" si="4"/>
        <v/>
      </c>
      <c r="Q16" s="351">
        <f>IF(AP16="","",AP16)</f>
        <v>1</v>
      </c>
      <c r="R16" s="75" t="str">
        <f t="shared" si="5"/>
        <v/>
      </c>
      <c r="S16" s="351">
        <f>IF(AR16="","",AR16)</f>
        <v>1</v>
      </c>
      <c r="T16" s="75" t="str">
        <f t="shared" si="6"/>
        <v/>
      </c>
      <c r="U16" s="351">
        <f>IF(AT16="","",AT16)</f>
        <v>1</v>
      </c>
      <c r="V16" s="75">
        <f t="shared" si="7"/>
        <v>1296</v>
      </c>
      <c r="W16" s="351">
        <f>IF(AV16="","",AV16)</f>
        <v>7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IF(SUM(AC16:AC18)+AC28=0,0,IF(SUM(AC16:AC18)=AC28,0.5,IF(SUM(AC16:AC18)&gt;AC28,1,0)))</f>
        <v>0</v>
      </c>
      <c r="AE16" s="188">
        <v>215</v>
      </c>
      <c r="AF16" s="109">
        <f>IF(SUM(AE16:AE18)+AE28=0,0,IF(SUM(AE16:AE18)=AE28,0.5,IF(SUM(AE16:AE18)&gt;AE28,1,0)))</f>
        <v>1</v>
      </c>
      <c r="AG16" s="188">
        <v>217</v>
      </c>
      <c r="AH16" s="109">
        <f>IF(SUM(AG16:AG18)+AG28=0,0,IF(SUM(AG16:AG18)=AG28,0.5,IF(SUM(AG16:AG18)&gt;AG28,1,0)))</f>
        <v>1</v>
      </c>
      <c r="AI16" s="188">
        <v>244</v>
      </c>
      <c r="AJ16" s="109">
        <f>IF(SUM(AI16:AI18)+AI28=0,0,IF(SUM(AI16:AI18)=AI28,0.5,IF(SUM(AI16:AI18)&gt;AI28,1,0)))</f>
        <v>1</v>
      </c>
      <c r="AK16" s="188">
        <v>222</v>
      </c>
      <c r="AL16" s="109">
        <f>IF(SUM(AK16:AK18)+AK28=0,0,IF(SUM(AK16:AK18)=AK28,0.5,IF(SUM(AK16:AK18)&gt;AK28,1,0)))</f>
        <v>1</v>
      </c>
      <c r="AM16" s="188">
        <v>172</v>
      </c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1</v>
      </c>
      <c r="AQ16" s="188"/>
      <c r="AR16" s="109">
        <f>IF(SUM(AQ16:AQ18)+AQ28=0,0,IF(SUM(AQ16:AQ18)=AQ28,0.5,IF(SUM(AQ16:AQ18)&gt;AQ28,1,0)))</f>
        <v>1</v>
      </c>
      <c r="AS16" s="188"/>
      <c r="AT16" s="109">
        <f>IF(SUM(AS16:AS18)+AS28=0,0,IF(SUM(AS16:AS18)=AS28,0.5,IF(SUM(AS16:AS18)&gt;AS28,1,0)))</f>
        <v>1</v>
      </c>
      <c r="AU16" s="110">
        <f t="shared" si="8"/>
        <v>1296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1296</v>
      </c>
      <c r="BF16" s="215">
        <f t="shared" si="23"/>
        <v>6</v>
      </c>
      <c r="BG16" s="215">
        <f t="shared" si="24"/>
        <v>6</v>
      </c>
      <c r="BH16" s="215">
        <f t="shared" si="9"/>
        <v>226</v>
      </c>
      <c r="BI16" s="215">
        <f t="shared" si="10"/>
        <v>215</v>
      </c>
      <c r="BJ16" s="215">
        <f t="shared" si="11"/>
        <v>217</v>
      </c>
      <c r="BK16" s="215">
        <f t="shared" si="12"/>
        <v>244</v>
      </c>
      <c r="BL16" s="215">
        <f t="shared" si="13"/>
        <v>222</v>
      </c>
      <c r="BM16" s="215">
        <f t="shared" si="14"/>
        <v>172</v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1296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>Schwarz, Jan</v>
      </c>
      <c r="C17" s="77">
        <f t="shared" si="19"/>
        <v>7734</v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>
        <f t="shared" si="4"/>
        <v>241</v>
      </c>
      <c r="Q17" s="352"/>
      <c r="R17" s="78">
        <f t="shared" si="5"/>
        <v>183</v>
      </c>
      <c r="S17" s="352"/>
      <c r="T17" s="78">
        <f t="shared" si="6"/>
        <v>226</v>
      </c>
      <c r="U17" s="352"/>
      <c r="V17" s="78">
        <f t="shared" si="7"/>
        <v>650</v>
      </c>
      <c r="W17" s="352"/>
      <c r="Z17" s="355"/>
      <c r="AA17" s="108" t="str">
        <f>IF(AB17=0,"",VLOOKUP(AB17,Starter!$A$1:$D$199,2,FALSE))</f>
        <v>Schwarz, Jan</v>
      </c>
      <c r="AB17" s="98">
        <v>7734</v>
      </c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>
        <v>241</v>
      </c>
      <c r="AP17" s="112"/>
      <c r="AQ17" s="186">
        <v>183</v>
      </c>
      <c r="AR17" s="112"/>
      <c r="AS17" s="186">
        <v>226</v>
      </c>
      <c r="AT17" s="112"/>
      <c r="AU17" s="113">
        <f t="shared" si="8"/>
        <v>650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7734</v>
      </c>
      <c r="BE17" s="213">
        <f t="shared" si="22"/>
        <v>650</v>
      </c>
      <c r="BF17" s="215">
        <f t="shared" si="23"/>
        <v>3</v>
      </c>
      <c r="BG17" s="215">
        <f t="shared" si="24"/>
        <v>3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>
        <f t="shared" si="15"/>
        <v>241</v>
      </c>
      <c r="BO17" s="215">
        <f t="shared" si="16"/>
        <v>183</v>
      </c>
      <c r="BP17" s="215">
        <f t="shared" si="17"/>
        <v>226</v>
      </c>
      <c r="BQ17" s="216"/>
      <c r="BR17" s="214"/>
      <c r="BS17" s="215">
        <f t="shared" si="25"/>
        <v>241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650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813</v>
      </c>
      <c r="E19" s="84">
        <f>IF(AD19="","",AD19)</f>
        <v>0</v>
      </c>
      <c r="F19" s="83">
        <f t="shared" si="0"/>
        <v>800</v>
      </c>
      <c r="G19" s="84">
        <f>IF(AF19="","",AF19)</f>
        <v>2</v>
      </c>
      <c r="H19" s="83">
        <f t="shared" si="1"/>
        <v>813</v>
      </c>
      <c r="I19" s="84">
        <f>IF(AH19="","",AH19)</f>
        <v>2</v>
      </c>
      <c r="J19" s="83">
        <f t="shared" si="2"/>
        <v>886</v>
      </c>
      <c r="K19" s="84">
        <f>IF(AJ19="","",AJ19)</f>
        <v>2</v>
      </c>
      <c r="L19" s="83">
        <f t="shared" si="3"/>
        <v>802</v>
      </c>
      <c r="M19" s="84">
        <f>IF(AL19="","",AL19)</f>
        <v>2</v>
      </c>
      <c r="N19" s="83">
        <f t="shared" si="20"/>
        <v>763</v>
      </c>
      <c r="O19" s="84">
        <f>IF(AN19="","",AN19)</f>
        <v>0</v>
      </c>
      <c r="P19" s="83">
        <f t="shared" si="4"/>
        <v>837</v>
      </c>
      <c r="Q19" s="84">
        <f>IF(AP19="","",AP19)</f>
        <v>2</v>
      </c>
      <c r="R19" s="83">
        <f t="shared" si="5"/>
        <v>794</v>
      </c>
      <c r="S19" s="84">
        <f>IF(AR19="","",AR19)</f>
        <v>2</v>
      </c>
      <c r="T19" s="83">
        <f t="shared" si="6"/>
        <v>778</v>
      </c>
      <c r="U19" s="84">
        <f>IF(AT19="","",AT19)</f>
        <v>2</v>
      </c>
      <c r="V19" s="83">
        <f t="shared" si="7"/>
        <v>7286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813</v>
      </c>
      <c r="AD19" s="121">
        <f>IF(AC19+AC29=0,0,IF(AC19=AC29,1,IF(AC19&gt;AC29,2,0)))</f>
        <v>0</v>
      </c>
      <c r="AE19" s="211">
        <f>ABS(SUM(AE7:AE9))+ABS(SUM(AE10:AE12))+ABS(SUM(AE13:AE15))+ABS(SUM(AE16:AE18))</f>
        <v>800</v>
      </c>
      <c r="AF19" s="121">
        <f>IF(AE19+AE29=0,0,IF(AE19=AE29,1,IF(AE19&gt;AE29,2,0)))</f>
        <v>2</v>
      </c>
      <c r="AG19" s="211">
        <f>ABS(SUM(AG7:AG9))+ABS(SUM(AG10:AG12))+ABS(SUM(AG13:AG15))+ABS(SUM(AG16:AG18))</f>
        <v>813</v>
      </c>
      <c r="AH19" s="121">
        <f>IF(AG19+AG29=0,0,IF(AG19=AG29,1,IF(AG19&gt;AG29,2,0)))</f>
        <v>2</v>
      </c>
      <c r="AI19" s="211">
        <f>ABS(SUM(AI7:AI9))+ABS(SUM(AI10:AI12))+ABS(SUM(AI13:AI15))+ABS(SUM(AI16:AI18))</f>
        <v>886</v>
      </c>
      <c r="AJ19" s="121">
        <f>IF(AI19+AI29=0,0,IF(AI19=AI29,1,IF(AI19&gt;AI29,2,0)))</f>
        <v>2</v>
      </c>
      <c r="AK19" s="211">
        <f>ABS(SUM(AK7:AK9))+ABS(SUM(AK10:AK12))+ABS(SUM(AK13:AK15))+ABS(SUM(AK16:AK18))</f>
        <v>802</v>
      </c>
      <c r="AL19" s="121">
        <f>IF(AK19+AK29=0,0,IF(AK19=AK29,1,IF(AK19&gt;AK29,2,0)))</f>
        <v>2</v>
      </c>
      <c r="AM19" s="211">
        <f>ABS(SUM(AM7:AM9))+ABS(SUM(AM10:AM12))+ABS(SUM(AM13:AM15))+ABS(SUM(AM16:AM18))</f>
        <v>763</v>
      </c>
      <c r="AN19" s="121">
        <f>IF(AM19+AM29=0,0,IF(AM19=AM29,1,IF(AM19&gt;AM29,2,0)))</f>
        <v>0</v>
      </c>
      <c r="AO19" s="211">
        <f>ABS(SUM(AO7:AO9))+ABS(SUM(AO10:AO12))+ABS(SUM(AO13:AO15))+ABS(SUM(AO16:AO18))</f>
        <v>837</v>
      </c>
      <c r="AP19" s="121">
        <f>IF(AO19+AO29=0,0,IF(AO19=AO29,1,IF(AO19&gt;AO29,2,0)))</f>
        <v>2</v>
      </c>
      <c r="AQ19" s="211">
        <f>ABS(SUM(AQ7:AQ9))+ABS(SUM(AQ10:AQ12))+ABS(SUM(AQ13:AQ15))+ABS(SUM(AQ16:AQ18))</f>
        <v>794</v>
      </c>
      <c r="AR19" s="121">
        <f>IF(AQ19+AQ29=0,0,IF(AQ19=AQ29,1,IF(AQ19&gt;AQ29,2,0)))</f>
        <v>2</v>
      </c>
      <c r="AS19" s="211">
        <f>ABS(SUM(AS7:AS9))+ABS(SUM(AS10:AS12))+ABS(SUM(AS13:AS15))+ABS(SUM(AS16:AS18))</f>
        <v>778</v>
      </c>
      <c r="AT19" s="121">
        <f>IF(AS19+AS29=0,0,IF(AS19=AS29,1,IF(AS19&gt;AS29,2,0)))</f>
        <v>2</v>
      </c>
      <c r="AU19" s="122">
        <f>SUM(AC19+AE19+AG19+AI19+AK19+AM19+AO19+AQ19+AS19)</f>
        <v>7286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0.5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4.5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2</v>
      </c>
      <c r="P20" s="86" t="str">
        <f t="shared" si="4"/>
        <v/>
      </c>
      <c r="Q20" s="87">
        <f>IF(AP20="","",AP20)</f>
        <v>5</v>
      </c>
      <c r="R20" s="86" t="str">
        <f t="shared" si="5"/>
        <v/>
      </c>
      <c r="S20" s="87">
        <f>IF(AR20="","",AR20)</f>
        <v>4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33</v>
      </c>
      <c r="AA20" s="85" t="s">
        <v>1814</v>
      </c>
      <c r="AB20" s="86"/>
      <c r="AC20" s="86"/>
      <c r="AD20" s="124">
        <f>SUM(AD7:AD19)</f>
        <v>0.5</v>
      </c>
      <c r="AE20" s="86"/>
      <c r="AF20" s="124">
        <f>SUM(AF7:AF19)</f>
        <v>4</v>
      </c>
      <c r="AG20" s="86"/>
      <c r="AH20" s="124">
        <f>SUM(AH7:AH19)</f>
        <v>5</v>
      </c>
      <c r="AI20" s="86"/>
      <c r="AJ20" s="124">
        <f>SUM(AJ7:AJ19)</f>
        <v>4.5</v>
      </c>
      <c r="AK20" s="86"/>
      <c r="AL20" s="124">
        <f>SUM(AL7:AL19)</f>
        <v>4</v>
      </c>
      <c r="AM20" s="86"/>
      <c r="AN20" s="124">
        <f>SUM(AN7:AN19)</f>
        <v>2</v>
      </c>
      <c r="AO20" s="86"/>
      <c r="AP20" s="124">
        <f>SUM(AP7:AP19)</f>
        <v>5</v>
      </c>
      <c r="AQ20" s="86"/>
      <c r="AR20" s="124">
        <f>SUM(AR7:AR19)</f>
        <v>4</v>
      </c>
      <c r="AS20" s="86"/>
      <c r="AT20" s="124">
        <f>SUM(AT7:AT19)</f>
        <v>4</v>
      </c>
      <c r="AU20" s="86"/>
      <c r="AV20" s="125">
        <f>SUM(AV7:AV19)</f>
        <v>33</v>
      </c>
      <c r="AW20" s="101"/>
      <c r="AX20" s="102"/>
      <c r="BA20" s="212">
        <f>+AV20</f>
        <v>33</v>
      </c>
      <c r="BB20" s="213">
        <f>+AU19</f>
        <v>7286</v>
      </c>
      <c r="BC20" s="214">
        <f>+AA2</f>
        <v>1</v>
      </c>
      <c r="BF20" s="215">
        <f>SUM(BF1:BF19)</f>
        <v>36</v>
      </c>
      <c r="BQ20" s="212">
        <f>+BB20/1000000+BA20</f>
        <v>33.007286000000001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7</v>
      </c>
      <c r="E22" s="349" t="str">
        <f t="shared" si="31"/>
        <v/>
      </c>
      <c r="F22" s="349">
        <f t="shared" si="31"/>
        <v>8</v>
      </c>
      <c r="G22" s="349" t="str">
        <f t="shared" si="31"/>
        <v/>
      </c>
      <c r="H22" s="349">
        <f t="shared" si="31"/>
        <v>5</v>
      </c>
      <c r="I22" s="349" t="str">
        <f t="shared" si="31"/>
        <v/>
      </c>
      <c r="J22" s="349">
        <f t="shared" si="31"/>
        <v>3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9</v>
      </c>
      <c r="O22" s="349" t="str">
        <f t="shared" si="32"/>
        <v/>
      </c>
      <c r="P22" s="349">
        <f t="shared" si="32"/>
        <v>10</v>
      </c>
      <c r="Q22" s="349" t="str">
        <f t="shared" si="32"/>
        <v/>
      </c>
      <c r="R22" s="349">
        <f t="shared" si="32"/>
        <v>6</v>
      </c>
      <c r="S22" s="349" t="str">
        <f t="shared" si="32"/>
        <v/>
      </c>
      <c r="T22" s="349">
        <f t="shared" si="32"/>
        <v>2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VLOOKUP($AA2,Schlüssel!$A$5:$DG$14,103)</f>
        <v>7</v>
      </c>
      <c r="AD22" s="374"/>
      <c r="AE22" s="373">
        <f>VLOOKUP($AA2,Schlüssel!$A$5:$EK$14,104)</f>
        <v>8</v>
      </c>
      <c r="AF22" s="374"/>
      <c r="AG22" s="373">
        <f>VLOOKUP($AA2,Schlüssel!$A$5:$EK$14,105)</f>
        <v>5</v>
      </c>
      <c r="AH22" s="374"/>
      <c r="AI22" s="373">
        <f>VLOOKUP($AA2,Schlüssel!$A$5:$EK$14,106)</f>
        <v>3</v>
      </c>
      <c r="AJ22" s="374"/>
      <c r="AK22" s="373">
        <f>VLOOKUP($AA2,Schlüssel!$A$5:$EK$14,107)</f>
        <v>4</v>
      </c>
      <c r="AL22" s="374"/>
      <c r="AM22" s="373">
        <f>VLOOKUP($AA2,Schlüssel!$A$5:$EK$14,108)</f>
        <v>9</v>
      </c>
      <c r="AN22" s="374"/>
      <c r="AO22" s="373">
        <f>VLOOKUP($AA2,Schlüssel!$A$5:$EK$14,109)</f>
        <v>10</v>
      </c>
      <c r="AP22" s="374"/>
      <c r="AQ22" s="373">
        <f>VLOOKUP($AA2,Schlüssel!$A$5:$EK$14,110)</f>
        <v>6</v>
      </c>
      <c r="AR22" s="374"/>
      <c r="AS22" s="373">
        <f>VLOOKUP($AA2,Schlüssel!$A$5:$EK$14,111)</f>
        <v>2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Schanzer Ingolstadt 1</v>
      </c>
      <c r="E23" s="347" t="str">
        <f t="shared" si="31"/>
        <v/>
      </c>
      <c r="F23" s="346" t="str">
        <f t="shared" si="31"/>
        <v>BC EMAX Unterföhring 2</v>
      </c>
      <c r="G23" s="347" t="str">
        <f t="shared" si="31"/>
        <v/>
      </c>
      <c r="H23" s="346" t="str">
        <f t="shared" si="31"/>
        <v>RW Lichtenhof Stein 1</v>
      </c>
      <c r="I23" s="347" t="str">
        <f t="shared" si="31"/>
        <v/>
      </c>
      <c r="J23" s="346" t="str">
        <f t="shared" si="31"/>
        <v>BK München 3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Bowlinghaus Bamberg 1</v>
      </c>
      <c r="O23" s="347" t="str">
        <f t="shared" si="32"/>
        <v/>
      </c>
      <c r="P23" s="346" t="str">
        <f t="shared" si="32"/>
        <v>High Roller Rosenheim 1</v>
      </c>
      <c r="Q23" s="347" t="str">
        <f t="shared" si="32"/>
        <v/>
      </c>
      <c r="R23" s="346" t="str">
        <f t="shared" si="32"/>
        <v>SG Rottendorf 1</v>
      </c>
      <c r="S23" s="347" t="str">
        <f t="shared" si="32"/>
        <v/>
      </c>
      <c r="T23" s="346" t="str">
        <f t="shared" si="32"/>
        <v>Bajuwaren München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Schanzer Ingolstadt 1</v>
      </c>
      <c r="AD23" s="347"/>
      <c r="AE23" s="346" t="str">
        <f>VLOOKUP(AE22,Schlüssel!$A$5:$K$14,2)</f>
        <v>BC EMAX Unterföhring 2</v>
      </c>
      <c r="AF23" s="347"/>
      <c r="AG23" s="346" t="str">
        <f>VLOOKUP(AG22,Schlüssel!$A$5:$K$14,2)</f>
        <v>RW Lichtenhof Stein 1</v>
      </c>
      <c r="AH23" s="347"/>
      <c r="AI23" s="346" t="str">
        <f>VLOOKUP(AI22,Schlüssel!$A$5:$K$14,2)</f>
        <v>BK München 3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Bowlinghaus Bamberg 1</v>
      </c>
      <c r="AN23" s="347"/>
      <c r="AO23" s="346" t="str">
        <f>VLOOKUP(AO22,Schlüssel!$A$5:$K$14,2)</f>
        <v>High Roller Rosenheim 1</v>
      </c>
      <c r="AP23" s="347"/>
      <c r="AQ23" s="346" t="str">
        <f>VLOOKUP(AQ22,Schlüssel!$A$5:$K$14,2)</f>
        <v>SG Rottendorf 1</v>
      </c>
      <c r="AR23" s="347"/>
      <c r="AS23" s="346" t="str">
        <f>VLOOKUP(AS22,Schlüssel!$A$5:$K$14,2)</f>
        <v>Bajuwaren München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190</v>
      </c>
      <c r="E25" s="342" t="str">
        <f>IF(AD25=0,"",AD25)</f>
        <v/>
      </c>
      <c r="F25" s="342">
        <f>IF(AE25=301,"",AE25)</f>
        <v>238</v>
      </c>
      <c r="G25" s="342" t="str">
        <f>IF(AF25=0,"",AF25)</f>
        <v/>
      </c>
      <c r="H25" s="342">
        <f>IF(AG25=301,"",AG25)</f>
        <v>213</v>
      </c>
      <c r="I25" s="342" t="str">
        <f>IF(AH25=0,"",AH25)</f>
        <v/>
      </c>
      <c r="J25" s="342">
        <f>IF(AI25=301,"",AI25)</f>
        <v>171</v>
      </c>
      <c r="K25" s="342" t="str">
        <f>IF(AJ25=0,"",AJ25)</f>
        <v/>
      </c>
      <c r="L25" s="342">
        <f>IF(AK25=301,"",AK25)</f>
        <v>235</v>
      </c>
      <c r="M25" s="342" t="str">
        <f>IF(AL25=0,"",AL25)</f>
        <v/>
      </c>
      <c r="N25" s="342">
        <f>IF(AM25=301,"",AM25)</f>
        <v>245</v>
      </c>
      <c r="O25" s="342" t="str">
        <f>IF(AN25=0,"",AN25)</f>
        <v/>
      </c>
      <c r="P25" s="342">
        <f>IF(AO25=301,"",AO25)</f>
        <v>238</v>
      </c>
      <c r="Q25" s="342" t="str">
        <f>IF(AP25=0,"",AP25)</f>
        <v/>
      </c>
      <c r="R25" s="342">
        <f>IF(AQ25=301,"",AQ25)</f>
        <v>164</v>
      </c>
      <c r="S25" s="342" t="str">
        <f>IF(AR25=0,"",AR25)</f>
        <v/>
      </c>
      <c r="T25" s="342">
        <f>IF(AS25=301,"",AS25)</f>
        <v>230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190</v>
      </c>
      <c r="AD25" s="376"/>
      <c r="AE25" s="375">
        <f>ABS(INDEX(AE:AE,MATCH(AE22,$AA:$AA,0)+5)+INDEX(AE:AE,MATCH(AE22,$AA:$AA,0)+6)+INDEX(AE:AE,MATCH(AE22,$AA:$AA,0)+7))</f>
        <v>238</v>
      </c>
      <c r="AF25" s="376"/>
      <c r="AG25" s="375">
        <f>ABS(INDEX(AG:AG,MATCH(AG22,$AA:$AA,0)+5)+INDEX(AG:AG,MATCH(AG22,$AA:$AA,0)+6)+INDEX(AG:AG,MATCH(AG22,$AA:$AA,0)+7))</f>
        <v>213</v>
      </c>
      <c r="AH25" s="376"/>
      <c r="AI25" s="375">
        <f>ABS(INDEX(AI:AI,MATCH(AI22,$AA:$AA,0)+5)+INDEX(AI:AI,MATCH(AI22,$AA:$AA,0)+6)+INDEX(AI:AI,MATCH(AI22,$AA:$AA,0)+7))</f>
        <v>171</v>
      </c>
      <c r="AJ25" s="376"/>
      <c r="AK25" s="375">
        <f>ABS(INDEX(AK:AK,MATCH(AK22,$AA:$AA,0)+5)+INDEX(AK:AK,MATCH(AK22,$AA:$AA,0)+6)+INDEX(AK:AK,MATCH(AK22,$AA:$AA,0)+7))</f>
        <v>235</v>
      </c>
      <c r="AL25" s="376"/>
      <c r="AM25" s="375">
        <f>ABS(INDEX(AM:AM,MATCH(AM22,$AA:$AA,0)+5)+INDEX(AM:AM,MATCH(AM22,$AA:$AA,0)+6)+INDEX(AM:AM,MATCH(AM22,$AA:$AA,0)+7))</f>
        <v>245</v>
      </c>
      <c r="AN25" s="376"/>
      <c r="AO25" s="375">
        <f>ABS(INDEX(AO:AO,MATCH(AO22,$AA:$AA,0)+5)+INDEX(AO:AO,MATCH(AO22,$AA:$AA,0)+6)+INDEX(AO:AO,MATCH(AO22,$AA:$AA,0)+7))</f>
        <v>238</v>
      </c>
      <c r="AP25" s="376"/>
      <c r="AQ25" s="375">
        <f>ABS(INDEX(AQ:AQ,MATCH(AQ22,$AA:$AA,0)+5)+INDEX(AQ:AQ,MATCH(AQ22,$AA:$AA,0)+6)+INDEX(AQ:AQ,MATCH(AQ22,$AA:$AA,0)+7))</f>
        <v>164</v>
      </c>
      <c r="AR25" s="376"/>
      <c r="AS25" s="375">
        <f>ABS(INDEX(AS:AS,MATCH(AS22,$AA:$AA,0)+5)+INDEX(AS:AS,MATCH(AS22,$AA:$AA,0)+6)+INDEX(AS:AS,MATCH(AS22,$AA:$AA,0)+7))</f>
        <v>230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231</v>
      </c>
      <c r="E26" s="342" t="str">
        <f>IF(AD26=0,"",AD26)</f>
        <v/>
      </c>
      <c r="F26" s="342">
        <f>IF(AE26=301,"",AE26)</f>
        <v>222</v>
      </c>
      <c r="G26" s="342" t="str">
        <f>IF(AF26=0,"",AF26)</f>
        <v/>
      </c>
      <c r="H26" s="342">
        <f>IF(AG26=301,"",AG26)</f>
        <v>212</v>
      </c>
      <c r="I26" s="342" t="str">
        <f>IF(AH26=0,"",AH26)</f>
        <v/>
      </c>
      <c r="J26" s="342">
        <f>IF(AI26=301,"",AI26)</f>
        <v>222</v>
      </c>
      <c r="K26" s="342" t="str">
        <f>IF(AJ26=0,"",AJ26)</f>
        <v/>
      </c>
      <c r="L26" s="342">
        <f>IF(AK26=301,"",AK26)</f>
        <v>191</v>
      </c>
      <c r="M26" s="342" t="str">
        <f>IF(AL26=0,"",AL26)</f>
        <v/>
      </c>
      <c r="N26" s="342">
        <f>IF(AM26=301,"",AM26)</f>
        <v>145</v>
      </c>
      <c r="O26" s="342" t="str">
        <f>IF(AN26=0,"",AN26)</f>
        <v/>
      </c>
      <c r="P26" s="342">
        <f>IF(AO26=301,"",AO26)</f>
        <v>187</v>
      </c>
      <c r="Q26" s="342" t="str">
        <f>IF(AP26=0,"",AP26)</f>
        <v/>
      </c>
      <c r="R26" s="342">
        <f>IF(AQ26=301,"",AQ26)</f>
        <v>197</v>
      </c>
      <c r="S26" s="342" t="str">
        <f>IF(AR26=0,"",AR26)</f>
        <v/>
      </c>
      <c r="T26" s="342">
        <f>IF(AS26=301,"",AS26)</f>
        <v>203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231</v>
      </c>
      <c r="AD26" s="378"/>
      <c r="AE26" s="377">
        <f>ABS(INDEX(AE:AE,MATCH(AE22,$AA:$AA,0)+8)+INDEX(AE:AE,MATCH(AE22,$AA:$AA,0)+9)+INDEX(AE:AE,MATCH(AE22,$AA:$AA,0)+10))</f>
        <v>222</v>
      </c>
      <c r="AF26" s="378"/>
      <c r="AG26" s="377">
        <f>ABS(INDEX(AG:AG,MATCH(AG22,$AA:$AA,0)+8)+INDEX(AG:AG,MATCH(AG22,$AA:$AA,0)+9)+INDEX(AG:AG,MATCH(AG22,$AA:$AA,0)+10))</f>
        <v>212</v>
      </c>
      <c r="AH26" s="378"/>
      <c r="AI26" s="377">
        <f>ABS(INDEX(AI:AI,MATCH(AI22,$AA:$AA,0)+8)+INDEX(AI:AI,MATCH(AI22,$AA:$AA,0)+9)+INDEX(AI:AI,MATCH(AI22,$AA:$AA,0)+10))</f>
        <v>222</v>
      </c>
      <c r="AJ26" s="378"/>
      <c r="AK26" s="377">
        <f>ABS(INDEX(AK:AK,MATCH(AK22,$AA:$AA,0)+8)+INDEX(AK:AK,MATCH(AK22,$AA:$AA,0)+9)+INDEX(AK:AK,MATCH(AK22,$AA:$AA,0)+10))</f>
        <v>191</v>
      </c>
      <c r="AL26" s="378"/>
      <c r="AM26" s="377">
        <f>ABS(INDEX(AM:AM,MATCH(AM22,$AA:$AA,0)+8)+INDEX(AM:AM,MATCH(AM22,$AA:$AA,0)+9)+INDEX(AM:AM,MATCH(AM22,$AA:$AA,0)+10))</f>
        <v>145</v>
      </c>
      <c r="AN26" s="378"/>
      <c r="AO26" s="377">
        <f>ABS(INDEX(AO:AO,MATCH(AO22,$AA:$AA,0)+8)+INDEX(AO:AO,MATCH(AO22,$AA:$AA,0)+9)+INDEX(AO:AO,MATCH(AO22,$AA:$AA,0)+10))</f>
        <v>187</v>
      </c>
      <c r="AP26" s="378"/>
      <c r="AQ26" s="377">
        <f>ABS(INDEX(AQ:AQ,MATCH(AQ22,$AA:$AA,0)+8)+INDEX(AQ:AQ,MATCH(AQ22,$AA:$AA,0)+9)+INDEX(AQ:AQ,MATCH(AQ22,$AA:$AA,0)+10))</f>
        <v>197</v>
      </c>
      <c r="AR26" s="378"/>
      <c r="AS26" s="377">
        <f>ABS(INDEX(AS:AS,MATCH(AS22,$AA:$AA,0)+8)+INDEX(AS:AS,MATCH(AS22,$AA:$AA,0)+9)+INDEX(AS:AS,MATCH(AS22,$AA:$AA,0)+10))</f>
        <v>203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244</v>
      </c>
      <c r="E27" s="342" t="str">
        <f>IF(AD27=0,"",AD27)</f>
        <v/>
      </c>
      <c r="F27" s="342">
        <f>IF(AE27=301,"",AE27)</f>
        <v>158</v>
      </c>
      <c r="G27" s="342" t="str">
        <f>IF(AF27=0,"",AF27)</f>
        <v/>
      </c>
      <c r="H27" s="342">
        <f>IF(AG27=301,"",AG27)</f>
        <v>149</v>
      </c>
      <c r="I27" s="342" t="str">
        <f>IF(AH27=0,"",AH27)</f>
        <v/>
      </c>
      <c r="J27" s="342">
        <f>IF(AI27=301,"",AI27)</f>
        <v>189</v>
      </c>
      <c r="K27" s="342" t="str">
        <f>IF(AJ27=0,"",AJ27)</f>
        <v/>
      </c>
      <c r="L27" s="342">
        <f>IF(AK27=301,"",AK27)</f>
        <v>171</v>
      </c>
      <c r="M27" s="342" t="str">
        <f>IF(AL27=0,"",AL27)</f>
        <v/>
      </c>
      <c r="N27" s="342">
        <f>IF(AM27=301,"",AM27)</f>
        <v>178</v>
      </c>
      <c r="O27" s="342" t="str">
        <f>IF(AN27=0,"",AN27)</f>
        <v/>
      </c>
      <c r="P27" s="342">
        <f>IF(AO27=301,"",AO27)</f>
        <v>203</v>
      </c>
      <c r="Q27" s="342" t="str">
        <f>IF(AP27=0,"",AP27)</f>
        <v/>
      </c>
      <c r="R27" s="342">
        <f>IF(AQ27=301,"",AQ27)</f>
        <v>183</v>
      </c>
      <c r="S27" s="342" t="str">
        <f>IF(AR27=0,"",AR27)</f>
        <v/>
      </c>
      <c r="T27" s="342">
        <f>IF(AS27=301,"",AS27)</f>
        <v>149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244</v>
      </c>
      <c r="AD27" s="378"/>
      <c r="AE27" s="377">
        <f>ABS(INDEX(AE:AE,MATCH(AE22,$AA:$AA,0)+11)+INDEX(AE:AE,MATCH(AE22,$AA:$AA,0)+12)+INDEX(AE:AE,MATCH(AE22,$AA:$AA,0)+13))</f>
        <v>158</v>
      </c>
      <c r="AF27" s="378"/>
      <c r="AG27" s="377">
        <f>ABS(INDEX(AG:AG,MATCH(AG22,$AA:$AA,0)+11)+INDEX(AG:AG,MATCH(AG22,$AA:$AA,0)+12)+INDEX(AG:AG,MATCH(AG22,$AA:$AA,0)+13))</f>
        <v>149</v>
      </c>
      <c r="AH27" s="378"/>
      <c r="AI27" s="377">
        <f>ABS(INDEX(AI:AI,MATCH(AI22,$AA:$AA,0)+11)+INDEX(AI:AI,MATCH(AI22,$AA:$AA,0)+12)+INDEX(AI:AI,MATCH(AI22,$AA:$AA,0)+13))</f>
        <v>189</v>
      </c>
      <c r="AJ27" s="378"/>
      <c r="AK27" s="377">
        <f>ABS(INDEX(AK:AK,MATCH(AK22,$AA:$AA,0)+11)+INDEX(AK:AK,MATCH(AK22,$AA:$AA,0)+12)+INDEX(AK:AK,MATCH(AK22,$AA:$AA,0)+13))</f>
        <v>171</v>
      </c>
      <c r="AL27" s="378"/>
      <c r="AM27" s="377">
        <f>ABS(INDEX(AM:AM,MATCH(AM22,$AA:$AA,0)+11)+INDEX(AM:AM,MATCH(AM22,$AA:$AA,0)+12)+INDEX(AM:AM,MATCH(AM22,$AA:$AA,0)+13))</f>
        <v>178</v>
      </c>
      <c r="AN27" s="378"/>
      <c r="AO27" s="377">
        <f>ABS(INDEX(AO:AO,MATCH(AO22,$AA:$AA,0)+11)+INDEX(AO:AO,MATCH(AO22,$AA:$AA,0)+12)+INDEX(AO:AO,MATCH(AO22,$AA:$AA,0)+13))</f>
        <v>203</v>
      </c>
      <c r="AP27" s="378"/>
      <c r="AQ27" s="377">
        <f>ABS(INDEX(AQ:AQ,MATCH(AQ22,$AA:$AA,0)+11)+INDEX(AQ:AQ,MATCH(AQ22,$AA:$AA,0)+12)+INDEX(AQ:AQ,MATCH(AQ22,$AA:$AA,0)+13))</f>
        <v>183</v>
      </c>
      <c r="AR27" s="378"/>
      <c r="AS27" s="377">
        <f>ABS(INDEX(AS:AS,MATCH(AS22,$AA:$AA,0)+11)+INDEX(AS:AS,MATCH(AS22,$AA:$AA,0)+12)+INDEX(AS:AS,MATCH(AS22,$AA:$AA,0)+13))</f>
        <v>149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245</v>
      </c>
      <c r="E28" s="342" t="str">
        <f>IF(AD28=0,"",AD28)</f>
        <v/>
      </c>
      <c r="F28" s="342">
        <f>IF(AE28=301,"",AE28)</f>
        <v>181</v>
      </c>
      <c r="G28" s="342" t="str">
        <f>IF(AF28=0,"",AF28)</f>
        <v/>
      </c>
      <c r="H28" s="342">
        <f>IF(AG28=301,"",AG28)</f>
        <v>203</v>
      </c>
      <c r="I28" s="342" t="str">
        <f>IF(AH28=0,"",AH28)</f>
        <v/>
      </c>
      <c r="J28" s="342">
        <f>IF(AI28=301,"",AI28)</f>
        <v>160</v>
      </c>
      <c r="K28" s="342" t="str">
        <f>IF(AJ28=0,"",AJ28)</f>
        <v/>
      </c>
      <c r="L28" s="342">
        <f>IF(AK28=301,"",AK28)</f>
        <v>169</v>
      </c>
      <c r="M28" s="342" t="str">
        <f>IF(AL28=0,"",AL28)</f>
        <v/>
      </c>
      <c r="N28" s="342">
        <f>IF(AM28=301,"",AM28)</f>
        <v>245</v>
      </c>
      <c r="O28" s="342" t="str">
        <f>IF(AN28=0,"",AN28)</f>
        <v/>
      </c>
      <c r="P28" s="342">
        <f>IF(AO28=301,"",AO28)</f>
        <v>136</v>
      </c>
      <c r="Q28" s="342" t="str">
        <f>IF(AP28=0,"",AP28)</f>
        <v/>
      </c>
      <c r="R28" s="342">
        <f>IF(AQ28=301,"",AQ28)</f>
        <v>148</v>
      </c>
      <c r="S28" s="342" t="str">
        <f>IF(AR28=0,"",AR28)</f>
        <v/>
      </c>
      <c r="T28" s="342">
        <f>IF(AS28=301,"",AS28)</f>
        <v>192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245</v>
      </c>
      <c r="AD28" s="378"/>
      <c r="AE28" s="377">
        <f>ABS(INDEX(AE:AE,MATCH(AE22,$AA:$AA,0)+14)+INDEX(AE:AE,MATCH(AE22,$AA:$AA,0)+15)+INDEX(AE:AE,MATCH(AE22,$AA:$AA,0)+16))</f>
        <v>181</v>
      </c>
      <c r="AF28" s="378"/>
      <c r="AG28" s="377">
        <f>ABS(INDEX(AG:AG,MATCH(AG22,$AA:$AA,0)+14)+INDEX(AG:AG,MATCH(AG22,$AA:$AA,0)+15)+INDEX(AG:AG,MATCH(AG22,$AA:$AA,0)+16))</f>
        <v>203</v>
      </c>
      <c r="AH28" s="378"/>
      <c r="AI28" s="377">
        <f>ABS(INDEX(AI:AI,MATCH(AI22,$AA:$AA,0)+14)+INDEX(AI:AI,MATCH(AI22,$AA:$AA,0)+15)+INDEX(AI:AI,MATCH(AI22,$AA:$AA,0)+16))</f>
        <v>160</v>
      </c>
      <c r="AJ28" s="378"/>
      <c r="AK28" s="377">
        <f>ABS(INDEX(AK:AK,MATCH(AK22,$AA:$AA,0)+14)+INDEX(AK:AK,MATCH(AK22,$AA:$AA,0)+15)+INDEX(AK:AK,MATCH(AK22,$AA:$AA,0)+16))</f>
        <v>169</v>
      </c>
      <c r="AL28" s="378"/>
      <c r="AM28" s="377">
        <f>ABS(INDEX(AM:AM,MATCH(AM22,$AA:$AA,0)+14)+INDEX(AM:AM,MATCH(AM22,$AA:$AA,0)+15)+INDEX(AM:AM,MATCH(AM22,$AA:$AA,0)+16))</f>
        <v>245</v>
      </c>
      <c r="AN28" s="378"/>
      <c r="AO28" s="377">
        <f>ABS(INDEX(AO:AO,MATCH(AO22,$AA:$AA,0)+14)+INDEX(AO:AO,MATCH(AO22,$AA:$AA,0)+15)+INDEX(AO:AO,MATCH(AO22,$AA:$AA,0)+16))</f>
        <v>136</v>
      </c>
      <c r="AP28" s="378"/>
      <c r="AQ28" s="377">
        <f>ABS(INDEX(AQ:AQ,MATCH(AQ22,$AA:$AA,0)+14)+INDEX(AQ:AQ,MATCH(AQ22,$AA:$AA,0)+15)+INDEX(AQ:AQ,MATCH(AQ22,$AA:$AA,0)+16))</f>
        <v>148</v>
      </c>
      <c r="AR28" s="378"/>
      <c r="AS28" s="377">
        <f>ABS(INDEX(AS:AS,MATCH(AS22,$AA:$AA,0)+14)+INDEX(AS:AS,MATCH(AS22,$AA:$AA,0)+15)+INDEX(AS:AS,MATCH(AS22,$AA:$AA,0)+16))</f>
        <v>192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910</v>
      </c>
      <c r="E29" s="341" t="str">
        <f>IF(AD29=0,"",AD29)</f>
        <v/>
      </c>
      <c r="F29" s="341">
        <f>IF(AE29=1505,"",AE29)</f>
        <v>799</v>
      </c>
      <c r="G29" s="341" t="str">
        <f>IF(AF29=0,"",AF29)</f>
        <v/>
      </c>
      <c r="H29" s="341">
        <f>IF(AG29=1505,"",AG29)</f>
        <v>777</v>
      </c>
      <c r="I29" s="341" t="str">
        <f>IF(AH29=0,"",AH29)</f>
        <v/>
      </c>
      <c r="J29" s="341">
        <f>IF(AI29=1505,"",AI29)</f>
        <v>742</v>
      </c>
      <c r="K29" s="341" t="str">
        <f>IF(AJ29=0,"",AJ29)</f>
        <v/>
      </c>
      <c r="L29" s="341">
        <f>IF(AK29=1505,"",AK29)</f>
        <v>766</v>
      </c>
      <c r="M29" s="341" t="str">
        <f>IF(AL29=0,"",AL29)</f>
        <v/>
      </c>
      <c r="N29" s="341">
        <f>IF(AM29=1505,"",AM29)</f>
        <v>813</v>
      </c>
      <c r="O29" s="341" t="str">
        <f>IF(AN29=0,"",AN29)</f>
        <v/>
      </c>
      <c r="P29" s="341">
        <f>IF(AO29=1505,"",AO29)</f>
        <v>764</v>
      </c>
      <c r="Q29" s="341" t="str">
        <f>IF(AP29=0,"",AP29)</f>
        <v/>
      </c>
      <c r="R29" s="341">
        <f>IF(AQ29=1505,"",AQ29)</f>
        <v>692</v>
      </c>
      <c r="S29" s="341" t="str">
        <f>IF(AR29=0,"",AR29)</f>
        <v/>
      </c>
      <c r="T29" s="341">
        <f>IF(AS29=1505,"",AS29)</f>
        <v>774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910</v>
      </c>
      <c r="AD29" s="358"/>
      <c r="AE29" s="357">
        <f>SUM(AE25:AE28)</f>
        <v>799</v>
      </c>
      <c r="AF29" s="358"/>
      <c r="AG29" s="357">
        <f>SUM(AG25:AG28)</f>
        <v>777</v>
      </c>
      <c r="AH29" s="358"/>
      <c r="AI29" s="357">
        <f>SUM(AI25:AI28)</f>
        <v>742</v>
      </c>
      <c r="AJ29" s="358"/>
      <c r="AK29" s="357">
        <f>SUM(AK25:AK28)</f>
        <v>766</v>
      </c>
      <c r="AL29" s="358"/>
      <c r="AM29" s="357">
        <f>SUM(AM25:AM28)</f>
        <v>813</v>
      </c>
      <c r="AN29" s="358"/>
      <c r="AO29" s="357">
        <f>SUM(AO25:AO28)</f>
        <v>764</v>
      </c>
      <c r="AP29" s="358"/>
      <c r="AQ29" s="357">
        <f>SUM(AQ25:AQ28)</f>
        <v>692</v>
      </c>
      <c r="AR29" s="358"/>
      <c r="AS29" s="357">
        <f>SUM(AS25:AS28)</f>
        <v>774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05.04./06.04.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05.04./06.04.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Dettelbach Extreme Bowlingarena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216</v>
      </c>
      <c r="E37" s="351">
        <f>IF(AD37="","",AD37)</f>
        <v>0</v>
      </c>
      <c r="F37" s="75">
        <f t="shared" ref="F37:F50" si="34">IF(AE37=0,"",AE37)</f>
        <v>234</v>
      </c>
      <c r="G37" s="351">
        <f>IF(AF37="","",AF37)</f>
        <v>1</v>
      </c>
      <c r="H37" s="75">
        <f t="shared" ref="H37:H50" si="35">IF(AG37=0,"",AG37)</f>
        <v>194</v>
      </c>
      <c r="I37" s="351">
        <f>IF(AH37="","",AH37)</f>
        <v>1</v>
      </c>
      <c r="J37" s="75">
        <f t="shared" ref="J37:J50" si="36">IF(AI37=0,"",AI37)</f>
        <v>223</v>
      </c>
      <c r="K37" s="351">
        <f>IF(AJ37="","",AJ37)</f>
        <v>1</v>
      </c>
      <c r="L37" s="75">
        <f t="shared" ref="L37:L50" si="37">IF(AK37=0,"",AK37)</f>
        <v>215</v>
      </c>
      <c r="M37" s="351">
        <f>IF(AL37="","",AL37)</f>
        <v>1</v>
      </c>
      <c r="N37" s="75">
        <f>IF(AM37=0,"",AM37)</f>
        <v>176</v>
      </c>
      <c r="O37" s="351">
        <f>IF(AN37="","",AN37)</f>
        <v>0</v>
      </c>
      <c r="P37" s="75">
        <f t="shared" ref="P37:P50" si="38">IF(AO37=0,"",AO37)</f>
        <v>181</v>
      </c>
      <c r="Q37" s="351">
        <f>IF(AP37="","",AP37)</f>
        <v>0</v>
      </c>
      <c r="R37" s="75">
        <f t="shared" ref="R37:R50" si="39">IF(AQ37=0,"",AQ37)</f>
        <v>193</v>
      </c>
      <c r="S37" s="351">
        <f>IF(AR37="","",AR37)</f>
        <v>1</v>
      </c>
      <c r="T37" s="75">
        <f t="shared" ref="T37:T50" si="40">IF(AS37=0,"",AS37)</f>
        <v>230</v>
      </c>
      <c r="U37" s="351">
        <f>IF(AT37="","",AT37)</f>
        <v>1</v>
      </c>
      <c r="V37" s="75">
        <f t="shared" ref="V37:V50" si="41">IF(AU37=0,"",AU37)</f>
        <v>1862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216</v>
      </c>
      <c r="AD37" s="109">
        <f>IF(SUM(AC37:AC39)+AC55=0,0,IF(SUM(AC37:AC39)=AC55,0.5,IF(SUM(AC37:AC39)&gt;AC55,1,0)))</f>
        <v>0</v>
      </c>
      <c r="AE37" s="185">
        <v>234</v>
      </c>
      <c r="AF37" s="109">
        <f>IF(SUM(AE37:AE39)+AE55=0,0,IF(SUM(AE37:AE39)=AE55,0.5,IF(SUM(AE37:AE39)&gt;AE55,1,0)))</f>
        <v>1</v>
      </c>
      <c r="AG37" s="185">
        <v>194</v>
      </c>
      <c r="AH37" s="109">
        <f>IF(SUM(AG37:AG39)+AG55=0,0,IF(SUM(AG37:AG39)=AG55,0.5,IF(SUM(AG37:AG39)&gt;AG55,1,0)))</f>
        <v>1</v>
      </c>
      <c r="AI37" s="185">
        <v>223</v>
      </c>
      <c r="AJ37" s="109">
        <f>IF(SUM(AI37:AI39)+AI55=0,0,IF(SUM(AI37:AI39)=AI55,0.5,IF(SUM(AI37:AI39)&gt;AI55,1,0)))</f>
        <v>1</v>
      </c>
      <c r="AK37" s="185">
        <v>215</v>
      </c>
      <c r="AL37" s="109">
        <f>IF(SUM(AK37:AK39)+AK55=0,0,IF(SUM(AK37:AK39)=AK55,0.5,IF(SUM(AK37:AK39)&gt;AK55,1,0)))</f>
        <v>1</v>
      </c>
      <c r="AM37" s="185">
        <v>176</v>
      </c>
      <c r="AN37" s="109">
        <f>IF(SUM(AM37:AM39)+AM55=0,0,IF(SUM(AM37:AM39)=AM55,0.5,IF(SUM(AM37:AM39)&gt;AM55,1,0)))</f>
        <v>0</v>
      </c>
      <c r="AO37" s="185">
        <v>181</v>
      </c>
      <c r="AP37" s="109">
        <f>IF(SUM(AO37:AO39)+AO55=0,0,IF(SUM(AO37:AO39)=AO55,0.5,IF(SUM(AO37:AO39)&gt;AO55,1,0)))</f>
        <v>0</v>
      </c>
      <c r="AQ37" s="185">
        <v>193</v>
      </c>
      <c r="AR37" s="109">
        <f>IF(SUM(AQ37:AQ39)+AQ55=0,0,IF(SUM(AQ37:AQ39)=AQ55,0.5,IF(SUM(AQ37:AQ39)&gt;AQ55,1,0)))</f>
        <v>1</v>
      </c>
      <c r="AS37" s="185">
        <v>230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1862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1862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216</v>
      </c>
      <c r="BI37" s="215">
        <f t="shared" ref="BI37:BI48" si="44">IF(AE37=0,"",AE37)</f>
        <v>234</v>
      </c>
      <c r="BJ37" s="215">
        <f t="shared" ref="BJ37:BJ48" si="45">IF(AG37=0,"",AG37)</f>
        <v>194</v>
      </c>
      <c r="BK37" s="215">
        <f t="shared" ref="BK37:BK48" si="46">IF(AI37=0,"",AI37)</f>
        <v>223</v>
      </c>
      <c r="BL37" s="215">
        <f t="shared" ref="BL37:BL48" si="47">IF(AK37=0,"",AK37)</f>
        <v>215</v>
      </c>
      <c r="BM37" s="215">
        <f t="shared" ref="BM37:BM48" si="48">IF(AM37=0,"",AM37)</f>
        <v>176</v>
      </c>
      <c r="BN37" s="215">
        <f t="shared" ref="BN37:BN48" si="49">IF(AO37=0,"",AO37)</f>
        <v>181</v>
      </c>
      <c r="BO37" s="215">
        <f t="shared" ref="BO37:BO48" si="50">IF(AQ37=0,"",AQ37)</f>
        <v>193</v>
      </c>
      <c r="BP37" s="215">
        <f t="shared" ref="BP37:BP48" si="51">IF(AS37=0,"",AS37)</f>
        <v>230</v>
      </c>
      <c r="BQ37" s="216"/>
      <c r="BR37" s="214"/>
      <c r="BS37" s="215">
        <f>MAX(BH37:BP37)</f>
        <v>234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1862</v>
      </c>
      <c r="BX37" s="215">
        <f>IF(COUNTIF(BH37:BP37,"&gt;0")&lt;Spielorte!$A$23,0,BE37/Spielorte!$A$23)</f>
        <v>206.88888888888889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174</v>
      </c>
      <c r="E40" s="351">
        <f>IF(AD40="","",AD40)</f>
        <v>0</v>
      </c>
      <c r="F40" s="75">
        <f t="shared" si="34"/>
        <v>183</v>
      </c>
      <c r="G40" s="351">
        <f>IF(AF40="","",AF40)</f>
        <v>1</v>
      </c>
      <c r="H40" s="75">
        <f t="shared" si="35"/>
        <v>173</v>
      </c>
      <c r="I40" s="351">
        <f>IF(AH40="","",AH40)</f>
        <v>0</v>
      </c>
      <c r="J40" s="75">
        <f t="shared" si="36"/>
        <v>132</v>
      </c>
      <c r="K40" s="351">
        <f>IF(AJ40="","",AJ40)</f>
        <v>0</v>
      </c>
      <c r="L40" s="75">
        <f t="shared" si="37"/>
        <v>174</v>
      </c>
      <c r="M40" s="351">
        <f>IF(AL40="","",AL40)</f>
        <v>0</v>
      </c>
      <c r="N40" s="75">
        <f t="shared" si="54"/>
        <v>202</v>
      </c>
      <c r="O40" s="351">
        <f>IF(AN40="","",AN40)</f>
        <v>1</v>
      </c>
      <c r="P40" s="75">
        <f t="shared" si="38"/>
        <v>150</v>
      </c>
      <c r="Q40" s="351">
        <f>IF(AP40="","",AP40)</f>
        <v>0</v>
      </c>
      <c r="R40" s="75">
        <f t="shared" si="39"/>
        <v>155</v>
      </c>
      <c r="S40" s="351">
        <f>IF(AR40="","",AR40)</f>
        <v>0</v>
      </c>
      <c r="T40" s="75">
        <f t="shared" si="40"/>
        <v>203</v>
      </c>
      <c r="U40" s="351">
        <f>IF(AT40="","",AT40)</f>
        <v>1</v>
      </c>
      <c r="V40" s="75">
        <f t="shared" si="41"/>
        <v>1546</v>
      </c>
      <c r="W40" s="351">
        <f>IF(AV40="","",AV40)</f>
        <v>3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174</v>
      </c>
      <c r="AD40" s="109">
        <f>IF(SUM(AC40:AC42)+AC56=0,0,IF(SUM(AC40:AC42)=AC56,0.5,IF(SUM(AC40:AC42)&gt;AC56,1,0)))</f>
        <v>0</v>
      </c>
      <c r="AE40" s="188">
        <v>183</v>
      </c>
      <c r="AF40" s="109">
        <f>IF(SUM(AE40:AE42)+AE56=0,0,IF(SUM(AE40:AE42)=AE56,0.5,IF(SUM(AE40:AE42)&gt;AE56,1,0)))</f>
        <v>1</v>
      </c>
      <c r="AG40" s="188">
        <v>173</v>
      </c>
      <c r="AH40" s="109">
        <f>IF(SUM(AG40:AG42)+AG56=0,0,IF(SUM(AG40:AG42)=AG56,0.5,IF(SUM(AG40:AG42)&gt;AG56,1,0)))</f>
        <v>0</v>
      </c>
      <c r="AI40" s="188">
        <v>132</v>
      </c>
      <c r="AJ40" s="109">
        <f>IF(SUM(AI40:AI42)+AI56=0,0,IF(SUM(AI40:AI42)=AI56,0.5,IF(SUM(AI40:AI42)&gt;AI56,1,0)))</f>
        <v>0</v>
      </c>
      <c r="AK40" s="188">
        <v>174</v>
      </c>
      <c r="AL40" s="109">
        <f>IF(SUM(AK40:AK42)+AK56=0,0,IF(SUM(AK40:AK42)=AK56,0.5,IF(SUM(AK40:AK42)&gt;AK56,1,0)))</f>
        <v>0</v>
      </c>
      <c r="AM40" s="188">
        <v>202</v>
      </c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0</v>
      </c>
      <c r="AQ40" s="188">
        <v>155</v>
      </c>
      <c r="AR40" s="109">
        <f>IF(SUM(AQ40:AQ42)+AQ56=0,0,IF(SUM(AQ40:AQ42)=AQ56,0.5,IF(SUM(AQ40:AQ42)&gt;AQ56,1,0)))</f>
        <v>0</v>
      </c>
      <c r="AS40" s="188">
        <v>203</v>
      </c>
      <c r="AT40" s="109">
        <f>IF(SUM(AS40:AS42)+AS56=0,0,IF(SUM(AS40:AS42)=AS56,0.5,IF(SUM(AS40:AS42)&gt;AS56,1,0)))</f>
        <v>1</v>
      </c>
      <c r="AU40" s="110">
        <f t="shared" si="42"/>
        <v>1546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1546</v>
      </c>
      <c r="BF40" s="215">
        <f t="shared" si="57"/>
        <v>9</v>
      </c>
      <c r="BG40" s="215">
        <f t="shared" si="58"/>
        <v>9</v>
      </c>
      <c r="BH40" s="215">
        <f t="shared" si="43"/>
        <v>174</v>
      </c>
      <c r="BI40" s="215">
        <f t="shared" si="44"/>
        <v>183</v>
      </c>
      <c r="BJ40" s="215">
        <f t="shared" si="45"/>
        <v>173</v>
      </c>
      <c r="BK40" s="215">
        <f t="shared" si="46"/>
        <v>132</v>
      </c>
      <c r="BL40" s="215">
        <f t="shared" si="47"/>
        <v>174</v>
      </c>
      <c r="BM40" s="215">
        <f t="shared" si="48"/>
        <v>202</v>
      </c>
      <c r="BN40" s="215">
        <f t="shared" si="49"/>
        <v>150</v>
      </c>
      <c r="BO40" s="215">
        <f t="shared" si="50"/>
        <v>155</v>
      </c>
      <c r="BP40" s="215">
        <f t="shared" si="51"/>
        <v>203</v>
      </c>
      <c r="BQ40" s="216"/>
      <c r="BR40" s="214"/>
      <c r="BS40" s="215">
        <f t="shared" si="59"/>
        <v>203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1546</v>
      </c>
      <c r="BX40" s="215">
        <f>IF(COUNTIF(BH40:BP40,"&gt;0")&lt;Spielorte!$A$23,0,BE40/Spielorte!$A$23)</f>
        <v>171.77777777777777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Lüthje, Volker</v>
      </c>
      <c r="C43" s="74">
        <f t="shared" si="53"/>
        <v>7601</v>
      </c>
      <c r="D43" s="75">
        <f t="shared" si="53"/>
        <v>171</v>
      </c>
      <c r="E43" s="351">
        <f>IF(AD43="","",AD43)</f>
        <v>1</v>
      </c>
      <c r="F43" s="75">
        <f t="shared" si="34"/>
        <v>171</v>
      </c>
      <c r="G43" s="351">
        <f>IF(AF43="","",AF43)</f>
        <v>0</v>
      </c>
      <c r="H43" s="75">
        <f t="shared" si="35"/>
        <v>179</v>
      </c>
      <c r="I43" s="351">
        <f>IF(AH43="","",AH43)</f>
        <v>0.5</v>
      </c>
      <c r="J43" s="75">
        <f t="shared" si="36"/>
        <v>187</v>
      </c>
      <c r="K43" s="351">
        <f>IF(AJ43="","",AJ43)</f>
        <v>0</v>
      </c>
      <c r="L43" s="75" t="str">
        <f t="shared" si="37"/>
        <v/>
      </c>
      <c r="M43" s="351">
        <f>IF(AL43="","",AL43)</f>
        <v>0</v>
      </c>
      <c r="N43" s="75" t="str">
        <f t="shared" si="54"/>
        <v/>
      </c>
      <c r="O43" s="351">
        <f>IF(AN43="","",AN43)</f>
        <v>0</v>
      </c>
      <c r="P43" s="75">
        <f t="shared" si="38"/>
        <v>147</v>
      </c>
      <c r="Q43" s="351">
        <f>IF(AP43="","",AP43)</f>
        <v>0</v>
      </c>
      <c r="R43" s="75">
        <f t="shared" si="39"/>
        <v>144</v>
      </c>
      <c r="S43" s="351">
        <f>IF(AR43="","",AR43)</f>
        <v>0</v>
      </c>
      <c r="T43" s="75">
        <f t="shared" si="40"/>
        <v>149</v>
      </c>
      <c r="U43" s="351">
        <f>IF(AT43="","",AT43)</f>
        <v>0</v>
      </c>
      <c r="V43" s="75">
        <f t="shared" si="41"/>
        <v>1148</v>
      </c>
      <c r="W43" s="351">
        <f>IF(AV43="","",AV43)</f>
        <v>1.5</v>
      </c>
      <c r="Z43" s="354" t="s">
        <v>3</v>
      </c>
      <c r="AA43" s="108" t="str">
        <f>IF(AB43=0,"",VLOOKUP(AB43,Starter!$A$1:$D$199,2,FALSE))</f>
        <v>Lüthje, Volker</v>
      </c>
      <c r="AB43" s="99">
        <v>7601</v>
      </c>
      <c r="AC43" s="188">
        <v>171</v>
      </c>
      <c r="AD43" s="109">
        <f>IF(SUM(AC43:AC45)+AC57=0,0,IF(SUM(AC43:AC45)=AC57,0.5,IF(SUM(AC43:AC45)&gt;AC57,1,0)))</f>
        <v>1</v>
      </c>
      <c r="AE43" s="188">
        <v>171</v>
      </c>
      <c r="AF43" s="109">
        <f>IF(SUM(AE43:AE45)+AE57=0,0,IF(SUM(AE43:AE45)=AE57,0.5,IF(SUM(AE43:AE45)&gt;AE57,1,0)))</f>
        <v>0</v>
      </c>
      <c r="AG43" s="188">
        <v>179</v>
      </c>
      <c r="AH43" s="109">
        <f>IF(SUM(AG43:AG45)+AG57=0,0,IF(SUM(AG43:AG45)=AG57,0.5,IF(SUM(AG43:AG45)&gt;AG57,1,0)))</f>
        <v>0.5</v>
      </c>
      <c r="AI43" s="188">
        <v>187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>
        <v>147</v>
      </c>
      <c r="AP43" s="109">
        <f>IF(SUM(AO43:AO45)+AO57=0,0,IF(SUM(AO43:AO45)=AO57,0.5,IF(SUM(AO43:AO45)&gt;AO57,1,0)))</f>
        <v>0</v>
      </c>
      <c r="AQ43" s="188">
        <v>144</v>
      </c>
      <c r="AR43" s="109">
        <f>IF(SUM(AQ43:AQ45)+AQ57=0,0,IF(SUM(AQ43:AQ45)=AQ57,0.5,IF(SUM(AQ43:AQ45)&gt;AQ57,1,0)))</f>
        <v>0</v>
      </c>
      <c r="AS43" s="188">
        <v>149</v>
      </c>
      <c r="AT43" s="109">
        <f>IF(SUM(AS43:AS45)+AS57=0,0,IF(SUM(AS43:AS45)=AS57,0.5,IF(SUM(AS43:AS45)&gt;AS57,1,0)))</f>
        <v>0</v>
      </c>
      <c r="AU43" s="110">
        <f t="shared" si="42"/>
        <v>1148</v>
      </c>
      <c r="AV43" s="111">
        <f>SUM(AD43+AF43+AH43+AJ43+AL43+AN43+AP43+AR43+AT43)</f>
        <v>1.5</v>
      </c>
      <c r="AW43" s="101"/>
      <c r="AX43" s="102"/>
      <c r="AZ43" s="63"/>
      <c r="BA43" s="212"/>
      <c r="BB43" s="213"/>
      <c r="BC43" s="214"/>
      <c r="BD43" s="217">
        <f t="shared" si="55"/>
        <v>7601</v>
      </c>
      <c r="BE43" s="213">
        <f t="shared" si="56"/>
        <v>1148</v>
      </c>
      <c r="BF43" s="215">
        <f t="shared" si="57"/>
        <v>7</v>
      </c>
      <c r="BG43" s="215">
        <f t="shared" si="58"/>
        <v>7</v>
      </c>
      <c r="BH43" s="215">
        <f t="shared" si="43"/>
        <v>171</v>
      </c>
      <c r="BI43" s="215">
        <f t="shared" si="44"/>
        <v>171</v>
      </c>
      <c r="BJ43" s="215">
        <f t="shared" si="45"/>
        <v>179</v>
      </c>
      <c r="BK43" s="215">
        <f t="shared" si="46"/>
        <v>187</v>
      </c>
      <c r="BL43" s="215" t="str">
        <f t="shared" si="47"/>
        <v/>
      </c>
      <c r="BM43" s="215" t="str">
        <f t="shared" si="48"/>
        <v/>
      </c>
      <c r="BN43" s="215">
        <f t="shared" si="49"/>
        <v>147</v>
      </c>
      <c r="BO43" s="215">
        <f t="shared" si="50"/>
        <v>144</v>
      </c>
      <c r="BP43" s="215">
        <f t="shared" si="51"/>
        <v>149</v>
      </c>
      <c r="BQ43" s="216"/>
      <c r="BR43" s="214"/>
      <c r="BS43" s="215">
        <f t="shared" si="59"/>
        <v>187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1148</v>
      </c>
      <c r="BX43" s="215">
        <f>IF(COUNTIF(BH43:BP43,"&gt;0")&lt;Spielorte!$A$23,0,BE43/Spielorte!$A$23)</f>
        <v>0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>Glasl sen., Hans</v>
      </c>
      <c r="C44" s="77">
        <f t="shared" si="53"/>
        <v>16762</v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>
        <f t="shared" si="37"/>
        <v>182</v>
      </c>
      <c r="M44" s="352"/>
      <c r="N44" s="78">
        <f t="shared" si="54"/>
        <v>137</v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>
        <f t="shared" si="41"/>
        <v>319</v>
      </c>
      <c r="W44" s="352"/>
      <c r="Z44" s="355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>
        <v>182</v>
      </c>
      <c r="AL44" s="112"/>
      <c r="AM44" s="186">
        <v>137</v>
      </c>
      <c r="AN44" s="112"/>
      <c r="AO44" s="186"/>
      <c r="AP44" s="112"/>
      <c r="AQ44" s="186"/>
      <c r="AR44" s="112"/>
      <c r="AS44" s="186"/>
      <c r="AT44" s="112"/>
      <c r="AU44" s="113">
        <f t="shared" si="42"/>
        <v>319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16762</v>
      </c>
      <c r="BE44" s="213">
        <f t="shared" si="56"/>
        <v>319</v>
      </c>
      <c r="BF44" s="215">
        <f t="shared" si="57"/>
        <v>2</v>
      </c>
      <c r="BG44" s="215">
        <f t="shared" si="58"/>
        <v>2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>
        <f t="shared" si="47"/>
        <v>182</v>
      </c>
      <c r="BM44" s="215">
        <f t="shared" si="48"/>
        <v>137</v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182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319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162</v>
      </c>
      <c r="E46" s="351">
        <f>IF(AD46="","",AD46)</f>
        <v>0</v>
      </c>
      <c r="F46" s="75">
        <f t="shared" si="34"/>
        <v>148</v>
      </c>
      <c r="G46" s="351">
        <f>IF(AF46="","",AF46)</f>
        <v>0</v>
      </c>
      <c r="H46" s="75" t="str">
        <f t="shared" si="35"/>
        <v/>
      </c>
      <c r="I46" s="351">
        <f>IF(AH46="","",AH46)</f>
        <v>0</v>
      </c>
      <c r="J46" s="75" t="str">
        <f t="shared" si="36"/>
        <v/>
      </c>
      <c r="K46" s="351">
        <f>IF(AJ46="","",AJ46)</f>
        <v>0</v>
      </c>
      <c r="L46" s="75" t="str">
        <f t="shared" si="37"/>
        <v/>
      </c>
      <c r="M46" s="351">
        <f>IF(AL46="","",AL46)</f>
        <v>1</v>
      </c>
      <c r="N46" s="75" t="str">
        <f t="shared" si="54"/>
        <v/>
      </c>
      <c r="O46" s="351">
        <f>IF(AN46="","",AN46)</f>
        <v>1</v>
      </c>
      <c r="P46" s="75" t="str">
        <f t="shared" si="38"/>
        <v/>
      </c>
      <c r="Q46" s="351">
        <f>IF(AP46="","",AP46)</f>
        <v>0</v>
      </c>
      <c r="R46" s="75" t="str">
        <f t="shared" si="39"/>
        <v/>
      </c>
      <c r="S46" s="351">
        <f>IF(AR46="","",AR46)</f>
        <v>1</v>
      </c>
      <c r="T46" s="75" t="str">
        <f t="shared" si="40"/>
        <v/>
      </c>
      <c r="U46" s="351">
        <f>IF(AT46="","",AT46)</f>
        <v>0</v>
      </c>
      <c r="V46" s="75">
        <f t="shared" si="41"/>
        <v>310</v>
      </c>
      <c r="W46" s="351">
        <f>IF(AV46="","",AV46)</f>
        <v>3</v>
      </c>
      <c r="Z46" s="354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162</v>
      </c>
      <c r="AD46" s="109">
        <f>IF(SUM(AC46:AC48)+AC58=0,0,IF(SUM(AC46:AC48)=AC58,0.5,IF(SUM(AC46:AC48)&gt;AC58,1,0)))</f>
        <v>0</v>
      </c>
      <c r="AE46" s="188">
        <v>148</v>
      </c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1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1</v>
      </c>
      <c r="AS46" s="188"/>
      <c r="AT46" s="109">
        <f>IF(SUM(AS46:AS48)+AS58=0,0,IF(SUM(AS46:AS48)=AS58,0.5,IF(SUM(AS46:AS48)&gt;AS58,1,0)))</f>
        <v>0</v>
      </c>
      <c r="AU46" s="110">
        <f t="shared" si="42"/>
        <v>310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310</v>
      </c>
      <c r="BF46" s="215">
        <f t="shared" si="57"/>
        <v>2</v>
      </c>
      <c r="BG46" s="215">
        <f t="shared" si="58"/>
        <v>2</v>
      </c>
      <c r="BH46" s="215">
        <f t="shared" si="43"/>
        <v>162</v>
      </c>
      <c r="BI46" s="215">
        <f t="shared" si="44"/>
        <v>148</v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162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310</v>
      </c>
      <c r="BX46" s="215">
        <f>IF(COUNTIF(BH46:BP46,"&gt;0")&lt;Spielorte!$A$23,0,BE46/Spielorte!$A$23)</f>
        <v>0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>Reichert, Ralph</v>
      </c>
      <c r="C47" s="77">
        <f t="shared" si="53"/>
        <v>7416</v>
      </c>
      <c r="D47" s="78" t="str">
        <f t="shared" si="53"/>
        <v/>
      </c>
      <c r="E47" s="352"/>
      <c r="F47" s="78" t="str">
        <f t="shared" si="34"/>
        <v/>
      </c>
      <c r="G47" s="352"/>
      <c r="H47" s="78">
        <f t="shared" si="35"/>
        <v>170</v>
      </c>
      <c r="I47" s="352"/>
      <c r="J47" s="78">
        <f t="shared" si="36"/>
        <v>188</v>
      </c>
      <c r="K47" s="352"/>
      <c r="L47" s="78">
        <f t="shared" si="37"/>
        <v>225</v>
      </c>
      <c r="M47" s="352"/>
      <c r="N47" s="78">
        <f t="shared" si="54"/>
        <v>194</v>
      </c>
      <c r="O47" s="352"/>
      <c r="P47" s="78">
        <f t="shared" si="38"/>
        <v>194</v>
      </c>
      <c r="Q47" s="352"/>
      <c r="R47" s="78">
        <f t="shared" si="39"/>
        <v>205</v>
      </c>
      <c r="S47" s="352"/>
      <c r="T47" s="78">
        <f t="shared" si="40"/>
        <v>192</v>
      </c>
      <c r="U47" s="352"/>
      <c r="V47" s="78">
        <f t="shared" si="41"/>
        <v>1368</v>
      </c>
      <c r="W47" s="352"/>
      <c r="Z47" s="355"/>
      <c r="AA47" s="108" t="str">
        <f>IF(AB47=0,"",VLOOKUP(AB47,Starter!$A$1:$D$199,2,FALSE))</f>
        <v>Reichert, Ralph</v>
      </c>
      <c r="AB47" s="98">
        <v>7416</v>
      </c>
      <c r="AC47" s="186"/>
      <c r="AD47" s="112"/>
      <c r="AE47" s="186"/>
      <c r="AF47" s="112"/>
      <c r="AG47" s="186">
        <v>170</v>
      </c>
      <c r="AH47" s="112"/>
      <c r="AI47" s="186">
        <v>188</v>
      </c>
      <c r="AJ47" s="112"/>
      <c r="AK47" s="186">
        <v>225</v>
      </c>
      <c r="AL47" s="112"/>
      <c r="AM47" s="186">
        <v>194</v>
      </c>
      <c r="AN47" s="112"/>
      <c r="AO47" s="186">
        <v>194</v>
      </c>
      <c r="AP47" s="112"/>
      <c r="AQ47" s="186">
        <v>205</v>
      </c>
      <c r="AR47" s="112"/>
      <c r="AS47" s="186">
        <v>192</v>
      </c>
      <c r="AT47" s="112"/>
      <c r="AU47" s="113">
        <f t="shared" si="42"/>
        <v>1368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7416</v>
      </c>
      <c r="BE47" s="213">
        <f t="shared" si="56"/>
        <v>1368</v>
      </c>
      <c r="BF47" s="215">
        <f t="shared" si="57"/>
        <v>7</v>
      </c>
      <c r="BG47" s="215">
        <f t="shared" si="58"/>
        <v>7</v>
      </c>
      <c r="BH47" s="215" t="str">
        <f t="shared" si="43"/>
        <v/>
      </c>
      <c r="BI47" s="215" t="str">
        <f t="shared" si="44"/>
        <v/>
      </c>
      <c r="BJ47" s="215">
        <f t="shared" si="45"/>
        <v>170</v>
      </c>
      <c r="BK47" s="215">
        <f t="shared" si="46"/>
        <v>188</v>
      </c>
      <c r="BL47" s="215">
        <f t="shared" si="47"/>
        <v>225</v>
      </c>
      <c r="BM47" s="215">
        <f t="shared" si="48"/>
        <v>194</v>
      </c>
      <c r="BN47" s="215">
        <f t="shared" si="49"/>
        <v>194</v>
      </c>
      <c r="BO47" s="215">
        <f t="shared" si="50"/>
        <v>205</v>
      </c>
      <c r="BP47" s="215">
        <f t="shared" si="51"/>
        <v>192</v>
      </c>
      <c r="BQ47" s="216"/>
      <c r="BR47" s="214"/>
      <c r="BS47" s="215">
        <f t="shared" si="59"/>
        <v>225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1368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723</v>
      </c>
      <c r="E49" s="84">
        <f>IF(AD49="","",AD49)</f>
        <v>0</v>
      </c>
      <c r="F49" s="83">
        <f t="shared" si="34"/>
        <v>736</v>
      </c>
      <c r="G49" s="84">
        <f>IF(AF49="","",AF49)</f>
        <v>2</v>
      </c>
      <c r="H49" s="83">
        <f t="shared" si="35"/>
        <v>716</v>
      </c>
      <c r="I49" s="84">
        <f>IF(AH49="","",AH49)</f>
        <v>0</v>
      </c>
      <c r="J49" s="83">
        <f t="shared" si="36"/>
        <v>730</v>
      </c>
      <c r="K49" s="84">
        <f>IF(AJ49="","",AJ49)</f>
        <v>0</v>
      </c>
      <c r="L49" s="83">
        <f t="shared" si="37"/>
        <v>796</v>
      </c>
      <c r="M49" s="84">
        <f>IF(AL49="","",AL49)</f>
        <v>0</v>
      </c>
      <c r="N49" s="83">
        <f t="shared" si="54"/>
        <v>709</v>
      </c>
      <c r="O49" s="84">
        <f>IF(AN49="","",AN49)</f>
        <v>0</v>
      </c>
      <c r="P49" s="83">
        <f t="shared" si="38"/>
        <v>672</v>
      </c>
      <c r="Q49" s="84">
        <f>IF(AP49="","",AP49)</f>
        <v>0</v>
      </c>
      <c r="R49" s="83">
        <f t="shared" si="39"/>
        <v>697</v>
      </c>
      <c r="S49" s="84">
        <f>IF(AR49="","",AR49)</f>
        <v>0</v>
      </c>
      <c r="T49" s="83">
        <f t="shared" si="40"/>
        <v>774</v>
      </c>
      <c r="U49" s="84">
        <f>IF(AT49="","",AT49)</f>
        <v>0</v>
      </c>
      <c r="V49" s="83">
        <f t="shared" si="41"/>
        <v>6553</v>
      </c>
      <c r="W49" s="84">
        <f>IF(AV49="","",AV49)</f>
        <v>2</v>
      </c>
      <c r="AA49" s="81" t="s">
        <v>1799</v>
      </c>
      <c r="AB49" s="120"/>
      <c r="AC49" s="211">
        <f>ABS(SUM(AC37:AC39))+ABS(SUM(AC40:AC42))+ABS(SUM(AC43:AC45))+ABS(SUM(AC46:AC48))</f>
        <v>723</v>
      </c>
      <c r="AD49" s="121">
        <f>IF(AC49+AC59=0,0,IF(AC49=AC59,1,IF(AC49&gt;AC59,2,0)))</f>
        <v>0</v>
      </c>
      <c r="AE49" s="211">
        <f>ABS(SUM(AE37:AE39))+ABS(SUM(AE40:AE42))+ABS(SUM(AE43:AE45))+ABS(SUM(AE46:AE48))</f>
        <v>736</v>
      </c>
      <c r="AF49" s="121">
        <f>IF(AE49+AE59=0,0,IF(AE49=AE59,1,IF(AE49&gt;AE59,2,0)))</f>
        <v>2</v>
      </c>
      <c r="AG49" s="211">
        <f>ABS(SUM(AG37:AG39))+ABS(SUM(AG40:AG42))+ABS(SUM(AG43:AG45))+ABS(SUM(AG46:AG48))</f>
        <v>716</v>
      </c>
      <c r="AH49" s="121">
        <f>IF(AG49+AG59=0,0,IF(AG49=AG59,1,IF(AG49&gt;AG59,2,0)))</f>
        <v>0</v>
      </c>
      <c r="AI49" s="211">
        <f>ABS(SUM(AI37:AI39))+ABS(SUM(AI40:AI42))+ABS(SUM(AI43:AI45))+ABS(SUM(AI46:AI48))</f>
        <v>730</v>
      </c>
      <c r="AJ49" s="121">
        <f>IF(AI49+AI59=0,0,IF(AI49=AI59,1,IF(AI49&gt;AI59,2,0)))</f>
        <v>0</v>
      </c>
      <c r="AK49" s="211">
        <f>ABS(SUM(AK37:AK39))+ABS(SUM(AK40:AK42))+ABS(SUM(AK43:AK45))+ABS(SUM(AK46:AK48))</f>
        <v>796</v>
      </c>
      <c r="AL49" s="121">
        <f>IF(AK49+AK59=0,0,IF(AK49=AK59,1,IF(AK49&gt;AK59,2,0)))</f>
        <v>0</v>
      </c>
      <c r="AM49" s="211">
        <f>ABS(SUM(AM37:AM39))+ABS(SUM(AM40:AM42))+ABS(SUM(AM43:AM45))+ABS(SUM(AM46:AM48))</f>
        <v>709</v>
      </c>
      <c r="AN49" s="121">
        <f>IF(AM49+AM59=0,0,IF(AM49=AM59,1,IF(AM49&gt;AM59,2,0)))</f>
        <v>0</v>
      </c>
      <c r="AO49" s="211">
        <f>ABS(SUM(AO37:AO39))+ABS(SUM(AO40:AO42))+ABS(SUM(AO43:AO45))+ABS(SUM(AO46:AO48))</f>
        <v>672</v>
      </c>
      <c r="AP49" s="121">
        <f>IF(AO49+AO59=0,0,IF(AO49=AO59,1,IF(AO49&gt;AO59,2,0)))</f>
        <v>0</v>
      </c>
      <c r="AQ49" s="211">
        <f>ABS(SUM(AQ37:AQ39))+ABS(SUM(AQ40:AQ42))+ABS(SUM(AQ43:AQ45))+ABS(SUM(AQ46:AQ48))</f>
        <v>697</v>
      </c>
      <c r="AR49" s="121">
        <f>IF(AQ49+AQ59=0,0,IF(AQ49=AQ59,1,IF(AQ49&gt;AQ59,2,0)))</f>
        <v>0</v>
      </c>
      <c r="AS49" s="211">
        <f>ABS(SUM(AS37:AS39))+ABS(SUM(AS40:AS42))+ABS(SUM(AS43:AS45))+ABS(SUM(AS46:AS48))</f>
        <v>774</v>
      </c>
      <c r="AT49" s="121">
        <f>IF(AS49+AS59=0,0,IF(AS49=AS59,1,IF(AS49&gt;AS59,2,0)))</f>
        <v>0</v>
      </c>
      <c r="AU49" s="122">
        <f>SUM(AC49+AE49+AG49+AI49+AK49+AM49+AO49+AQ49+AS49)</f>
        <v>6553</v>
      </c>
      <c r="AV49" s="123">
        <f>SUM(AD49+AF49+AH49+AJ49+AL49+AN49+AP49+AR49+AT49)</f>
        <v>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4</v>
      </c>
      <c r="H50" s="86" t="str">
        <f t="shared" si="35"/>
        <v/>
      </c>
      <c r="I50" s="87">
        <f>IF(AH50="","",AH50)</f>
        <v>1.5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2</v>
      </c>
      <c r="N50" s="86" t="str">
        <f t="shared" si="54"/>
        <v/>
      </c>
      <c r="O50" s="87">
        <f>IF(AN50="","",AN50)</f>
        <v>2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2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15.5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4</v>
      </c>
      <c r="AG50" s="86"/>
      <c r="AH50" s="124">
        <f>SUM(AH37:AH49)</f>
        <v>1.5</v>
      </c>
      <c r="AI50" s="86"/>
      <c r="AJ50" s="124">
        <f>SUM(AJ37:AJ49)</f>
        <v>1</v>
      </c>
      <c r="AK50" s="86"/>
      <c r="AL50" s="124">
        <f>SUM(AL37:AL49)</f>
        <v>2</v>
      </c>
      <c r="AM50" s="86"/>
      <c r="AN50" s="124">
        <f>SUM(AN37:AN49)</f>
        <v>2</v>
      </c>
      <c r="AO50" s="86"/>
      <c r="AP50" s="124">
        <f>SUM(AP37:AP49)</f>
        <v>0</v>
      </c>
      <c r="AQ50" s="86"/>
      <c r="AR50" s="124">
        <f>SUM(AR37:AR49)</f>
        <v>2</v>
      </c>
      <c r="AS50" s="86"/>
      <c r="AT50" s="124">
        <f>SUM(AT37:AT49)</f>
        <v>2</v>
      </c>
      <c r="AU50" s="86"/>
      <c r="AV50" s="125">
        <f>SUM(AV37:AV49)</f>
        <v>15.5</v>
      </c>
      <c r="AW50" s="101"/>
      <c r="AX50" s="102"/>
      <c r="BA50" s="212">
        <f>+AV50</f>
        <v>15.5</v>
      </c>
      <c r="BB50" s="213">
        <f>+AU49</f>
        <v>6553</v>
      </c>
      <c r="BC50" s="214">
        <f>+AA32</f>
        <v>2</v>
      </c>
      <c r="BF50" s="215">
        <f>SUM(BF31:BF49)</f>
        <v>36</v>
      </c>
      <c r="BQ50" s="212">
        <f>+BB50/1000000+BA50</f>
        <v>15.506553</v>
      </c>
      <c r="BR50" s="214">
        <f>RANK(BQ50,BQ:BQ)</f>
        <v>10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5</v>
      </c>
      <c r="E52" s="349" t="str">
        <f t="shared" si="65"/>
        <v/>
      </c>
      <c r="F52" s="349">
        <f t="shared" si="65"/>
        <v>4</v>
      </c>
      <c r="G52" s="349" t="str">
        <f t="shared" si="65"/>
        <v/>
      </c>
      <c r="H52" s="349">
        <f t="shared" si="65"/>
        <v>8</v>
      </c>
      <c r="I52" s="349" t="str">
        <f t="shared" si="65"/>
        <v/>
      </c>
      <c r="J52" s="349">
        <f t="shared" si="65"/>
        <v>7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10</v>
      </c>
      <c r="O52" s="349" t="str">
        <f t="shared" si="65"/>
        <v/>
      </c>
      <c r="P52" s="349">
        <f t="shared" si="65"/>
        <v>3</v>
      </c>
      <c r="Q52" s="349" t="str">
        <f t="shared" si="65"/>
        <v/>
      </c>
      <c r="R52" s="349">
        <f t="shared" ref="L52:U54" si="66">IF(AQ52=0,"",AQ52)</f>
        <v>9</v>
      </c>
      <c r="S52" s="349" t="str">
        <f t="shared" si="66"/>
        <v/>
      </c>
      <c r="T52" s="349">
        <f t="shared" si="66"/>
        <v>1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VLOOKUP($AA32,Schlüssel!$A$5:$DG$14,103)</f>
        <v>5</v>
      </c>
      <c r="AD52" s="374"/>
      <c r="AE52" s="373">
        <f>VLOOKUP($AA32,Schlüssel!$A$5:$EK$14,104)</f>
        <v>4</v>
      </c>
      <c r="AF52" s="374"/>
      <c r="AG52" s="373">
        <f>VLOOKUP($AA32,Schlüssel!$A$5:$EK$14,105)</f>
        <v>8</v>
      </c>
      <c r="AH52" s="374"/>
      <c r="AI52" s="373">
        <f>VLOOKUP($AA32,Schlüssel!$A$5:$EK$14,106)</f>
        <v>7</v>
      </c>
      <c r="AJ52" s="374"/>
      <c r="AK52" s="373">
        <f>VLOOKUP($AA32,Schlüssel!$A$5:$EK$14,107)</f>
        <v>6</v>
      </c>
      <c r="AL52" s="374"/>
      <c r="AM52" s="373">
        <f>VLOOKUP($AA32,Schlüssel!$A$5:$EK$14,108)</f>
        <v>10</v>
      </c>
      <c r="AN52" s="374"/>
      <c r="AO52" s="373">
        <f>VLOOKUP($AA32,Schlüssel!$A$5:$EK$14,109)</f>
        <v>3</v>
      </c>
      <c r="AP52" s="374"/>
      <c r="AQ52" s="373">
        <f>VLOOKUP($AA32,Schlüssel!$A$5:$EK$14,110)</f>
        <v>9</v>
      </c>
      <c r="AR52" s="374"/>
      <c r="AS52" s="373">
        <f>VLOOKUP($AA32,Schlüssel!$A$5:$EK$14,111)</f>
        <v>1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RW Lichtenhof Stein 1</v>
      </c>
      <c r="E53" s="347" t="str">
        <f t="shared" si="67"/>
        <v/>
      </c>
      <c r="F53" s="346" t="str">
        <f t="shared" si="67"/>
        <v>SG DJK Rimpar</v>
      </c>
      <c r="G53" s="347" t="str">
        <f t="shared" si="67"/>
        <v/>
      </c>
      <c r="H53" s="346" t="str">
        <f t="shared" si="67"/>
        <v>BC EMAX Unterföhring 2</v>
      </c>
      <c r="I53" s="347" t="str">
        <f t="shared" si="67"/>
        <v/>
      </c>
      <c r="J53" s="346" t="str">
        <f t="shared" si="67"/>
        <v>Schanzer Ingolstadt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High Roller Rosenheim 1</v>
      </c>
      <c r="O53" s="347" t="str">
        <f t="shared" si="66"/>
        <v/>
      </c>
      <c r="P53" s="346" t="str">
        <f t="shared" si="66"/>
        <v>BK München 3</v>
      </c>
      <c r="Q53" s="347" t="str">
        <f t="shared" si="66"/>
        <v/>
      </c>
      <c r="R53" s="346" t="str">
        <f t="shared" si="66"/>
        <v>Bowlinghaus Bamberg 1</v>
      </c>
      <c r="S53" s="347" t="str">
        <f t="shared" si="66"/>
        <v/>
      </c>
      <c r="T53" s="346" t="str">
        <f t="shared" si="66"/>
        <v>BC Comet Nürnberg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RW Lichtenhof Stein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High Roller Rosenheim 1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Bowlinghaus Bamberg 1</v>
      </c>
      <c r="AR53" s="347"/>
      <c r="AS53" s="346" t="str">
        <f>VLOOKUP(AS52,Schlüssel!$A$5:$K$14,2)</f>
        <v>BC Comet Nürnberg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232</v>
      </c>
      <c r="E55" s="342" t="str">
        <f>IF(AD55=0,"",AD55)</f>
        <v/>
      </c>
      <c r="F55" s="342">
        <f>IF(AE55=301,"",AE55)</f>
        <v>177</v>
      </c>
      <c r="G55" s="342" t="str">
        <f>IF(AF55=0,"",AF55)</f>
        <v/>
      </c>
      <c r="H55" s="342">
        <f>IF(AG55=301,"",AG55)</f>
        <v>168</v>
      </c>
      <c r="I55" s="342" t="str">
        <f>IF(AH55=0,"",AH55)</f>
        <v/>
      </c>
      <c r="J55" s="342">
        <f>IF(AI55=301,"",AI55)</f>
        <v>147</v>
      </c>
      <c r="K55" s="342" t="str">
        <f>IF(AJ55=0,"",AJ55)</f>
        <v/>
      </c>
      <c r="L55" s="342">
        <f>IF(AK55=301,"",AK55)</f>
        <v>211</v>
      </c>
      <c r="M55" s="342" t="str">
        <f>IF(AL55=0,"",AL55)</f>
        <v/>
      </c>
      <c r="N55" s="342">
        <f>IF(AM55=301,"",AM55)</f>
        <v>234</v>
      </c>
      <c r="O55" s="342" t="str">
        <f>IF(AN55=0,"",AN55)</f>
        <v/>
      </c>
      <c r="P55" s="342">
        <f>IF(AO55=301,"",AO55)</f>
        <v>213</v>
      </c>
      <c r="Q55" s="342" t="str">
        <f>IF(AP55=0,"",AP55)</f>
        <v/>
      </c>
      <c r="R55" s="342">
        <f>IF(AQ55=301,"",AQ55)</f>
        <v>176</v>
      </c>
      <c r="S55" s="342" t="str">
        <f>IF(AR55=0,"",AR55)</f>
        <v/>
      </c>
      <c r="T55" s="342">
        <f>IF(AS55=301,"",AS55)</f>
        <v>190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232</v>
      </c>
      <c r="AD55" s="376"/>
      <c r="AE55" s="375">
        <f>ABS(INDEX(AE:AE,MATCH(AE52,$AA:$AA,0)+5)+INDEX(AE:AE,MATCH(AE52,$AA:$AA,0)+6)+INDEX(AE:AE,MATCH(AE52,$AA:$AA,0)+7))</f>
        <v>177</v>
      </c>
      <c r="AF55" s="376"/>
      <c r="AG55" s="375">
        <f>ABS(INDEX(AG:AG,MATCH(AG52,$AA:$AA,0)+5)+INDEX(AG:AG,MATCH(AG52,$AA:$AA,0)+6)+INDEX(AG:AG,MATCH(AG52,$AA:$AA,0)+7))</f>
        <v>168</v>
      </c>
      <c r="AH55" s="376"/>
      <c r="AI55" s="375">
        <f>ABS(INDEX(AI:AI,MATCH(AI52,$AA:$AA,0)+5)+INDEX(AI:AI,MATCH(AI52,$AA:$AA,0)+6)+INDEX(AI:AI,MATCH(AI52,$AA:$AA,0)+7))</f>
        <v>147</v>
      </c>
      <c r="AJ55" s="376"/>
      <c r="AK55" s="375">
        <f>ABS(INDEX(AK:AK,MATCH(AK52,$AA:$AA,0)+5)+INDEX(AK:AK,MATCH(AK52,$AA:$AA,0)+6)+INDEX(AK:AK,MATCH(AK52,$AA:$AA,0)+7))</f>
        <v>211</v>
      </c>
      <c r="AL55" s="376"/>
      <c r="AM55" s="375">
        <f>ABS(INDEX(AM:AM,MATCH(AM52,$AA:$AA,0)+5)+INDEX(AM:AM,MATCH(AM52,$AA:$AA,0)+6)+INDEX(AM:AM,MATCH(AM52,$AA:$AA,0)+7))</f>
        <v>234</v>
      </c>
      <c r="AN55" s="376"/>
      <c r="AO55" s="375">
        <f>ABS(INDEX(AO:AO,MATCH(AO52,$AA:$AA,0)+5)+INDEX(AO:AO,MATCH(AO52,$AA:$AA,0)+6)+INDEX(AO:AO,MATCH(AO52,$AA:$AA,0)+7))</f>
        <v>213</v>
      </c>
      <c r="AP55" s="376"/>
      <c r="AQ55" s="375">
        <f>ABS(INDEX(AQ:AQ,MATCH(AQ52,$AA:$AA,0)+5)+INDEX(AQ:AQ,MATCH(AQ52,$AA:$AA,0)+6)+INDEX(AQ:AQ,MATCH(AQ52,$AA:$AA,0)+7))</f>
        <v>176</v>
      </c>
      <c r="AR55" s="376"/>
      <c r="AS55" s="375">
        <f>ABS(INDEX(AS:AS,MATCH(AS52,$AA:$AA,0)+5)+INDEX(AS:AS,MATCH(AS52,$AA:$AA,0)+6)+INDEX(AS:AS,MATCH(AS52,$AA:$AA,0)+7))</f>
        <v>190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193</v>
      </c>
      <c r="E56" s="342" t="str">
        <f>IF(AD56=0,"",AD56)</f>
        <v/>
      </c>
      <c r="F56" s="342">
        <f>IF(AE56=301,"",AE56)</f>
        <v>182</v>
      </c>
      <c r="G56" s="342" t="str">
        <f>IF(AF56=0,"",AF56)</f>
        <v/>
      </c>
      <c r="H56" s="342">
        <f>IF(AG56=301,"",AG56)</f>
        <v>174</v>
      </c>
      <c r="I56" s="342" t="str">
        <f>IF(AH56=0,"",AH56)</f>
        <v/>
      </c>
      <c r="J56" s="342">
        <f>IF(AI56=301,"",AI56)</f>
        <v>196</v>
      </c>
      <c r="K56" s="342" t="str">
        <f>IF(AJ56=0,"",AJ56)</f>
        <v/>
      </c>
      <c r="L56" s="342">
        <f>IF(AK56=301,"",AK56)</f>
        <v>183</v>
      </c>
      <c r="M56" s="342" t="str">
        <f>IF(AL56=0,"",AL56)</f>
        <v/>
      </c>
      <c r="N56" s="342">
        <f>IF(AM56=301,"",AM56)</f>
        <v>157</v>
      </c>
      <c r="O56" s="342" t="str">
        <f>IF(AN56=0,"",AN56)</f>
        <v/>
      </c>
      <c r="P56" s="342">
        <f>IF(AO56=301,"",AO56)</f>
        <v>167</v>
      </c>
      <c r="Q56" s="342" t="str">
        <f>IF(AP56=0,"",AP56)</f>
        <v/>
      </c>
      <c r="R56" s="342">
        <f>IF(AQ56=301,"",AQ56)</f>
        <v>222</v>
      </c>
      <c r="S56" s="342" t="str">
        <f>IF(AR56=0,"",AR56)</f>
        <v/>
      </c>
      <c r="T56" s="342">
        <f>IF(AS56=301,"",AS56)</f>
        <v>164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193</v>
      </c>
      <c r="AD56" s="378"/>
      <c r="AE56" s="377">
        <f>ABS(INDEX(AE:AE,MATCH(AE52,$AA:$AA,0)+8)+INDEX(AE:AE,MATCH(AE52,$AA:$AA,0)+9)+INDEX(AE:AE,MATCH(AE52,$AA:$AA,0)+10))</f>
        <v>182</v>
      </c>
      <c r="AF56" s="378"/>
      <c r="AG56" s="377">
        <f>ABS(INDEX(AG:AG,MATCH(AG52,$AA:$AA,0)+8)+INDEX(AG:AG,MATCH(AG52,$AA:$AA,0)+9)+INDEX(AG:AG,MATCH(AG52,$AA:$AA,0)+10))</f>
        <v>174</v>
      </c>
      <c r="AH56" s="378"/>
      <c r="AI56" s="377">
        <f>ABS(INDEX(AI:AI,MATCH(AI52,$AA:$AA,0)+8)+INDEX(AI:AI,MATCH(AI52,$AA:$AA,0)+9)+INDEX(AI:AI,MATCH(AI52,$AA:$AA,0)+10))</f>
        <v>196</v>
      </c>
      <c r="AJ56" s="378"/>
      <c r="AK56" s="377">
        <f>ABS(INDEX(AK:AK,MATCH(AK52,$AA:$AA,0)+8)+INDEX(AK:AK,MATCH(AK52,$AA:$AA,0)+9)+INDEX(AK:AK,MATCH(AK52,$AA:$AA,0)+10))</f>
        <v>183</v>
      </c>
      <c r="AL56" s="378"/>
      <c r="AM56" s="377">
        <f>ABS(INDEX(AM:AM,MATCH(AM52,$AA:$AA,0)+8)+INDEX(AM:AM,MATCH(AM52,$AA:$AA,0)+9)+INDEX(AM:AM,MATCH(AM52,$AA:$AA,0)+10))</f>
        <v>157</v>
      </c>
      <c r="AN56" s="378"/>
      <c r="AO56" s="377">
        <f>ABS(INDEX(AO:AO,MATCH(AO52,$AA:$AA,0)+8)+INDEX(AO:AO,MATCH(AO52,$AA:$AA,0)+9)+INDEX(AO:AO,MATCH(AO52,$AA:$AA,0)+10))</f>
        <v>167</v>
      </c>
      <c r="AP56" s="378"/>
      <c r="AQ56" s="377">
        <f>ABS(INDEX(AQ:AQ,MATCH(AQ52,$AA:$AA,0)+8)+INDEX(AQ:AQ,MATCH(AQ52,$AA:$AA,0)+9)+INDEX(AQ:AQ,MATCH(AQ52,$AA:$AA,0)+10))</f>
        <v>222</v>
      </c>
      <c r="AR56" s="378"/>
      <c r="AS56" s="377">
        <f>ABS(INDEX(AS:AS,MATCH(AS52,$AA:$AA,0)+8)+INDEX(AS:AS,MATCH(AS52,$AA:$AA,0)+9)+INDEX(AS:AS,MATCH(AS52,$AA:$AA,0)+10))</f>
        <v>164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169</v>
      </c>
      <c r="E57" s="342" t="str">
        <f>IF(AD57=0,"",AD57)</f>
        <v/>
      </c>
      <c r="F57" s="342">
        <f>IF(AE57=301,"",AE57)</f>
        <v>181</v>
      </c>
      <c r="G57" s="342" t="str">
        <f>IF(AF57=0,"",AF57)</f>
        <v/>
      </c>
      <c r="H57" s="342">
        <f>IF(AG57=301,"",AG57)</f>
        <v>179</v>
      </c>
      <c r="I57" s="342" t="str">
        <f>IF(AH57=0,"",AH57)</f>
        <v/>
      </c>
      <c r="J57" s="342">
        <f>IF(AI57=301,"",AI57)</f>
        <v>198</v>
      </c>
      <c r="K57" s="342" t="str">
        <f>IF(AJ57=0,"",AJ57)</f>
        <v/>
      </c>
      <c r="L57" s="342">
        <f>IF(AK57=301,"",AK57)</f>
        <v>194</v>
      </c>
      <c r="M57" s="342" t="str">
        <f>IF(AL57=0,"",AL57)</f>
        <v/>
      </c>
      <c r="N57" s="342">
        <f>IF(AM57=301,"",AM57)</f>
        <v>165</v>
      </c>
      <c r="O57" s="342" t="str">
        <f>IF(AN57=0,"",AN57)</f>
        <v/>
      </c>
      <c r="P57" s="342">
        <f>IF(AO57=301,"",AO57)</f>
        <v>184</v>
      </c>
      <c r="Q57" s="342" t="str">
        <f>IF(AP57=0,"",AP57)</f>
        <v/>
      </c>
      <c r="R57" s="342">
        <f>IF(AQ57=301,"",AQ57)</f>
        <v>171</v>
      </c>
      <c r="S57" s="342" t="str">
        <f>IF(AR57=0,"",AR57)</f>
        <v/>
      </c>
      <c r="T57" s="342">
        <f>IF(AS57=301,"",AS57)</f>
        <v>198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169</v>
      </c>
      <c r="AD57" s="378"/>
      <c r="AE57" s="377">
        <f>ABS(INDEX(AE:AE,MATCH(AE52,$AA:$AA,0)+11)+INDEX(AE:AE,MATCH(AE52,$AA:$AA,0)+12)+INDEX(AE:AE,MATCH(AE52,$AA:$AA,0)+13))</f>
        <v>181</v>
      </c>
      <c r="AF57" s="378"/>
      <c r="AG57" s="377">
        <f>ABS(INDEX(AG:AG,MATCH(AG52,$AA:$AA,0)+11)+INDEX(AG:AG,MATCH(AG52,$AA:$AA,0)+12)+INDEX(AG:AG,MATCH(AG52,$AA:$AA,0)+13))</f>
        <v>179</v>
      </c>
      <c r="AH57" s="378"/>
      <c r="AI57" s="377">
        <f>ABS(INDEX(AI:AI,MATCH(AI52,$AA:$AA,0)+11)+INDEX(AI:AI,MATCH(AI52,$AA:$AA,0)+12)+INDEX(AI:AI,MATCH(AI52,$AA:$AA,0)+13))</f>
        <v>198</v>
      </c>
      <c r="AJ57" s="378"/>
      <c r="AK57" s="377">
        <f>ABS(INDEX(AK:AK,MATCH(AK52,$AA:$AA,0)+11)+INDEX(AK:AK,MATCH(AK52,$AA:$AA,0)+12)+INDEX(AK:AK,MATCH(AK52,$AA:$AA,0)+13))</f>
        <v>194</v>
      </c>
      <c r="AL57" s="378"/>
      <c r="AM57" s="377">
        <f>ABS(INDEX(AM:AM,MATCH(AM52,$AA:$AA,0)+11)+INDEX(AM:AM,MATCH(AM52,$AA:$AA,0)+12)+INDEX(AM:AM,MATCH(AM52,$AA:$AA,0)+13))</f>
        <v>165</v>
      </c>
      <c r="AN57" s="378"/>
      <c r="AO57" s="377">
        <f>ABS(INDEX(AO:AO,MATCH(AO52,$AA:$AA,0)+11)+INDEX(AO:AO,MATCH(AO52,$AA:$AA,0)+12)+INDEX(AO:AO,MATCH(AO52,$AA:$AA,0)+13))</f>
        <v>184</v>
      </c>
      <c r="AP57" s="378"/>
      <c r="AQ57" s="377">
        <f>ABS(INDEX(AQ:AQ,MATCH(AQ52,$AA:$AA,0)+11)+INDEX(AQ:AQ,MATCH(AQ52,$AA:$AA,0)+12)+INDEX(AQ:AQ,MATCH(AQ52,$AA:$AA,0)+13))</f>
        <v>171</v>
      </c>
      <c r="AR57" s="378"/>
      <c r="AS57" s="377">
        <f>ABS(INDEX(AS:AS,MATCH(AS52,$AA:$AA,0)+11)+INDEX(AS:AS,MATCH(AS52,$AA:$AA,0)+12)+INDEX(AS:AS,MATCH(AS52,$AA:$AA,0)+13))</f>
        <v>198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233</v>
      </c>
      <c r="E58" s="342" t="str">
        <f>IF(AD58=0,"",AD58)</f>
        <v/>
      </c>
      <c r="F58" s="342">
        <f>IF(AE58=301,"",AE58)</f>
        <v>183</v>
      </c>
      <c r="G58" s="342" t="str">
        <f>IF(AF58=0,"",AF58)</f>
        <v/>
      </c>
      <c r="H58" s="342">
        <f>IF(AG58=301,"",AG58)</f>
        <v>205</v>
      </c>
      <c r="I58" s="342" t="str">
        <f>IF(AH58=0,"",AH58)</f>
        <v/>
      </c>
      <c r="J58" s="342">
        <f>IF(AI58=301,"",AI58)</f>
        <v>237</v>
      </c>
      <c r="K58" s="342" t="str">
        <f>IF(AJ58=0,"",AJ58)</f>
        <v/>
      </c>
      <c r="L58" s="342">
        <f>IF(AK58=301,"",AK58)</f>
        <v>217</v>
      </c>
      <c r="M58" s="342" t="str">
        <f>IF(AL58=0,"",AL58)</f>
        <v/>
      </c>
      <c r="N58" s="342">
        <f>IF(AM58=301,"",AM58)</f>
        <v>168</v>
      </c>
      <c r="O58" s="342" t="str">
        <f>IF(AN58=0,"",AN58)</f>
        <v/>
      </c>
      <c r="P58" s="342">
        <f>IF(AO58=301,"",AO58)</f>
        <v>204</v>
      </c>
      <c r="Q58" s="342" t="str">
        <f>IF(AP58=0,"",AP58)</f>
        <v/>
      </c>
      <c r="R58" s="342">
        <f>IF(AQ58=301,"",AQ58)</f>
        <v>162</v>
      </c>
      <c r="S58" s="342" t="str">
        <f>IF(AR58=0,"",AR58)</f>
        <v/>
      </c>
      <c r="T58" s="342">
        <f>IF(AS58=301,"",AS58)</f>
        <v>226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233</v>
      </c>
      <c r="AD58" s="378"/>
      <c r="AE58" s="377">
        <f>ABS(INDEX(AE:AE,MATCH(AE52,$AA:$AA,0)+14)+INDEX(AE:AE,MATCH(AE52,$AA:$AA,0)+15)+INDEX(AE:AE,MATCH(AE52,$AA:$AA,0)+16))</f>
        <v>183</v>
      </c>
      <c r="AF58" s="378"/>
      <c r="AG58" s="377">
        <f>ABS(INDEX(AG:AG,MATCH(AG52,$AA:$AA,0)+14)+INDEX(AG:AG,MATCH(AG52,$AA:$AA,0)+15)+INDEX(AG:AG,MATCH(AG52,$AA:$AA,0)+16))</f>
        <v>205</v>
      </c>
      <c r="AH58" s="378"/>
      <c r="AI58" s="377">
        <f>ABS(INDEX(AI:AI,MATCH(AI52,$AA:$AA,0)+14)+INDEX(AI:AI,MATCH(AI52,$AA:$AA,0)+15)+INDEX(AI:AI,MATCH(AI52,$AA:$AA,0)+16))</f>
        <v>237</v>
      </c>
      <c r="AJ58" s="378"/>
      <c r="AK58" s="377">
        <f>ABS(INDEX(AK:AK,MATCH(AK52,$AA:$AA,0)+14)+INDEX(AK:AK,MATCH(AK52,$AA:$AA,0)+15)+INDEX(AK:AK,MATCH(AK52,$AA:$AA,0)+16))</f>
        <v>217</v>
      </c>
      <c r="AL58" s="378"/>
      <c r="AM58" s="377">
        <f>ABS(INDEX(AM:AM,MATCH(AM52,$AA:$AA,0)+14)+INDEX(AM:AM,MATCH(AM52,$AA:$AA,0)+15)+INDEX(AM:AM,MATCH(AM52,$AA:$AA,0)+16))</f>
        <v>168</v>
      </c>
      <c r="AN58" s="378"/>
      <c r="AO58" s="377">
        <f>ABS(INDEX(AO:AO,MATCH(AO52,$AA:$AA,0)+14)+INDEX(AO:AO,MATCH(AO52,$AA:$AA,0)+15)+INDEX(AO:AO,MATCH(AO52,$AA:$AA,0)+16))</f>
        <v>204</v>
      </c>
      <c r="AP58" s="378"/>
      <c r="AQ58" s="377">
        <f>ABS(INDEX(AQ:AQ,MATCH(AQ52,$AA:$AA,0)+14)+INDEX(AQ:AQ,MATCH(AQ52,$AA:$AA,0)+15)+INDEX(AQ:AQ,MATCH(AQ52,$AA:$AA,0)+16))</f>
        <v>162</v>
      </c>
      <c r="AR58" s="378"/>
      <c r="AS58" s="377">
        <f>ABS(INDEX(AS:AS,MATCH(AS52,$AA:$AA,0)+14)+INDEX(AS:AS,MATCH(AS52,$AA:$AA,0)+15)+INDEX(AS:AS,MATCH(AS52,$AA:$AA,0)+16))</f>
        <v>226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827</v>
      </c>
      <c r="E59" s="341" t="str">
        <f>IF(AD59=0,"",AD59)</f>
        <v/>
      </c>
      <c r="F59" s="341">
        <f>IF(AE59=1505,"",AE59)</f>
        <v>723</v>
      </c>
      <c r="G59" s="341" t="str">
        <f>IF(AF59=0,"",AF59)</f>
        <v/>
      </c>
      <c r="H59" s="341">
        <f>IF(AG59=1505,"",AG59)</f>
        <v>726</v>
      </c>
      <c r="I59" s="341" t="str">
        <f>IF(AH59=0,"",AH59)</f>
        <v/>
      </c>
      <c r="J59" s="341">
        <f>IF(AI59=1505,"",AI59)</f>
        <v>778</v>
      </c>
      <c r="K59" s="341" t="str">
        <f>IF(AJ59=0,"",AJ59)</f>
        <v/>
      </c>
      <c r="L59" s="341">
        <f>IF(AK59=1505,"",AK59)</f>
        <v>805</v>
      </c>
      <c r="M59" s="341" t="str">
        <f>IF(AL59=0,"",AL59)</f>
        <v/>
      </c>
      <c r="N59" s="341">
        <f>IF(AM59=1505,"",AM59)</f>
        <v>724</v>
      </c>
      <c r="O59" s="341" t="str">
        <f>IF(AN59=0,"",AN59)</f>
        <v/>
      </c>
      <c r="P59" s="341">
        <f>IF(AO59=1505,"",AO59)</f>
        <v>768</v>
      </c>
      <c r="Q59" s="341" t="str">
        <f>IF(AP59=0,"",AP59)</f>
        <v/>
      </c>
      <c r="R59" s="341">
        <f>IF(AQ59=1505,"",AQ59)</f>
        <v>731</v>
      </c>
      <c r="S59" s="341" t="str">
        <f>IF(AR59=0,"",AR59)</f>
        <v/>
      </c>
      <c r="T59" s="341">
        <f>IF(AS59=1505,"",AS59)</f>
        <v>778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827</v>
      </c>
      <c r="AD59" s="358"/>
      <c r="AE59" s="357">
        <f>SUM(AE55:AE58)</f>
        <v>723</v>
      </c>
      <c r="AF59" s="358"/>
      <c r="AG59" s="357">
        <f>SUM(AG55:AG58)</f>
        <v>726</v>
      </c>
      <c r="AH59" s="358"/>
      <c r="AI59" s="357">
        <f>SUM(AI55:AI58)</f>
        <v>778</v>
      </c>
      <c r="AJ59" s="358"/>
      <c r="AK59" s="357">
        <f>SUM(AK55:AK58)</f>
        <v>805</v>
      </c>
      <c r="AL59" s="358"/>
      <c r="AM59" s="357">
        <f>SUM(AM55:AM58)</f>
        <v>724</v>
      </c>
      <c r="AN59" s="358"/>
      <c r="AO59" s="357">
        <f>SUM(AO55:AO58)</f>
        <v>768</v>
      </c>
      <c r="AP59" s="358"/>
      <c r="AQ59" s="357">
        <f>SUM(AQ55:AQ58)</f>
        <v>731</v>
      </c>
      <c r="AR59" s="358"/>
      <c r="AS59" s="357">
        <f>SUM(AS55:AS58)</f>
        <v>778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05.04./06.04.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05.04./06.04.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Dettelbach Extreme Bowlingarena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151</v>
      </c>
      <c r="E67" s="351">
        <f>IF(AD67="","",AD67)</f>
        <v>0</v>
      </c>
      <c r="F67" s="75">
        <f t="shared" ref="F67:F80" si="69">IF(AE67=0,"",AE67)</f>
        <v>213</v>
      </c>
      <c r="G67" s="351">
        <f>IF(AF67="","",AF67)</f>
        <v>0.5</v>
      </c>
      <c r="H67" s="75">
        <f t="shared" ref="H67:H80" si="70">IF(AG67=0,"",AG67)</f>
        <v>199</v>
      </c>
      <c r="I67" s="351">
        <f>IF(AH67="","",AH67)</f>
        <v>0</v>
      </c>
      <c r="J67" s="75">
        <f t="shared" ref="J67:J80" si="71">IF(AI67=0,"",AI67)</f>
        <v>171</v>
      </c>
      <c r="K67" s="351">
        <f>IF(AJ67="","",AJ67)</f>
        <v>0.5</v>
      </c>
      <c r="L67" s="75">
        <f t="shared" ref="L67:L80" si="72">IF(AK67=0,"",AK67)</f>
        <v>203</v>
      </c>
      <c r="M67" s="351">
        <f>IF(AL67="","",AL67)</f>
        <v>1</v>
      </c>
      <c r="N67" s="75">
        <f>IF(AM67=0,"",AM67)</f>
        <v>195</v>
      </c>
      <c r="O67" s="351">
        <f>IF(AN67="","",AN67)</f>
        <v>1</v>
      </c>
      <c r="P67" s="75">
        <f t="shared" ref="P67:P80" si="73">IF(AO67=0,"",AO67)</f>
        <v>213</v>
      </c>
      <c r="Q67" s="351">
        <f>IF(AP67="","",AP67)</f>
        <v>1</v>
      </c>
      <c r="R67" s="75">
        <f t="shared" ref="R67:R80" si="74">IF(AQ67=0,"",AQ67)</f>
        <v>175</v>
      </c>
      <c r="S67" s="351">
        <f>IF(AR67="","",AR67)</f>
        <v>1</v>
      </c>
      <c r="T67" s="75">
        <f t="shared" ref="T67:T80" si="75">IF(AS67=0,"",AS67)</f>
        <v>192</v>
      </c>
      <c r="U67" s="351">
        <f>IF(AT67="","",AT67)</f>
        <v>0</v>
      </c>
      <c r="V67" s="75">
        <f t="shared" ref="V67:V80" si="76">IF(AU67=0,"",AU67)</f>
        <v>1712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151</v>
      </c>
      <c r="AD67" s="109">
        <f>IF(SUM(AC67:AC69)+AC85=0,0,IF(SUM(AC67:AC69)=AC85,0.5,IF(SUM(AC67:AC69)&gt;AC85,1,0)))</f>
        <v>0</v>
      </c>
      <c r="AE67" s="185">
        <v>213</v>
      </c>
      <c r="AF67" s="109">
        <f>IF(SUM(AE67:AE69)+AE85=0,0,IF(SUM(AE67:AE69)=AE85,0.5,IF(SUM(AE67:AE69)&gt;AE85,1,0)))</f>
        <v>0.5</v>
      </c>
      <c r="AG67" s="185">
        <v>199</v>
      </c>
      <c r="AH67" s="109">
        <f>IF(SUM(AG67:AG69)+AG85=0,0,IF(SUM(AG67:AG69)=AG85,0.5,IF(SUM(AG67:AG69)&gt;AG85,1,0)))</f>
        <v>0</v>
      </c>
      <c r="AI67" s="185">
        <v>171</v>
      </c>
      <c r="AJ67" s="109">
        <f>IF(SUM(AI67:AI69)+AI85=0,0,IF(SUM(AI67:AI69)=AI85,0.5,IF(SUM(AI67:AI69)&gt;AI85,1,0)))</f>
        <v>0.5</v>
      </c>
      <c r="AK67" s="185">
        <v>203</v>
      </c>
      <c r="AL67" s="109">
        <f>IF(SUM(AK67:AK69)+AK85=0,0,IF(SUM(AK67:AK69)=AK85,0.5,IF(SUM(AK67:AK69)&gt;AK85,1,0)))</f>
        <v>1</v>
      </c>
      <c r="AM67" s="185">
        <v>195</v>
      </c>
      <c r="AN67" s="109">
        <f>IF(SUM(AM67:AM69)+AM85=0,0,IF(SUM(AM67:AM69)=AM85,0.5,IF(SUM(AM67:AM69)&gt;AM85,1,0)))</f>
        <v>1</v>
      </c>
      <c r="AO67" s="185">
        <v>213</v>
      </c>
      <c r="AP67" s="109">
        <f>IF(SUM(AO67:AO69)+AO85=0,0,IF(SUM(AO67:AO69)=AO85,0.5,IF(SUM(AO67:AO69)&gt;AO85,1,0)))</f>
        <v>1</v>
      </c>
      <c r="AQ67" s="185">
        <v>175</v>
      </c>
      <c r="AR67" s="109">
        <f>IF(SUM(AQ67:AQ69)+AQ85=0,0,IF(SUM(AQ67:AQ69)=AQ85,0.5,IF(SUM(AQ67:AQ69)&gt;AQ85,1,0)))</f>
        <v>1</v>
      </c>
      <c r="AS67" s="185">
        <v>192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1712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1712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151</v>
      </c>
      <c r="BI67" s="215">
        <f t="shared" ref="BI67:BI78" si="79">IF(AE67=0,"",AE67)</f>
        <v>213</v>
      </c>
      <c r="BJ67" s="215">
        <f t="shared" ref="BJ67:BJ78" si="80">IF(AG67=0,"",AG67)</f>
        <v>199</v>
      </c>
      <c r="BK67" s="215">
        <f t="shared" ref="BK67:BK78" si="81">IF(AI67=0,"",AI67)</f>
        <v>171</v>
      </c>
      <c r="BL67" s="215">
        <f t="shared" ref="BL67:BL78" si="82">IF(AK67=0,"",AK67)</f>
        <v>203</v>
      </c>
      <c r="BM67" s="215">
        <f t="shared" ref="BM67:BM78" si="83">IF(AM67=0,"",AM67)</f>
        <v>195</v>
      </c>
      <c r="BN67" s="215">
        <f t="shared" ref="BN67:BN78" si="84">IF(AO67=0,"",AO67)</f>
        <v>213</v>
      </c>
      <c r="BO67" s="215">
        <f t="shared" ref="BO67:BO78" si="85">IF(AQ67=0,"",AQ67)</f>
        <v>175</v>
      </c>
      <c r="BP67" s="215">
        <f t="shared" ref="BP67:BP78" si="86">IF(AS67=0,"",AS67)</f>
        <v>192</v>
      </c>
      <c r="BQ67" s="216"/>
      <c r="BR67" s="214"/>
      <c r="BS67" s="215">
        <f>MAX(BH67:BP67)</f>
        <v>213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1712</v>
      </c>
      <c r="BX67" s="215">
        <f>IF(COUNTIF(BH67:BP67,"&gt;0")&lt;Spielorte!$A$23,0,BE67/Spielorte!$A$23)</f>
        <v>190.22222222222223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159</v>
      </c>
      <c r="E70" s="351">
        <f>IF(AD70="","",AD70)</f>
        <v>0</v>
      </c>
      <c r="F70" s="75">
        <f t="shared" si="69"/>
        <v>211</v>
      </c>
      <c r="G70" s="351">
        <f>IF(AF70="","",AF70)</f>
        <v>0</v>
      </c>
      <c r="H70" s="75">
        <f t="shared" si="70"/>
        <v>226</v>
      </c>
      <c r="I70" s="351">
        <f>IF(AH70="","",AH70)</f>
        <v>1</v>
      </c>
      <c r="J70" s="75">
        <f t="shared" si="71"/>
        <v>222</v>
      </c>
      <c r="K70" s="351">
        <f>IF(AJ70="","",AJ70)</f>
        <v>1</v>
      </c>
      <c r="L70" s="75">
        <f t="shared" si="72"/>
        <v>226</v>
      </c>
      <c r="M70" s="351">
        <f>IF(AL70="","",AL70)</f>
        <v>1</v>
      </c>
      <c r="N70" s="75">
        <f t="shared" si="89"/>
        <v>200</v>
      </c>
      <c r="O70" s="351">
        <f>IF(AN70="","",AN70)</f>
        <v>1</v>
      </c>
      <c r="P70" s="75">
        <f t="shared" si="73"/>
        <v>167</v>
      </c>
      <c r="Q70" s="351">
        <f>IF(AP70="","",AP70)</f>
        <v>1</v>
      </c>
      <c r="R70" s="75">
        <f t="shared" si="74"/>
        <v>173</v>
      </c>
      <c r="S70" s="351">
        <f>IF(AR70="","",AR70)</f>
        <v>0</v>
      </c>
      <c r="T70" s="75">
        <f t="shared" si="75"/>
        <v>212</v>
      </c>
      <c r="U70" s="351">
        <f>IF(AT70="","",AT70)</f>
        <v>1</v>
      </c>
      <c r="V70" s="75">
        <f t="shared" si="76"/>
        <v>1796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159</v>
      </c>
      <c r="AD70" s="109">
        <f>IF(SUM(AC70:AC72)+AC86=0,0,IF(SUM(AC70:AC72)=AC86,0.5,IF(SUM(AC70:AC72)&gt;AC86,1,0)))</f>
        <v>0</v>
      </c>
      <c r="AE70" s="188">
        <v>211</v>
      </c>
      <c r="AF70" s="109">
        <f>IF(SUM(AE70:AE72)+AE86=0,0,IF(SUM(AE70:AE72)=AE86,0.5,IF(SUM(AE70:AE72)&gt;AE86,1,0)))</f>
        <v>0</v>
      </c>
      <c r="AG70" s="188">
        <v>226</v>
      </c>
      <c r="AH70" s="109">
        <f>IF(SUM(AG70:AG72)+AG86=0,0,IF(SUM(AG70:AG72)=AG86,0.5,IF(SUM(AG70:AG72)&gt;AG86,1,0)))</f>
        <v>1</v>
      </c>
      <c r="AI70" s="188">
        <v>222</v>
      </c>
      <c r="AJ70" s="109">
        <f>IF(SUM(AI70:AI72)+AI86=0,0,IF(SUM(AI70:AI72)=AI86,0.5,IF(SUM(AI70:AI72)&gt;AI86,1,0)))</f>
        <v>1</v>
      </c>
      <c r="AK70" s="188">
        <v>226</v>
      </c>
      <c r="AL70" s="109">
        <f>IF(SUM(AK70:AK72)+AK86=0,0,IF(SUM(AK70:AK72)=AK86,0.5,IF(SUM(AK70:AK72)&gt;AK86,1,0)))</f>
        <v>1</v>
      </c>
      <c r="AM70" s="188">
        <v>200</v>
      </c>
      <c r="AN70" s="109">
        <f>IF(SUM(AM70:AM72)+AM86=0,0,IF(SUM(AM70:AM72)=AM86,0.5,IF(SUM(AM70:AM72)&gt;AM86,1,0)))</f>
        <v>1</v>
      </c>
      <c r="AO70" s="188">
        <v>167</v>
      </c>
      <c r="AP70" s="109">
        <f>IF(SUM(AO70:AO72)+AO86=0,0,IF(SUM(AO70:AO72)=AO86,0.5,IF(SUM(AO70:AO72)&gt;AO86,1,0)))</f>
        <v>1</v>
      </c>
      <c r="AQ70" s="188">
        <v>173</v>
      </c>
      <c r="AR70" s="109">
        <f>IF(SUM(AQ70:AQ72)+AQ86=0,0,IF(SUM(AQ70:AQ72)=AQ86,0.5,IF(SUM(AQ70:AQ72)&gt;AQ86,1,0)))</f>
        <v>0</v>
      </c>
      <c r="AS70" s="188">
        <v>212</v>
      </c>
      <c r="AT70" s="109">
        <f>IF(SUM(AS70:AS72)+AS86=0,0,IF(SUM(AS70:AS72)=AS86,0.5,IF(SUM(AS70:AS72)&gt;AS86,1,0)))</f>
        <v>1</v>
      </c>
      <c r="AU70" s="110">
        <f t="shared" si="77"/>
        <v>1796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1796</v>
      </c>
      <c r="BF70" s="215">
        <f t="shared" si="92"/>
        <v>9</v>
      </c>
      <c r="BG70" s="215">
        <f t="shared" si="93"/>
        <v>9</v>
      </c>
      <c r="BH70" s="215">
        <f t="shared" si="78"/>
        <v>159</v>
      </c>
      <c r="BI70" s="215">
        <f t="shared" si="79"/>
        <v>211</v>
      </c>
      <c r="BJ70" s="215">
        <f t="shared" si="80"/>
        <v>226</v>
      </c>
      <c r="BK70" s="215">
        <f t="shared" si="81"/>
        <v>222</v>
      </c>
      <c r="BL70" s="215">
        <f t="shared" si="82"/>
        <v>226</v>
      </c>
      <c r="BM70" s="215">
        <f t="shared" si="83"/>
        <v>200</v>
      </c>
      <c r="BN70" s="215">
        <f t="shared" si="84"/>
        <v>167</v>
      </c>
      <c r="BO70" s="215">
        <f t="shared" si="85"/>
        <v>173</v>
      </c>
      <c r="BP70" s="215">
        <f t="shared" si="86"/>
        <v>212</v>
      </c>
      <c r="BQ70" s="216"/>
      <c r="BR70" s="214"/>
      <c r="BS70" s="215">
        <f t="shared" si="94"/>
        <v>226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1796</v>
      </c>
      <c r="BX70" s="215">
        <f>IF(COUNTIF(BH70:BP70,"&gt;0")&lt;Spielorte!$A$23,0,BE70/Spielorte!$A$23)</f>
        <v>199.55555555555554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Hellmessen, Maximilian</v>
      </c>
      <c r="C73" s="74">
        <f t="shared" si="88"/>
        <v>16912</v>
      </c>
      <c r="D73" s="75">
        <f t="shared" si="88"/>
        <v>213</v>
      </c>
      <c r="E73" s="351">
        <f>IF(AD73="","",AD73)</f>
        <v>1</v>
      </c>
      <c r="F73" s="75">
        <f t="shared" si="69"/>
        <v>191</v>
      </c>
      <c r="G73" s="351">
        <f>IF(AF73="","",AF73)</f>
        <v>1</v>
      </c>
      <c r="H73" s="75">
        <f t="shared" si="70"/>
        <v>164</v>
      </c>
      <c r="I73" s="351">
        <f>IF(AH73="","",AH73)</f>
        <v>0</v>
      </c>
      <c r="J73" s="75">
        <f t="shared" si="71"/>
        <v>189</v>
      </c>
      <c r="K73" s="351">
        <f>IF(AJ73="","",AJ73)</f>
        <v>0</v>
      </c>
      <c r="L73" s="75">
        <f t="shared" si="72"/>
        <v>188</v>
      </c>
      <c r="M73" s="351">
        <f>IF(AL73="","",AL73)</f>
        <v>0</v>
      </c>
      <c r="N73" s="75">
        <f t="shared" si="89"/>
        <v>160</v>
      </c>
      <c r="O73" s="351">
        <f>IF(AN73="","",AN73)</f>
        <v>0</v>
      </c>
      <c r="P73" s="75">
        <f t="shared" si="73"/>
        <v>184</v>
      </c>
      <c r="Q73" s="351">
        <f>IF(AP73="","",AP73)</f>
        <v>1</v>
      </c>
      <c r="R73" s="75">
        <f t="shared" si="74"/>
        <v>160</v>
      </c>
      <c r="S73" s="351">
        <f>IF(AR73="","",AR73)</f>
        <v>0</v>
      </c>
      <c r="T73" s="75">
        <f t="shared" si="75"/>
        <v>170</v>
      </c>
      <c r="U73" s="351">
        <f>IF(AT73="","",AT73)</f>
        <v>1</v>
      </c>
      <c r="V73" s="75">
        <f t="shared" si="76"/>
        <v>1619</v>
      </c>
      <c r="W73" s="351">
        <f>IF(AV73="","",AV73)</f>
        <v>4</v>
      </c>
      <c r="Z73" s="354" t="s">
        <v>3</v>
      </c>
      <c r="AA73" s="108" t="str">
        <f>IF(AB73=0,"",VLOOKUP(AB73,Starter!$A$1:$D$199,2,FALSE))</f>
        <v>Hellmessen, Maximilian</v>
      </c>
      <c r="AB73" s="99">
        <v>16912</v>
      </c>
      <c r="AC73" s="188">
        <v>213</v>
      </c>
      <c r="AD73" s="109">
        <f>IF(SUM(AC73:AC75)+AC87=0,0,IF(SUM(AC73:AC75)=AC87,0.5,IF(SUM(AC73:AC75)&gt;AC87,1,0)))</f>
        <v>1</v>
      </c>
      <c r="AE73" s="188">
        <v>191</v>
      </c>
      <c r="AF73" s="109">
        <f>IF(SUM(AE73:AE75)+AE87=0,0,IF(SUM(AE73:AE75)=AE87,0.5,IF(SUM(AE73:AE75)&gt;AE87,1,0)))</f>
        <v>1</v>
      </c>
      <c r="AG73" s="188">
        <v>164</v>
      </c>
      <c r="AH73" s="109">
        <f>IF(SUM(AG73:AG75)+AG87=0,0,IF(SUM(AG73:AG75)=AG87,0.5,IF(SUM(AG73:AG75)&gt;AG87,1,0)))</f>
        <v>0</v>
      </c>
      <c r="AI73" s="188">
        <v>189</v>
      </c>
      <c r="AJ73" s="109">
        <f>IF(SUM(AI73:AI75)+AI87=0,0,IF(SUM(AI73:AI75)=AI87,0.5,IF(SUM(AI73:AI75)&gt;AI87,1,0)))</f>
        <v>0</v>
      </c>
      <c r="AK73" s="188">
        <v>188</v>
      </c>
      <c r="AL73" s="109">
        <f>IF(SUM(AK73:AK75)+AK87=0,0,IF(SUM(AK73:AK75)=AK87,0.5,IF(SUM(AK73:AK75)&gt;AK87,1,0)))</f>
        <v>0</v>
      </c>
      <c r="AM73" s="188">
        <v>160</v>
      </c>
      <c r="AN73" s="109">
        <f>IF(SUM(AM73:AM75)+AM87=0,0,IF(SUM(AM73:AM75)=AM87,0.5,IF(SUM(AM73:AM75)&gt;AM87,1,0)))</f>
        <v>0</v>
      </c>
      <c r="AO73" s="188">
        <v>184</v>
      </c>
      <c r="AP73" s="109">
        <f>IF(SUM(AO73:AO75)+AO87=0,0,IF(SUM(AO73:AO75)=AO87,0.5,IF(SUM(AO73:AO75)&gt;AO87,1,0)))</f>
        <v>1</v>
      </c>
      <c r="AQ73" s="188">
        <v>160</v>
      </c>
      <c r="AR73" s="109">
        <f>IF(SUM(AQ73:AQ75)+AQ87=0,0,IF(SUM(AQ73:AQ75)=AQ87,0.5,IF(SUM(AQ73:AQ75)&gt;AQ87,1,0)))</f>
        <v>0</v>
      </c>
      <c r="AS73" s="188">
        <v>170</v>
      </c>
      <c r="AT73" s="109">
        <f>IF(SUM(AS73:AS75)+AS87=0,0,IF(SUM(AS73:AS75)=AS87,0.5,IF(SUM(AS73:AS75)&gt;AS87,1,0)))</f>
        <v>1</v>
      </c>
      <c r="AU73" s="110">
        <f t="shared" si="77"/>
        <v>1619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16912</v>
      </c>
      <c r="BE73" s="213">
        <f t="shared" si="91"/>
        <v>1619</v>
      </c>
      <c r="BF73" s="215">
        <f t="shared" si="92"/>
        <v>9</v>
      </c>
      <c r="BG73" s="215">
        <f t="shared" si="93"/>
        <v>9</v>
      </c>
      <c r="BH73" s="215">
        <f t="shared" si="78"/>
        <v>213</v>
      </c>
      <c r="BI73" s="215">
        <f t="shared" si="79"/>
        <v>191</v>
      </c>
      <c r="BJ73" s="215">
        <f t="shared" si="80"/>
        <v>164</v>
      </c>
      <c r="BK73" s="215">
        <f t="shared" si="81"/>
        <v>189</v>
      </c>
      <c r="BL73" s="215">
        <f t="shared" si="82"/>
        <v>188</v>
      </c>
      <c r="BM73" s="215">
        <f t="shared" si="83"/>
        <v>160</v>
      </c>
      <c r="BN73" s="215">
        <f t="shared" si="84"/>
        <v>184</v>
      </c>
      <c r="BO73" s="215">
        <f t="shared" si="85"/>
        <v>160</v>
      </c>
      <c r="BP73" s="215">
        <f t="shared" si="86"/>
        <v>170</v>
      </c>
      <c r="BQ73" s="216"/>
      <c r="BR73" s="214"/>
      <c r="BS73" s="215">
        <f t="shared" si="94"/>
        <v>213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1619</v>
      </c>
      <c r="BX73" s="215">
        <f>IF(COUNTIF(BH73:BP73,"&gt;0")&lt;Spielorte!$A$23,0,BE73/Spielorte!$A$23)</f>
        <v>179.88888888888889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Laub, Harald</v>
      </c>
      <c r="C76" s="74">
        <f t="shared" si="88"/>
        <v>7597</v>
      </c>
      <c r="D76" s="75">
        <f t="shared" si="88"/>
        <v>160</v>
      </c>
      <c r="E76" s="351">
        <f>IF(AD76="","",AD76)</f>
        <v>0</v>
      </c>
      <c r="F76" s="75">
        <f t="shared" si="69"/>
        <v>169</v>
      </c>
      <c r="G76" s="351">
        <f>IF(AF76="","",AF76)</f>
        <v>0</v>
      </c>
      <c r="H76" s="75">
        <f t="shared" si="70"/>
        <v>169</v>
      </c>
      <c r="I76" s="351">
        <f>IF(AH76="","",AH76)</f>
        <v>0</v>
      </c>
      <c r="J76" s="75">
        <f t="shared" si="71"/>
        <v>160</v>
      </c>
      <c r="K76" s="351">
        <f>IF(AJ76="","",AJ76)</f>
        <v>0</v>
      </c>
      <c r="L76" s="75">
        <f t="shared" si="72"/>
        <v>194</v>
      </c>
      <c r="M76" s="351">
        <f>IF(AL76="","",AL76)</f>
        <v>1</v>
      </c>
      <c r="N76" s="75">
        <f t="shared" si="89"/>
        <v>171</v>
      </c>
      <c r="O76" s="351">
        <f>IF(AN76="","",AN76)</f>
        <v>0</v>
      </c>
      <c r="P76" s="75">
        <f t="shared" si="73"/>
        <v>204</v>
      </c>
      <c r="Q76" s="351">
        <f>IF(AP76="","",AP76)</f>
        <v>1</v>
      </c>
      <c r="R76" s="75">
        <f t="shared" si="74"/>
        <v>172</v>
      </c>
      <c r="S76" s="351">
        <f>IF(AR76="","",AR76)</f>
        <v>0</v>
      </c>
      <c r="T76" s="75">
        <f t="shared" si="75"/>
        <v>183</v>
      </c>
      <c r="U76" s="351">
        <f>IF(AT76="","",AT76)</f>
        <v>0</v>
      </c>
      <c r="V76" s="75">
        <f t="shared" si="76"/>
        <v>1582</v>
      </c>
      <c r="W76" s="351">
        <f>IF(AV76="","",AV76)</f>
        <v>2</v>
      </c>
      <c r="Z76" s="354" t="s">
        <v>11</v>
      </c>
      <c r="AA76" s="108" t="str">
        <f>IF(AB76=0,"",VLOOKUP(AB76,Starter!$A$1:$D$199,2,FALSE))</f>
        <v>Laub, Harald</v>
      </c>
      <c r="AB76" s="99">
        <v>7597</v>
      </c>
      <c r="AC76" s="188">
        <v>160</v>
      </c>
      <c r="AD76" s="109">
        <f>IF(SUM(AC76:AC78)+AC88=0,0,IF(SUM(AC76:AC78)=AC88,0.5,IF(SUM(AC76:AC78)&gt;AC88,1,0)))</f>
        <v>0</v>
      </c>
      <c r="AE76" s="188">
        <v>169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0</v>
      </c>
      <c r="AI76" s="188">
        <v>160</v>
      </c>
      <c r="AJ76" s="109">
        <f>IF(SUM(AI76:AI78)+AI88=0,0,IF(SUM(AI76:AI78)=AI88,0.5,IF(SUM(AI76:AI78)&gt;AI88,1,0)))</f>
        <v>0</v>
      </c>
      <c r="AK76" s="188">
        <v>194</v>
      </c>
      <c r="AL76" s="109">
        <f>IF(SUM(AK76:AK78)+AK88=0,0,IF(SUM(AK76:AK78)=AK88,0.5,IF(SUM(AK76:AK78)&gt;AK88,1,0)))</f>
        <v>1</v>
      </c>
      <c r="AM76" s="188">
        <v>171</v>
      </c>
      <c r="AN76" s="109">
        <f>IF(SUM(AM76:AM78)+AM88=0,0,IF(SUM(AM76:AM78)=AM88,0.5,IF(SUM(AM76:AM78)&gt;AM88,1,0)))</f>
        <v>0</v>
      </c>
      <c r="AO76" s="188">
        <v>204</v>
      </c>
      <c r="AP76" s="109">
        <f>IF(SUM(AO76:AO78)+AO88=0,0,IF(SUM(AO76:AO78)=AO88,0.5,IF(SUM(AO76:AO78)&gt;AO88,1,0)))</f>
        <v>1</v>
      </c>
      <c r="AQ76" s="188">
        <v>172</v>
      </c>
      <c r="AR76" s="109">
        <f>IF(SUM(AQ76:AQ78)+AQ88=0,0,IF(SUM(AQ76:AQ78)=AQ88,0.5,IF(SUM(AQ76:AQ78)&gt;AQ88,1,0)))</f>
        <v>0</v>
      </c>
      <c r="AS76" s="188">
        <v>183</v>
      </c>
      <c r="AT76" s="109">
        <f>IF(SUM(AS76:AS78)+AS88=0,0,IF(SUM(AS76:AS78)=AS88,0.5,IF(SUM(AS76:AS78)&gt;AS88,1,0)))</f>
        <v>0</v>
      </c>
      <c r="AU76" s="110">
        <f t="shared" si="77"/>
        <v>1582</v>
      </c>
      <c r="AV76" s="111">
        <f>SUM(AD76+AF76+AH76+AJ76+AL76+AN76+AP76+AR76+AT76)</f>
        <v>2</v>
      </c>
      <c r="AW76" s="101"/>
      <c r="AX76" s="102"/>
      <c r="AZ76" s="63"/>
      <c r="BA76" s="212"/>
      <c r="BB76" s="213"/>
      <c r="BC76" s="214"/>
      <c r="BD76" s="217">
        <f t="shared" si="90"/>
        <v>7597</v>
      </c>
      <c r="BE76" s="213">
        <f t="shared" si="91"/>
        <v>1582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169</v>
      </c>
      <c r="BJ76" s="215">
        <f t="shared" si="80"/>
        <v>169</v>
      </c>
      <c r="BK76" s="215">
        <f t="shared" si="81"/>
        <v>160</v>
      </c>
      <c r="BL76" s="215">
        <f t="shared" si="82"/>
        <v>194</v>
      </c>
      <c r="BM76" s="215">
        <f t="shared" si="83"/>
        <v>171</v>
      </c>
      <c r="BN76" s="215">
        <f t="shared" si="84"/>
        <v>204</v>
      </c>
      <c r="BO76" s="215">
        <f t="shared" si="85"/>
        <v>172</v>
      </c>
      <c r="BP76" s="215">
        <f t="shared" si="86"/>
        <v>183</v>
      </c>
      <c r="BQ76" s="216"/>
      <c r="BR76" s="214"/>
      <c r="BS76" s="215">
        <f t="shared" si="94"/>
        <v>204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1582</v>
      </c>
      <c r="BX76" s="215">
        <f>IF(COUNTIF(BH76:BP76,"&gt;0")&lt;Spielorte!$A$23,0,BE76/Spielorte!$A$23)</f>
        <v>175.77777777777777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683</v>
      </c>
      <c r="E79" s="84">
        <f>IF(AD79="","",AD79)</f>
        <v>0</v>
      </c>
      <c r="F79" s="83">
        <f t="shared" si="69"/>
        <v>784</v>
      </c>
      <c r="G79" s="84">
        <f>IF(AF79="","",AF79)</f>
        <v>0</v>
      </c>
      <c r="H79" s="83">
        <f t="shared" si="70"/>
        <v>758</v>
      </c>
      <c r="I79" s="84">
        <f>IF(AH79="","",AH79)</f>
        <v>0</v>
      </c>
      <c r="J79" s="83">
        <f t="shared" si="71"/>
        <v>742</v>
      </c>
      <c r="K79" s="84">
        <f>IF(AJ79="","",AJ79)</f>
        <v>0</v>
      </c>
      <c r="L79" s="83">
        <f t="shared" si="72"/>
        <v>811</v>
      </c>
      <c r="M79" s="84">
        <f>IF(AL79="","",AL79)</f>
        <v>2</v>
      </c>
      <c r="N79" s="83">
        <f t="shared" si="89"/>
        <v>726</v>
      </c>
      <c r="O79" s="84">
        <f>IF(AN79="","",AN79)</f>
        <v>0</v>
      </c>
      <c r="P79" s="83">
        <f t="shared" si="73"/>
        <v>768</v>
      </c>
      <c r="Q79" s="84">
        <f>IF(AP79="","",AP79)</f>
        <v>2</v>
      </c>
      <c r="R79" s="83">
        <f t="shared" si="74"/>
        <v>680</v>
      </c>
      <c r="S79" s="84">
        <f>IF(AR79="","",AR79)</f>
        <v>0</v>
      </c>
      <c r="T79" s="83">
        <f t="shared" si="75"/>
        <v>757</v>
      </c>
      <c r="U79" s="84">
        <f>IF(AT79="","",AT79)</f>
        <v>2</v>
      </c>
      <c r="V79" s="83">
        <f t="shared" si="76"/>
        <v>6709</v>
      </c>
      <c r="W79" s="84">
        <f>IF(AV79="","",AV79)</f>
        <v>6</v>
      </c>
      <c r="AA79" s="81" t="s">
        <v>1799</v>
      </c>
      <c r="AB79" s="120"/>
      <c r="AC79" s="211">
        <f>ABS(SUM(AC67:AC69))+ABS(SUM(AC70:AC72))+ABS(SUM(AC73:AC75))+ABS(SUM(AC76:AC78))</f>
        <v>683</v>
      </c>
      <c r="AD79" s="121">
        <f>IF(AC79+AC89=0,0,IF(AC79=AC89,1,IF(AC79&gt;AC89,2,0)))</f>
        <v>0</v>
      </c>
      <c r="AE79" s="211">
        <f>ABS(SUM(AE67:AE69))+ABS(SUM(AE70:AE72))+ABS(SUM(AE73:AE75))+ABS(SUM(AE76:AE78))</f>
        <v>784</v>
      </c>
      <c r="AF79" s="121">
        <f>IF(AE79+AE89=0,0,IF(AE79=AE89,1,IF(AE79&gt;AE89,2,0)))</f>
        <v>0</v>
      </c>
      <c r="AG79" s="211">
        <f>ABS(SUM(AG67:AG69))+ABS(SUM(AG70:AG72))+ABS(SUM(AG73:AG75))+ABS(SUM(AG76:AG78))</f>
        <v>758</v>
      </c>
      <c r="AH79" s="121">
        <f>IF(AG79+AG89=0,0,IF(AG79=AG89,1,IF(AG79&gt;AG89,2,0)))</f>
        <v>0</v>
      </c>
      <c r="AI79" s="211">
        <f>ABS(SUM(AI67:AI69))+ABS(SUM(AI70:AI72))+ABS(SUM(AI73:AI75))+ABS(SUM(AI76:AI78))</f>
        <v>742</v>
      </c>
      <c r="AJ79" s="121">
        <f>IF(AI79+AI89=0,0,IF(AI79=AI89,1,IF(AI79&gt;AI89,2,0)))</f>
        <v>0</v>
      </c>
      <c r="AK79" s="211">
        <f>ABS(SUM(AK67:AK69))+ABS(SUM(AK70:AK72))+ABS(SUM(AK73:AK75))+ABS(SUM(AK76:AK78))</f>
        <v>811</v>
      </c>
      <c r="AL79" s="121">
        <f>IF(AK79+AK89=0,0,IF(AK79=AK89,1,IF(AK79&gt;AK89,2,0)))</f>
        <v>2</v>
      </c>
      <c r="AM79" s="211">
        <f>ABS(SUM(AM67:AM69))+ABS(SUM(AM70:AM72))+ABS(SUM(AM73:AM75))+ABS(SUM(AM76:AM78))</f>
        <v>726</v>
      </c>
      <c r="AN79" s="121">
        <f>IF(AM79+AM89=0,0,IF(AM79=AM89,1,IF(AM79&gt;AM89,2,0)))</f>
        <v>0</v>
      </c>
      <c r="AO79" s="211">
        <f>ABS(SUM(AO67:AO69))+ABS(SUM(AO70:AO72))+ABS(SUM(AO73:AO75))+ABS(SUM(AO76:AO78))</f>
        <v>768</v>
      </c>
      <c r="AP79" s="121">
        <f>IF(AO79+AO89=0,0,IF(AO79=AO89,1,IF(AO79&gt;AO89,2,0)))</f>
        <v>2</v>
      </c>
      <c r="AQ79" s="211">
        <f>ABS(SUM(AQ67:AQ69))+ABS(SUM(AQ70:AQ72))+ABS(SUM(AQ73:AQ75))+ABS(SUM(AQ76:AQ78))</f>
        <v>680</v>
      </c>
      <c r="AR79" s="121">
        <f>IF(AQ79+AQ89=0,0,IF(AQ79=AQ89,1,IF(AQ79&gt;AQ89,2,0)))</f>
        <v>0</v>
      </c>
      <c r="AS79" s="211">
        <f>ABS(SUM(AS67:AS69))+ABS(SUM(AS70:AS72))+ABS(SUM(AS73:AS75))+ABS(SUM(AS76:AS78))</f>
        <v>757</v>
      </c>
      <c r="AT79" s="121">
        <f>IF(AS79+AS89=0,0,IF(AS79=AS89,1,IF(AS79&gt;AS89,2,0)))</f>
        <v>2</v>
      </c>
      <c r="AU79" s="122">
        <f>SUM(AC79+AE79+AG79+AI79+AK79+AM79+AO79+AQ79+AS79)</f>
        <v>6709</v>
      </c>
      <c r="AV79" s="123">
        <f>SUM(AD79+AF79+AH79+AJ79+AL79+AN79+AP79+AR79+AT79)</f>
        <v>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1.5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1.5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1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23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1.5</v>
      </c>
      <c r="AG80" s="86"/>
      <c r="AH80" s="124">
        <f>SUM(AH67:AH79)</f>
        <v>1</v>
      </c>
      <c r="AI80" s="86"/>
      <c r="AJ80" s="124">
        <f>SUM(AJ67:AJ79)</f>
        <v>1.5</v>
      </c>
      <c r="AK80" s="86"/>
      <c r="AL80" s="124">
        <f>SUM(AL67:AL79)</f>
        <v>5</v>
      </c>
      <c r="AM80" s="86"/>
      <c r="AN80" s="124">
        <f>SUM(AN67:AN79)</f>
        <v>2</v>
      </c>
      <c r="AO80" s="86"/>
      <c r="AP80" s="124">
        <f>SUM(AP67:AP79)</f>
        <v>6</v>
      </c>
      <c r="AQ80" s="86"/>
      <c r="AR80" s="124">
        <f>SUM(AR67:AR79)</f>
        <v>1</v>
      </c>
      <c r="AS80" s="86"/>
      <c r="AT80" s="124">
        <f>SUM(AT67:AT79)</f>
        <v>4</v>
      </c>
      <c r="AU80" s="86"/>
      <c r="AV80" s="125">
        <f>SUM(AV67:AV79)</f>
        <v>23</v>
      </c>
      <c r="AW80" s="101"/>
      <c r="AX80" s="102"/>
      <c r="BA80" s="212">
        <f>+AV80</f>
        <v>23</v>
      </c>
      <c r="BB80" s="213">
        <f>+AU79</f>
        <v>6709</v>
      </c>
      <c r="BC80" s="214">
        <f>+AA62</f>
        <v>3</v>
      </c>
      <c r="BF80" s="215">
        <f>SUM(BF61:BF79)</f>
        <v>36</v>
      </c>
      <c r="BQ80" s="212">
        <f>+BB80/1000000+BA80</f>
        <v>23.006709000000001</v>
      </c>
      <c r="BR80" s="214">
        <f>RANK(BQ80,BQ:BQ)</f>
        <v>8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6</v>
      </c>
      <c r="E82" s="349" t="str">
        <f t="shared" si="100"/>
        <v/>
      </c>
      <c r="F82" s="349">
        <f t="shared" si="100"/>
        <v>9</v>
      </c>
      <c r="G82" s="349" t="str">
        <f t="shared" si="100"/>
        <v/>
      </c>
      <c r="H82" s="349">
        <f t="shared" si="100"/>
        <v>10</v>
      </c>
      <c r="I82" s="349" t="str">
        <f t="shared" si="100"/>
        <v/>
      </c>
      <c r="J82" s="349">
        <f t="shared" si="100"/>
        <v>1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5</v>
      </c>
      <c r="O82" s="349" t="str">
        <f t="shared" si="100"/>
        <v/>
      </c>
      <c r="P82" s="349">
        <f t="shared" si="100"/>
        <v>2</v>
      </c>
      <c r="Q82" s="349" t="str">
        <f t="shared" si="100"/>
        <v/>
      </c>
      <c r="R82" s="349">
        <f t="shared" ref="L82:U84" si="101">IF(AQ82=0,"",AQ82)</f>
        <v>7</v>
      </c>
      <c r="S82" s="349" t="str">
        <f t="shared" si="101"/>
        <v/>
      </c>
      <c r="T82" s="349">
        <f t="shared" si="101"/>
        <v>4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VLOOKUP($AA62,Schlüssel!$A$5:$DG$14,103)</f>
        <v>6</v>
      </c>
      <c r="AD82" s="374"/>
      <c r="AE82" s="373">
        <f>VLOOKUP($AA62,Schlüssel!$A$5:$EK$14,104)</f>
        <v>9</v>
      </c>
      <c r="AF82" s="374"/>
      <c r="AG82" s="373">
        <f>VLOOKUP($AA62,Schlüssel!$A$5:$EK$14,105)</f>
        <v>10</v>
      </c>
      <c r="AH82" s="374"/>
      <c r="AI82" s="373">
        <f>VLOOKUP($AA62,Schlüssel!$A$5:$EK$14,106)</f>
        <v>1</v>
      </c>
      <c r="AJ82" s="374"/>
      <c r="AK82" s="373">
        <f>VLOOKUP($AA62,Schlüssel!$A$5:$EK$14,107)</f>
        <v>8</v>
      </c>
      <c r="AL82" s="374"/>
      <c r="AM82" s="373">
        <f>VLOOKUP($AA62,Schlüssel!$A$5:$EK$14,108)</f>
        <v>5</v>
      </c>
      <c r="AN82" s="374"/>
      <c r="AO82" s="373">
        <f>VLOOKUP($AA62,Schlüssel!$A$5:$EK$14,109)</f>
        <v>2</v>
      </c>
      <c r="AP82" s="374"/>
      <c r="AQ82" s="373">
        <f>VLOOKUP($AA62,Schlüssel!$A$5:$EK$14,110)</f>
        <v>7</v>
      </c>
      <c r="AR82" s="374"/>
      <c r="AS82" s="373">
        <f>VLOOKUP($AA62,Schlüssel!$A$5:$EK$14,111)</f>
        <v>4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Rottendorf 1</v>
      </c>
      <c r="E83" s="347" t="str">
        <f t="shared" si="102"/>
        <v/>
      </c>
      <c r="F83" s="346" t="str">
        <f t="shared" si="102"/>
        <v>Bowlinghaus Bamberg 1</v>
      </c>
      <c r="G83" s="347" t="str">
        <f t="shared" si="102"/>
        <v/>
      </c>
      <c r="H83" s="346" t="str">
        <f t="shared" si="102"/>
        <v>High Roller Rosenheim 1</v>
      </c>
      <c r="I83" s="347" t="str">
        <f t="shared" si="102"/>
        <v/>
      </c>
      <c r="J83" s="346" t="str">
        <f t="shared" si="102"/>
        <v>BC Comet Nürnberg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RW Lichtenhof Stein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Schanzer Ingolstadt 1</v>
      </c>
      <c r="S83" s="347" t="str">
        <f t="shared" si="101"/>
        <v/>
      </c>
      <c r="T83" s="346" t="str">
        <f t="shared" si="101"/>
        <v>SG DJK Rimpar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Rottendorf 1</v>
      </c>
      <c r="AD83" s="347"/>
      <c r="AE83" s="346" t="str">
        <f>VLOOKUP(AE82,Schlüssel!$A$5:$K$14,2)</f>
        <v>Bowlinghaus Bamberg 1</v>
      </c>
      <c r="AF83" s="347"/>
      <c r="AG83" s="346" t="str">
        <f>VLOOKUP(AG82,Schlüssel!$A$5:$K$14,2)</f>
        <v>High Roller Rosenheim 1</v>
      </c>
      <c r="AH83" s="347"/>
      <c r="AI83" s="346" t="str">
        <f>VLOOKUP(AI82,Schlüssel!$A$5:$K$14,2)</f>
        <v>BC Comet Nürnberg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RW Lichtenhof Stein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Schanzer Ingolstadt 1</v>
      </c>
      <c r="AR83" s="347"/>
      <c r="AS83" s="346" t="str">
        <f>VLOOKUP(AS82,Schlüssel!$A$5:$K$14,2)</f>
        <v>SG DJK Rimpar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249</v>
      </c>
      <c r="E85" s="342" t="str">
        <f>IF(AD85=0,"",AD85)</f>
        <v/>
      </c>
      <c r="F85" s="342">
        <f>IF(AE85=301,"",AE85)</f>
        <v>213</v>
      </c>
      <c r="G85" s="342" t="str">
        <f>IF(AF85=0,"",AF85)</f>
        <v/>
      </c>
      <c r="H85" s="342">
        <f>IF(AG85=301,"",AG85)</f>
        <v>210</v>
      </c>
      <c r="I85" s="342" t="str">
        <f>IF(AH85=0,"",AH85)</f>
        <v/>
      </c>
      <c r="J85" s="342">
        <f>IF(AI85=301,"",AI85)</f>
        <v>171</v>
      </c>
      <c r="K85" s="342" t="str">
        <f>IF(AJ85=0,"",AJ85)</f>
        <v/>
      </c>
      <c r="L85" s="342">
        <f>IF(AK85=301,"",AK85)</f>
        <v>178</v>
      </c>
      <c r="M85" s="342" t="str">
        <f>IF(AL85=0,"",AL85)</f>
        <v/>
      </c>
      <c r="N85" s="342">
        <f>IF(AM85=301,"",AM85)</f>
        <v>192</v>
      </c>
      <c r="O85" s="342" t="str">
        <f>IF(AN85=0,"",AN85)</f>
        <v/>
      </c>
      <c r="P85" s="342">
        <f>IF(AO85=301,"",AO85)</f>
        <v>181</v>
      </c>
      <c r="Q85" s="342" t="str">
        <f>IF(AP85=0,"",AP85)</f>
        <v/>
      </c>
      <c r="R85" s="342">
        <f>IF(AQ85=301,"",AQ85)</f>
        <v>150</v>
      </c>
      <c r="S85" s="342" t="str">
        <f>IF(AR85=0,"",AR85)</f>
        <v/>
      </c>
      <c r="T85" s="342">
        <f>IF(AS85=301,"",AS85)</f>
        <v>222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249</v>
      </c>
      <c r="AD85" s="376"/>
      <c r="AE85" s="375">
        <f>ABS(INDEX(AE:AE,MATCH(AE82,$AA:$AA,0)+5)+INDEX(AE:AE,MATCH(AE82,$AA:$AA,0)+6)+INDEX(AE:AE,MATCH(AE82,$AA:$AA,0)+7))</f>
        <v>213</v>
      </c>
      <c r="AF85" s="376"/>
      <c r="AG85" s="375">
        <f>ABS(INDEX(AG:AG,MATCH(AG82,$AA:$AA,0)+5)+INDEX(AG:AG,MATCH(AG82,$AA:$AA,0)+6)+INDEX(AG:AG,MATCH(AG82,$AA:$AA,0)+7))</f>
        <v>210</v>
      </c>
      <c r="AH85" s="376"/>
      <c r="AI85" s="375">
        <f>ABS(INDEX(AI:AI,MATCH(AI82,$AA:$AA,0)+5)+INDEX(AI:AI,MATCH(AI82,$AA:$AA,0)+6)+INDEX(AI:AI,MATCH(AI82,$AA:$AA,0)+7))</f>
        <v>171</v>
      </c>
      <c r="AJ85" s="376"/>
      <c r="AK85" s="375">
        <f>ABS(INDEX(AK:AK,MATCH(AK82,$AA:$AA,0)+5)+INDEX(AK:AK,MATCH(AK82,$AA:$AA,0)+6)+INDEX(AK:AK,MATCH(AK82,$AA:$AA,0)+7))</f>
        <v>178</v>
      </c>
      <c r="AL85" s="376"/>
      <c r="AM85" s="375">
        <f>ABS(INDEX(AM:AM,MATCH(AM82,$AA:$AA,0)+5)+INDEX(AM:AM,MATCH(AM82,$AA:$AA,0)+6)+INDEX(AM:AM,MATCH(AM82,$AA:$AA,0)+7))</f>
        <v>192</v>
      </c>
      <c r="AN85" s="376"/>
      <c r="AO85" s="375">
        <f>ABS(INDEX(AO:AO,MATCH(AO82,$AA:$AA,0)+5)+INDEX(AO:AO,MATCH(AO82,$AA:$AA,0)+6)+INDEX(AO:AO,MATCH(AO82,$AA:$AA,0)+7))</f>
        <v>181</v>
      </c>
      <c r="AP85" s="376"/>
      <c r="AQ85" s="375">
        <f>ABS(INDEX(AQ:AQ,MATCH(AQ82,$AA:$AA,0)+5)+INDEX(AQ:AQ,MATCH(AQ82,$AA:$AA,0)+6)+INDEX(AQ:AQ,MATCH(AQ82,$AA:$AA,0)+7))</f>
        <v>150</v>
      </c>
      <c r="AR85" s="376"/>
      <c r="AS85" s="375">
        <f>ABS(INDEX(AS:AS,MATCH(AS82,$AA:$AA,0)+5)+INDEX(AS:AS,MATCH(AS82,$AA:$AA,0)+6)+INDEX(AS:AS,MATCH(AS82,$AA:$AA,0)+7))</f>
        <v>222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202</v>
      </c>
      <c r="E86" s="342" t="str">
        <f>IF(AD86=0,"",AD86)</f>
        <v/>
      </c>
      <c r="F86" s="342">
        <f>IF(AE86=301,"",AE86)</f>
        <v>235</v>
      </c>
      <c r="G86" s="342" t="str">
        <f>IF(AF86=0,"",AF86)</f>
        <v/>
      </c>
      <c r="H86" s="342">
        <f>IF(AG86=301,"",AG86)</f>
        <v>189</v>
      </c>
      <c r="I86" s="342" t="str">
        <f>IF(AH86=0,"",AH86)</f>
        <v/>
      </c>
      <c r="J86" s="342">
        <f>IF(AI86=301,"",AI86)</f>
        <v>212</v>
      </c>
      <c r="K86" s="342" t="str">
        <f>IF(AJ86=0,"",AJ86)</f>
        <v/>
      </c>
      <c r="L86" s="342">
        <f>IF(AK86=301,"",AK86)</f>
        <v>217</v>
      </c>
      <c r="M86" s="342" t="str">
        <f>IF(AL86=0,"",AL86)</f>
        <v/>
      </c>
      <c r="N86" s="342">
        <f>IF(AM86=301,"",AM86)</f>
        <v>170</v>
      </c>
      <c r="O86" s="342" t="str">
        <f>IF(AN86=0,"",AN86)</f>
        <v/>
      </c>
      <c r="P86" s="342">
        <f>IF(AO86=301,"",AO86)</f>
        <v>150</v>
      </c>
      <c r="Q86" s="342" t="str">
        <f>IF(AP86=0,"",AP86)</f>
        <v/>
      </c>
      <c r="R86" s="342">
        <f>IF(AQ86=301,"",AQ86)</f>
        <v>180</v>
      </c>
      <c r="S86" s="342" t="str">
        <f>IF(AR86=0,"",AR86)</f>
        <v/>
      </c>
      <c r="T86" s="342">
        <f>IF(AS86=301,"",AS86)</f>
        <v>167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202</v>
      </c>
      <c r="AD86" s="378"/>
      <c r="AE86" s="377">
        <f>ABS(INDEX(AE:AE,MATCH(AE82,$AA:$AA,0)+8)+INDEX(AE:AE,MATCH(AE82,$AA:$AA,0)+9)+INDEX(AE:AE,MATCH(AE82,$AA:$AA,0)+10))</f>
        <v>235</v>
      </c>
      <c r="AF86" s="378"/>
      <c r="AG86" s="377">
        <f>ABS(INDEX(AG:AG,MATCH(AG82,$AA:$AA,0)+8)+INDEX(AG:AG,MATCH(AG82,$AA:$AA,0)+9)+INDEX(AG:AG,MATCH(AG82,$AA:$AA,0)+10))</f>
        <v>189</v>
      </c>
      <c r="AH86" s="378"/>
      <c r="AI86" s="377">
        <f>ABS(INDEX(AI:AI,MATCH(AI82,$AA:$AA,0)+8)+INDEX(AI:AI,MATCH(AI82,$AA:$AA,0)+9)+INDEX(AI:AI,MATCH(AI82,$AA:$AA,0)+10))</f>
        <v>212</v>
      </c>
      <c r="AJ86" s="378"/>
      <c r="AK86" s="377">
        <f>ABS(INDEX(AK:AK,MATCH(AK82,$AA:$AA,0)+8)+INDEX(AK:AK,MATCH(AK82,$AA:$AA,0)+9)+INDEX(AK:AK,MATCH(AK82,$AA:$AA,0)+10))</f>
        <v>217</v>
      </c>
      <c r="AL86" s="378"/>
      <c r="AM86" s="377">
        <f>ABS(INDEX(AM:AM,MATCH(AM82,$AA:$AA,0)+8)+INDEX(AM:AM,MATCH(AM82,$AA:$AA,0)+9)+INDEX(AM:AM,MATCH(AM82,$AA:$AA,0)+10))</f>
        <v>170</v>
      </c>
      <c r="AN86" s="378"/>
      <c r="AO86" s="377">
        <f>ABS(INDEX(AO:AO,MATCH(AO82,$AA:$AA,0)+8)+INDEX(AO:AO,MATCH(AO82,$AA:$AA,0)+9)+INDEX(AO:AO,MATCH(AO82,$AA:$AA,0)+10))</f>
        <v>150</v>
      </c>
      <c r="AP86" s="378"/>
      <c r="AQ86" s="377">
        <f>ABS(INDEX(AQ:AQ,MATCH(AQ82,$AA:$AA,0)+8)+INDEX(AQ:AQ,MATCH(AQ82,$AA:$AA,0)+9)+INDEX(AQ:AQ,MATCH(AQ82,$AA:$AA,0)+10))</f>
        <v>180</v>
      </c>
      <c r="AR86" s="378"/>
      <c r="AS86" s="377">
        <f>ABS(INDEX(AS:AS,MATCH(AS82,$AA:$AA,0)+8)+INDEX(AS:AS,MATCH(AS82,$AA:$AA,0)+9)+INDEX(AS:AS,MATCH(AS82,$AA:$AA,0)+10))</f>
        <v>167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175</v>
      </c>
      <c r="E87" s="342" t="str">
        <f>IF(AD87=0,"",AD87)</f>
        <v/>
      </c>
      <c r="F87" s="342">
        <f>IF(AE87=301,"",AE87)</f>
        <v>178</v>
      </c>
      <c r="G87" s="342" t="str">
        <f>IF(AF87=0,"",AF87)</f>
        <v/>
      </c>
      <c r="H87" s="342">
        <f>IF(AG87=301,"",AG87)</f>
        <v>180</v>
      </c>
      <c r="I87" s="342" t="str">
        <f>IF(AH87=0,"",AH87)</f>
        <v/>
      </c>
      <c r="J87" s="342">
        <f>IF(AI87=301,"",AI87)</f>
        <v>259</v>
      </c>
      <c r="K87" s="342" t="str">
        <f>IF(AJ87=0,"",AJ87)</f>
        <v/>
      </c>
      <c r="L87" s="342">
        <f>IF(AK87=301,"",AK87)</f>
        <v>189</v>
      </c>
      <c r="M87" s="342" t="str">
        <f>IF(AL87=0,"",AL87)</f>
        <v/>
      </c>
      <c r="N87" s="342">
        <f>IF(AM87=301,"",AM87)</f>
        <v>201</v>
      </c>
      <c r="O87" s="342" t="str">
        <f>IF(AN87=0,"",AN87)</f>
        <v/>
      </c>
      <c r="P87" s="342">
        <f>IF(AO87=301,"",AO87)</f>
        <v>147</v>
      </c>
      <c r="Q87" s="342" t="str">
        <f>IF(AP87=0,"",AP87)</f>
        <v/>
      </c>
      <c r="R87" s="342">
        <f>IF(AQ87=301,"",AQ87)</f>
        <v>183</v>
      </c>
      <c r="S87" s="342" t="str">
        <f>IF(AR87=0,"",AR87)</f>
        <v/>
      </c>
      <c r="T87" s="342">
        <f>IF(AS87=301,"",AS87)</f>
        <v>155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175</v>
      </c>
      <c r="AD87" s="378"/>
      <c r="AE87" s="377">
        <f>ABS(INDEX(AE:AE,MATCH(AE82,$AA:$AA,0)+11)+INDEX(AE:AE,MATCH(AE82,$AA:$AA,0)+12)+INDEX(AE:AE,MATCH(AE82,$AA:$AA,0)+13))</f>
        <v>178</v>
      </c>
      <c r="AF87" s="378"/>
      <c r="AG87" s="377">
        <f>ABS(INDEX(AG:AG,MATCH(AG82,$AA:$AA,0)+11)+INDEX(AG:AG,MATCH(AG82,$AA:$AA,0)+12)+INDEX(AG:AG,MATCH(AG82,$AA:$AA,0)+13))</f>
        <v>180</v>
      </c>
      <c r="AH87" s="378"/>
      <c r="AI87" s="377">
        <f>ABS(INDEX(AI:AI,MATCH(AI82,$AA:$AA,0)+11)+INDEX(AI:AI,MATCH(AI82,$AA:$AA,0)+12)+INDEX(AI:AI,MATCH(AI82,$AA:$AA,0)+13))</f>
        <v>259</v>
      </c>
      <c r="AJ87" s="378"/>
      <c r="AK87" s="377">
        <f>ABS(INDEX(AK:AK,MATCH(AK82,$AA:$AA,0)+11)+INDEX(AK:AK,MATCH(AK82,$AA:$AA,0)+12)+INDEX(AK:AK,MATCH(AK82,$AA:$AA,0)+13))</f>
        <v>189</v>
      </c>
      <c r="AL87" s="378"/>
      <c r="AM87" s="377">
        <f>ABS(INDEX(AM:AM,MATCH(AM82,$AA:$AA,0)+11)+INDEX(AM:AM,MATCH(AM82,$AA:$AA,0)+12)+INDEX(AM:AM,MATCH(AM82,$AA:$AA,0)+13))</f>
        <v>201</v>
      </c>
      <c r="AN87" s="378"/>
      <c r="AO87" s="377">
        <f>ABS(INDEX(AO:AO,MATCH(AO82,$AA:$AA,0)+11)+INDEX(AO:AO,MATCH(AO82,$AA:$AA,0)+12)+INDEX(AO:AO,MATCH(AO82,$AA:$AA,0)+13))</f>
        <v>147</v>
      </c>
      <c r="AP87" s="378"/>
      <c r="AQ87" s="377">
        <f>ABS(INDEX(AQ:AQ,MATCH(AQ82,$AA:$AA,0)+11)+INDEX(AQ:AQ,MATCH(AQ82,$AA:$AA,0)+12)+INDEX(AQ:AQ,MATCH(AQ82,$AA:$AA,0)+13))</f>
        <v>183</v>
      </c>
      <c r="AR87" s="378"/>
      <c r="AS87" s="377">
        <f>ABS(INDEX(AS:AS,MATCH(AS82,$AA:$AA,0)+11)+INDEX(AS:AS,MATCH(AS82,$AA:$AA,0)+12)+INDEX(AS:AS,MATCH(AS82,$AA:$AA,0)+13))</f>
        <v>155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170</v>
      </c>
      <c r="E88" s="342" t="str">
        <f>IF(AD88=0,"",AD88)</f>
        <v/>
      </c>
      <c r="F88" s="342">
        <f>IF(AE88=301,"",AE88)</f>
        <v>172</v>
      </c>
      <c r="G88" s="342" t="str">
        <f>IF(AF88=0,"",AF88)</f>
        <v/>
      </c>
      <c r="H88" s="342">
        <f>IF(AG88=301,"",AG88)</f>
        <v>190</v>
      </c>
      <c r="I88" s="342" t="str">
        <f>IF(AH88=0,"",AH88)</f>
        <v/>
      </c>
      <c r="J88" s="342">
        <f>IF(AI88=301,"",AI88)</f>
        <v>244</v>
      </c>
      <c r="K88" s="342" t="str">
        <f>IF(AJ88=0,"",AJ88)</f>
        <v/>
      </c>
      <c r="L88" s="342">
        <f>IF(AK88=301,"",AK88)</f>
        <v>181</v>
      </c>
      <c r="M88" s="342" t="str">
        <f>IF(AL88=0,"",AL88)</f>
        <v/>
      </c>
      <c r="N88" s="342">
        <f>IF(AM88=301,"",AM88)</f>
        <v>212</v>
      </c>
      <c r="O88" s="342" t="str">
        <f>IF(AN88=0,"",AN88)</f>
        <v/>
      </c>
      <c r="P88" s="342">
        <f>IF(AO88=301,"",AO88)</f>
        <v>194</v>
      </c>
      <c r="Q88" s="342" t="str">
        <f>IF(AP88=0,"",AP88)</f>
        <v/>
      </c>
      <c r="R88" s="342">
        <f>IF(AQ88=301,"",AQ88)</f>
        <v>204</v>
      </c>
      <c r="S88" s="342" t="str">
        <f>IF(AR88=0,"",AR88)</f>
        <v/>
      </c>
      <c r="T88" s="342">
        <f>IF(AS88=301,"",AS88)</f>
        <v>189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170</v>
      </c>
      <c r="AD88" s="378"/>
      <c r="AE88" s="377">
        <f>ABS(INDEX(AE:AE,MATCH(AE82,$AA:$AA,0)+14)+INDEX(AE:AE,MATCH(AE82,$AA:$AA,0)+15)+INDEX(AE:AE,MATCH(AE82,$AA:$AA,0)+16))</f>
        <v>172</v>
      </c>
      <c r="AF88" s="378"/>
      <c r="AG88" s="377">
        <f>ABS(INDEX(AG:AG,MATCH(AG82,$AA:$AA,0)+14)+INDEX(AG:AG,MATCH(AG82,$AA:$AA,0)+15)+INDEX(AG:AG,MATCH(AG82,$AA:$AA,0)+16))</f>
        <v>190</v>
      </c>
      <c r="AH88" s="378"/>
      <c r="AI88" s="377">
        <f>ABS(INDEX(AI:AI,MATCH(AI82,$AA:$AA,0)+14)+INDEX(AI:AI,MATCH(AI82,$AA:$AA,0)+15)+INDEX(AI:AI,MATCH(AI82,$AA:$AA,0)+16))</f>
        <v>244</v>
      </c>
      <c r="AJ88" s="378"/>
      <c r="AK88" s="377">
        <f>ABS(INDEX(AK:AK,MATCH(AK82,$AA:$AA,0)+14)+INDEX(AK:AK,MATCH(AK82,$AA:$AA,0)+15)+INDEX(AK:AK,MATCH(AK82,$AA:$AA,0)+16))</f>
        <v>181</v>
      </c>
      <c r="AL88" s="378"/>
      <c r="AM88" s="377">
        <f>ABS(INDEX(AM:AM,MATCH(AM82,$AA:$AA,0)+14)+INDEX(AM:AM,MATCH(AM82,$AA:$AA,0)+15)+INDEX(AM:AM,MATCH(AM82,$AA:$AA,0)+16))</f>
        <v>212</v>
      </c>
      <c r="AN88" s="378"/>
      <c r="AO88" s="377">
        <f>ABS(INDEX(AO:AO,MATCH(AO82,$AA:$AA,0)+14)+INDEX(AO:AO,MATCH(AO82,$AA:$AA,0)+15)+INDEX(AO:AO,MATCH(AO82,$AA:$AA,0)+16))</f>
        <v>194</v>
      </c>
      <c r="AP88" s="378"/>
      <c r="AQ88" s="377">
        <f>ABS(INDEX(AQ:AQ,MATCH(AQ82,$AA:$AA,0)+14)+INDEX(AQ:AQ,MATCH(AQ82,$AA:$AA,0)+15)+INDEX(AQ:AQ,MATCH(AQ82,$AA:$AA,0)+16))</f>
        <v>204</v>
      </c>
      <c r="AR88" s="378"/>
      <c r="AS88" s="377">
        <f>ABS(INDEX(AS:AS,MATCH(AS82,$AA:$AA,0)+14)+INDEX(AS:AS,MATCH(AS82,$AA:$AA,0)+15)+INDEX(AS:AS,MATCH(AS82,$AA:$AA,0)+16))</f>
        <v>189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796</v>
      </c>
      <c r="E89" s="341" t="str">
        <f>IF(AD89=0,"",AD89)</f>
        <v/>
      </c>
      <c r="F89" s="341">
        <f>IF(AE89=1505,"",AE89)</f>
        <v>798</v>
      </c>
      <c r="G89" s="341" t="str">
        <f>IF(AF89=0,"",AF89)</f>
        <v/>
      </c>
      <c r="H89" s="341">
        <f>IF(AG89=1505,"",AG89)</f>
        <v>769</v>
      </c>
      <c r="I89" s="341" t="str">
        <f>IF(AH89=0,"",AH89)</f>
        <v/>
      </c>
      <c r="J89" s="341">
        <f>IF(AI89=1505,"",AI89)</f>
        <v>886</v>
      </c>
      <c r="K89" s="341" t="str">
        <f>IF(AJ89=0,"",AJ89)</f>
        <v/>
      </c>
      <c r="L89" s="341">
        <f>IF(AK89=1505,"",AK89)</f>
        <v>765</v>
      </c>
      <c r="M89" s="341" t="str">
        <f>IF(AL89=0,"",AL89)</f>
        <v/>
      </c>
      <c r="N89" s="341">
        <f>IF(AM89=1505,"",AM89)</f>
        <v>775</v>
      </c>
      <c r="O89" s="341" t="str">
        <f>IF(AN89=0,"",AN89)</f>
        <v/>
      </c>
      <c r="P89" s="341">
        <f>IF(AO89=1505,"",AO89)</f>
        <v>672</v>
      </c>
      <c r="Q89" s="341" t="str">
        <f>IF(AP89=0,"",AP89)</f>
        <v/>
      </c>
      <c r="R89" s="341">
        <f>IF(AQ89=1505,"",AQ89)</f>
        <v>717</v>
      </c>
      <c r="S89" s="341" t="str">
        <f>IF(AR89=0,"",AR89)</f>
        <v/>
      </c>
      <c r="T89" s="341">
        <f>IF(AS89=1505,"",AS89)</f>
        <v>733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796</v>
      </c>
      <c r="AD89" s="358"/>
      <c r="AE89" s="357">
        <f>SUM(AE85:AE88)</f>
        <v>798</v>
      </c>
      <c r="AF89" s="358"/>
      <c r="AG89" s="357">
        <f>SUM(AG85:AG88)</f>
        <v>769</v>
      </c>
      <c r="AH89" s="358"/>
      <c r="AI89" s="357">
        <f>SUM(AI85:AI88)</f>
        <v>886</v>
      </c>
      <c r="AJ89" s="358"/>
      <c r="AK89" s="357">
        <f>SUM(AK85:AK88)</f>
        <v>765</v>
      </c>
      <c r="AL89" s="358"/>
      <c r="AM89" s="357">
        <f>SUM(AM85:AM88)</f>
        <v>775</v>
      </c>
      <c r="AN89" s="358"/>
      <c r="AO89" s="357">
        <f>SUM(AO85:AO88)</f>
        <v>672</v>
      </c>
      <c r="AP89" s="358"/>
      <c r="AQ89" s="357">
        <f>SUM(AQ85:AQ88)</f>
        <v>717</v>
      </c>
      <c r="AR89" s="358"/>
      <c r="AS89" s="357">
        <f>SUM(AS85:AS88)</f>
        <v>733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05.04./06.04.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05.04./06.04.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Dettelbach Extreme Bowlingarena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196</v>
      </c>
      <c r="E97" s="351">
        <f>IF(AD97="","",AD97)</f>
        <v>0</v>
      </c>
      <c r="F97" s="75">
        <f t="shared" ref="F97:F110" si="104">IF(AE97=0,"",AE97)</f>
        <v>177</v>
      </c>
      <c r="G97" s="351">
        <f>IF(AF97="","",AF97)</f>
        <v>0</v>
      </c>
      <c r="H97" s="75" t="str">
        <f t="shared" ref="H97:H110" si="105">IF(AG97=0,"",AG97)</f>
        <v/>
      </c>
      <c r="I97" s="351">
        <f>IF(AH97="","",AH97)</f>
        <v>1</v>
      </c>
      <c r="J97" s="75" t="str">
        <f t="shared" ref="J97:J110" si="106">IF(AI97=0,"",AI97)</f>
        <v/>
      </c>
      <c r="K97" s="351">
        <f>IF(AJ97="","",AJ97)</f>
        <v>1</v>
      </c>
      <c r="L97" s="75">
        <f t="shared" ref="L97:L110" si="107">IF(AK97=0,"",AK97)</f>
        <v>235</v>
      </c>
      <c r="M97" s="351">
        <f>IF(AL97="","",AL97)</f>
        <v>1</v>
      </c>
      <c r="N97" s="75">
        <f>IF(AM97=0,"",AM97)</f>
        <v>237</v>
      </c>
      <c r="O97" s="351">
        <f>IF(AN97="","",AN97)</f>
        <v>1</v>
      </c>
      <c r="P97" s="75">
        <f t="shared" ref="P97:P110" si="108">IF(AO97=0,"",AO97)</f>
        <v>201</v>
      </c>
      <c r="Q97" s="351">
        <f>IF(AP97="","",AP97)</f>
        <v>1</v>
      </c>
      <c r="R97" s="75">
        <f t="shared" ref="R97:R110" si="109">IF(AQ97=0,"",AQ97)</f>
        <v>212</v>
      </c>
      <c r="S97" s="351">
        <f>IF(AR97="","",AR97)</f>
        <v>1</v>
      </c>
      <c r="T97" s="75">
        <f t="shared" ref="T97:T110" si="110">IF(AS97=0,"",AS97)</f>
        <v>222</v>
      </c>
      <c r="U97" s="351">
        <f>IF(AT97="","",AT97)</f>
        <v>1</v>
      </c>
      <c r="V97" s="75">
        <f t="shared" ref="V97:V110" si="111">IF(AU97=0,"",AU97)</f>
        <v>1480</v>
      </c>
      <c r="W97" s="351">
        <f>IF(AV97="","",AV97)</f>
        <v>7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196</v>
      </c>
      <c r="AD97" s="109">
        <f>IF(SUM(AC97:AC99)+AC115=0,0,IF(SUM(AC97:AC99)=AC115,0.5,IF(SUM(AC97:AC99)&gt;AC115,1,0)))</f>
        <v>0</v>
      </c>
      <c r="AE97" s="185">
        <v>177</v>
      </c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1</v>
      </c>
      <c r="AI97" s="185"/>
      <c r="AJ97" s="109">
        <f>IF(SUM(AI97:AI99)+AI115=0,0,IF(SUM(AI97:AI99)=AI115,0.5,IF(SUM(AI97:AI99)&gt;AI115,1,0)))</f>
        <v>1</v>
      </c>
      <c r="AK97" s="185">
        <v>235</v>
      </c>
      <c r="AL97" s="109">
        <f>IF(SUM(AK97:AK99)+AK115=0,0,IF(SUM(AK97:AK99)=AK115,0.5,IF(SUM(AK97:AK99)&gt;AK115,1,0)))</f>
        <v>1</v>
      </c>
      <c r="AM97" s="185">
        <v>237</v>
      </c>
      <c r="AN97" s="109">
        <f>IF(SUM(AM97:AM99)+AM115=0,0,IF(SUM(AM97:AM99)=AM115,0.5,IF(SUM(AM97:AM99)&gt;AM115,1,0)))</f>
        <v>1</v>
      </c>
      <c r="AO97" s="185">
        <v>201</v>
      </c>
      <c r="AP97" s="109">
        <f>IF(SUM(AO97:AO99)+AO115=0,0,IF(SUM(AO97:AO99)=AO115,0.5,IF(SUM(AO97:AO99)&gt;AO115,1,0)))</f>
        <v>1</v>
      </c>
      <c r="AQ97" s="185">
        <v>212</v>
      </c>
      <c r="AR97" s="109">
        <f>IF(SUM(AQ97:AQ99)+AQ115=0,0,IF(SUM(AQ97:AQ99)=AQ115,0.5,IF(SUM(AQ97:AQ99)&gt;AQ115,1,0)))</f>
        <v>1</v>
      </c>
      <c r="AS97" s="185">
        <v>222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1480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1480</v>
      </c>
      <c r="BF97" s="215">
        <f>COUNT(BH97:BP97)</f>
        <v>7</v>
      </c>
      <c r="BG97" s="215">
        <f>COUNTIF(BH97:BP97,"&gt;0")</f>
        <v>7</v>
      </c>
      <c r="BH97" s="215">
        <f t="shared" ref="BH97:BH108" si="113">IF(AC97=0,"",AC97)</f>
        <v>196</v>
      </c>
      <c r="BI97" s="215">
        <f t="shared" ref="BI97:BI108" si="114">IF(AE97=0,"",AE97)</f>
        <v>177</v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>
        <f t="shared" ref="BL97:BL108" si="117">IF(AK97=0,"",AK97)</f>
        <v>235</v>
      </c>
      <c r="BM97" s="215">
        <f t="shared" ref="BM97:BM108" si="118">IF(AM97=0,"",AM97)</f>
        <v>237</v>
      </c>
      <c r="BN97" s="215">
        <f t="shared" ref="BN97:BN108" si="119">IF(AO97=0,"",AO97)</f>
        <v>201</v>
      </c>
      <c r="BO97" s="215">
        <f t="shared" ref="BO97:BO108" si="120">IF(AQ97=0,"",AQ97)</f>
        <v>212</v>
      </c>
      <c r="BP97" s="215">
        <f t="shared" ref="BP97:BP108" si="121">IF(AS97=0,"",AS97)</f>
        <v>222</v>
      </c>
      <c r="BQ97" s="216"/>
      <c r="BR97" s="214"/>
      <c r="BS97" s="215">
        <f>MAX(BH97:BP97)</f>
        <v>237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1480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>Wunderlich, Henning</v>
      </c>
      <c r="C98" s="77">
        <f t="shared" si="123"/>
        <v>38018</v>
      </c>
      <c r="D98" s="78" t="str">
        <f t="shared" si="123"/>
        <v/>
      </c>
      <c r="E98" s="352"/>
      <c r="F98" s="78" t="str">
        <f t="shared" si="104"/>
        <v/>
      </c>
      <c r="G98" s="352"/>
      <c r="H98" s="78">
        <f t="shared" si="105"/>
        <v>224</v>
      </c>
      <c r="I98" s="352"/>
      <c r="J98" s="78">
        <f t="shared" si="106"/>
        <v>212</v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>
        <f t="shared" si="111"/>
        <v>436</v>
      </c>
      <c r="W98" s="352"/>
      <c r="Z98" s="355"/>
      <c r="AA98" s="108" t="str">
        <f>IF(AB98=0,"",VLOOKUP(AB98,Starter!$A$1:$D$199,2,FALSE))</f>
        <v>Wunderlich, Henning</v>
      </c>
      <c r="AB98" s="98">
        <v>38018</v>
      </c>
      <c r="AC98" s="186"/>
      <c r="AD98" s="112"/>
      <c r="AE98" s="186"/>
      <c r="AF98" s="112"/>
      <c r="AG98" s="186">
        <v>224</v>
      </c>
      <c r="AH98" s="112"/>
      <c r="AI98" s="186">
        <v>212</v>
      </c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436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38018</v>
      </c>
      <c r="BE98" s="213">
        <f t="shared" ref="BE98:BE108" si="126">+AU98</f>
        <v>436</v>
      </c>
      <c r="BF98" s="215">
        <f t="shared" ref="BF98:BF108" si="127">COUNT(BH98:BP98)</f>
        <v>2</v>
      </c>
      <c r="BG98" s="215">
        <f t="shared" ref="BG98:BG108" si="128">COUNTIF(BH98:BP98,"&gt;0")</f>
        <v>2</v>
      </c>
      <c r="BH98" s="215" t="str">
        <f t="shared" si="113"/>
        <v/>
      </c>
      <c r="BI98" s="215" t="str">
        <f t="shared" si="114"/>
        <v/>
      </c>
      <c r="BJ98" s="215">
        <f t="shared" si="115"/>
        <v>224</v>
      </c>
      <c r="BK98" s="215">
        <f t="shared" si="116"/>
        <v>212</v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224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436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266</v>
      </c>
      <c r="E100" s="351">
        <f>IF(AD100="","",AD100)</f>
        <v>1</v>
      </c>
      <c r="F100" s="75">
        <f t="shared" si="104"/>
        <v>182</v>
      </c>
      <c r="G100" s="351">
        <f>IF(AF100="","",AF100)</f>
        <v>0</v>
      </c>
      <c r="H100" s="75">
        <f t="shared" si="105"/>
        <v>157</v>
      </c>
      <c r="I100" s="351">
        <f>IF(AH100="","",AH100)</f>
        <v>0</v>
      </c>
      <c r="J100" s="75">
        <f t="shared" si="106"/>
        <v>180</v>
      </c>
      <c r="K100" s="351">
        <f>IF(AJ100="","",AJ100)</f>
        <v>1</v>
      </c>
      <c r="L100" s="75">
        <f t="shared" si="107"/>
        <v>191</v>
      </c>
      <c r="M100" s="351">
        <f>IF(AL100="","",AL100)</f>
        <v>0</v>
      </c>
      <c r="N100" s="75">
        <f t="shared" si="124"/>
        <v>189</v>
      </c>
      <c r="O100" s="351">
        <f>IF(AN100="","",AN100)</f>
        <v>0</v>
      </c>
      <c r="P100" s="75">
        <f t="shared" si="108"/>
        <v>156</v>
      </c>
      <c r="Q100" s="351">
        <f>IF(AP100="","",AP100)</f>
        <v>0</v>
      </c>
      <c r="R100" s="75">
        <f t="shared" si="109"/>
        <v>211</v>
      </c>
      <c r="S100" s="351">
        <f>IF(AR100="","",AR100)</f>
        <v>0</v>
      </c>
      <c r="T100" s="75">
        <f t="shared" si="110"/>
        <v>167</v>
      </c>
      <c r="U100" s="351">
        <f>IF(AT100="","",AT100)</f>
        <v>0</v>
      </c>
      <c r="V100" s="75">
        <f t="shared" si="111"/>
        <v>1699</v>
      </c>
      <c r="W100" s="351">
        <f>IF(AV100="","",AV100)</f>
        <v>2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266</v>
      </c>
      <c r="AD100" s="109">
        <f>IF(SUM(AC100:AC102)+AC116=0,0,IF(SUM(AC100:AC102)=AC116,0.5,IF(SUM(AC100:AC102)&gt;AC116,1,0)))</f>
        <v>1</v>
      </c>
      <c r="AE100" s="188">
        <v>182</v>
      </c>
      <c r="AF100" s="109">
        <f>IF(SUM(AE100:AE102)+AE116=0,0,IF(SUM(AE100:AE102)=AE116,0.5,IF(SUM(AE100:AE102)&gt;AE116,1,0)))</f>
        <v>0</v>
      </c>
      <c r="AG100" s="188">
        <v>157</v>
      </c>
      <c r="AH100" s="109">
        <f>IF(SUM(AG100:AG102)+AG116=0,0,IF(SUM(AG100:AG102)=AG116,0.5,IF(SUM(AG100:AG102)&gt;AG116,1,0)))</f>
        <v>0</v>
      </c>
      <c r="AI100" s="188">
        <v>180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189</v>
      </c>
      <c r="AN100" s="109">
        <f>IF(SUM(AM100:AM102)+AM116=0,0,IF(SUM(AM100:AM102)=AM116,0.5,IF(SUM(AM100:AM102)&gt;AM116,1,0)))</f>
        <v>0</v>
      </c>
      <c r="AO100" s="188">
        <v>156</v>
      </c>
      <c r="AP100" s="109">
        <f>IF(SUM(AO100:AO102)+AO116=0,0,IF(SUM(AO100:AO102)=AO116,0.5,IF(SUM(AO100:AO102)&gt;AO116,1,0)))</f>
        <v>0</v>
      </c>
      <c r="AQ100" s="188">
        <v>211</v>
      </c>
      <c r="AR100" s="109">
        <f>IF(SUM(AQ100:AQ102)+AQ116=0,0,IF(SUM(AQ100:AQ102)=AQ116,0.5,IF(SUM(AQ100:AQ102)&gt;AQ116,1,0)))</f>
        <v>0</v>
      </c>
      <c r="AS100" s="188">
        <v>167</v>
      </c>
      <c r="AT100" s="109">
        <f>IF(SUM(AS100:AS102)+AS116=0,0,IF(SUM(AS100:AS102)=AS116,0.5,IF(SUM(AS100:AS102)&gt;AS116,1,0)))</f>
        <v>0</v>
      </c>
      <c r="AU100" s="110">
        <f t="shared" si="112"/>
        <v>1699</v>
      </c>
      <c r="AV100" s="111">
        <f>SUM(AD100+AF100+AH100+AJ100+AL100+AN100+AP100+AR100+AT100)</f>
        <v>2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1699</v>
      </c>
      <c r="BF100" s="215">
        <f t="shared" si="127"/>
        <v>9</v>
      </c>
      <c r="BG100" s="215">
        <f t="shared" si="128"/>
        <v>9</v>
      </c>
      <c r="BH100" s="215">
        <f t="shared" si="113"/>
        <v>266</v>
      </c>
      <c r="BI100" s="215">
        <f t="shared" si="114"/>
        <v>182</v>
      </c>
      <c r="BJ100" s="215">
        <f t="shared" si="115"/>
        <v>157</v>
      </c>
      <c r="BK100" s="215">
        <f t="shared" si="116"/>
        <v>180</v>
      </c>
      <c r="BL100" s="215">
        <f t="shared" si="117"/>
        <v>191</v>
      </c>
      <c r="BM100" s="215">
        <f t="shared" si="118"/>
        <v>189</v>
      </c>
      <c r="BN100" s="215">
        <f t="shared" si="119"/>
        <v>156</v>
      </c>
      <c r="BO100" s="215">
        <f t="shared" si="120"/>
        <v>211</v>
      </c>
      <c r="BP100" s="215">
        <f t="shared" si="121"/>
        <v>167</v>
      </c>
      <c r="BQ100" s="216"/>
      <c r="BR100" s="214"/>
      <c r="BS100" s="215">
        <f t="shared" si="129"/>
        <v>266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1699</v>
      </c>
      <c r="BX100" s="215">
        <f>IF(COUNTIF(BH100:BP100,"&gt;0")&lt;Spielorte!$A$23,0,BE100/Spielorte!$A$23)</f>
        <v>188.77777777777777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268</v>
      </c>
      <c r="E103" s="351">
        <f>IF(AD103="","",AD103)</f>
        <v>1</v>
      </c>
      <c r="F103" s="75">
        <f t="shared" si="104"/>
        <v>181</v>
      </c>
      <c r="G103" s="351">
        <f>IF(AF103="","",AF103)</f>
        <v>1</v>
      </c>
      <c r="H103" s="75">
        <f t="shared" si="105"/>
        <v>220</v>
      </c>
      <c r="I103" s="351">
        <f>IF(AH103="","",AH103)</f>
        <v>1</v>
      </c>
      <c r="J103" s="75">
        <f t="shared" si="106"/>
        <v>160</v>
      </c>
      <c r="K103" s="351">
        <f>IF(AJ103="","",AJ103)</f>
        <v>0.5</v>
      </c>
      <c r="L103" s="75">
        <f t="shared" si="107"/>
        <v>171</v>
      </c>
      <c r="M103" s="351">
        <f>IF(AL103="","",AL103)</f>
        <v>1</v>
      </c>
      <c r="N103" s="75">
        <f t="shared" si="124"/>
        <v>150</v>
      </c>
      <c r="O103" s="351">
        <f>IF(AN103="","",AN103)</f>
        <v>0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0</v>
      </c>
      <c r="T103" s="75" t="str">
        <f t="shared" si="110"/>
        <v/>
      </c>
      <c r="U103" s="351">
        <f>IF(AT103="","",AT103)</f>
        <v>0</v>
      </c>
      <c r="V103" s="75">
        <f t="shared" si="111"/>
        <v>1150</v>
      </c>
      <c r="W103" s="351">
        <f>IF(AV103="","",AV103)</f>
        <v>4.5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268</v>
      </c>
      <c r="AD103" s="109">
        <f>IF(SUM(AC103:AC105)+AC117=0,0,IF(SUM(AC103:AC105)=AC117,0.5,IF(SUM(AC103:AC105)&gt;AC117,1,0)))</f>
        <v>1</v>
      </c>
      <c r="AE103" s="188">
        <v>181</v>
      </c>
      <c r="AF103" s="109">
        <f>IF(SUM(AE103:AE105)+AE117=0,0,IF(SUM(AE103:AE105)=AE117,0.5,IF(SUM(AE103:AE105)&gt;AE117,1,0)))</f>
        <v>1</v>
      </c>
      <c r="AG103" s="188">
        <v>220</v>
      </c>
      <c r="AH103" s="109">
        <f>IF(SUM(AG103:AG105)+AG117=0,0,IF(SUM(AG103:AG105)=AG117,0.5,IF(SUM(AG103:AG105)&gt;AG117,1,0)))</f>
        <v>1</v>
      </c>
      <c r="AI103" s="188">
        <v>160</v>
      </c>
      <c r="AJ103" s="109">
        <f>IF(SUM(AI103:AI105)+AI117=0,0,IF(SUM(AI103:AI105)=AI117,0.5,IF(SUM(AI103:AI105)&gt;AI117,1,0)))</f>
        <v>0.5</v>
      </c>
      <c r="AK103" s="188">
        <v>171</v>
      </c>
      <c r="AL103" s="109">
        <f>IF(SUM(AK103:AK105)+AK117=0,0,IF(SUM(AK103:AK105)=AK117,0.5,IF(SUM(AK103:AK105)&gt;AK117,1,0)))</f>
        <v>1</v>
      </c>
      <c r="AM103" s="188">
        <v>150</v>
      </c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1150</v>
      </c>
      <c r="AV103" s="111">
        <f>SUM(AD103+AF103+AH103+AJ103+AL103+AN103+AP103+AR103+AT103)</f>
        <v>4.5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1150</v>
      </c>
      <c r="BF103" s="215">
        <f t="shared" si="127"/>
        <v>6</v>
      </c>
      <c r="BG103" s="215">
        <f t="shared" si="128"/>
        <v>6</v>
      </c>
      <c r="BH103" s="215">
        <f t="shared" si="113"/>
        <v>268</v>
      </c>
      <c r="BI103" s="215">
        <f t="shared" si="114"/>
        <v>181</v>
      </c>
      <c r="BJ103" s="215">
        <f t="shared" si="115"/>
        <v>220</v>
      </c>
      <c r="BK103" s="215">
        <f t="shared" si="116"/>
        <v>160</v>
      </c>
      <c r="BL103" s="215">
        <f t="shared" si="117"/>
        <v>171</v>
      </c>
      <c r="BM103" s="215">
        <f t="shared" si="118"/>
        <v>150</v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268</v>
      </c>
      <c r="BT103" s="215">
        <f t="shared" si="130"/>
        <v>268.00000010299999</v>
      </c>
      <c r="BU103" s="215" t="str">
        <f t="shared" si="131"/>
        <v>SG DJK Rimpar</v>
      </c>
      <c r="BV103" s="214">
        <f t="shared" si="132"/>
        <v>1</v>
      </c>
      <c r="BW103" s="215">
        <f t="shared" si="133"/>
        <v>1150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>Wunderlich, Henning</v>
      </c>
      <c r="C104" s="77">
        <f t="shared" si="123"/>
        <v>38018</v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>
        <f t="shared" si="108"/>
        <v>159</v>
      </c>
      <c r="Q104" s="352"/>
      <c r="R104" s="78">
        <f t="shared" si="109"/>
        <v>143</v>
      </c>
      <c r="S104" s="352"/>
      <c r="T104" s="78">
        <f t="shared" si="110"/>
        <v>155</v>
      </c>
      <c r="U104" s="352"/>
      <c r="V104" s="78">
        <f t="shared" si="111"/>
        <v>457</v>
      </c>
      <c r="W104" s="352"/>
      <c r="Z104" s="355"/>
      <c r="AA104" s="108" t="str">
        <f>IF(AB104=0,"",VLOOKUP(AB104,Starter!$A$1:$D$199,2,FALSE))</f>
        <v>Wunderlich, Henning</v>
      </c>
      <c r="AB104" s="98">
        <v>38018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>
        <v>159</v>
      </c>
      <c r="AP104" s="112"/>
      <c r="AQ104" s="186">
        <v>143</v>
      </c>
      <c r="AR104" s="112"/>
      <c r="AS104" s="186">
        <v>155</v>
      </c>
      <c r="AT104" s="112"/>
      <c r="AU104" s="113">
        <f t="shared" si="112"/>
        <v>457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38018</v>
      </c>
      <c r="BE104" s="213">
        <f t="shared" si="126"/>
        <v>457</v>
      </c>
      <c r="BF104" s="215">
        <f t="shared" si="127"/>
        <v>3</v>
      </c>
      <c r="BG104" s="215">
        <f t="shared" si="128"/>
        <v>3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>
        <f t="shared" si="119"/>
        <v>159</v>
      </c>
      <c r="BO104" s="215">
        <f t="shared" si="120"/>
        <v>143</v>
      </c>
      <c r="BP104" s="215">
        <f t="shared" si="121"/>
        <v>155</v>
      </c>
      <c r="BQ104" s="216"/>
      <c r="BR104" s="214"/>
      <c r="BS104" s="215">
        <f t="shared" si="129"/>
        <v>159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457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230</v>
      </c>
      <c r="E106" s="351">
        <f>IF(AD106="","",AD106)</f>
        <v>0</v>
      </c>
      <c r="F106" s="75">
        <f t="shared" si="104"/>
        <v>183</v>
      </c>
      <c r="G106" s="351">
        <f>IF(AF106="","",AF106)</f>
        <v>1</v>
      </c>
      <c r="H106" s="75">
        <f t="shared" si="105"/>
        <v>184</v>
      </c>
      <c r="I106" s="351">
        <f>IF(AH106="","",AH106)</f>
        <v>1</v>
      </c>
      <c r="J106" s="75">
        <f t="shared" si="106"/>
        <v>188</v>
      </c>
      <c r="K106" s="351">
        <f>IF(AJ106="","",AJ106)</f>
        <v>1</v>
      </c>
      <c r="L106" s="75">
        <f t="shared" si="107"/>
        <v>169</v>
      </c>
      <c r="M106" s="351">
        <f>IF(AL106="","",AL106)</f>
        <v>0</v>
      </c>
      <c r="N106" s="75">
        <f t="shared" si="124"/>
        <v>186</v>
      </c>
      <c r="O106" s="351">
        <f>IF(AN106="","",AN106)</f>
        <v>0</v>
      </c>
      <c r="P106" s="75">
        <f t="shared" si="108"/>
        <v>205</v>
      </c>
      <c r="Q106" s="351">
        <f>IF(AP106="","",AP106)</f>
        <v>0</v>
      </c>
      <c r="R106" s="75">
        <f t="shared" si="109"/>
        <v>187</v>
      </c>
      <c r="S106" s="351">
        <f>IF(AR106="","",AR106)</f>
        <v>0</v>
      </c>
      <c r="T106" s="75">
        <f t="shared" si="110"/>
        <v>189</v>
      </c>
      <c r="U106" s="351">
        <f>IF(AT106="","",AT106)</f>
        <v>1</v>
      </c>
      <c r="V106" s="75">
        <f t="shared" si="111"/>
        <v>1721</v>
      </c>
      <c r="W106" s="351">
        <f>IF(AV106="","",AV106)</f>
        <v>4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230</v>
      </c>
      <c r="AD106" s="109">
        <f>IF(SUM(AC106:AC108)+AC118=0,0,IF(SUM(AC106:AC108)=AC118,0.5,IF(SUM(AC106:AC108)&gt;AC118,1,0)))</f>
        <v>0</v>
      </c>
      <c r="AE106" s="188">
        <v>183</v>
      </c>
      <c r="AF106" s="109">
        <f>IF(SUM(AE106:AE108)+AE118=0,0,IF(SUM(AE106:AE108)=AE118,0.5,IF(SUM(AE106:AE108)&gt;AE118,1,0)))</f>
        <v>1</v>
      </c>
      <c r="AG106" s="188">
        <v>184</v>
      </c>
      <c r="AH106" s="109">
        <f>IF(SUM(AG106:AG108)+AG118=0,0,IF(SUM(AG106:AG108)=AG118,0.5,IF(SUM(AG106:AG108)&gt;AG118,1,0)))</f>
        <v>1</v>
      </c>
      <c r="AI106" s="188">
        <v>188</v>
      </c>
      <c r="AJ106" s="109">
        <f>IF(SUM(AI106:AI108)+AI118=0,0,IF(SUM(AI106:AI108)=AI118,0.5,IF(SUM(AI106:AI108)&gt;AI118,1,0)))</f>
        <v>1</v>
      </c>
      <c r="AK106" s="188">
        <v>169</v>
      </c>
      <c r="AL106" s="109">
        <f>IF(SUM(AK106:AK108)+AK118=0,0,IF(SUM(AK106:AK108)=AK118,0.5,IF(SUM(AK106:AK108)&gt;AK118,1,0)))</f>
        <v>0</v>
      </c>
      <c r="AM106" s="188">
        <v>186</v>
      </c>
      <c r="AN106" s="109">
        <f>IF(SUM(AM106:AM108)+AM118=0,0,IF(SUM(AM106:AM108)=AM118,0.5,IF(SUM(AM106:AM108)&gt;AM118,1,0)))</f>
        <v>0</v>
      </c>
      <c r="AO106" s="188">
        <v>205</v>
      </c>
      <c r="AP106" s="109">
        <f>IF(SUM(AO106:AO108)+AO118=0,0,IF(SUM(AO106:AO108)=AO118,0.5,IF(SUM(AO106:AO108)&gt;AO118,1,0)))</f>
        <v>0</v>
      </c>
      <c r="AQ106" s="188">
        <v>187</v>
      </c>
      <c r="AR106" s="109">
        <f>IF(SUM(AQ106:AQ108)+AQ118=0,0,IF(SUM(AQ106:AQ108)=AQ118,0.5,IF(SUM(AQ106:AQ108)&gt;AQ118,1,0)))</f>
        <v>0</v>
      </c>
      <c r="AS106" s="188">
        <v>189</v>
      </c>
      <c r="AT106" s="109">
        <f>IF(SUM(AS106:AS108)+AS118=0,0,IF(SUM(AS106:AS108)=AS118,0.5,IF(SUM(AS106:AS108)&gt;AS118,1,0)))</f>
        <v>1</v>
      </c>
      <c r="AU106" s="110">
        <f t="shared" si="112"/>
        <v>1721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1721</v>
      </c>
      <c r="BF106" s="215">
        <f t="shared" si="127"/>
        <v>9</v>
      </c>
      <c r="BG106" s="215">
        <f t="shared" si="128"/>
        <v>9</v>
      </c>
      <c r="BH106" s="215">
        <f t="shared" si="113"/>
        <v>230</v>
      </c>
      <c r="BI106" s="215">
        <f t="shared" si="114"/>
        <v>183</v>
      </c>
      <c r="BJ106" s="215">
        <f t="shared" si="115"/>
        <v>184</v>
      </c>
      <c r="BK106" s="215">
        <f t="shared" si="116"/>
        <v>188</v>
      </c>
      <c r="BL106" s="215">
        <f t="shared" si="117"/>
        <v>169</v>
      </c>
      <c r="BM106" s="215">
        <f t="shared" si="118"/>
        <v>186</v>
      </c>
      <c r="BN106" s="215">
        <f t="shared" si="119"/>
        <v>205</v>
      </c>
      <c r="BO106" s="215">
        <f t="shared" si="120"/>
        <v>187</v>
      </c>
      <c r="BP106" s="215">
        <f t="shared" si="121"/>
        <v>189</v>
      </c>
      <c r="BQ106" s="216"/>
      <c r="BR106" s="214"/>
      <c r="BS106" s="215">
        <f t="shared" si="129"/>
        <v>230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1721</v>
      </c>
      <c r="BX106" s="215">
        <f>IF(COUNTIF(BH106:BP106,"&gt;0")&lt;Spielorte!$A$23,0,BE106/Spielorte!$A$23)</f>
        <v>191.22222222222223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960</v>
      </c>
      <c r="E109" s="84">
        <f>IF(AD109="","",AD109)</f>
        <v>2</v>
      </c>
      <c r="F109" s="83">
        <f t="shared" si="104"/>
        <v>723</v>
      </c>
      <c r="G109" s="84">
        <f>IF(AF109="","",AF109)</f>
        <v>0</v>
      </c>
      <c r="H109" s="83">
        <f t="shared" si="105"/>
        <v>785</v>
      </c>
      <c r="I109" s="84">
        <f>IF(AH109="","",AH109)</f>
        <v>0</v>
      </c>
      <c r="J109" s="83">
        <f t="shared" si="106"/>
        <v>740</v>
      </c>
      <c r="K109" s="84">
        <f>IF(AJ109="","",AJ109)</f>
        <v>2</v>
      </c>
      <c r="L109" s="83">
        <f t="shared" si="107"/>
        <v>766</v>
      </c>
      <c r="M109" s="84">
        <f>IF(AL109="","",AL109)</f>
        <v>0</v>
      </c>
      <c r="N109" s="83">
        <f t="shared" si="124"/>
        <v>762</v>
      </c>
      <c r="O109" s="84">
        <f>IF(AN109="","",AN109)</f>
        <v>0</v>
      </c>
      <c r="P109" s="83">
        <f t="shared" si="108"/>
        <v>721</v>
      </c>
      <c r="Q109" s="84">
        <f>IF(AP109="","",AP109)</f>
        <v>0</v>
      </c>
      <c r="R109" s="83">
        <f t="shared" si="109"/>
        <v>753</v>
      </c>
      <c r="S109" s="84">
        <f>IF(AR109="","",AR109)</f>
        <v>0</v>
      </c>
      <c r="T109" s="83">
        <f t="shared" si="110"/>
        <v>733</v>
      </c>
      <c r="U109" s="84">
        <f>IF(AT109="","",AT109)</f>
        <v>0</v>
      </c>
      <c r="V109" s="83">
        <f t="shared" si="111"/>
        <v>6943</v>
      </c>
      <c r="W109" s="84">
        <f>IF(AV109="","",AV109)</f>
        <v>4</v>
      </c>
      <c r="AA109" s="81" t="s">
        <v>1799</v>
      </c>
      <c r="AB109" s="120"/>
      <c r="AC109" s="211">
        <f>ABS(SUM(AC97:AC99))+ABS(SUM(AC100:AC102))+ABS(SUM(AC103:AC105))+ABS(SUM(AC106:AC108))</f>
        <v>960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723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785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740</v>
      </c>
      <c r="AJ109" s="121">
        <f>IF(AI109+AI119=0,0,IF(AI109=AI119,1,IF(AI109&gt;AI119,2,0)))</f>
        <v>2</v>
      </c>
      <c r="AK109" s="211">
        <f>ABS(SUM(AK97:AK99))+ABS(SUM(AK100:AK102))+ABS(SUM(AK103:AK105))+ABS(SUM(AK106:AK108))</f>
        <v>766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762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753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733</v>
      </c>
      <c r="AT109" s="121">
        <f>IF(AS109+AS119=0,0,IF(AS109=AS119,1,IF(AS109&gt;AS119,2,0)))</f>
        <v>0</v>
      </c>
      <c r="AU109" s="122">
        <f>SUM(AC109+AE109+AG109+AI109+AK109+AM109+AO109+AQ109+AS109)</f>
        <v>6943</v>
      </c>
      <c r="AV109" s="123">
        <f>SUM(AD109+AF109+AH109+AJ109+AL109+AN109+AP109+AR109+AT109)</f>
        <v>4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3</v>
      </c>
      <c r="J110" s="86" t="str">
        <f t="shared" si="106"/>
        <v/>
      </c>
      <c r="K110" s="87">
        <f>IF(AJ110="","",AJ110)</f>
        <v>5.5</v>
      </c>
      <c r="L110" s="86" t="str">
        <f t="shared" si="107"/>
        <v/>
      </c>
      <c r="M110" s="87">
        <f>IF(AL110="","",AL110)</f>
        <v>2</v>
      </c>
      <c r="N110" s="86" t="str">
        <f t="shared" si="124"/>
        <v/>
      </c>
      <c r="O110" s="87">
        <f>IF(AN110="","",AN110)</f>
        <v>1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1</v>
      </c>
      <c r="T110" s="86" t="str">
        <f t="shared" si="110"/>
        <v/>
      </c>
      <c r="U110" s="87">
        <f>IF(AT110="","",AT110)</f>
        <v>2</v>
      </c>
      <c r="V110" s="86" t="str">
        <f t="shared" si="111"/>
        <v/>
      </c>
      <c r="W110" s="87">
        <f>IF(AV110="","",AV110)</f>
        <v>21.5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2</v>
      </c>
      <c r="AG110" s="86"/>
      <c r="AH110" s="124">
        <f>SUM(AH97:AH109)</f>
        <v>3</v>
      </c>
      <c r="AI110" s="86"/>
      <c r="AJ110" s="124">
        <f>SUM(AJ97:AJ109)</f>
        <v>5.5</v>
      </c>
      <c r="AK110" s="86"/>
      <c r="AL110" s="124">
        <f>SUM(AL97:AL109)</f>
        <v>2</v>
      </c>
      <c r="AM110" s="86"/>
      <c r="AN110" s="124">
        <f>SUM(AN97:AN109)</f>
        <v>1</v>
      </c>
      <c r="AO110" s="86"/>
      <c r="AP110" s="124">
        <f>SUM(AP97:AP109)</f>
        <v>1</v>
      </c>
      <c r="AQ110" s="86"/>
      <c r="AR110" s="124">
        <f>SUM(AR97:AR109)</f>
        <v>1</v>
      </c>
      <c r="AS110" s="86"/>
      <c r="AT110" s="124">
        <f>SUM(AT97:AT109)</f>
        <v>2</v>
      </c>
      <c r="AU110" s="86"/>
      <c r="AV110" s="125">
        <f>SUM(AV97:AV109)</f>
        <v>21.5</v>
      </c>
      <c r="AW110" s="101"/>
      <c r="AX110" s="102"/>
      <c r="BA110" s="212">
        <f>+AV110</f>
        <v>21.5</v>
      </c>
      <c r="BB110" s="213">
        <f>+AU109</f>
        <v>6943</v>
      </c>
      <c r="BC110" s="214">
        <f>+AA92</f>
        <v>4</v>
      </c>
      <c r="BF110" s="215">
        <f>SUM(BF91:BF109)</f>
        <v>36</v>
      </c>
      <c r="BQ110" s="212">
        <f>+BB110/1000000+BA110</f>
        <v>21.506943</v>
      </c>
      <c r="BR110" s="214">
        <f>RANK(BQ110,BQ:BQ)</f>
        <v>9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9</v>
      </c>
      <c r="E112" s="349" t="str">
        <f t="shared" si="135"/>
        <v/>
      </c>
      <c r="F112" s="349">
        <f t="shared" si="135"/>
        <v>2</v>
      </c>
      <c r="G112" s="349" t="str">
        <f t="shared" si="135"/>
        <v/>
      </c>
      <c r="H112" s="349">
        <f t="shared" si="135"/>
        <v>6</v>
      </c>
      <c r="I112" s="349" t="str">
        <f t="shared" si="135"/>
        <v/>
      </c>
      <c r="J112" s="349">
        <f t="shared" si="135"/>
        <v>10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5</v>
      </c>
      <c r="Q112" s="349" t="str">
        <f t="shared" si="135"/>
        <v/>
      </c>
      <c r="R112" s="349">
        <f t="shared" ref="L112:U114" si="136">IF(AQ112=0,"",AQ112)</f>
        <v>8</v>
      </c>
      <c r="S112" s="349" t="str">
        <f t="shared" si="136"/>
        <v/>
      </c>
      <c r="T112" s="349">
        <f t="shared" si="136"/>
        <v>3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VLOOKUP($AA92,Schlüssel!$A$5:$DG$14,103)</f>
        <v>9</v>
      </c>
      <c r="AD112" s="374"/>
      <c r="AE112" s="373">
        <f>VLOOKUP($AA92,Schlüssel!$A$5:$EK$14,104)</f>
        <v>2</v>
      </c>
      <c r="AF112" s="374"/>
      <c r="AG112" s="373">
        <f>VLOOKUP($AA92,Schlüssel!$A$5:$EK$14,105)</f>
        <v>6</v>
      </c>
      <c r="AH112" s="374"/>
      <c r="AI112" s="373">
        <f>VLOOKUP($AA92,Schlüssel!$A$5:$EK$14,106)</f>
        <v>10</v>
      </c>
      <c r="AJ112" s="374"/>
      <c r="AK112" s="373">
        <f>VLOOKUP($AA92,Schlüssel!$A$5:$EK$14,107)</f>
        <v>1</v>
      </c>
      <c r="AL112" s="374"/>
      <c r="AM112" s="373">
        <f>VLOOKUP($AA92,Schlüssel!$A$5:$EK$14,108)</f>
        <v>7</v>
      </c>
      <c r="AN112" s="374"/>
      <c r="AO112" s="373">
        <f>VLOOKUP($AA92,Schlüssel!$A$5:$EK$14,109)</f>
        <v>5</v>
      </c>
      <c r="AP112" s="374"/>
      <c r="AQ112" s="373">
        <f>VLOOKUP($AA92,Schlüssel!$A$5:$EK$14,110)</f>
        <v>8</v>
      </c>
      <c r="AR112" s="374"/>
      <c r="AS112" s="373">
        <f>VLOOKUP($AA92,Schlüssel!$A$5:$EK$14,111)</f>
        <v>3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Bowlinghaus Bamberg 1</v>
      </c>
      <c r="E113" s="347" t="str">
        <f t="shared" si="137"/>
        <v/>
      </c>
      <c r="F113" s="346" t="str">
        <f t="shared" si="137"/>
        <v>Bajuwaren München 1</v>
      </c>
      <c r="G113" s="347" t="str">
        <f t="shared" si="137"/>
        <v/>
      </c>
      <c r="H113" s="346" t="str">
        <f t="shared" si="137"/>
        <v>SG Rottendorf 1</v>
      </c>
      <c r="I113" s="347" t="str">
        <f t="shared" si="137"/>
        <v/>
      </c>
      <c r="J113" s="346" t="str">
        <f t="shared" si="137"/>
        <v>High Roller Rosenheim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Schanzer Ingolstadt 1</v>
      </c>
      <c r="O113" s="347" t="str">
        <f t="shared" si="136"/>
        <v/>
      </c>
      <c r="P113" s="346" t="str">
        <f t="shared" si="136"/>
        <v>RW Lichtenhof Stein 1</v>
      </c>
      <c r="Q113" s="347" t="str">
        <f t="shared" si="136"/>
        <v/>
      </c>
      <c r="R113" s="346" t="str">
        <f t="shared" si="136"/>
        <v>BC EMAX Unterföhring 2</v>
      </c>
      <c r="S113" s="347" t="str">
        <f t="shared" si="136"/>
        <v/>
      </c>
      <c r="T113" s="346" t="str">
        <f t="shared" si="136"/>
        <v>BK München 3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Bowlinghaus Bamberg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SG Rottendorf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RW Lichtenhof Stein 1</v>
      </c>
      <c r="AP113" s="347"/>
      <c r="AQ113" s="346" t="str">
        <f>VLOOKUP(AQ112,Schlüssel!$A$5:$K$14,2)</f>
        <v>BC EMAX Unterföhring 2</v>
      </c>
      <c r="AR113" s="347"/>
      <c r="AS113" s="346" t="str">
        <f>VLOOKUP(AS112,Schlüssel!$A$5:$K$14,2)</f>
        <v>BK München 3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225</v>
      </c>
      <c r="E115" s="342" t="str">
        <f>IF(AD115=0,"",AD115)</f>
        <v/>
      </c>
      <c r="F115" s="342">
        <f>IF(AE115=301,"",AE115)</f>
        <v>234</v>
      </c>
      <c r="G115" s="342" t="str">
        <f>IF(AF115=0,"",AF115)</f>
        <v/>
      </c>
      <c r="H115" s="342">
        <f>IF(AG115=301,"",AG115)</f>
        <v>215</v>
      </c>
      <c r="I115" s="342" t="str">
        <f>IF(AH115=0,"",AH115)</f>
        <v/>
      </c>
      <c r="J115" s="342">
        <f>IF(AI115=301,"",AI115)</f>
        <v>203</v>
      </c>
      <c r="K115" s="342" t="str">
        <f>IF(AJ115=0,"",AJ115)</f>
        <v/>
      </c>
      <c r="L115" s="342">
        <f>IF(AK115=301,"",AK115)</f>
        <v>188</v>
      </c>
      <c r="M115" s="342" t="str">
        <f>IF(AL115=0,"",AL115)</f>
        <v/>
      </c>
      <c r="N115" s="342">
        <f>IF(AM115=301,"",AM115)</f>
        <v>220</v>
      </c>
      <c r="O115" s="342" t="str">
        <f>IF(AN115=0,"",AN115)</f>
        <v/>
      </c>
      <c r="P115" s="342">
        <f>IF(AO115=301,"",AO115)</f>
        <v>198</v>
      </c>
      <c r="Q115" s="342" t="str">
        <f>IF(AP115=0,"",AP115)</f>
        <v/>
      </c>
      <c r="R115" s="342">
        <f>IF(AQ115=301,"",AQ115)</f>
        <v>192</v>
      </c>
      <c r="S115" s="342" t="str">
        <f>IF(AR115=0,"",AR115)</f>
        <v/>
      </c>
      <c r="T115" s="342">
        <f>IF(AS115=301,"",AS115)</f>
        <v>192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225</v>
      </c>
      <c r="AD115" s="376"/>
      <c r="AE115" s="375">
        <f>ABS(INDEX(AE:AE,MATCH(AE112,$AA:$AA,0)+5)+INDEX(AE:AE,MATCH(AE112,$AA:$AA,0)+6)+INDEX(AE:AE,MATCH(AE112,$AA:$AA,0)+7))</f>
        <v>234</v>
      </c>
      <c r="AF115" s="376"/>
      <c r="AG115" s="375">
        <f>ABS(INDEX(AG:AG,MATCH(AG112,$AA:$AA,0)+5)+INDEX(AG:AG,MATCH(AG112,$AA:$AA,0)+6)+INDEX(AG:AG,MATCH(AG112,$AA:$AA,0)+7))</f>
        <v>215</v>
      </c>
      <c r="AH115" s="376"/>
      <c r="AI115" s="375">
        <f>ABS(INDEX(AI:AI,MATCH(AI112,$AA:$AA,0)+5)+INDEX(AI:AI,MATCH(AI112,$AA:$AA,0)+6)+INDEX(AI:AI,MATCH(AI112,$AA:$AA,0)+7))</f>
        <v>203</v>
      </c>
      <c r="AJ115" s="376"/>
      <c r="AK115" s="375">
        <f>ABS(INDEX(AK:AK,MATCH(AK112,$AA:$AA,0)+5)+INDEX(AK:AK,MATCH(AK112,$AA:$AA,0)+6)+INDEX(AK:AK,MATCH(AK112,$AA:$AA,0)+7))</f>
        <v>188</v>
      </c>
      <c r="AL115" s="376"/>
      <c r="AM115" s="375">
        <f>ABS(INDEX(AM:AM,MATCH(AM112,$AA:$AA,0)+5)+INDEX(AM:AM,MATCH(AM112,$AA:$AA,0)+6)+INDEX(AM:AM,MATCH(AM112,$AA:$AA,0)+7))</f>
        <v>220</v>
      </c>
      <c r="AN115" s="376"/>
      <c r="AO115" s="375">
        <f>ABS(INDEX(AO:AO,MATCH(AO112,$AA:$AA,0)+5)+INDEX(AO:AO,MATCH(AO112,$AA:$AA,0)+6)+INDEX(AO:AO,MATCH(AO112,$AA:$AA,0)+7))</f>
        <v>198</v>
      </c>
      <c r="AP115" s="376"/>
      <c r="AQ115" s="375">
        <f>ABS(INDEX(AQ:AQ,MATCH(AQ112,$AA:$AA,0)+5)+INDEX(AQ:AQ,MATCH(AQ112,$AA:$AA,0)+6)+INDEX(AQ:AQ,MATCH(AQ112,$AA:$AA,0)+7))</f>
        <v>192</v>
      </c>
      <c r="AR115" s="376"/>
      <c r="AS115" s="375">
        <f>ABS(INDEX(AS:AS,MATCH(AS112,$AA:$AA,0)+5)+INDEX(AS:AS,MATCH(AS112,$AA:$AA,0)+6)+INDEX(AS:AS,MATCH(AS112,$AA:$AA,0)+7))</f>
        <v>192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133</v>
      </c>
      <c r="E116" s="342" t="str">
        <f>IF(AD116=0,"",AD116)</f>
        <v/>
      </c>
      <c r="F116" s="342">
        <f>IF(AE116=301,"",AE116)</f>
        <v>183</v>
      </c>
      <c r="G116" s="342" t="str">
        <f>IF(AF116=0,"",AF116)</f>
        <v/>
      </c>
      <c r="H116" s="342">
        <f>IF(AG116=301,"",AG116)</f>
        <v>213</v>
      </c>
      <c r="I116" s="342" t="str">
        <f>IF(AH116=0,"",AH116)</f>
        <v/>
      </c>
      <c r="J116" s="342">
        <f>IF(AI116=301,"",AI116)</f>
        <v>150</v>
      </c>
      <c r="K116" s="342" t="str">
        <f>IF(AJ116=0,"",AJ116)</f>
        <v/>
      </c>
      <c r="L116" s="342">
        <f>IF(AK116=301,"",AK116)</f>
        <v>244</v>
      </c>
      <c r="M116" s="342" t="str">
        <f>IF(AL116=0,"",AL116)</f>
        <v/>
      </c>
      <c r="N116" s="342">
        <f>IF(AM116=301,"",AM116)</f>
        <v>212</v>
      </c>
      <c r="O116" s="342" t="str">
        <f>IF(AN116=0,"",AN116)</f>
        <v/>
      </c>
      <c r="P116" s="342">
        <f>IF(AO116=301,"",AO116)</f>
        <v>191</v>
      </c>
      <c r="Q116" s="342" t="str">
        <f>IF(AP116=0,"",AP116)</f>
        <v/>
      </c>
      <c r="R116" s="342">
        <f>IF(AQ116=301,"",AQ116)</f>
        <v>214</v>
      </c>
      <c r="S116" s="342" t="str">
        <f>IF(AR116=0,"",AR116)</f>
        <v/>
      </c>
      <c r="T116" s="342">
        <f>IF(AS116=301,"",AS116)</f>
        <v>212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133</v>
      </c>
      <c r="AD116" s="378"/>
      <c r="AE116" s="377">
        <f>ABS(INDEX(AE:AE,MATCH(AE112,$AA:$AA,0)+8)+INDEX(AE:AE,MATCH(AE112,$AA:$AA,0)+9)+INDEX(AE:AE,MATCH(AE112,$AA:$AA,0)+10))</f>
        <v>183</v>
      </c>
      <c r="AF116" s="378"/>
      <c r="AG116" s="377">
        <f>ABS(INDEX(AG:AG,MATCH(AG112,$AA:$AA,0)+8)+INDEX(AG:AG,MATCH(AG112,$AA:$AA,0)+9)+INDEX(AG:AG,MATCH(AG112,$AA:$AA,0)+10))</f>
        <v>213</v>
      </c>
      <c r="AH116" s="378"/>
      <c r="AI116" s="377">
        <f>ABS(INDEX(AI:AI,MATCH(AI112,$AA:$AA,0)+8)+INDEX(AI:AI,MATCH(AI112,$AA:$AA,0)+9)+INDEX(AI:AI,MATCH(AI112,$AA:$AA,0)+10))</f>
        <v>150</v>
      </c>
      <c r="AJ116" s="378"/>
      <c r="AK116" s="377">
        <f>ABS(INDEX(AK:AK,MATCH(AK112,$AA:$AA,0)+8)+INDEX(AK:AK,MATCH(AK112,$AA:$AA,0)+9)+INDEX(AK:AK,MATCH(AK112,$AA:$AA,0)+10))</f>
        <v>244</v>
      </c>
      <c r="AL116" s="378"/>
      <c r="AM116" s="377">
        <f>ABS(INDEX(AM:AM,MATCH(AM112,$AA:$AA,0)+8)+INDEX(AM:AM,MATCH(AM112,$AA:$AA,0)+9)+INDEX(AM:AM,MATCH(AM112,$AA:$AA,0)+10))</f>
        <v>212</v>
      </c>
      <c r="AN116" s="378"/>
      <c r="AO116" s="377">
        <f>ABS(INDEX(AO:AO,MATCH(AO112,$AA:$AA,0)+8)+INDEX(AO:AO,MATCH(AO112,$AA:$AA,0)+9)+INDEX(AO:AO,MATCH(AO112,$AA:$AA,0)+10))</f>
        <v>191</v>
      </c>
      <c r="AP116" s="378"/>
      <c r="AQ116" s="377">
        <f>ABS(INDEX(AQ:AQ,MATCH(AQ112,$AA:$AA,0)+8)+INDEX(AQ:AQ,MATCH(AQ112,$AA:$AA,0)+9)+INDEX(AQ:AQ,MATCH(AQ112,$AA:$AA,0)+10))</f>
        <v>214</v>
      </c>
      <c r="AR116" s="378"/>
      <c r="AS116" s="377">
        <f>ABS(INDEX(AS:AS,MATCH(AS112,$AA:$AA,0)+8)+INDEX(AS:AS,MATCH(AS112,$AA:$AA,0)+9)+INDEX(AS:AS,MATCH(AS112,$AA:$AA,0)+10))</f>
        <v>212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196</v>
      </c>
      <c r="E117" s="342" t="str">
        <f>IF(AD117=0,"",AD117)</f>
        <v/>
      </c>
      <c r="F117" s="342">
        <f>IF(AE117=301,"",AE117)</f>
        <v>171</v>
      </c>
      <c r="G117" s="342" t="str">
        <f>IF(AF117=0,"",AF117)</f>
        <v/>
      </c>
      <c r="H117" s="342">
        <f>IF(AG117=301,"",AG117)</f>
        <v>212</v>
      </c>
      <c r="I117" s="342" t="str">
        <f>IF(AH117=0,"",AH117)</f>
        <v/>
      </c>
      <c r="J117" s="342">
        <f>IF(AI117=301,"",AI117)</f>
        <v>160</v>
      </c>
      <c r="K117" s="342" t="str">
        <f>IF(AJ117=0,"",AJ117)</f>
        <v/>
      </c>
      <c r="L117" s="342">
        <f>IF(AK117=301,"",AK117)</f>
        <v>148</v>
      </c>
      <c r="M117" s="342" t="str">
        <f>IF(AL117=0,"",AL117)</f>
        <v/>
      </c>
      <c r="N117" s="342">
        <f>IF(AM117=301,"",AM117)</f>
        <v>210</v>
      </c>
      <c r="O117" s="342" t="str">
        <f>IF(AN117=0,"",AN117)</f>
        <v/>
      </c>
      <c r="P117" s="342">
        <f>IF(AO117=301,"",AO117)</f>
        <v>201</v>
      </c>
      <c r="Q117" s="342" t="str">
        <f>IF(AP117=0,"",AP117)</f>
        <v/>
      </c>
      <c r="R117" s="342">
        <f>IF(AQ117=301,"",AQ117)</f>
        <v>146</v>
      </c>
      <c r="S117" s="342" t="str">
        <f>IF(AR117=0,"",AR117)</f>
        <v/>
      </c>
      <c r="T117" s="342">
        <f>IF(AS117=301,"",AS117)</f>
        <v>170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196</v>
      </c>
      <c r="AD117" s="378"/>
      <c r="AE117" s="377">
        <f>ABS(INDEX(AE:AE,MATCH(AE112,$AA:$AA,0)+11)+INDEX(AE:AE,MATCH(AE112,$AA:$AA,0)+12)+INDEX(AE:AE,MATCH(AE112,$AA:$AA,0)+13))</f>
        <v>171</v>
      </c>
      <c r="AF117" s="378"/>
      <c r="AG117" s="377">
        <f>ABS(INDEX(AG:AG,MATCH(AG112,$AA:$AA,0)+11)+INDEX(AG:AG,MATCH(AG112,$AA:$AA,0)+12)+INDEX(AG:AG,MATCH(AG112,$AA:$AA,0)+13))</f>
        <v>212</v>
      </c>
      <c r="AH117" s="378"/>
      <c r="AI117" s="377">
        <f>ABS(INDEX(AI:AI,MATCH(AI112,$AA:$AA,0)+11)+INDEX(AI:AI,MATCH(AI112,$AA:$AA,0)+12)+INDEX(AI:AI,MATCH(AI112,$AA:$AA,0)+13))</f>
        <v>160</v>
      </c>
      <c r="AJ117" s="378"/>
      <c r="AK117" s="377">
        <f>ABS(INDEX(AK:AK,MATCH(AK112,$AA:$AA,0)+11)+INDEX(AK:AK,MATCH(AK112,$AA:$AA,0)+12)+INDEX(AK:AK,MATCH(AK112,$AA:$AA,0)+13))</f>
        <v>148</v>
      </c>
      <c r="AL117" s="378"/>
      <c r="AM117" s="377">
        <f>ABS(INDEX(AM:AM,MATCH(AM112,$AA:$AA,0)+11)+INDEX(AM:AM,MATCH(AM112,$AA:$AA,0)+12)+INDEX(AM:AM,MATCH(AM112,$AA:$AA,0)+13))</f>
        <v>210</v>
      </c>
      <c r="AN117" s="378"/>
      <c r="AO117" s="377">
        <f>ABS(INDEX(AO:AO,MATCH(AO112,$AA:$AA,0)+11)+INDEX(AO:AO,MATCH(AO112,$AA:$AA,0)+12)+INDEX(AO:AO,MATCH(AO112,$AA:$AA,0)+13))</f>
        <v>201</v>
      </c>
      <c r="AP117" s="378"/>
      <c r="AQ117" s="377">
        <f>ABS(INDEX(AQ:AQ,MATCH(AQ112,$AA:$AA,0)+11)+INDEX(AQ:AQ,MATCH(AQ112,$AA:$AA,0)+12)+INDEX(AQ:AQ,MATCH(AQ112,$AA:$AA,0)+13))</f>
        <v>146</v>
      </c>
      <c r="AR117" s="378"/>
      <c r="AS117" s="377">
        <f>ABS(INDEX(AS:AS,MATCH(AS112,$AA:$AA,0)+11)+INDEX(AS:AS,MATCH(AS112,$AA:$AA,0)+12)+INDEX(AS:AS,MATCH(AS112,$AA:$AA,0)+13))</f>
        <v>170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247</v>
      </c>
      <c r="E118" s="342" t="str">
        <f>IF(AD118=0,"",AD118)</f>
        <v/>
      </c>
      <c r="F118" s="342">
        <f>IF(AE118=301,"",AE118)</f>
        <v>148</v>
      </c>
      <c r="G118" s="342" t="str">
        <f>IF(AF118=0,"",AF118)</f>
        <v/>
      </c>
      <c r="H118" s="342">
        <f>IF(AG118=301,"",AG118)</f>
        <v>183</v>
      </c>
      <c r="I118" s="342" t="str">
        <f>IF(AH118=0,"",AH118)</f>
        <v/>
      </c>
      <c r="J118" s="342">
        <f>IF(AI118=301,"",AI118)</f>
        <v>159</v>
      </c>
      <c r="K118" s="342" t="str">
        <f>IF(AJ118=0,"",AJ118)</f>
        <v/>
      </c>
      <c r="L118" s="342">
        <f>IF(AK118=301,"",AK118)</f>
        <v>222</v>
      </c>
      <c r="M118" s="342" t="str">
        <f>IF(AL118=0,"",AL118)</f>
        <v/>
      </c>
      <c r="N118" s="342">
        <f>IF(AM118=301,"",AM118)</f>
        <v>221</v>
      </c>
      <c r="O118" s="342" t="str">
        <f>IF(AN118=0,"",AN118)</f>
        <v/>
      </c>
      <c r="P118" s="342">
        <f>IF(AO118=301,"",AO118)</f>
        <v>241</v>
      </c>
      <c r="Q118" s="342" t="str">
        <f>IF(AP118=0,"",AP118)</f>
        <v/>
      </c>
      <c r="R118" s="342">
        <f>IF(AQ118=301,"",AQ118)</f>
        <v>213</v>
      </c>
      <c r="S118" s="342" t="str">
        <f>IF(AR118=0,"",AR118)</f>
        <v/>
      </c>
      <c r="T118" s="342">
        <f>IF(AS118=301,"",AS118)</f>
        <v>183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247</v>
      </c>
      <c r="AD118" s="378"/>
      <c r="AE118" s="377">
        <f>ABS(INDEX(AE:AE,MATCH(AE112,$AA:$AA,0)+14)+INDEX(AE:AE,MATCH(AE112,$AA:$AA,0)+15)+INDEX(AE:AE,MATCH(AE112,$AA:$AA,0)+16))</f>
        <v>148</v>
      </c>
      <c r="AF118" s="378"/>
      <c r="AG118" s="377">
        <f>ABS(INDEX(AG:AG,MATCH(AG112,$AA:$AA,0)+14)+INDEX(AG:AG,MATCH(AG112,$AA:$AA,0)+15)+INDEX(AG:AG,MATCH(AG112,$AA:$AA,0)+16))</f>
        <v>183</v>
      </c>
      <c r="AH118" s="378"/>
      <c r="AI118" s="377">
        <f>ABS(INDEX(AI:AI,MATCH(AI112,$AA:$AA,0)+14)+INDEX(AI:AI,MATCH(AI112,$AA:$AA,0)+15)+INDEX(AI:AI,MATCH(AI112,$AA:$AA,0)+16))</f>
        <v>159</v>
      </c>
      <c r="AJ118" s="378"/>
      <c r="AK118" s="377">
        <f>ABS(INDEX(AK:AK,MATCH(AK112,$AA:$AA,0)+14)+INDEX(AK:AK,MATCH(AK112,$AA:$AA,0)+15)+INDEX(AK:AK,MATCH(AK112,$AA:$AA,0)+16))</f>
        <v>222</v>
      </c>
      <c r="AL118" s="378"/>
      <c r="AM118" s="377">
        <f>ABS(INDEX(AM:AM,MATCH(AM112,$AA:$AA,0)+14)+INDEX(AM:AM,MATCH(AM112,$AA:$AA,0)+15)+INDEX(AM:AM,MATCH(AM112,$AA:$AA,0)+16))</f>
        <v>221</v>
      </c>
      <c r="AN118" s="378"/>
      <c r="AO118" s="377">
        <f>ABS(INDEX(AO:AO,MATCH(AO112,$AA:$AA,0)+14)+INDEX(AO:AO,MATCH(AO112,$AA:$AA,0)+15)+INDEX(AO:AO,MATCH(AO112,$AA:$AA,0)+16))</f>
        <v>241</v>
      </c>
      <c r="AP118" s="378"/>
      <c r="AQ118" s="377">
        <f>ABS(INDEX(AQ:AQ,MATCH(AQ112,$AA:$AA,0)+14)+INDEX(AQ:AQ,MATCH(AQ112,$AA:$AA,0)+15)+INDEX(AQ:AQ,MATCH(AQ112,$AA:$AA,0)+16))</f>
        <v>213</v>
      </c>
      <c r="AR118" s="378"/>
      <c r="AS118" s="377">
        <f>ABS(INDEX(AS:AS,MATCH(AS112,$AA:$AA,0)+14)+INDEX(AS:AS,MATCH(AS112,$AA:$AA,0)+15)+INDEX(AS:AS,MATCH(AS112,$AA:$AA,0)+16))</f>
        <v>183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801</v>
      </c>
      <c r="E119" s="341" t="str">
        <f>IF(AD119=0,"",AD119)</f>
        <v/>
      </c>
      <c r="F119" s="341">
        <f>IF(AE119=1505,"",AE119)</f>
        <v>736</v>
      </c>
      <c r="G119" s="341" t="str">
        <f>IF(AF119=0,"",AF119)</f>
        <v/>
      </c>
      <c r="H119" s="341">
        <f>IF(AG119=1505,"",AG119)</f>
        <v>823</v>
      </c>
      <c r="I119" s="341" t="str">
        <f>IF(AH119=0,"",AH119)</f>
        <v/>
      </c>
      <c r="J119" s="341">
        <f>IF(AI119=1505,"",AI119)</f>
        <v>672</v>
      </c>
      <c r="K119" s="341" t="str">
        <f>IF(AJ119=0,"",AJ119)</f>
        <v/>
      </c>
      <c r="L119" s="341">
        <f>IF(AK119=1505,"",AK119)</f>
        <v>802</v>
      </c>
      <c r="M119" s="341" t="str">
        <f>IF(AL119=0,"",AL119)</f>
        <v/>
      </c>
      <c r="N119" s="341">
        <f>IF(AM119=1505,"",AM119)</f>
        <v>863</v>
      </c>
      <c r="O119" s="341" t="str">
        <f>IF(AN119=0,"",AN119)</f>
        <v/>
      </c>
      <c r="P119" s="341">
        <f>IF(AO119=1505,"",AO119)</f>
        <v>831</v>
      </c>
      <c r="Q119" s="341" t="str">
        <f>IF(AP119=0,"",AP119)</f>
        <v/>
      </c>
      <c r="R119" s="341">
        <f>IF(AQ119=1505,"",AQ119)</f>
        <v>765</v>
      </c>
      <c r="S119" s="341" t="str">
        <f>IF(AR119=0,"",AR119)</f>
        <v/>
      </c>
      <c r="T119" s="341">
        <f>IF(AS119=1505,"",AS119)</f>
        <v>757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801</v>
      </c>
      <c r="AD119" s="358"/>
      <c r="AE119" s="357">
        <f>SUM(AE115:AE118)</f>
        <v>736</v>
      </c>
      <c r="AF119" s="358"/>
      <c r="AG119" s="357">
        <f>SUM(AG115:AG118)</f>
        <v>823</v>
      </c>
      <c r="AH119" s="358"/>
      <c r="AI119" s="357">
        <f>SUM(AI115:AI118)</f>
        <v>672</v>
      </c>
      <c r="AJ119" s="358"/>
      <c r="AK119" s="357">
        <f>SUM(AK115:AK118)</f>
        <v>802</v>
      </c>
      <c r="AL119" s="358"/>
      <c r="AM119" s="357">
        <f>SUM(AM115:AM118)</f>
        <v>863</v>
      </c>
      <c r="AN119" s="358"/>
      <c r="AO119" s="357">
        <f>SUM(AO115:AO118)</f>
        <v>831</v>
      </c>
      <c r="AP119" s="358"/>
      <c r="AQ119" s="357">
        <f>SUM(AQ115:AQ118)</f>
        <v>765</v>
      </c>
      <c r="AR119" s="358"/>
      <c r="AS119" s="357">
        <f>SUM(AS115:AS118)</f>
        <v>757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05.04./06.04.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05.04./06.04.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Dettelbach Extreme Bowlingarena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232</v>
      </c>
      <c r="E127" s="351">
        <f>IF(AD127="","",AD127)</f>
        <v>1</v>
      </c>
      <c r="F127" s="75">
        <f t="shared" ref="F127:F140" si="139">IF(AE127=0,"",AE127)</f>
        <v>247</v>
      </c>
      <c r="G127" s="351">
        <f>IF(AF127="","",AF127)</f>
        <v>1</v>
      </c>
      <c r="H127" s="75">
        <f t="shared" ref="H127:H140" si="140">IF(AG127=0,"",AG127)</f>
        <v>213</v>
      </c>
      <c r="I127" s="351">
        <f>IF(AH127="","",AH127)</f>
        <v>1</v>
      </c>
      <c r="J127" s="75">
        <f t="shared" ref="J127:J140" si="141">IF(AI127=0,"",AI127)</f>
        <v>181</v>
      </c>
      <c r="K127" s="351">
        <f>IF(AJ127="","",AJ127)</f>
        <v>1</v>
      </c>
      <c r="L127" s="75">
        <f t="shared" ref="L127:L140" si="142">IF(AK127=0,"",AK127)</f>
        <v>190</v>
      </c>
      <c r="M127" s="351">
        <f>IF(AL127="","",AL127)</f>
        <v>0</v>
      </c>
      <c r="N127" s="75">
        <f>IF(AM127=0,"",AM127)</f>
        <v>192</v>
      </c>
      <c r="O127" s="351">
        <f>IF(AN127="","",AN127)</f>
        <v>0</v>
      </c>
      <c r="P127" s="75">
        <f t="shared" ref="P127:P140" si="143">IF(AO127=0,"",AO127)</f>
        <v>198</v>
      </c>
      <c r="Q127" s="351">
        <f>IF(AP127="","",AP127)</f>
        <v>0</v>
      </c>
      <c r="R127" s="75">
        <f t="shared" ref="R127:R140" si="144">IF(AQ127=0,"",AQ127)</f>
        <v>177</v>
      </c>
      <c r="S127" s="351">
        <f>IF(AR127="","",AR127)</f>
        <v>0</v>
      </c>
      <c r="T127" s="75">
        <f t="shared" ref="T127:T140" si="145">IF(AS127=0,"",AS127)</f>
        <v>193</v>
      </c>
      <c r="U127" s="351">
        <f>IF(AT127="","",AT127)</f>
        <v>1</v>
      </c>
      <c r="V127" s="75">
        <f t="shared" ref="V127:V140" si="146">IF(AU127=0,"",AU127)</f>
        <v>1823</v>
      </c>
      <c r="W127" s="351">
        <f>IF(AV127="","",AV127)</f>
        <v>5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232</v>
      </c>
      <c r="AD127" s="109">
        <f>IF(SUM(AC127:AC129)+AC145=0,0,IF(SUM(AC127:AC129)=AC145,0.5,IF(SUM(AC127:AC129)&gt;AC145,1,0)))</f>
        <v>1</v>
      </c>
      <c r="AE127" s="185">
        <v>247</v>
      </c>
      <c r="AF127" s="109">
        <f>IF(SUM(AE127:AE129)+AE145=0,0,IF(SUM(AE127:AE129)=AE145,0.5,IF(SUM(AE127:AE129)&gt;AE145,1,0)))</f>
        <v>1</v>
      </c>
      <c r="AG127" s="185">
        <v>213</v>
      </c>
      <c r="AH127" s="109">
        <f>IF(SUM(AG127:AG129)+AG145=0,0,IF(SUM(AG127:AG129)=AG145,0.5,IF(SUM(AG127:AG129)&gt;AG145,1,0)))</f>
        <v>1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192</v>
      </c>
      <c r="AN127" s="109">
        <f>IF(SUM(AM127:AM129)+AM145=0,0,IF(SUM(AM127:AM129)=AM145,0.5,IF(SUM(AM127:AM129)&gt;AM145,1,0)))</f>
        <v>0</v>
      </c>
      <c r="AO127" s="185">
        <v>198</v>
      </c>
      <c r="AP127" s="109">
        <f>IF(SUM(AO127:AO129)+AO145=0,0,IF(SUM(AO127:AO129)=AO145,0.5,IF(SUM(AO127:AO129)&gt;AO145,1,0)))</f>
        <v>0</v>
      </c>
      <c r="AQ127" s="185">
        <v>177</v>
      </c>
      <c r="AR127" s="109">
        <f>IF(SUM(AQ127:AQ129)+AQ145=0,0,IF(SUM(AQ127:AQ129)=AQ145,0.5,IF(SUM(AQ127:AQ129)&gt;AQ145,1,0)))</f>
        <v>0</v>
      </c>
      <c r="AS127" s="185">
        <v>193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1823</v>
      </c>
      <c r="AV127" s="111">
        <f>SUM(AD127+AF127+AH127+AJ127+AL127+AN127+AP127+AR127+AT127)</f>
        <v>5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1823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232</v>
      </c>
      <c r="BI127" s="215">
        <f t="shared" ref="BI127:BI138" si="149">IF(AE127=0,"",AE127)</f>
        <v>247</v>
      </c>
      <c r="BJ127" s="215">
        <f t="shared" ref="BJ127:BJ138" si="150">IF(AG127=0,"",AG127)</f>
        <v>213</v>
      </c>
      <c r="BK127" s="215">
        <f t="shared" ref="BK127:BK138" si="151">IF(AI127=0,"",AI127)</f>
        <v>181</v>
      </c>
      <c r="BL127" s="215">
        <f t="shared" ref="BL127:BL138" si="152">IF(AK127=0,"",AK127)</f>
        <v>190</v>
      </c>
      <c r="BM127" s="215">
        <f t="shared" ref="BM127:BM138" si="153">IF(AM127=0,"",AM127)</f>
        <v>192</v>
      </c>
      <c r="BN127" s="215">
        <f t="shared" ref="BN127:BN138" si="154">IF(AO127=0,"",AO127)</f>
        <v>198</v>
      </c>
      <c r="BO127" s="215">
        <f t="shared" ref="BO127:BO138" si="155">IF(AQ127=0,"",AQ127)</f>
        <v>177</v>
      </c>
      <c r="BP127" s="215">
        <f t="shared" ref="BP127:BP138" si="156">IF(AS127=0,"",AS127)</f>
        <v>193</v>
      </c>
      <c r="BQ127" s="216"/>
      <c r="BR127" s="214"/>
      <c r="BS127" s="215">
        <f>MAX(BH127:BP127)</f>
        <v>247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1823</v>
      </c>
      <c r="BX127" s="215">
        <f>IF(COUNTIF(BH127:BP127,"&gt;0")&lt;Spielorte!$A$23,0,BE127/Spielorte!$A$23)</f>
        <v>202.55555555555554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Breitenstein, Alexander Kurt</v>
      </c>
      <c r="C130" s="74">
        <f t="shared" si="158"/>
        <v>16469</v>
      </c>
      <c r="D130" s="75">
        <f t="shared" si="158"/>
        <v>193</v>
      </c>
      <c r="E130" s="351">
        <f>IF(AD130="","",AD130)</f>
        <v>1</v>
      </c>
      <c r="F130" s="75">
        <f t="shared" si="139"/>
        <v>195</v>
      </c>
      <c r="G130" s="351">
        <f>IF(AF130="","",AF130)</f>
        <v>1</v>
      </c>
      <c r="H130" s="75">
        <f t="shared" si="140"/>
        <v>212</v>
      </c>
      <c r="I130" s="351">
        <f>IF(AH130="","",AH130)</f>
        <v>0</v>
      </c>
      <c r="J130" s="75">
        <f t="shared" si="141"/>
        <v>170</v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1</v>
      </c>
      <c r="R130" s="75" t="str">
        <f t="shared" si="144"/>
        <v/>
      </c>
      <c r="S130" s="351">
        <f>IF(AR130="","",AR130)</f>
        <v>1</v>
      </c>
      <c r="T130" s="75" t="str">
        <f t="shared" si="145"/>
        <v/>
      </c>
      <c r="U130" s="351">
        <f>IF(AT130="","",AT130)</f>
        <v>1</v>
      </c>
      <c r="V130" s="75">
        <f t="shared" si="146"/>
        <v>770</v>
      </c>
      <c r="W130" s="351">
        <f>IF(AV130="","",AV130)</f>
        <v>5</v>
      </c>
      <c r="Z130" s="354" t="s">
        <v>2</v>
      </c>
      <c r="AA130" s="108" t="str">
        <f>IF(AB130=0,"",VLOOKUP(AB130,Starter!$A$1:$D$199,2,FALSE))</f>
        <v>Breitenstein, Alexander Kurt</v>
      </c>
      <c r="AB130" s="99">
        <v>16469</v>
      </c>
      <c r="AC130" s="188">
        <v>193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1</v>
      </c>
      <c r="AG130" s="188">
        <v>212</v>
      </c>
      <c r="AH130" s="109">
        <f>IF(SUM(AG130:AG132)+AG146=0,0,IF(SUM(AG130:AG132)=AG146,0.5,IF(SUM(AG130:AG132)&gt;AG146,1,0)))</f>
        <v>0</v>
      </c>
      <c r="AI130" s="188">
        <v>170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1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770</v>
      </c>
      <c r="AV130" s="111">
        <f>SUM(AD130+AF130+AH130+AJ130+AL130+AN130+AP130+AR130+AT130)</f>
        <v>5</v>
      </c>
      <c r="AW130" s="101"/>
      <c r="AX130" s="102"/>
      <c r="AZ130" s="63"/>
      <c r="BA130" s="212"/>
      <c r="BB130" s="213"/>
      <c r="BC130" s="214"/>
      <c r="BD130" s="217">
        <f t="shared" si="160"/>
        <v>16469</v>
      </c>
      <c r="BE130" s="213">
        <f t="shared" si="161"/>
        <v>770</v>
      </c>
      <c r="BF130" s="215">
        <f t="shared" si="162"/>
        <v>4</v>
      </c>
      <c r="BG130" s="215">
        <f t="shared" si="163"/>
        <v>4</v>
      </c>
      <c r="BH130" s="215">
        <f t="shared" si="148"/>
        <v>193</v>
      </c>
      <c r="BI130" s="215">
        <f t="shared" si="149"/>
        <v>195</v>
      </c>
      <c r="BJ130" s="215">
        <f t="shared" si="150"/>
        <v>212</v>
      </c>
      <c r="BK130" s="215">
        <f t="shared" si="151"/>
        <v>170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212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770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Wahl, Norbert</v>
      </c>
      <c r="C131" s="77">
        <f t="shared" si="158"/>
        <v>25465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>
        <f t="shared" si="142"/>
        <v>183</v>
      </c>
      <c r="M131" s="352"/>
      <c r="N131" s="78">
        <f t="shared" si="159"/>
        <v>170</v>
      </c>
      <c r="O131" s="352"/>
      <c r="P131" s="78">
        <f t="shared" si="143"/>
        <v>191</v>
      </c>
      <c r="Q131" s="352"/>
      <c r="R131" s="78">
        <f t="shared" si="144"/>
        <v>203</v>
      </c>
      <c r="S131" s="352"/>
      <c r="T131" s="78">
        <f t="shared" si="145"/>
        <v>221</v>
      </c>
      <c r="U131" s="352"/>
      <c r="V131" s="78">
        <f t="shared" si="146"/>
        <v>968</v>
      </c>
      <c r="W131" s="352"/>
      <c r="Z131" s="355"/>
      <c r="AA131" s="108" t="str">
        <f>IF(AB131=0,"",VLOOKUP(AB131,Starter!$A$1:$D$199,2,FALSE))</f>
        <v>Wahl, Norbert</v>
      </c>
      <c r="AB131" s="98">
        <v>25465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183</v>
      </c>
      <c r="AL131" s="112"/>
      <c r="AM131" s="186">
        <v>170</v>
      </c>
      <c r="AN131" s="112"/>
      <c r="AO131" s="190">
        <v>191</v>
      </c>
      <c r="AP131" s="112"/>
      <c r="AQ131" s="190">
        <v>203</v>
      </c>
      <c r="AR131" s="112"/>
      <c r="AS131" s="190">
        <v>221</v>
      </c>
      <c r="AT131" s="112"/>
      <c r="AU131" s="113">
        <f t="shared" si="147"/>
        <v>968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25465</v>
      </c>
      <c r="BE131" s="213">
        <f t="shared" si="161"/>
        <v>968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183</v>
      </c>
      <c r="BM131" s="215">
        <f t="shared" si="153"/>
        <v>170</v>
      </c>
      <c r="BN131" s="215">
        <f t="shared" si="154"/>
        <v>191</v>
      </c>
      <c r="BO131" s="215">
        <f t="shared" si="155"/>
        <v>203</v>
      </c>
      <c r="BP131" s="215">
        <f t="shared" si="156"/>
        <v>221</v>
      </c>
      <c r="BQ131" s="216"/>
      <c r="BR131" s="214"/>
      <c r="BS131" s="215">
        <f t="shared" si="164"/>
        <v>221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968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169</v>
      </c>
      <c r="E133" s="351">
        <f>IF(AD133="","",AD133)</f>
        <v>0</v>
      </c>
      <c r="F133" s="75">
        <f t="shared" si="139"/>
        <v>190</v>
      </c>
      <c r="G133" s="351">
        <f>IF(AF133="","",AF133)</f>
        <v>0</v>
      </c>
      <c r="H133" s="75">
        <f t="shared" si="140"/>
        <v>149</v>
      </c>
      <c r="I133" s="351">
        <f>IF(AH133="","",AH133)</f>
        <v>0</v>
      </c>
      <c r="J133" s="75">
        <f t="shared" si="141"/>
        <v>177</v>
      </c>
      <c r="K133" s="351">
        <f>IF(AJ133="","",AJ133)</f>
        <v>0</v>
      </c>
      <c r="L133" s="75">
        <f t="shared" si="142"/>
        <v>159</v>
      </c>
      <c r="M133" s="351">
        <f>IF(AL133="","",AL133)</f>
        <v>0</v>
      </c>
      <c r="N133" s="75" t="str">
        <f t="shared" si="159"/>
        <v/>
      </c>
      <c r="O133" s="351">
        <f>IF(AN133="","",AN133)</f>
        <v>1</v>
      </c>
      <c r="P133" s="75" t="str">
        <f t="shared" si="143"/>
        <v/>
      </c>
      <c r="Q133" s="351">
        <f>IF(AP133="","",AP133)</f>
        <v>1</v>
      </c>
      <c r="R133" s="75" t="str">
        <f t="shared" si="144"/>
        <v/>
      </c>
      <c r="S133" s="351">
        <f>IF(AR133="","",AR133)</f>
        <v>0</v>
      </c>
      <c r="T133" s="75" t="str">
        <f t="shared" si="145"/>
        <v/>
      </c>
      <c r="U133" s="351">
        <f>IF(AT133="","",AT133)</f>
        <v>1</v>
      </c>
      <c r="V133" s="75">
        <f t="shared" si="146"/>
        <v>844</v>
      </c>
      <c r="W133" s="351">
        <f>IF(AV133="","",AV133)</f>
        <v>3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169</v>
      </c>
      <c r="AD133" s="109">
        <f>IF(SUM(AC133:AC135)+AC147=0,0,IF(SUM(AC133:AC135)=AC147,0.5,IF(SUM(AC133:AC135)&gt;AC147,1,0)))</f>
        <v>0</v>
      </c>
      <c r="AE133" s="188">
        <v>190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177</v>
      </c>
      <c r="AJ133" s="109">
        <f>IF(SUM(AI133:AI135)+AI147=0,0,IF(SUM(AI133:AI135)=AI147,0.5,IF(SUM(AI133:AI135)&gt;AI147,1,0)))</f>
        <v>0</v>
      </c>
      <c r="AK133" s="188">
        <v>159</v>
      </c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1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1</v>
      </c>
      <c r="AU133" s="110">
        <f t="shared" si="147"/>
        <v>844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844</v>
      </c>
      <c r="BF133" s="215">
        <f t="shared" si="162"/>
        <v>5</v>
      </c>
      <c r="BG133" s="215">
        <f t="shared" si="163"/>
        <v>5</v>
      </c>
      <c r="BH133" s="215">
        <f t="shared" si="148"/>
        <v>169</v>
      </c>
      <c r="BI133" s="215">
        <f t="shared" si="149"/>
        <v>190</v>
      </c>
      <c r="BJ133" s="215">
        <f t="shared" si="150"/>
        <v>149</v>
      </c>
      <c r="BK133" s="215">
        <f t="shared" si="151"/>
        <v>177</v>
      </c>
      <c r="BL133" s="215">
        <f t="shared" si="152"/>
        <v>159</v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190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844</v>
      </c>
      <c r="BX133" s="215">
        <f>IF(COUNTIF(BH133:BP133,"&gt;0")&lt;Spielorte!$A$23,0,BE133/Spielorte!$A$23)</f>
        <v>0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>Mesch, John</v>
      </c>
      <c r="C134" s="77">
        <f t="shared" si="158"/>
        <v>7740</v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>
        <f t="shared" si="159"/>
        <v>201</v>
      </c>
      <c r="O134" s="352"/>
      <c r="P134" s="78">
        <f t="shared" si="143"/>
        <v>201</v>
      </c>
      <c r="Q134" s="352"/>
      <c r="R134" s="78">
        <f t="shared" si="144"/>
        <v>158</v>
      </c>
      <c r="S134" s="352"/>
      <c r="T134" s="78">
        <f t="shared" si="145"/>
        <v>243</v>
      </c>
      <c r="U134" s="352"/>
      <c r="V134" s="78">
        <f t="shared" si="146"/>
        <v>803</v>
      </c>
      <c r="W134" s="352"/>
      <c r="Z134" s="355"/>
      <c r="AA134" s="108" t="str">
        <f>IF(AB134=0,"",VLOOKUP(AB134,Starter!$A$1:$D$199,2,FALSE))</f>
        <v>Mesch, John</v>
      </c>
      <c r="AB134" s="98">
        <v>7740</v>
      </c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>
        <v>201</v>
      </c>
      <c r="AN134" s="112"/>
      <c r="AO134" s="186">
        <v>201</v>
      </c>
      <c r="AP134" s="112"/>
      <c r="AQ134" s="186">
        <v>158</v>
      </c>
      <c r="AR134" s="112"/>
      <c r="AS134" s="186">
        <v>243</v>
      </c>
      <c r="AT134" s="112"/>
      <c r="AU134" s="113">
        <f t="shared" si="147"/>
        <v>803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7740</v>
      </c>
      <c r="BE134" s="213">
        <f t="shared" si="161"/>
        <v>803</v>
      </c>
      <c r="BF134" s="215">
        <f t="shared" si="162"/>
        <v>4</v>
      </c>
      <c r="BG134" s="215">
        <f t="shared" si="163"/>
        <v>4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>
        <f t="shared" si="153"/>
        <v>201</v>
      </c>
      <c r="BN134" s="215">
        <f t="shared" si="154"/>
        <v>201</v>
      </c>
      <c r="BO134" s="215">
        <f t="shared" si="155"/>
        <v>158</v>
      </c>
      <c r="BP134" s="215">
        <f t="shared" si="156"/>
        <v>243</v>
      </c>
      <c r="BQ134" s="216"/>
      <c r="BR134" s="214"/>
      <c r="BS134" s="215">
        <f t="shared" si="164"/>
        <v>243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803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233</v>
      </c>
      <c r="E136" s="351">
        <f>IF(AD136="","",AD136)</f>
        <v>1</v>
      </c>
      <c r="F136" s="75">
        <f t="shared" si="139"/>
        <v>215</v>
      </c>
      <c r="G136" s="351">
        <f>IF(AF136="","",AF136)</f>
        <v>1</v>
      </c>
      <c r="H136" s="75">
        <f t="shared" si="140"/>
        <v>203</v>
      </c>
      <c r="I136" s="351">
        <f>IF(AH136="","",AH136)</f>
        <v>0</v>
      </c>
      <c r="J136" s="75">
        <f t="shared" si="141"/>
        <v>172</v>
      </c>
      <c r="K136" s="351">
        <f>IF(AJ136="","",AJ136)</f>
        <v>0</v>
      </c>
      <c r="L136" s="75">
        <f t="shared" si="142"/>
        <v>246</v>
      </c>
      <c r="M136" s="351">
        <f>IF(AL136="","",AL136)</f>
        <v>1</v>
      </c>
      <c r="N136" s="75">
        <f t="shared" si="159"/>
        <v>212</v>
      </c>
      <c r="O136" s="351">
        <f>IF(AN136="","",AN136)</f>
        <v>1</v>
      </c>
      <c r="P136" s="75">
        <f t="shared" si="143"/>
        <v>241</v>
      </c>
      <c r="Q136" s="351">
        <f>IF(AP136="","",AP136)</f>
        <v>1</v>
      </c>
      <c r="R136" s="75">
        <f t="shared" si="144"/>
        <v>203</v>
      </c>
      <c r="S136" s="351">
        <f>IF(AR136="","",AR136)</f>
        <v>1</v>
      </c>
      <c r="T136" s="75">
        <f t="shared" si="145"/>
        <v>226</v>
      </c>
      <c r="U136" s="351">
        <f>IF(AT136="","",AT136)</f>
        <v>1</v>
      </c>
      <c r="V136" s="75">
        <f t="shared" si="146"/>
        <v>1951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233</v>
      </c>
      <c r="AD136" s="109">
        <f>IF(SUM(AC136:AC138)+AC148=0,0,IF(SUM(AC136:AC138)=AC148,0.5,IF(SUM(AC136:AC138)&gt;AC148,1,0)))</f>
        <v>1</v>
      </c>
      <c r="AE136" s="188">
        <v>215</v>
      </c>
      <c r="AF136" s="109">
        <f>IF(SUM(AE136:AE138)+AE148=0,0,IF(SUM(AE136:AE138)=AE148,0.5,IF(SUM(AE136:AE138)&gt;AE148,1,0)))</f>
        <v>1</v>
      </c>
      <c r="AG136" s="188">
        <v>203</v>
      </c>
      <c r="AH136" s="109">
        <f>IF(SUM(AG136:AG138)+AG148=0,0,IF(SUM(AG136:AG138)=AG148,0.5,IF(SUM(AG136:AG138)&gt;AG148,1,0)))</f>
        <v>0</v>
      </c>
      <c r="AI136" s="188">
        <v>172</v>
      </c>
      <c r="AJ136" s="109">
        <f>IF(SUM(AI136:AI138)+AI148=0,0,IF(SUM(AI136:AI138)=AI148,0.5,IF(SUM(AI136:AI138)&gt;AI148,1,0)))</f>
        <v>0</v>
      </c>
      <c r="AK136" s="188">
        <v>246</v>
      </c>
      <c r="AL136" s="109">
        <f>IF(SUM(AK136:AK138)+AK148=0,0,IF(SUM(AK136:AK138)=AK148,0.5,IF(SUM(AK136:AK138)&gt;AK148,1,0)))</f>
        <v>1</v>
      </c>
      <c r="AM136" s="188">
        <v>212</v>
      </c>
      <c r="AN136" s="109">
        <f>IF(SUM(AM136:AM138)+AM148=0,0,IF(SUM(AM136:AM138)=AM148,0.5,IF(SUM(AM136:AM138)&gt;AM148,1,0)))</f>
        <v>1</v>
      </c>
      <c r="AO136" s="188">
        <v>241</v>
      </c>
      <c r="AP136" s="109">
        <f>IF(SUM(AO136:AO138)+AO148=0,0,IF(SUM(AO136:AO138)=AO148,0.5,IF(SUM(AO136:AO138)&gt;AO148,1,0)))</f>
        <v>1</v>
      </c>
      <c r="AQ136" s="188">
        <v>203</v>
      </c>
      <c r="AR136" s="109">
        <f>IF(SUM(AQ136:AQ138)+AQ148=0,0,IF(SUM(AQ136:AQ138)=AQ148,0.5,IF(SUM(AQ136:AQ138)&gt;AQ148,1,0)))</f>
        <v>1</v>
      </c>
      <c r="AS136" s="188">
        <v>226</v>
      </c>
      <c r="AT136" s="109">
        <f>IF(SUM(AS136:AS138)+AS148=0,0,IF(SUM(AS136:AS138)=AS148,0.5,IF(SUM(AS136:AS138)&gt;AS148,1,0)))</f>
        <v>1</v>
      </c>
      <c r="AU136" s="110">
        <f t="shared" si="147"/>
        <v>1951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1951</v>
      </c>
      <c r="BF136" s="215">
        <f t="shared" si="162"/>
        <v>9</v>
      </c>
      <c r="BG136" s="215">
        <f t="shared" si="163"/>
        <v>9</v>
      </c>
      <c r="BH136" s="215">
        <f t="shared" si="148"/>
        <v>233</v>
      </c>
      <c r="BI136" s="215">
        <f t="shared" si="149"/>
        <v>215</v>
      </c>
      <c r="BJ136" s="215">
        <f t="shared" si="150"/>
        <v>203</v>
      </c>
      <c r="BK136" s="215">
        <f t="shared" si="151"/>
        <v>172</v>
      </c>
      <c r="BL136" s="215">
        <f t="shared" si="152"/>
        <v>246</v>
      </c>
      <c r="BM136" s="215">
        <f t="shared" si="153"/>
        <v>212</v>
      </c>
      <c r="BN136" s="215">
        <f t="shared" si="154"/>
        <v>241</v>
      </c>
      <c r="BO136" s="215">
        <f t="shared" si="155"/>
        <v>203</v>
      </c>
      <c r="BP136" s="215">
        <f t="shared" si="156"/>
        <v>226</v>
      </c>
      <c r="BQ136" s="216"/>
      <c r="BR136" s="214"/>
      <c r="BS136" s="215">
        <f t="shared" si="164"/>
        <v>246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1951</v>
      </c>
      <c r="BX136" s="215">
        <f>IF(COUNTIF(BH136:BP136,"&gt;0")&lt;Spielorte!$A$23,0,BE136/Spielorte!$A$23)</f>
        <v>216.77777777777777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827</v>
      </c>
      <c r="E139" s="84">
        <f>IF(AD139="","",AD139)</f>
        <v>2</v>
      </c>
      <c r="F139" s="83">
        <f t="shared" si="139"/>
        <v>847</v>
      </c>
      <c r="G139" s="84">
        <f>IF(AF139="","",AF139)</f>
        <v>2</v>
      </c>
      <c r="H139" s="83">
        <f t="shared" si="140"/>
        <v>777</v>
      </c>
      <c r="I139" s="84">
        <f>IF(AH139="","",AH139)</f>
        <v>0</v>
      </c>
      <c r="J139" s="83">
        <f t="shared" si="141"/>
        <v>700</v>
      </c>
      <c r="K139" s="84">
        <f>IF(AJ139="","",AJ139)</f>
        <v>0</v>
      </c>
      <c r="L139" s="83">
        <f t="shared" si="142"/>
        <v>778</v>
      </c>
      <c r="M139" s="84">
        <f>IF(AL139="","",AL139)</f>
        <v>0</v>
      </c>
      <c r="N139" s="83">
        <f t="shared" si="159"/>
        <v>775</v>
      </c>
      <c r="O139" s="84">
        <f>IF(AN139="","",AN139)</f>
        <v>2</v>
      </c>
      <c r="P139" s="83">
        <f t="shared" si="143"/>
        <v>831</v>
      </c>
      <c r="Q139" s="84">
        <f>IF(AP139="","",AP139)</f>
        <v>2</v>
      </c>
      <c r="R139" s="83">
        <f t="shared" si="144"/>
        <v>741</v>
      </c>
      <c r="S139" s="84">
        <f>IF(AR139="","",AR139)</f>
        <v>2</v>
      </c>
      <c r="T139" s="83">
        <f t="shared" si="145"/>
        <v>883</v>
      </c>
      <c r="U139" s="84">
        <f>IF(AT139="","",AT139)</f>
        <v>2</v>
      </c>
      <c r="V139" s="83">
        <f t="shared" si="146"/>
        <v>7159</v>
      </c>
      <c r="W139" s="84">
        <f>IF(AV139="","",AV139)</f>
        <v>12</v>
      </c>
      <c r="AA139" s="81" t="s">
        <v>1799</v>
      </c>
      <c r="AB139" s="120"/>
      <c r="AC139" s="211">
        <f>ABS(SUM(AC127:AC129))+ABS(SUM(AC130:AC132))+ABS(SUM(AC133:AC135))+ABS(SUM(AC136:AC138))</f>
        <v>827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847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778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775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831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741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883</v>
      </c>
      <c r="AT139" s="121">
        <f>IF(AS139+AS149=0,0,IF(AS139=AS149,1,IF(AS139&gt;AS149,2,0)))</f>
        <v>2</v>
      </c>
      <c r="AU139" s="122">
        <f>SUM(AC139+AE139+AG139+AI139+AK139+AM139+AO139+AQ139+AS139)</f>
        <v>7159</v>
      </c>
      <c r="AV139" s="123">
        <f>SUM(AD139+AF139+AH139+AJ139+AL139+AN139+AP139+AR139+AT139)</f>
        <v>12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5</v>
      </c>
      <c r="F140" s="86" t="str">
        <f t="shared" si="139"/>
        <v/>
      </c>
      <c r="G140" s="87">
        <f>IF(AF140="","",AF140)</f>
        <v>5</v>
      </c>
      <c r="H140" s="86" t="str">
        <f t="shared" si="140"/>
        <v/>
      </c>
      <c r="I140" s="87">
        <f>IF(AH140="","",AH140)</f>
        <v>1</v>
      </c>
      <c r="J140" s="86" t="str">
        <f t="shared" si="141"/>
        <v/>
      </c>
      <c r="K140" s="87">
        <f>IF(AJ140="","",AJ140)</f>
        <v>1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4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6</v>
      </c>
      <c r="V140" s="86" t="str">
        <f t="shared" si="146"/>
        <v/>
      </c>
      <c r="W140" s="87">
        <f>IF(AV140="","",AV140)</f>
        <v>32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5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4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6</v>
      </c>
      <c r="AU140" s="86"/>
      <c r="AV140" s="125">
        <f>SUM(AV127:AV139)</f>
        <v>32</v>
      </c>
      <c r="AW140" s="101"/>
      <c r="AX140" s="102"/>
      <c r="BA140" s="212">
        <f>+AV140</f>
        <v>32</v>
      </c>
      <c r="BB140" s="213">
        <f>+AU139</f>
        <v>7159</v>
      </c>
      <c r="BC140" s="214">
        <f>+AA122</f>
        <v>5</v>
      </c>
      <c r="BF140" s="215">
        <f>SUM(BF121:BF139)</f>
        <v>36</v>
      </c>
      <c r="BQ140" s="212">
        <f>+BB140/1000000+BA140</f>
        <v>32.007159000000001</v>
      </c>
      <c r="BR140" s="214">
        <f>RANK(BQ140,BQ:BQ)</f>
        <v>3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2</v>
      </c>
      <c r="E142" s="349" t="str">
        <f t="shared" si="170"/>
        <v/>
      </c>
      <c r="F142" s="349">
        <f t="shared" si="170"/>
        <v>7</v>
      </c>
      <c r="G142" s="349" t="str">
        <f t="shared" si="170"/>
        <v/>
      </c>
      <c r="H142" s="349">
        <f t="shared" si="170"/>
        <v>1</v>
      </c>
      <c r="I142" s="349" t="str">
        <f t="shared" si="170"/>
        <v/>
      </c>
      <c r="J142" s="349">
        <f t="shared" si="170"/>
        <v>8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3</v>
      </c>
      <c r="O142" s="349" t="str">
        <f t="shared" si="170"/>
        <v/>
      </c>
      <c r="P142" s="349">
        <f t="shared" si="170"/>
        <v>4</v>
      </c>
      <c r="Q142" s="349" t="str">
        <f t="shared" si="170"/>
        <v/>
      </c>
      <c r="R142" s="349">
        <f t="shared" ref="L142:U144" si="171">IF(AQ142=0,"",AQ142)</f>
        <v>10</v>
      </c>
      <c r="S142" s="349" t="str">
        <f t="shared" si="171"/>
        <v/>
      </c>
      <c r="T142" s="349">
        <f t="shared" si="171"/>
        <v>6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VLOOKUP($AA122,Schlüssel!$A$5:$DG$14,103)</f>
        <v>2</v>
      </c>
      <c r="AD142" s="374"/>
      <c r="AE142" s="373">
        <f>VLOOKUP($AA122,Schlüssel!$A$5:$EK$14,104)</f>
        <v>7</v>
      </c>
      <c r="AF142" s="374"/>
      <c r="AG142" s="373">
        <f>VLOOKUP($AA122,Schlüssel!$A$5:$EK$14,105)</f>
        <v>1</v>
      </c>
      <c r="AH142" s="374"/>
      <c r="AI142" s="373">
        <f>VLOOKUP($AA122,Schlüssel!$A$5:$EK$14,106)</f>
        <v>8</v>
      </c>
      <c r="AJ142" s="374"/>
      <c r="AK142" s="373">
        <f>VLOOKUP($AA122,Schlüssel!$A$5:$EK$14,107)</f>
        <v>9</v>
      </c>
      <c r="AL142" s="374"/>
      <c r="AM142" s="373">
        <f>VLOOKUP($AA122,Schlüssel!$A$5:$EK$14,108)</f>
        <v>3</v>
      </c>
      <c r="AN142" s="374"/>
      <c r="AO142" s="373">
        <f>VLOOKUP($AA122,Schlüssel!$A$5:$EK$14,109)</f>
        <v>4</v>
      </c>
      <c r="AP142" s="374"/>
      <c r="AQ142" s="373">
        <f>VLOOKUP($AA122,Schlüssel!$A$5:$EK$14,110)</f>
        <v>10</v>
      </c>
      <c r="AR142" s="374"/>
      <c r="AS142" s="373">
        <f>VLOOKUP($AA122,Schlüssel!$A$5:$EK$14,111)</f>
        <v>6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Bajuwaren München 1</v>
      </c>
      <c r="E143" s="347" t="str">
        <f t="shared" si="172"/>
        <v/>
      </c>
      <c r="F143" s="346" t="str">
        <f t="shared" si="172"/>
        <v>Schanzer Ingolstadt 1</v>
      </c>
      <c r="G143" s="347" t="str">
        <f t="shared" si="172"/>
        <v/>
      </c>
      <c r="H143" s="346" t="str">
        <f t="shared" si="172"/>
        <v>BC Comet Nürnberg</v>
      </c>
      <c r="I143" s="347" t="str">
        <f t="shared" si="172"/>
        <v/>
      </c>
      <c r="J143" s="346" t="str">
        <f t="shared" si="172"/>
        <v>BC EMAX Unterföhring 2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BK München 3</v>
      </c>
      <c r="O143" s="347" t="str">
        <f t="shared" si="171"/>
        <v/>
      </c>
      <c r="P143" s="346" t="str">
        <f t="shared" si="171"/>
        <v>SG DJK Rimpar</v>
      </c>
      <c r="Q143" s="347" t="str">
        <f t="shared" si="171"/>
        <v/>
      </c>
      <c r="R143" s="346" t="str">
        <f t="shared" si="171"/>
        <v>High Roller Rosenheim 1</v>
      </c>
      <c r="S143" s="347" t="str">
        <f t="shared" si="171"/>
        <v/>
      </c>
      <c r="T143" s="346" t="str">
        <f t="shared" si="171"/>
        <v>SG Rottendorf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Bajuwaren München 1</v>
      </c>
      <c r="AD143" s="347"/>
      <c r="AE143" s="346" t="str">
        <f>VLOOKUP(AE142,Schlüssel!$A$5:$K$14,2)</f>
        <v>Schanzer Ingolstadt 1</v>
      </c>
      <c r="AF143" s="347"/>
      <c r="AG143" s="346" t="str">
        <f>VLOOKUP(AG142,Schlüssel!$A$5:$K$14,2)</f>
        <v>BC Comet Nürnberg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BK München 3</v>
      </c>
      <c r="AN143" s="347"/>
      <c r="AO143" s="346" t="str">
        <f>VLOOKUP(AO142,Schlüssel!$A$5:$K$14,2)</f>
        <v>SG DJK Rimpar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Rottendorf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216</v>
      </c>
      <c r="E145" s="342" t="str">
        <f>IF(AD145=0,"",AD145)</f>
        <v/>
      </c>
      <c r="F145" s="342">
        <f>IF(AE145=301,"",AE145)</f>
        <v>242</v>
      </c>
      <c r="G145" s="342" t="str">
        <f>IF(AF145=0,"",AF145)</f>
        <v/>
      </c>
      <c r="H145" s="342">
        <f>IF(AG145=301,"",AG145)</f>
        <v>147</v>
      </c>
      <c r="I145" s="342" t="str">
        <f>IF(AH145=0,"",AH145)</f>
        <v/>
      </c>
      <c r="J145" s="342">
        <f>IF(AI145=301,"",AI145)</f>
        <v>179</v>
      </c>
      <c r="K145" s="342" t="str">
        <f>IF(AJ145=0,"",AJ145)</f>
        <v/>
      </c>
      <c r="L145" s="342">
        <f>IF(AK145=301,"",AK145)</f>
        <v>195</v>
      </c>
      <c r="M145" s="342" t="str">
        <f>IF(AL145=0,"",AL145)</f>
        <v/>
      </c>
      <c r="N145" s="342">
        <f>IF(AM145=301,"",AM145)</f>
        <v>195</v>
      </c>
      <c r="O145" s="342" t="str">
        <f>IF(AN145=0,"",AN145)</f>
        <v/>
      </c>
      <c r="P145" s="342">
        <f>IF(AO145=301,"",AO145)</f>
        <v>201</v>
      </c>
      <c r="Q145" s="342" t="str">
        <f>IF(AP145=0,"",AP145)</f>
        <v/>
      </c>
      <c r="R145" s="342">
        <f>IF(AQ145=301,"",AQ145)</f>
        <v>178</v>
      </c>
      <c r="S145" s="342" t="str">
        <f>IF(AR145=0,"",AR145)</f>
        <v/>
      </c>
      <c r="T145" s="342">
        <f>IF(AS145=301,"",AS145)</f>
        <v>169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216</v>
      </c>
      <c r="AD145" s="376"/>
      <c r="AE145" s="375">
        <f>ABS(INDEX(AE:AE,MATCH(AE142,$AA:$AA,0)+5)+INDEX(AE:AE,MATCH(AE142,$AA:$AA,0)+6)+INDEX(AE:AE,MATCH(AE142,$AA:$AA,0)+7))</f>
        <v>242</v>
      </c>
      <c r="AF145" s="376"/>
      <c r="AG145" s="375">
        <f>ABS(INDEX(AG:AG,MATCH(AG142,$AA:$AA,0)+5)+INDEX(AG:AG,MATCH(AG142,$AA:$AA,0)+6)+INDEX(AG:AG,MATCH(AG142,$AA:$AA,0)+7))</f>
        <v>147</v>
      </c>
      <c r="AH145" s="376"/>
      <c r="AI145" s="375">
        <f>ABS(INDEX(AI:AI,MATCH(AI142,$AA:$AA,0)+5)+INDEX(AI:AI,MATCH(AI142,$AA:$AA,0)+6)+INDEX(AI:AI,MATCH(AI142,$AA:$AA,0)+7))</f>
        <v>179</v>
      </c>
      <c r="AJ145" s="376"/>
      <c r="AK145" s="375">
        <f>ABS(INDEX(AK:AK,MATCH(AK142,$AA:$AA,0)+5)+INDEX(AK:AK,MATCH(AK142,$AA:$AA,0)+6)+INDEX(AK:AK,MATCH(AK142,$AA:$AA,0)+7))</f>
        <v>195</v>
      </c>
      <c r="AL145" s="376"/>
      <c r="AM145" s="375">
        <f>ABS(INDEX(AM:AM,MATCH(AM142,$AA:$AA,0)+5)+INDEX(AM:AM,MATCH(AM142,$AA:$AA,0)+6)+INDEX(AM:AM,MATCH(AM142,$AA:$AA,0)+7))</f>
        <v>195</v>
      </c>
      <c r="AN145" s="376"/>
      <c r="AO145" s="375">
        <f>ABS(INDEX(AO:AO,MATCH(AO142,$AA:$AA,0)+5)+INDEX(AO:AO,MATCH(AO142,$AA:$AA,0)+6)+INDEX(AO:AO,MATCH(AO142,$AA:$AA,0)+7))</f>
        <v>201</v>
      </c>
      <c r="AP145" s="376"/>
      <c r="AQ145" s="375">
        <f>ABS(INDEX(AQ:AQ,MATCH(AQ142,$AA:$AA,0)+5)+INDEX(AQ:AQ,MATCH(AQ142,$AA:$AA,0)+6)+INDEX(AQ:AQ,MATCH(AQ142,$AA:$AA,0)+7))</f>
        <v>178</v>
      </c>
      <c r="AR145" s="376"/>
      <c r="AS145" s="375">
        <f>ABS(INDEX(AS:AS,MATCH(AS142,$AA:$AA,0)+5)+INDEX(AS:AS,MATCH(AS142,$AA:$AA,0)+6)+INDEX(AS:AS,MATCH(AS142,$AA:$AA,0)+7))</f>
        <v>169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174</v>
      </c>
      <c r="E146" s="342" t="str">
        <f>IF(AD146=0,"",AD146)</f>
        <v/>
      </c>
      <c r="F146" s="342">
        <f>IF(AE146=301,"",AE146)</f>
        <v>180</v>
      </c>
      <c r="G146" s="342" t="str">
        <f>IF(AF146=0,"",AF146)</f>
        <v/>
      </c>
      <c r="H146" s="342">
        <f>IF(AG146=301,"",AG146)</f>
        <v>267</v>
      </c>
      <c r="I146" s="342" t="str">
        <f>IF(AH146=0,"",AH146)</f>
        <v/>
      </c>
      <c r="J146" s="342">
        <f>IF(AI146=301,"",AI146)</f>
        <v>190</v>
      </c>
      <c r="K146" s="342" t="str">
        <f>IF(AJ146=0,"",AJ146)</f>
        <v/>
      </c>
      <c r="L146" s="342">
        <f>IF(AK146=301,"",AK146)</f>
        <v>192</v>
      </c>
      <c r="M146" s="342" t="str">
        <f>IF(AL146=0,"",AL146)</f>
        <v/>
      </c>
      <c r="N146" s="342">
        <f>IF(AM146=301,"",AM146)</f>
        <v>200</v>
      </c>
      <c r="O146" s="342" t="str">
        <f>IF(AN146=0,"",AN146)</f>
        <v/>
      </c>
      <c r="P146" s="342">
        <f>IF(AO146=301,"",AO146)</f>
        <v>156</v>
      </c>
      <c r="Q146" s="342" t="str">
        <f>IF(AP146=0,"",AP146)</f>
        <v/>
      </c>
      <c r="R146" s="342">
        <f>IF(AQ146=301,"",AQ146)</f>
        <v>178</v>
      </c>
      <c r="S146" s="342" t="str">
        <f>IF(AR146=0,"",AR146)</f>
        <v/>
      </c>
      <c r="T146" s="342">
        <f>IF(AS146=301,"",AS146)</f>
        <v>214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174</v>
      </c>
      <c r="AD146" s="378"/>
      <c r="AE146" s="377">
        <f>ABS(INDEX(AE:AE,MATCH(AE142,$AA:$AA,0)+8)+INDEX(AE:AE,MATCH(AE142,$AA:$AA,0)+9)+INDEX(AE:AE,MATCH(AE142,$AA:$AA,0)+10))</f>
        <v>180</v>
      </c>
      <c r="AF146" s="378"/>
      <c r="AG146" s="377">
        <f>ABS(INDEX(AG:AG,MATCH(AG142,$AA:$AA,0)+8)+INDEX(AG:AG,MATCH(AG142,$AA:$AA,0)+9)+INDEX(AG:AG,MATCH(AG142,$AA:$AA,0)+10))</f>
        <v>267</v>
      </c>
      <c r="AH146" s="378"/>
      <c r="AI146" s="377">
        <f>ABS(INDEX(AI:AI,MATCH(AI142,$AA:$AA,0)+8)+INDEX(AI:AI,MATCH(AI142,$AA:$AA,0)+9)+INDEX(AI:AI,MATCH(AI142,$AA:$AA,0)+10))</f>
        <v>190</v>
      </c>
      <c r="AJ146" s="378"/>
      <c r="AK146" s="377">
        <f>ABS(INDEX(AK:AK,MATCH(AK142,$AA:$AA,0)+8)+INDEX(AK:AK,MATCH(AK142,$AA:$AA,0)+9)+INDEX(AK:AK,MATCH(AK142,$AA:$AA,0)+10))</f>
        <v>192</v>
      </c>
      <c r="AL146" s="378"/>
      <c r="AM146" s="377">
        <f>ABS(INDEX(AM:AM,MATCH(AM142,$AA:$AA,0)+8)+INDEX(AM:AM,MATCH(AM142,$AA:$AA,0)+9)+INDEX(AM:AM,MATCH(AM142,$AA:$AA,0)+10))</f>
        <v>200</v>
      </c>
      <c r="AN146" s="378"/>
      <c r="AO146" s="377">
        <f>ABS(INDEX(AO:AO,MATCH(AO142,$AA:$AA,0)+8)+INDEX(AO:AO,MATCH(AO142,$AA:$AA,0)+9)+INDEX(AO:AO,MATCH(AO142,$AA:$AA,0)+10))</f>
        <v>156</v>
      </c>
      <c r="AP146" s="378"/>
      <c r="AQ146" s="377">
        <f>ABS(INDEX(AQ:AQ,MATCH(AQ142,$AA:$AA,0)+8)+INDEX(AQ:AQ,MATCH(AQ142,$AA:$AA,0)+9)+INDEX(AQ:AQ,MATCH(AQ142,$AA:$AA,0)+10))</f>
        <v>178</v>
      </c>
      <c r="AR146" s="378"/>
      <c r="AS146" s="377">
        <f>ABS(INDEX(AS:AS,MATCH(AS142,$AA:$AA,0)+8)+INDEX(AS:AS,MATCH(AS142,$AA:$AA,0)+9)+INDEX(AS:AS,MATCH(AS142,$AA:$AA,0)+10))</f>
        <v>214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171</v>
      </c>
      <c r="E147" s="342" t="str">
        <f>IF(AD147=0,"",AD147)</f>
        <v/>
      </c>
      <c r="F147" s="342">
        <f>IF(AE147=301,"",AE147)</f>
        <v>191</v>
      </c>
      <c r="G147" s="342" t="str">
        <f>IF(AF147=0,"",AF147)</f>
        <v/>
      </c>
      <c r="H147" s="342">
        <f>IF(AG147=301,"",AG147)</f>
        <v>182</v>
      </c>
      <c r="I147" s="342" t="str">
        <f>IF(AH147=0,"",AH147)</f>
        <v/>
      </c>
      <c r="J147" s="342">
        <f>IF(AI147=301,"",AI147)</f>
        <v>213</v>
      </c>
      <c r="K147" s="342" t="str">
        <f>IF(AJ147=0,"",AJ147)</f>
        <v/>
      </c>
      <c r="L147" s="342">
        <f>IF(AK147=301,"",AK147)</f>
        <v>225</v>
      </c>
      <c r="M147" s="342" t="str">
        <f>IF(AL147=0,"",AL147)</f>
        <v/>
      </c>
      <c r="N147" s="342">
        <f>IF(AM147=301,"",AM147)</f>
        <v>160</v>
      </c>
      <c r="O147" s="342" t="str">
        <f>IF(AN147=0,"",AN147)</f>
        <v/>
      </c>
      <c r="P147" s="342">
        <f>IF(AO147=301,"",AO147)</f>
        <v>159</v>
      </c>
      <c r="Q147" s="342" t="str">
        <f>IF(AP147=0,"",AP147)</f>
        <v/>
      </c>
      <c r="R147" s="342">
        <f>IF(AQ147=301,"",AQ147)</f>
        <v>162</v>
      </c>
      <c r="S147" s="342" t="str">
        <f>IF(AR147=0,"",AR147)</f>
        <v/>
      </c>
      <c r="T147" s="342">
        <f>IF(AS147=301,"",AS147)</f>
        <v>172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171</v>
      </c>
      <c r="AD147" s="378"/>
      <c r="AE147" s="377">
        <f>ABS(INDEX(AE:AE,MATCH(AE142,$AA:$AA,0)+11)+INDEX(AE:AE,MATCH(AE142,$AA:$AA,0)+12)+INDEX(AE:AE,MATCH(AE142,$AA:$AA,0)+13))</f>
        <v>191</v>
      </c>
      <c r="AF147" s="378"/>
      <c r="AG147" s="377">
        <f>ABS(INDEX(AG:AG,MATCH(AG142,$AA:$AA,0)+11)+INDEX(AG:AG,MATCH(AG142,$AA:$AA,0)+12)+INDEX(AG:AG,MATCH(AG142,$AA:$AA,0)+13))</f>
        <v>182</v>
      </c>
      <c r="AH147" s="378"/>
      <c r="AI147" s="377">
        <f>ABS(INDEX(AI:AI,MATCH(AI142,$AA:$AA,0)+11)+INDEX(AI:AI,MATCH(AI142,$AA:$AA,0)+12)+INDEX(AI:AI,MATCH(AI142,$AA:$AA,0)+13))</f>
        <v>213</v>
      </c>
      <c r="AJ147" s="378"/>
      <c r="AK147" s="377">
        <f>ABS(INDEX(AK:AK,MATCH(AK142,$AA:$AA,0)+11)+INDEX(AK:AK,MATCH(AK142,$AA:$AA,0)+12)+INDEX(AK:AK,MATCH(AK142,$AA:$AA,0)+13))</f>
        <v>225</v>
      </c>
      <c r="AL147" s="378"/>
      <c r="AM147" s="377">
        <f>ABS(INDEX(AM:AM,MATCH(AM142,$AA:$AA,0)+11)+INDEX(AM:AM,MATCH(AM142,$AA:$AA,0)+12)+INDEX(AM:AM,MATCH(AM142,$AA:$AA,0)+13))</f>
        <v>160</v>
      </c>
      <c r="AN147" s="378"/>
      <c r="AO147" s="377">
        <f>ABS(INDEX(AO:AO,MATCH(AO142,$AA:$AA,0)+11)+INDEX(AO:AO,MATCH(AO142,$AA:$AA,0)+12)+INDEX(AO:AO,MATCH(AO142,$AA:$AA,0)+13))</f>
        <v>159</v>
      </c>
      <c r="AP147" s="378"/>
      <c r="AQ147" s="377">
        <f>ABS(INDEX(AQ:AQ,MATCH(AQ142,$AA:$AA,0)+11)+INDEX(AQ:AQ,MATCH(AQ142,$AA:$AA,0)+12)+INDEX(AQ:AQ,MATCH(AQ142,$AA:$AA,0)+13))</f>
        <v>162</v>
      </c>
      <c r="AR147" s="378"/>
      <c r="AS147" s="377">
        <f>ABS(INDEX(AS:AS,MATCH(AS142,$AA:$AA,0)+11)+INDEX(AS:AS,MATCH(AS142,$AA:$AA,0)+12)+INDEX(AS:AS,MATCH(AS142,$AA:$AA,0)+13))</f>
        <v>172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162</v>
      </c>
      <c r="E148" s="342" t="str">
        <f>IF(AD148=0,"",AD148)</f>
        <v/>
      </c>
      <c r="F148" s="342">
        <f>IF(AE148=301,"",AE148)</f>
        <v>212</v>
      </c>
      <c r="G148" s="342" t="str">
        <f>IF(AF148=0,"",AF148)</f>
        <v/>
      </c>
      <c r="H148" s="342">
        <f>IF(AG148=301,"",AG148)</f>
        <v>217</v>
      </c>
      <c r="I148" s="342" t="str">
        <f>IF(AH148=0,"",AH148)</f>
        <v/>
      </c>
      <c r="J148" s="342">
        <f>IF(AI148=301,"",AI148)</f>
        <v>174</v>
      </c>
      <c r="K148" s="342" t="str">
        <f>IF(AJ148=0,"",AJ148)</f>
        <v/>
      </c>
      <c r="L148" s="342">
        <f>IF(AK148=301,"",AK148)</f>
        <v>214</v>
      </c>
      <c r="M148" s="342" t="str">
        <f>IF(AL148=0,"",AL148)</f>
        <v/>
      </c>
      <c r="N148" s="342">
        <f>IF(AM148=301,"",AM148)</f>
        <v>171</v>
      </c>
      <c r="O148" s="342" t="str">
        <f>IF(AN148=0,"",AN148)</f>
        <v/>
      </c>
      <c r="P148" s="342">
        <f>IF(AO148=301,"",AO148)</f>
        <v>205</v>
      </c>
      <c r="Q148" s="342" t="str">
        <f>IF(AP148=0,"",AP148)</f>
        <v/>
      </c>
      <c r="R148" s="342">
        <f>IF(AQ148=301,"",AQ148)</f>
        <v>191</v>
      </c>
      <c r="S148" s="342" t="str">
        <f>IF(AR148=0,"",AR148)</f>
        <v/>
      </c>
      <c r="T148" s="342">
        <f>IF(AS148=301,"",AS148)</f>
        <v>158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162</v>
      </c>
      <c r="AD148" s="378"/>
      <c r="AE148" s="377">
        <f>ABS(INDEX(AE:AE,MATCH(AE142,$AA:$AA,0)+14)+INDEX(AE:AE,MATCH(AE142,$AA:$AA,0)+15)+INDEX(AE:AE,MATCH(AE142,$AA:$AA,0)+16))</f>
        <v>212</v>
      </c>
      <c r="AF148" s="378"/>
      <c r="AG148" s="377">
        <f>ABS(INDEX(AG:AG,MATCH(AG142,$AA:$AA,0)+14)+INDEX(AG:AG,MATCH(AG142,$AA:$AA,0)+15)+INDEX(AG:AG,MATCH(AG142,$AA:$AA,0)+16))</f>
        <v>217</v>
      </c>
      <c r="AH148" s="378"/>
      <c r="AI148" s="377">
        <f>ABS(INDEX(AI:AI,MATCH(AI142,$AA:$AA,0)+14)+INDEX(AI:AI,MATCH(AI142,$AA:$AA,0)+15)+INDEX(AI:AI,MATCH(AI142,$AA:$AA,0)+16))</f>
        <v>174</v>
      </c>
      <c r="AJ148" s="378"/>
      <c r="AK148" s="377">
        <f>ABS(INDEX(AK:AK,MATCH(AK142,$AA:$AA,0)+14)+INDEX(AK:AK,MATCH(AK142,$AA:$AA,0)+15)+INDEX(AK:AK,MATCH(AK142,$AA:$AA,0)+16))</f>
        <v>214</v>
      </c>
      <c r="AL148" s="378"/>
      <c r="AM148" s="377">
        <f>ABS(INDEX(AM:AM,MATCH(AM142,$AA:$AA,0)+14)+INDEX(AM:AM,MATCH(AM142,$AA:$AA,0)+15)+INDEX(AM:AM,MATCH(AM142,$AA:$AA,0)+16))</f>
        <v>171</v>
      </c>
      <c r="AN148" s="378"/>
      <c r="AO148" s="377">
        <f>ABS(INDEX(AO:AO,MATCH(AO142,$AA:$AA,0)+14)+INDEX(AO:AO,MATCH(AO142,$AA:$AA,0)+15)+INDEX(AO:AO,MATCH(AO142,$AA:$AA,0)+16))</f>
        <v>205</v>
      </c>
      <c r="AP148" s="378"/>
      <c r="AQ148" s="377">
        <f>ABS(INDEX(AQ:AQ,MATCH(AQ142,$AA:$AA,0)+14)+INDEX(AQ:AQ,MATCH(AQ142,$AA:$AA,0)+15)+INDEX(AQ:AQ,MATCH(AQ142,$AA:$AA,0)+16))</f>
        <v>191</v>
      </c>
      <c r="AR148" s="378"/>
      <c r="AS148" s="377">
        <f>ABS(INDEX(AS:AS,MATCH(AS142,$AA:$AA,0)+14)+INDEX(AS:AS,MATCH(AS142,$AA:$AA,0)+15)+INDEX(AS:AS,MATCH(AS142,$AA:$AA,0)+16))</f>
        <v>158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723</v>
      </c>
      <c r="E149" s="341" t="str">
        <f>IF(AD149=0,"",AD149)</f>
        <v/>
      </c>
      <c r="F149" s="341">
        <f>IF(AE149=1505,"",AE149)</f>
        <v>825</v>
      </c>
      <c r="G149" s="341" t="str">
        <f>IF(AF149=0,"",AF149)</f>
        <v/>
      </c>
      <c r="H149" s="341">
        <f>IF(AG149=1505,"",AG149)</f>
        <v>813</v>
      </c>
      <c r="I149" s="341" t="str">
        <f>IF(AH149=0,"",AH149)</f>
        <v/>
      </c>
      <c r="J149" s="341">
        <f>IF(AI149=1505,"",AI149)</f>
        <v>756</v>
      </c>
      <c r="K149" s="341" t="str">
        <f>IF(AJ149=0,"",AJ149)</f>
        <v/>
      </c>
      <c r="L149" s="341">
        <f>IF(AK149=1505,"",AK149)</f>
        <v>826</v>
      </c>
      <c r="M149" s="341" t="str">
        <f>IF(AL149=0,"",AL149)</f>
        <v/>
      </c>
      <c r="N149" s="341">
        <f>IF(AM149=1505,"",AM149)</f>
        <v>726</v>
      </c>
      <c r="O149" s="341" t="str">
        <f>IF(AN149=0,"",AN149)</f>
        <v/>
      </c>
      <c r="P149" s="341">
        <f>IF(AO149=1505,"",AO149)</f>
        <v>721</v>
      </c>
      <c r="Q149" s="341" t="str">
        <f>IF(AP149=0,"",AP149)</f>
        <v/>
      </c>
      <c r="R149" s="341">
        <f>IF(AQ149=1505,"",AQ149)</f>
        <v>709</v>
      </c>
      <c r="S149" s="341" t="str">
        <f>IF(AR149=0,"",AR149)</f>
        <v/>
      </c>
      <c r="T149" s="341">
        <f>IF(AS149=1505,"",AS149)</f>
        <v>713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723</v>
      </c>
      <c r="AD149" s="358"/>
      <c r="AE149" s="357">
        <f>SUM(AE145:AE148)</f>
        <v>825</v>
      </c>
      <c r="AF149" s="358"/>
      <c r="AG149" s="357">
        <f>SUM(AG145:AG148)</f>
        <v>813</v>
      </c>
      <c r="AH149" s="358"/>
      <c r="AI149" s="357">
        <f>SUM(AI145:AI148)</f>
        <v>756</v>
      </c>
      <c r="AJ149" s="358"/>
      <c r="AK149" s="357">
        <f>SUM(AK145:AK148)</f>
        <v>826</v>
      </c>
      <c r="AL149" s="358"/>
      <c r="AM149" s="357">
        <f>SUM(AM145:AM148)</f>
        <v>726</v>
      </c>
      <c r="AN149" s="358"/>
      <c r="AO149" s="357">
        <f>SUM(AO145:AO148)</f>
        <v>721</v>
      </c>
      <c r="AP149" s="358"/>
      <c r="AQ149" s="357">
        <f>SUM(AQ145:AQ148)</f>
        <v>709</v>
      </c>
      <c r="AR149" s="358"/>
      <c r="AS149" s="357">
        <f>SUM(AS145:AS148)</f>
        <v>713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05.04./06.04.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05.04./06.04.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Dettelbach Extreme Bowlingarena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Stemmler, Patrick</v>
      </c>
      <c r="C157" s="74">
        <f>IF(AB157=0,"",AB157)</f>
        <v>16495</v>
      </c>
      <c r="D157" s="75">
        <f>IF(AC157=0,"",AC157)</f>
        <v>249</v>
      </c>
      <c r="E157" s="351">
        <f>IF(AD157="","",AD157)</f>
        <v>1</v>
      </c>
      <c r="F157" s="75">
        <f t="shared" ref="F157:F170" si="174">IF(AE157=0,"",AE157)</f>
        <v>191</v>
      </c>
      <c r="G157" s="351">
        <f>IF(AF157="","",AF157)</f>
        <v>0</v>
      </c>
      <c r="H157" s="75">
        <f t="shared" ref="H157:H170" si="175">IF(AG157=0,"",AG157)</f>
        <v>215</v>
      </c>
      <c r="I157" s="351">
        <f>IF(AH157="","",AH157)</f>
        <v>0</v>
      </c>
      <c r="J157" s="75">
        <f t="shared" ref="J157:J170" si="176">IF(AI157=0,"",AI157)</f>
        <v>234</v>
      </c>
      <c r="K157" s="351">
        <f>IF(AJ157="","",AJ157)</f>
        <v>1</v>
      </c>
      <c r="L157" s="75">
        <f t="shared" ref="L157:L170" si="177">IF(AK157=0,"",AK157)</f>
        <v>211</v>
      </c>
      <c r="M157" s="351">
        <f>IF(AL157="","",AL157)</f>
        <v>0</v>
      </c>
      <c r="N157" s="75">
        <f>IF(AM157=0,"",AM157)</f>
        <v>203</v>
      </c>
      <c r="O157" s="351">
        <f>IF(AN157="","",AN157)</f>
        <v>0</v>
      </c>
      <c r="P157" s="75">
        <f t="shared" ref="P157:P170" si="178">IF(AO157=0,"",AO157)</f>
        <v>182</v>
      </c>
      <c r="Q157" s="351">
        <f>IF(AP157="","",AP157)</f>
        <v>1</v>
      </c>
      <c r="R157" s="75">
        <f t="shared" ref="R157:R170" si="179">IF(AQ157=0,"",AQ157)</f>
        <v>164</v>
      </c>
      <c r="S157" s="351">
        <f>IF(AR157="","",AR157)</f>
        <v>0</v>
      </c>
      <c r="T157" s="75">
        <f t="shared" ref="T157:T170" si="180">IF(AS157=0,"",AS157)</f>
        <v>169</v>
      </c>
      <c r="U157" s="351">
        <f>IF(AT157="","",AT157)</f>
        <v>0</v>
      </c>
      <c r="V157" s="75">
        <f t="shared" ref="V157:V170" si="181">IF(AU157=0,"",AU157)</f>
        <v>1818</v>
      </c>
      <c r="W157" s="351">
        <f>IF(AV157="","",AV157)</f>
        <v>3</v>
      </c>
      <c r="Z157" s="354" t="s">
        <v>0</v>
      </c>
      <c r="AA157" s="108" t="str">
        <f>IF(AB157=0,"",VLOOKUP(AB157,Starter!$A$1:$D$199,2,FALSE))</f>
        <v>Stemmler, Patrick</v>
      </c>
      <c r="AB157" s="99">
        <v>16495</v>
      </c>
      <c r="AC157" s="185">
        <v>249</v>
      </c>
      <c r="AD157" s="109">
        <f>IF(SUM(AC157:AC159)+AC175=0,0,IF(SUM(AC157:AC159)=AC175,0.5,IF(SUM(AC157:AC159)&gt;AC175,1,0)))</f>
        <v>1</v>
      </c>
      <c r="AE157" s="185">
        <v>191</v>
      </c>
      <c r="AF157" s="109">
        <f>IF(SUM(AE157:AE159)+AE175=0,0,IF(SUM(AE157:AE159)=AE175,0.5,IF(SUM(AE157:AE159)&gt;AE175,1,0)))</f>
        <v>0</v>
      </c>
      <c r="AG157" s="185">
        <v>215</v>
      </c>
      <c r="AH157" s="109">
        <f>IF(SUM(AG157:AG159)+AG175=0,0,IF(SUM(AG157:AG159)=AG175,0.5,IF(SUM(AG157:AG159)&gt;AG175,1,0)))</f>
        <v>0</v>
      </c>
      <c r="AI157" s="185">
        <v>234</v>
      </c>
      <c r="AJ157" s="109">
        <f>IF(SUM(AI157:AI159)+AI175=0,0,IF(SUM(AI157:AI159)=AI175,0.5,IF(SUM(AI157:AI159)&gt;AI175,1,0)))</f>
        <v>1</v>
      </c>
      <c r="AK157" s="185">
        <v>211</v>
      </c>
      <c r="AL157" s="109">
        <f>IF(SUM(AK157:AK159)+AK175=0,0,IF(SUM(AK157:AK159)=AK175,0.5,IF(SUM(AK157:AK159)&gt;AK175,1,0)))</f>
        <v>0</v>
      </c>
      <c r="AM157" s="185">
        <v>203</v>
      </c>
      <c r="AN157" s="109">
        <f>IF(SUM(AM157:AM159)+AM175=0,0,IF(SUM(AM157:AM159)=AM175,0.5,IF(SUM(AM157:AM159)&gt;AM175,1,0)))</f>
        <v>0</v>
      </c>
      <c r="AO157" s="185">
        <v>182</v>
      </c>
      <c r="AP157" s="109">
        <f>IF(SUM(AO157:AO159)+AO175=0,0,IF(SUM(AO157:AO159)=AO175,0.5,IF(SUM(AO157:AO159)&gt;AO175,1,0)))</f>
        <v>1</v>
      </c>
      <c r="AQ157" s="185">
        <v>164</v>
      </c>
      <c r="AR157" s="109">
        <f>IF(SUM(AQ157:AQ159)+AQ175=0,0,IF(SUM(AQ157:AQ159)=AQ175,0.5,IF(SUM(AQ157:AQ159)&gt;AQ175,1,0)))</f>
        <v>0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1818</v>
      </c>
      <c r="AV157" s="111">
        <f>SUM(AD157+AF157+AH157+AJ157+AL157+AN157+AP157+AR157+AT157)</f>
        <v>3</v>
      </c>
      <c r="AW157" s="101"/>
      <c r="AX157" s="102"/>
      <c r="AZ157" s="63"/>
      <c r="BA157" s="212"/>
      <c r="BB157" s="213"/>
      <c r="BC157" s="214"/>
      <c r="BD157" s="217">
        <f>+AB157</f>
        <v>16495</v>
      </c>
      <c r="BE157" s="213">
        <f>+AU157</f>
        <v>1818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249</v>
      </c>
      <c r="BI157" s="215">
        <f t="shared" ref="BI157:BI168" si="184">IF(AE157=0,"",AE157)</f>
        <v>191</v>
      </c>
      <c r="BJ157" s="215">
        <f t="shared" ref="BJ157:BJ168" si="185">IF(AG157=0,"",AG157)</f>
        <v>215</v>
      </c>
      <c r="BK157" s="215">
        <f t="shared" ref="BK157:BK168" si="186">IF(AI157=0,"",AI157)</f>
        <v>234</v>
      </c>
      <c r="BL157" s="215">
        <f t="shared" ref="BL157:BL168" si="187">IF(AK157=0,"",AK157)</f>
        <v>211</v>
      </c>
      <c r="BM157" s="215">
        <f t="shared" ref="BM157:BM168" si="188">IF(AM157=0,"",AM157)</f>
        <v>203</v>
      </c>
      <c r="BN157" s="215">
        <f t="shared" ref="BN157:BN168" si="189">IF(AO157=0,"",AO157)</f>
        <v>182</v>
      </c>
      <c r="BO157" s="215">
        <f t="shared" ref="BO157:BO168" si="190">IF(AQ157=0,"",AQ157)</f>
        <v>164</v>
      </c>
      <c r="BP157" s="215">
        <f t="shared" ref="BP157:BP168" si="191">IF(AS157=0,"",AS157)</f>
        <v>169</v>
      </c>
      <c r="BQ157" s="216"/>
      <c r="BR157" s="214"/>
      <c r="BS157" s="215">
        <f>MAX(BH157:BP157)</f>
        <v>249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1818</v>
      </c>
      <c r="BX157" s="215">
        <f>IF(COUNTIF(BH157:BP157,"&gt;0")&lt;Spielorte!$A$23,0,BE157/Spielorte!$A$23)</f>
        <v>202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202</v>
      </c>
      <c r="E160" s="351">
        <f>IF(AD160="","",AD160)</f>
        <v>1</v>
      </c>
      <c r="F160" s="75">
        <f t="shared" si="174"/>
        <v>179</v>
      </c>
      <c r="G160" s="351">
        <f>IF(AF160="","",AF160)</f>
        <v>1</v>
      </c>
      <c r="H160" s="75">
        <f t="shared" si="175"/>
        <v>213</v>
      </c>
      <c r="I160" s="351">
        <f>IF(AH160="","",AH160)</f>
        <v>1</v>
      </c>
      <c r="J160" s="75">
        <f t="shared" si="176"/>
        <v>179</v>
      </c>
      <c r="K160" s="351">
        <f>IF(AJ160="","",AJ160)</f>
        <v>1</v>
      </c>
      <c r="L160" s="75">
        <f t="shared" si="177"/>
        <v>183</v>
      </c>
      <c r="M160" s="351">
        <f>IF(AL160="","",AL160)</f>
        <v>1</v>
      </c>
      <c r="N160" s="75">
        <f t="shared" si="194"/>
        <v>195</v>
      </c>
      <c r="O160" s="351">
        <f>IF(AN160="","",AN160)</f>
        <v>1</v>
      </c>
      <c r="P160" s="75">
        <f t="shared" si="178"/>
        <v>191</v>
      </c>
      <c r="Q160" s="351">
        <f>IF(AP160="","",AP160)</f>
        <v>1</v>
      </c>
      <c r="R160" s="75">
        <f t="shared" si="179"/>
        <v>197</v>
      </c>
      <c r="S160" s="351">
        <f>IF(AR160="","",AR160)</f>
        <v>1</v>
      </c>
      <c r="T160" s="75">
        <f t="shared" si="180"/>
        <v>214</v>
      </c>
      <c r="U160" s="351">
        <f>IF(AT160="","",AT160)</f>
        <v>0</v>
      </c>
      <c r="V160" s="75">
        <f t="shared" si="181"/>
        <v>1753</v>
      </c>
      <c r="W160" s="351">
        <f>IF(AV160="","",AV160)</f>
        <v>8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202</v>
      </c>
      <c r="AD160" s="109">
        <f>IF(SUM(AC160:AC162)+AC176=0,0,IF(SUM(AC160:AC162)=AC176,0.5,IF(SUM(AC160:AC162)&gt;AC176,1,0)))</f>
        <v>1</v>
      </c>
      <c r="AE160" s="188">
        <v>179</v>
      </c>
      <c r="AF160" s="109">
        <f>IF(SUM(AE160:AE162)+AE176=0,0,IF(SUM(AE160:AE162)=AE176,0.5,IF(SUM(AE160:AE162)&gt;AE176,1,0)))</f>
        <v>1</v>
      </c>
      <c r="AG160" s="188">
        <v>213</v>
      </c>
      <c r="AH160" s="109">
        <f>IF(SUM(AG160:AG162)+AG176=0,0,IF(SUM(AG160:AG162)=AG176,0.5,IF(SUM(AG160:AG162)&gt;AG176,1,0)))</f>
        <v>1</v>
      </c>
      <c r="AI160" s="188">
        <v>179</v>
      </c>
      <c r="AJ160" s="109">
        <f>IF(SUM(AI160:AI162)+AI176=0,0,IF(SUM(AI160:AI162)=AI176,0.5,IF(SUM(AI160:AI162)&gt;AI176,1,0)))</f>
        <v>1</v>
      </c>
      <c r="AK160" s="188">
        <v>183</v>
      </c>
      <c r="AL160" s="109">
        <f>IF(SUM(AK160:AK162)+AK176=0,0,IF(SUM(AK160:AK162)=AK176,0.5,IF(SUM(AK160:AK162)&gt;AK176,1,0)))</f>
        <v>1</v>
      </c>
      <c r="AM160" s="188">
        <v>195</v>
      </c>
      <c r="AN160" s="109">
        <f>IF(SUM(AM160:AM162)+AM176=0,0,IF(SUM(AM160:AM162)=AM176,0.5,IF(SUM(AM160:AM162)&gt;AM176,1,0)))</f>
        <v>1</v>
      </c>
      <c r="AO160" s="188">
        <v>191</v>
      </c>
      <c r="AP160" s="109">
        <f>IF(SUM(AO160:AO162)+AO176=0,0,IF(SUM(AO160:AO162)=AO176,0.5,IF(SUM(AO160:AO162)&gt;AO176,1,0)))</f>
        <v>1</v>
      </c>
      <c r="AQ160" s="188">
        <v>197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0</v>
      </c>
      <c r="AU160" s="110">
        <f t="shared" si="182"/>
        <v>1753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1753</v>
      </c>
      <c r="BF160" s="215">
        <f t="shared" si="197"/>
        <v>9</v>
      </c>
      <c r="BG160" s="215">
        <f t="shared" si="198"/>
        <v>9</v>
      </c>
      <c r="BH160" s="215">
        <f t="shared" si="183"/>
        <v>202</v>
      </c>
      <c r="BI160" s="215">
        <f t="shared" si="184"/>
        <v>179</v>
      </c>
      <c r="BJ160" s="215">
        <f t="shared" si="185"/>
        <v>213</v>
      </c>
      <c r="BK160" s="215">
        <f t="shared" si="186"/>
        <v>179</v>
      </c>
      <c r="BL160" s="215">
        <f t="shared" si="187"/>
        <v>183</v>
      </c>
      <c r="BM160" s="215">
        <f t="shared" si="188"/>
        <v>195</v>
      </c>
      <c r="BN160" s="215">
        <f t="shared" si="189"/>
        <v>191</v>
      </c>
      <c r="BO160" s="215">
        <f t="shared" si="190"/>
        <v>197</v>
      </c>
      <c r="BP160" s="215">
        <f t="shared" si="191"/>
        <v>214</v>
      </c>
      <c r="BQ160" s="216"/>
      <c r="BR160" s="214"/>
      <c r="BS160" s="215">
        <f t="shared" si="199"/>
        <v>214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1753</v>
      </c>
      <c r="BX160" s="215">
        <f>IF(COUNTIF(BH160:BP160,"&gt;0")&lt;Spielorte!$A$23,0,BE160/Spielorte!$A$23)</f>
        <v>194.77777777777777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175</v>
      </c>
      <c r="E163" s="351">
        <f>IF(AD163="","",AD163)</f>
        <v>0</v>
      </c>
      <c r="F163" s="75">
        <f t="shared" si="174"/>
        <v>182</v>
      </c>
      <c r="G163" s="351">
        <f>IF(AF163="","",AF163)</f>
        <v>0</v>
      </c>
      <c r="H163" s="75">
        <f t="shared" si="175"/>
        <v>212</v>
      </c>
      <c r="I163" s="351">
        <f>IF(AH163="","",AH163)</f>
        <v>0</v>
      </c>
      <c r="J163" s="75">
        <f t="shared" si="176"/>
        <v>212</v>
      </c>
      <c r="K163" s="351">
        <f>IF(AJ163="","",AJ163)</f>
        <v>0</v>
      </c>
      <c r="L163" s="75">
        <f t="shared" si="177"/>
        <v>194</v>
      </c>
      <c r="M163" s="351">
        <f>IF(AL163="","",AL163)</f>
        <v>1</v>
      </c>
      <c r="N163" s="75">
        <f t="shared" si="194"/>
        <v>158</v>
      </c>
      <c r="O163" s="351">
        <f>IF(AN163="","",AN163)</f>
        <v>0</v>
      </c>
      <c r="P163" s="75">
        <f t="shared" si="178"/>
        <v>182</v>
      </c>
      <c r="Q163" s="351">
        <f>IF(AP163="","",AP163)</f>
        <v>1</v>
      </c>
      <c r="R163" s="75">
        <f t="shared" si="179"/>
        <v>183</v>
      </c>
      <c r="S163" s="351">
        <f>IF(AR163="","",AR163)</f>
        <v>1</v>
      </c>
      <c r="T163" s="75">
        <f t="shared" si="180"/>
        <v>172</v>
      </c>
      <c r="U163" s="351">
        <f>IF(AT163="","",AT163)</f>
        <v>0</v>
      </c>
      <c r="V163" s="75">
        <f t="shared" si="181"/>
        <v>1670</v>
      </c>
      <c r="W163" s="351">
        <f>IF(AV163="","",AV163)</f>
        <v>3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175</v>
      </c>
      <c r="AD163" s="109">
        <f>IF(SUM(AC163:AC165)+AC177=0,0,IF(SUM(AC163:AC165)=AC177,0.5,IF(SUM(AC163:AC165)&gt;AC177,1,0)))</f>
        <v>0</v>
      </c>
      <c r="AE163" s="188">
        <v>182</v>
      </c>
      <c r="AF163" s="109">
        <f>IF(SUM(AE163:AE165)+AE177=0,0,IF(SUM(AE163:AE165)=AE177,0.5,IF(SUM(AE163:AE165)&gt;AE177,1,0)))</f>
        <v>0</v>
      </c>
      <c r="AG163" s="188">
        <v>212</v>
      </c>
      <c r="AH163" s="109">
        <f>IF(SUM(AG163:AG165)+AG177=0,0,IF(SUM(AG163:AG165)=AG177,0.5,IF(SUM(AG163:AG165)&gt;AG177,1,0)))</f>
        <v>0</v>
      </c>
      <c r="AI163" s="188">
        <v>212</v>
      </c>
      <c r="AJ163" s="109">
        <f>IF(SUM(AI163:AI165)+AI177=0,0,IF(SUM(AI163:AI165)=AI177,0.5,IF(SUM(AI163:AI165)&gt;AI177,1,0)))</f>
        <v>0</v>
      </c>
      <c r="AK163" s="188">
        <v>194</v>
      </c>
      <c r="AL163" s="109">
        <f>IF(SUM(AK163:AK165)+AK177=0,0,IF(SUM(AK163:AK165)=AK177,0.5,IF(SUM(AK163:AK165)&gt;AK177,1,0)))</f>
        <v>1</v>
      </c>
      <c r="AM163" s="188">
        <v>158</v>
      </c>
      <c r="AN163" s="109">
        <f>IF(SUM(AM163:AM165)+AM177=0,0,IF(SUM(AM163:AM165)=AM177,0.5,IF(SUM(AM163:AM165)&gt;AM177,1,0)))</f>
        <v>0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183</v>
      </c>
      <c r="AR163" s="109">
        <f>IF(SUM(AQ163:AQ165)+AQ177=0,0,IF(SUM(AQ163:AQ165)=AQ177,0.5,IF(SUM(AQ163:AQ165)&gt;AQ177,1,0)))</f>
        <v>1</v>
      </c>
      <c r="AS163" s="188">
        <v>172</v>
      </c>
      <c r="AT163" s="109">
        <f>IF(SUM(AS163:AS165)+AS177=0,0,IF(SUM(AS163:AS165)=AS177,0.5,IF(SUM(AS163:AS165)&gt;AS177,1,0)))</f>
        <v>0</v>
      </c>
      <c r="AU163" s="110">
        <f t="shared" si="182"/>
        <v>1670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1670</v>
      </c>
      <c r="BF163" s="215">
        <f t="shared" si="197"/>
        <v>9</v>
      </c>
      <c r="BG163" s="215">
        <f t="shared" si="198"/>
        <v>9</v>
      </c>
      <c r="BH163" s="215">
        <f t="shared" si="183"/>
        <v>175</v>
      </c>
      <c r="BI163" s="215">
        <f t="shared" si="184"/>
        <v>182</v>
      </c>
      <c r="BJ163" s="215">
        <f t="shared" si="185"/>
        <v>212</v>
      </c>
      <c r="BK163" s="215">
        <f t="shared" si="186"/>
        <v>212</v>
      </c>
      <c r="BL163" s="215">
        <f t="shared" si="187"/>
        <v>194</v>
      </c>
      <c r="BM163" s="215">
        <f t="shared" si="188"/>
        <v>158</v>
      </c>
      <c r="BN163" s="215">
        <f t="shared" si="189"/>
        <v>182</v>
      </c>
      <c r="BO163" s="215">
        <f t="shared" si="190"/>
        <v>183</v>
      </c>
      <c r="BP163" s="215">
        <f t="shared" si="191"/>
        <v>172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1670</v>
      </c>
      <c r="BX163" s="215">
        <f>IF(COUNTIF(BH163:BP163,"&gt;0")&lt;Spielorte!$A$23,0,BE163/Spielorte!$A$23)</f>
        <v>185.55555555555554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170</v>
      </c>
      <c r="E166" s="351">
        <f>IF(AD166="","",AD166)</f>
        <v>1</v>
      </c>
      <c r="F166" s="75">
        <f t="shared" si="174"/>
        <v>150</v>
      </c>
      <c r="G166" s="351">
        <f>IF(AF166="","",AF166)</f>
        <v>0</v>
      </c>
      <c r="H166" s="75" t="str">
        <f t="shared" si="175"/>
        <v/>
      </c>
      <c r="I166" s="351">
        <f>IF(AH166="","",AH166)</f>
        <v>0</v>
      </c>
      <c r="J166" s="75" t="str">
        <f t="shared" si="176"/>
        <v/>
      </c>
      <c r="K166" s="351">
        <f>IF(AJ166="","",AJ166)</f>
        <v>1</v>
      </c>
      <c r="L166" s="75">
        <f t="shared" si="177"/>
        <v>217</v>
      </c>
      <c r="M166" s="351">
        <f>IF(AL166="","",AL166)</f>
        <v>0</v>
      </c>
      <c r="N166" s="75">
        <f t="shared" si="194"/>
        <v>236</v>
      </c>
      <c r="O166" s="351">
        <f>IF(AN166="","",AN166)</f>
        <v>1</v>
      </c>
      <c r="P166" s="75">
        <f t="shared" si="178"/>
        <v>152</v>
      </c>
      <c r="Q166" s="351">
        <f>IF(AP166="","",AP166)</f>
        <v>0</v>
      </c>
      <c r="R166" s="75">
        <f t="shared" si="179"/>
        <v>148</v>
      </c>
      <c r="S166" s="351">
        <f>IF(AR166="","",AR166)</f>
        <v>0</v>
      </c>
      <c r="T166" s="75" t="str">
        <f t="shared" si="180"/>
        <v/>
      </c>
      <c r="U166" s="351">
        <f>IF(AT166="","",AT166)</f>
        <v>0</v>
      </c>
      <c r="V166" s="75">
        <f t="shared" si="181"/>
        <v>1073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170</v>
      </c>
      <c r="AD166" s="109">
        <f>IF(SUM(AC166:AC168)+AC178=0,0,IF(SUM(AC166:AC168)=AC178,0.5,IF(SUM(AC166:AC168)&gt;AC178,1,0)))</f>
        <v>1</v>
      </c>
      <c r="AE166" s="188">
        <v>150</v>
      </c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1</v>
      </c>
      <c r="AK166" s="188">
        <v>217</v>
      </c>
      <c r="AL166" s="109">
        <f>IF(SUM(AK166:AK168)+AK178=0,0,IF(SUM(AK166:AK168)=AK178,0.5,IF(SUM(AK166:AK168)&gt;AK178,1,0)))</f>
        <v>0</v>
      </c>
      <c r="AM166" s="188">
        <v>236</v>
      </c>
      <c r="AN166" s="109">
        <f>IF(SUM(AM166:AM168)+AM178=0,0,IF(SUM(AM166:AM168)=AM178,0.5,IF(SUM(AM166:AM168)&gt;AM178,1,0)))</f>
        <v>1</v>
      </c>
      <c r="AO166" s="188">
        <v>152</v>
      </c>
      <c r="AP166" s="109">
        <f>IF(SUM(AO166:AO168)+AO178=0,0,IF(SUM(AO166:AO168)=AO178,0.5,IF(SUM(AO166:AO168)&gt;AO178,1,0)))</f>
        <v>0</v>
      </c>
      <c r="AQ166" s="188">
        <v>148</v>
      </c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1073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1073</v>
      </c>
      <c r="BF166" s="215">
        <f t="shared" si="197"/>
        <v>6</v>
      </c>
      <c r="BG166" s="215">
        <f t="shared" si="198"/>
        <v>6</v>
      </c>
      <c r="BH166" s="215">
        <f t="shared" si="183"/>
        <v>170</v>
      </c>
      <c r="BI166" s="215">
        <f t="shared" si="184"/>
        <v>150</v>
      </c>
      <c r="BJ166" s="215" t="str">
        <f t="shared" si="185"/>
        <v/>
      </c>
      <c r="BK166" s="215" t="str">
        <f t="shared" si="186"/>
        <v/>
      </c>
      <c r="BL166" s="215">
        <f t="shared" si="187"/>
        <v>217</v>
      </c>
      <c r="BM166" s="215">
        <f t="shared" si="188"/>
        <v>236</v>
      </c>
      <c r="BN166" s="215">
        <f t="shared" si="189"/>
        <v>152</v>
      </c>
      <c r="BO166" s="215">
        <f t="shared" si="190"/>
        <v>148</v>
      </c>
      <c r="BP166" s="215" t="str">
        <f t="shared" si="191"/>
        <v/>
      </c>
      <c r="BQ166" s="216"/>
      <c r="BR166" s="214"/>
      <c r="BS166" s="215">
        <f t="shared" si="199"/>
        <v>236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1073</v>
      </c>
      <c r="BX166" s="215">
        <f>IF(COUNTIF(BH166:BP166,"&gt;0")&lt;Spielorte!$A$23,0,BE166/Spielorte!$A$23)</f>
        <v>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>Büttner, Christian</v>
      </c>
      <c r="C167" s="77">
        <f t="shared" si="193"/>
        <v>16862</v>
      </c>
      <c r="D167" s="78" t="str">
        <f t="shared" si="193"/>
        <v/>
      </c>
      <c r="E167" s="352"/>
      <c r="F167" s="78" t="str">
        <f t="shared" si="174"/>
        <v/>
      </c>
      <c r="G167" s="352"/>
      <c r="H167" s="78">
        <f t="shared" si="175"/>
        <v>183</v>
      </c>
      <c r="I167" s="352"/>
      <c r="J167" s="78">
        <f t="shared" si="176"/>
        <v>153</v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>
        <f t="shared" si="180"/>
        <v>158</v>
      </c>
      <c r="U167" s="352"/>
      <c r="V167" s="78">
        <f t="shared" si="181"/>
        <v>494</v>
      </c>
      <c r="W167" s="352"/>
      <c r="Z167" s="355"/>
      <c r="AA167" s="108" t="str">
        <f>IF(AB167=0,"",VLOOKUP(AB167,Starter!$A$1:$D$199,2,FALSE))</f>
        <v>Büttner, Christian</v>
      </c>
      <c r="AB167" s="98">
        <v>16862</v>
      </c>
      <c r="AC167" s="186"/>
      <c r="AD167" s="112"/>
      <c r="AE167" s="186"/>
      <c r="AF167" s="112"/>
      <c r="AG167" s="186">
        <v>183</v>
      </c>
      <c r="AH167" s="112"/>
      <c r="AI167" s="186">
        <v>153</v>
      </c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>
        <v>158</v>
      </c>
      <c r="AT167" s="112"/>
      <c r="AU167" s="113">
        <f t="shared" si="182"/>
        <v>494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16862</v>
      </c>
      <c r="BE167" s="213">
        <f t="shared" si="196"/>
        <v>494</v>
      </c>
      <c r="BF167" s="215">
        <f t="shared" si="197"/>
        <v>3</v>
      </c>
      <c r="BG167" s="215">
        <f t="shared" si="198"/>
        <v>3</v>
      </c>
      <c r="BH167" s="215" t="str">
        <f t="shared" si="183"/>
        <v/>
      </c>
      <c r="BI167" s="215" t="str">
        <f t="shared" si="184"/>
        <v/>
      </c>
      <c r="BJ167" s="215">
        <f t="shared" si="185"/>
        <v>183</v>
      </c>
      <c r="BK167" s="215">
        <f t="shared" si="186"/>
        <v>153</v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>
        <f t="shared" si="191"/>
        <v>158</v>
      </c>
      <c r="BQ167" s="216"/>
      <c r="BR167" s="214"/>
      <c r="BS167" s="215">
        <f t="shared" si="199"/>
        <v>183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494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796</v>
      </c>
      <c r="E169" s="84">
        <f>IF(AD169="","",AD169)</f>
        <v>2</v>
      </c>
      <c r="F169" s="83">
        <f t="shared" si="174"/>
        <v>702</v>
      </c>
      <c r="G169" s="84">
        <f>IF(AF169="","",AF169)</f>
        <v>0</v>
      </c>
      <c r="H169" s="83">
        <f t="shared" si="175"/>
        <v>823</v>
      </c>
      <c r="I169" s="84">
        <f>IF(AH169="","",AH169)</f>
        <v>2</v>
      </c>
      <c r="J169" s="83">
        <f t="shared" si="176"/>
        <v>778</v>
      </c>
      <c r="K169" s="84">
        <f>IF(AJ169="","",AJ169)</f>
        <v>2</v>
      </c>
      <c r="L169" s="83">
        <f t="shared" si="177"/>
        <v>805</v>
      </c>
      <c r="M169" s="84">
        <f>IF(AL169="","",AL169)</f>
        <v>2</v>
      </c>
      <c r="N169" s="83">
        <f t="shared" si="194"/>
        <v>792</v>
      </c>
      <c r="O169" s="84">
        <f>IF(AN169="","",AN169)</f>
        <v>2</v>
      </c>
      <c r="P169" s="83">
        <f t="shared" si="178"/>
        <v>707</v>
      </c>
      <c r="Q169" s="84">
        <f>IF(AP169="","",AP169)</f>
        <v>2</v>
      </c>
      <c r="R169" s="83">
        <f t="shared" si="179"/>
        <v>692</v>
      </c>
      <c r="S169" s="84">
        <f>IF(AR169="","",AR169)</f>
        <v>0</v>
      </c>
      <c r="T169" s="83">
        <f t="shared" si="180"/>
        <v>713</v>
      </c>
      <c r="U169" s="84">
        <f>IF(AT169="","",AT169)</f>
        <v>0</v>
      </c>
      <c r="V169" s="83">
        <f t="shared" si="181"/>
        <v>6808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796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702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823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778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805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792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707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692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713</v>
      </c>
      <c r="AT169" s="121">
        <f>IF(AS169+AS179=0,0,IF(AS169=AS179,1,IF(AS169&gt;AS179,2,0)))</f>
        <v>0</v>
      </c>
      <c r="AU169" s="122">
        <f>SUM(AC169+AE169+AG169+AI169+AK169+AM169+AO169+AQ169+AS169)</f>
        <v>6808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5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5</v>
      </c>
      <c r="L170" s="86" t="str">
        <f t="shared" si="177"/>
        <v/>
      </c>
      <c r="M170" s="87">
        <f>IF(AL170="","",AL170)</f>
        <v>4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2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29</v>
      </c>
      <c r="AA170" s="85" t="s">
        <v>1814</v>
      </c>
      <c r="AB170" s="86"/>
      <c r="AC170" s="86"/>
      <c r="AD170" s="124">
        <f>SUM(AD157:AD169)</f>
        <v>5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5</v>
      </c>
      <c r="AK170" s="86"/>
      <c r="AL170" s="124">
        <f>SUM(AL157:AL169)</f>
        <v>4</v>
      </c>
      <c r="AM170" s="86"/>
      <c r="AN170" s="124">
        <f>SUM(AN157:AN169)</f>
        <v>4</v>
      </c>
      <c r="AO170" s="86"/>
      <c r="AP170" s="124">
        <f>SUM(AP157:AP169)</f>
        <v>5</v>
      </c>
      <c r="AQ170" s="86"/>
      <c r="AR170" s="124">
        <f>SUM(AR157:AR169)</f>
        <v>2</v>
      </c>
      <c r="AS170" s="86"/>
      <c r="AT170" s="124">
        <f>SUM(AT157:AT169)</f>
        <v>0</v>
      </c>
      <c r="AU170" s="86"/>
      <c r="AV170" s="125">
        <f>SUM(AV157:AV169)</f>
        <v>29</v>
      </c>
      <c r="AW170" s="101"/>
      <c r="AX170" s="102"/>
      <c r="BA170" s="212">
        <f>+AV170</f>
        <v>29</v>
      </c>
      <c r="BB170" s="213">
        <f>+AU169</f>
        <v>6808</v>
      </c>
      <c r="BC170" s="214">
        <f>+AA152</f>
        <v>6</v>
      </c>
      <c r="BF170" s="215">
        <f>SUM(BF151:BF169)</f>
        <v>36</v>
      </c>
      <c r="BQ170" s="212">
        <f>+BB170/1000000+BA170</f>
        <v>29.006807999999999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3</v>
      </c>
      <c r="E172" s="349" t="str">
        <f t="shared" si="205"/>
        <v/>
      </c>
      <c r="F172" s="349">
        <f t="shared" si="205"/>
        <v>10</v>
      </c>
      <c r="G172" s="349" t="str">
        <f t="shared" si="205"/>
        <v/>
      </c>
      <c r="H172" s="349">
        <f t="shared" si="205"/>
        <v>4</v>
      </c>
      <c r="I172" s="349" t="str">
        <f t="shared" si="205"/>
        <v/>
      </c>
      <c r="J172" s="349">
        <f t="shared" si="205"/>
        <v>9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7</v>
      </c>
      <c r="Q172" s="349" t="str">
        <f t="shared" si="205"/>
        <v/>
      </c>
      <c r="R172" s="349">
        <f t="shared" ref="L172:U174" si="206">IF(AQ172=0,"",AQ172)</f>
        <v>1</v>
      </c>
      <c r="S172" s="349" t="str">
        <f t="shared" si="206"/>
        <v/>
      </c>
      <c r="T172" s="349">
        <f t="shared" si="206"/>
        <v>5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VLOOKUP($AA152,Schlüssel!$A$5:$DG$14,103)</f>
        <v>3</v>
      </c>
      <c r="AD172" s="374"/>
      <c r="AE172" s="373">
        <f>VLOOKUP($AA152,Schlüssel!$A$5:$EK$14,104)</f>
        <v>10</v>
      </c>
      <c r="AF172" s="374"/>
      <c r="AG172" s="373">
        <f>VLOOKUP($AA152,Schlüssel!$A$5:$EK$14,105)</f>
        <v>4</v>
      </c>
      <c r="AH172" s="374"/>
      <c r="AI172" s="373">
        <f>VLOOKUP($AA152,Schlüssel!$A$5:$EK$14,106)</f>
        <v>9</v>
      </c>
      <c r="AJ172" s="374"/>
      <c r="AK172" s="373">
        <f>VLOOKUP($AA152,Schlüssel!$A$5:$EK$14,107)</f>
        <v>2</v>
      </c>
      <c r="AL172" s="374"/>
      <c r="AM172" s="373">
        <f>VLOOKUP($AA152,Schlüssel!$A$5:$EK$14,108)</f>
        <v>8</v>
      </c>
      <c r="AN172" s="374"/>
      <c r="AO172" s="373">
        <f>VLOOKUP($AA152,Schlüssel!$A$5:$EK$14,109)</f>
        <v>7</v>
      </c>
      <c r="AP172" s="374"/>
      <c r="AQ172" s="373">
        <f>VLOOKUP($AA152,Schlüssel!$A$5:$EK$14,110)</f>
        <v>1</v>
      </c>
      <c r="AR172" s="374"/>
      <c r="AS172" s="373">
        <f>VLOOKUP($AA152,Schlüssel!$A$5:$EK$14,111)</f>
        <v>5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BK München 3</v>
      </c>
      <c r="E173" s="347" t="str">
        <f t="shared" si="207"/>
        <v/>
      </c>
      <c r="F173" s="346" t="str">
        <f t="shared" si="207"/>
        <v>High Roller Rosenheim 1</v>
      </c>
      <c r="G173" s="347" t="str">
        <f t="shared" si="207"/>
        <v/>
      </c>
      <c r="H173" s="346" t="str">
        <f t="shared" si="207"/>
        <v>SG DJK Rimpar</v>
      </c>
      <c r="I173" s="347" t="str">
        <f t="shared" si="207"/>
        <v/>
      </c>
      <c r="J173" s="346" t="str">
        <f t="shared" si="207"/>
        <v>Bowlinghaus Bamberg 1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Schanzer Ingolstadt 1</v>
      </c>
      <c r="Q173" s="347" t="str">
        <f t="shared" si="206"/>
        <v/>
      </c>
      <c r="R173" s="346" t="str">
        <f t="shared" si="206"/>
        <v>BC Comet Nürnberg</v>
      </c>
      <c r="S173" s="347" t="str">
        <f t="shared" si="206"/>
        <v/>
      </c>
      <c r="T173" s="346" t="str">
        <f t="shared" si="206"/>
        <v>RW Lichtenhof Stein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BK München 3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SG DJK Rimpar</v>
      </c>
      <c r="AH173" s="347"/>
      <c r="AI173" s="346" t="str">
        <f>VLOOKUP(AI172,Schlüssel!$A$5:$K$14,2)</f>
        <v>Bowlinghaus Bamberg 1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Schanzer Ingolstadt 1</v>
      </c>
      <c r="AP173" s="347"/>
      <c r="AQ173" s="346" t="str">
        <f>VLOOKUP(AQ172,Schlüssel!$A$5:$K$14,2)</f>
        <v>BC Comet Nürnberg</v>
      </c>
      <c r="AR173" s="347"/>
      <c r="AS173" s="346" t="str">
        <f>VLOOKUP(AS172,Schlüssel!$A$5:$K$14,2)</f>
        <v>RW Lichtenhof Stein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151</v>
      </c>
      <c r="E175" s="342" t="str">
        <f>IF(AD175=0,"",AD175)</f>
        <v/>
      </c>
      <c r="F175" s="342">
        <f>IF(AE175=301,"",AE175)</f>
        <v>239</v>
      </c>
      <c r="G175" s="342" t="str">
        <f>IF(AF175=0,"",AF175)</f>
        <v/>
      </c>
      <c r="H175" s="342">
        <f>IF(AG175=301,"",AG175)</f>
        <v>224</v>
      </c>
      <c r="I175" s="342" t="str">
        <f>IF(AH175=0,"",AH175)</f>
        <v/>
      </c>
      <c r="J175" s="342">
        <f>IF(AI175=301,"",AI175)</f>
        <v>212</v>
      </c>
      <c r="K175" s="342" t="str">
        <f>IF(AJ175=0,"",AJ175)</f>
        <v/>
      </c>
      <c r="L175" s="342">
        <f>IF(AK175=301,"",AK175)</f>
        <v>215</v>
      </c>
      <c r="M175" s="342" t="str">
        <f>IF(AL175=0,"",AL175)</f>
        <v/>
      </c>
      <c r="N175" s="342">
        <f>IF(AM175=301,"",AM175)</f>
        <v>246</v>
      </c>
      <c r="O175" s="342" t="str">
        <f>IF(AN175=0,"",AN175)</f>
        <v/>
      </c>
      <c r="P175" s="342">
        <f>IF(AO175=301,"",AO175)</f>
        <v>164</v>
      </c>
      <c r="Q175" s="342" t="str">
        <f>IF(AP175=0,"",AP175)</f>
        <v/>
      </c>
      <c r="R175" s="342">
        <f>IF(AQ175=301,"",AQ175)</f>
        <v>256</v>
      </c>
      <c r="S175" s="342" t="str">
        <f>IF(AR175=0,"",AR175)</f>
        <v/>
      </c>
      <c r="T175" s="342">
        <f>IF(AS175=301,"",AS175)</f>
        <v>193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151</v>
      </c>
      <c r="AD175" s="376"/>
      <c r="AE175" s="375">
        <f>ABS(INDEX(AE:AE,MATCH(AE172,$AA:$AA,0)+5)+INDEX(AE:AE,MATCH(AE172,$AA:$AA,0)+6)+INDEX(AE:AE,MATCH(AE172,$AA:$AA,0)+7))</f>
        <v>239</v>
      </c>
      <c r="AF175" s="376"/>
      <c r="AG175" s="375">
        <f>ABS(INDEX(AG:AG,MATCH(AG172,$AA:$AA,0)+5)+INDEX(AG:AG,MATCH(AG172,$AA:$AA,0)+6)+INDEX(AG:AG,MATCH(AG172,$AA:$AA,0)+7))</f>
        <v>224</v>
      </c>
      <c r="AH175" s="376"/>
      <c r="AI175" s="375">
        <f>ABS(INDEX(AI:AI,MATCH(AI172,$AA:$AA,0)+5)+INDEX(AI:AI,MATCH(AI172,$AA:$AA,0)+6)+INDEX(AI:AI,MATCH(AI172,$AA:$AA,0)+7))</f>
        <v>212</v>
      </c>
      <c r="AJ175" s="376"/>
      <c r="AK175" s="375">
        <f>ABS(INDEX(AK:AK,MATCH(AK172,$AA:$AA,0)+5)+INDEX(AK:AK,MATCH(AK172,$AA:$AA,0)+6)+INDEX(AK:AK,MATCH(AK172,$AA:$AA,0)+7))</f>
        <v>215</v>
      </c>
      <c r="AL175" s="376"/>
      <c r="AM175" s="375">
        <f>ABS(INDEX(AM:AM,MATCH(AM172,$AA:$AA,0)+5)+INDEX(AM:AM,MATCH(AM172,$AA:$AA,0)+6)+INDEX(AM:AM,MATCH(AM172,$AA:$AA,0)+7))</f>
        <v>246</v>
      </c>
      <c r="AN175" s="376"/>
      <c r="AO175" s="375">
        <f>ABS(INDEX(AO:AO,MATCH(AO172,$AA:$AA,0)+5)+INDEX(AO:AO,MATCH(AO172,$AA:$AA,0)+6)+INDEX(AO:AO,MATCH(AO172,$AA:$AA,0)+7))</f>
        <v>164</v>
      </c>
      <c r="AP175" s="376"/>
      <c r="AQ175" s="375">
        <f>ABS(INDEX(AQ:AQ,MATCH(AQ172,$AA:$AA,0)+5)+INDEX(AQ:AQ,MATCH(AQ172,$AA:$AA,0)+6)+INDEX(AQ:AQ,MATCH(AQ172,$AA:$AA,0)+7))</f>
        <v>256</v>
      </c>
      <c r="AR175" s="376"/>
      <c r="AS175" s="375">
        <f>ABS(INDEX(AS:AS,MATCH(AS172,$AA:$AA,0)+5)+INDEX(AS:AS,MATCH(AS172,$AA:$AA,0)+6)+INDEX(AS:AS,MATCH(AS172,$AA:$AA,0)+7))</f>
        <v>193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159</v>
      </c>
      <c r="E176" s="342" t="str">
        <f>IF(AD176=0,"",AD176)</f>
        <v/>
      </c>
      <c r="F176" s="342">
        <f>IF(AE176=301,"",AE176)</f>
        <v>158</v>
      </c>
      <c r="G176" s="342" t="str">
        <f>IF(AF176=0,"",AF176)</f>
        <v/>
      </c>
      <c r="H176" s="342">
        <f>IF(AG176=301,"",AG176)</f>
        <v>157</v>
      </c>
      <c r="I176" s="342" t="str">
        <f>IF(AH176=0,"",AH176)</f>
        <v/>
      </c>
      <c r="J176" s="342">
        <f>IF(AI176=301,"",AI176)</f>
        <v>176</v>
      </c>
      <c r="K176" s="342" t="str">
        <f>IF(AJ176=0,"",AJ176)</f>
        <v/>
      </c>
      <c r="L176" s="342">
        <f>IF(AK176=301,"",AK176)</f>
        <v>174</v>
      </c>
      <c r="M176" s="342" t="str">
        <f>IF(AL176=0,"",AL176)</f>
        <v/>
      </c>
      <c r="N176" s="342">
        <f>IF(AM176=301,"",AM176)</f>
        <v>174</v>
      </c>
      <c r="O176" s="342" t="str">
        <f>IF(AN176=0,"",AN176)</f>
        <v/>
      </c>
      <c r="P176" s="342">
        <f>IF(AO176=301,"",AO176)</f>
        <v>169</v>
      </c>
      <c r="Q176" s="342" t="str">
        <f>IF(AP176=0,"",AP176)</f>
        <v/>
      </c>
      <c r="R176" s="342">
        <f>IF(AQ176=301,"",AQ176)</f>
        <v>177</v>
      </c>
      <c r="S176" s="342" t="str">
        <f>IF(AR176=0,"",AR176)</f>
        <v/>
      </c>
      <c r="T176" s="342">
        <f>IF(AS176=301,"",AS176)</f>
        <v>221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159</v>
      </c>
      <c r="AD176" s="378"/>
      <c r="AE176" s="377">
        <f>ABS(INDEX(AE:AE,MATCH(AE172,$AA:$AA,0)+8)+INDEX(AE:AE,MATCH(AE172,$AA:$AA,0)+9)+INDEX(AE:AE,MATCH(AE172,$AA:$AA,0)+10))</f>
        <v>158</v>
      </c>
      <c r="AF176" s="378"/>
      <c r="AG176" s="377">
        <f>ABS(INDEX(AG:AG,MATCH(AG172,$AA:$AA,0)+8)+INDEX(AG:AG,MATCH(AG172,$AA:$AA,0)+9)+INDEX(AG:AG,MATCH(AG172,$AA:$AA,0)+10))</f>
        <v>157</v>
      </c>
      <c r="AH176" s="378"/>
      <c r="AI176" s="377">
        <f>ABS(INDEX(AI:AI,MATCH(AI172,$AA:$AA,0)+8)+INDEX(AI:AI,MATCH(AI172,$AA:$AA,0)+9)+INDEX(AI:AI,MATCH(AI172,$AA:$AA,0)+10))</f>
        <v>176</v>
      </c>
      <c r="AJ176" s="378"/>
      <c r="AK176" s="377">
        <f>ABS(INDEX(AK:AK,MATCH(AK172,$AA:$AA,0)+8)+INDEX(AK:AK,MATCH(AK172,$AA:$AA,0)+9)+INDEX(AK:AK,MATCH(AK172,$AA:$AA,0)+10))</f>
        <v>174</v>
      </c>
      <c r="AL176" s="378"/>
      <c r="AM176" s="377">
        <f>ABS(INDEX(AM:AM,MATCH(AM172,$AA:$AA,0)+8)+INDEX(AM:AM,MATCH(AM172,$AA:$AA,0)+9)+INDEX(AM:AM,MATCH(AM172,$AA:$AA,0)+10))</f>
        <v>174</v>
      </c>
      <c r="AN176" s="378"/>
      <c r="AO176" s="377">
        <f>ABS(INDEX(AO:AO,MATCH(AO172,$AA:$AA,0)+8)+INDEX(AO:AO,MATCH(AO172,$AA:$AA,0)+9)+INDEX(AO:AO,MATCH(AO172,$AA:$AA,0)+10))</f>
        <v>169</v>
      </c>
      <c r="AP176" s="378"/>
      <c r="AQ176" s="377">
        <f>ABS(INDEX(AQ:AQ,MATCH(AQ172,$AA:$AA,0)+8)+INDEX(AQ:AQ,MATCH(AQ172,$AA:$AA,0)+9)+INDEX(AQ:AQ,MATCH(AQ172,$AA:$AA,0)+10))</f>
        <v>177</v>
      </c>
      <c r="AR176" s="378"/>
      <c r="AS176" s="377">
        <f>ABS(INDEX(AS:AS,MATCH(AS172,$AA:$AA,0)+8)+INDEX(AS:AS,MATCH(AS172,$AA:$AA,0)+9)+INDEX(AS:AS,MATCH(AS172,$AA:$AA,0)+10))</f>
        <v>221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213</v>
      </c>
      <c r="E177" s="342" t="str">
        <f>IF(AD177=0,"",AD177)</f>
        <v/>
      </c>
      <c r="F177" s="342">
        <f>IF(AE177=301,"",AE177)</f>
        <v>221</v>
      </c>
      <c r="G177" s="342" t="str">
        <f>IF(AF177=0,"",AF177)</f>
        <v/>
      </c>
      <c r="H177" s="342">
        <f>IF(AG177=301,"",AG177)</f>
        <v>220</v>
      </c>
      <c r="I177" s="342" t="str">
        <f>IF(AH177=0,"",AH177)</f>
        <v/>
      </c>
      <c r="J177" s="342">
        <f>IF(AI177=301,"",AI177)</f>
        <v>214</v>
      </c>
      <c r="K177" s="342" t="str">
        <f>IF(AJ177=0,"",AJ177)</f>
        <v/>
      </c>
      <c r="L177" s="342">
        <f>IF(AK177=301,"",AK177)</f>
        <v>182</v>
      </c>
      <c r="M177" s="342" t="str">
        <f>IF(AL177=0,"",AL177)</f>
        <v/>
      </c>
      <c r="N177" s="342">
        <f>IF(AM177=301,"",AM177)</f>
        <v>161</v>
      </c>
      <c r="O177" s="342" t="str">
        <f>IF(AN177=0,"",AN177)</f>
        <v/>
      </c>
      <c r="P177" s="342">
        <f>IF(AO177=301,"",AO177)</f>
        <v>177</v>
      </c>
      <c r="Q177" s="342" t="str">
        <f>IF(AP177=0,"",AP177)</f>
        <v/>
      </c>
      <c r="R177" s="342">
        <f>IF(AQ177=301,"",AQ177)</f>
        <v>178</v>
      </c>
      <c r="S177" s="342" t="str">
        <f>IF(AR177=0,"",AR177)</f>
        <v/>
      </c>
      <c r="T177" s="342">
        <f>IF(AS177=301,"",AS177)</f>
        <v>243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213</v>
      </c>
      <c r="AD177" s="378"/>
      <c r="AE177" s="377">
        <f>ABS(INDEX(AE:AE,MATCH(AE172,$AA:$AA,0)+11)+INDEX(AE:AE,MATCH(AE172,$AA:$AA,0)+12)+INDEX(AE:AE,MATCH(AE172,$AA:$AA,0)+13))</f>
        <v>221</v>
      </c>
      <c r="AF177" s="378"/>
      <c r="AG177" s="377">
        <f>ABS(INDEX(AG:AG,MATCH(AG172,$AA:$AA,0)+11)+INDEX(AG:AG,MATCH(AG172,$AA:$AA,0)+12)+INDEX(AG:AG,MATCH(AG172,$AA:$AA,0)+13))</f>
        <v>220</v>
      </c>
      <c r="AH177" s="378"/>
      <c r="AI177" s="377">
        <f>ABS(INDEX(AI:AI,MATCH(AI172,$AA:$AA,0)+11)+INDEX(AI:AI,MATCH(AI172,$AA:$AA,0)+12)+INDEX(AI:AI,MATCH(AI172,$AA:$AA,0)+13))</f>
        <v>214</v>
      </c>
      <c r="AJ177" s="378"/>
      <c r="AK177" s="377">
        <f>ABS(INDEX(AK:AK,MATCH(AK172,$AA:$AA,0)+11)+INDEX(AK:AK,MATCH(AK172,$AA:$AA,0)+12)+INDEX(AK:AK,MATCH(AK172,$AA:$AA,0)+13))</f>
        <v>182</v>
      </c>
      <c r="AL177" s="378"/>
      <c r="AM177" s="377">
        <f>ABS(INDEX(AM:AM,MATCH(AM172,$AA:$AA,0)+11)+INDEX(AM:AM,MATCH(AM172,$AA:$AA,0)+12)+INDEX(AM:AM,MATCH(AM172,$AA:$AA,0)+13))</f>
        <v>161</v>
      </c>
      <c r="AN177" s="378"/>
      <c r="AO177" s="377">
        <f>ABS(INDEX(AO:AO,MATCH(AO172,$AA:$AA,0)+11)+INDEX(AO:AO,MATCH(AO172,$AA:$AA,0)+12)+INDEX(AO:AO,MATCH(AO172,$AA:$AA,0)+13))</f>
        <v>177</v>
      </c>
      <c r="AP177" s="378"/>
      <c r="AQ177" s="377">
        <f>ABS(INDEX(AQ:AQ,MATCH(AQ172,$AA:$AA,0)+11)+INDEX(AQ:AQ,MATCH(AQ172,$AA:$AA,0)+12)+INDEX(AQ:AQ,MATCH(AQ172,$AA:$AA,0)+13))</f>
        <v>178</v>
      </c>
      <c r="AR177" s="378"/>
      <c r="AS177" s="377">
        <f>ABS(INDEX(AS:AS,MATCH(AS172,$AA:$AA,0)+11)+INDEX(AS:AS,MATCH(AS172,$AA:$AA,0)+12)+INDEX(AS:AS,MATCH(AS172,$AA:$AA,0)+13))</f>
        <v>243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160</v>
      </c>
      <c r="E178" s="342" t="str">
        <f>IF(AD178=0,"",AD178)</f>
        <v/>
      </c>
      <c r="F178" s="342">
        <f>IF(AE178=301,"",AE178)</f>
        <v>167</v>
      </c>
      <c r="G178" s="342" t="str">
        <f>IF(AF178=0,"",AF178)</f>
        <v/>
      </c>
      <c r="H178" s="342">
        <f>IF(AG178=301,"",AG178)</f>
        <v>184</v>
      </c>
      <c r="I178" s="342" t="str">
        <f>IF(AH178=0,"",AH178)</f>
        <v/>
      </c>
      <c r="J178" s="342">
        <f>IF(AI178=301,"",AI178)</f>
        <v>146</v>
      </c>
      <c r="K178" s="342" t="str">
        <f>IF(AJ178=0,"",AJ178)</f>
        <v/>
      </c>
      <c r="L178" s="342">
        <f>IF(AK178=301,"",AK178)</f>
        <v>225</v>
      </c>
      <c r="M178" s="342" t="str">
        <f>IF(AL178=0,"",AL178)</f>
        <v/>
      </c>
      <c r="N178" s="342">
        <f>IF(AM178=301,"",AM178)</f>
        <v>184</v>
      </c>
      <c r="O178" s="342" t="str">
        <f>IF(AN178=0,"",AN178)</f>
        <v/>
      </c>
      <c r="P178" s="342">
        <f>IF(AO178=301,"",AO178)</f>
        <v>187</v>
      </c>
      <c r="Q178" s="342" t="str">
        <f>IF(AP178=0,"",AP178)</f>
        <v/>
      </c>
      <c r="R178" s="342">
        <f>IF(AQ178=301,"",AQ178)</f>
        <v>183</v>
      </c>
      <c r="S178" s="342" t="str">
        <f>IF(AR178=0,"",AR178)</f>
        <v/>
      </c>
      <c r="T178" s="342">
        <f>IF(AS178=301,"",AS178)</f>
        <v>226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160</v>
      </c>
      <c r="AD178" s="378"/>
      <c r="AE178" s="377">
        <f>ABS(INDEX(AE:AE,MATCH(AE172,$AA:$AA,0)+14)+INDEX(AE:AE,MATCH(AE172,$AA:$AA,0)+15)+INDEX(AE:AE,MATCH(AE172,$AA:$AA,0)+16))</f>
        <v>167</v>
      </c>
      <c r="AF178" s="378"/>
      <c r="AG178" s="377">
        <f>ABS(INDEX(AG:AG,MATCH(AG172,$AA:$AA,0)+14)+INDEX(AG:AG,MATCH(AG172,$AA:$AA,0)+15)+INDEX(AG:AG,MATCH(AG172,$AA:$AA,0)+16))</f>
        <v>184</v>
      </c>
      <c r="AH178" s="378"/>
      <c r="AI178" s="377">
        <f>ABS(INDEX(AI:AI,MATCH(AI172,$AA:$AA,0)+14)+INDEX(AI:AI,MATCH(AI172,$AA:$AA,0)+15)+INDEX(AI:AI,MATCH(AI172,$AA:$AA,0)+16))</f>
        <v>146</v>
      </c>
      <c r="AJ178" s="378"/>
      <c r="AK178" s="377">
        <f>ABS(INDEX(AK:AK,MATCH(AK172,$AA:$AA,0)+14)+INDEX(AK:AK,MATCH(AK172,$AA:$AA,0)+15)+INDEX(AK:AK,MATCH(AK172,$AA:$AA,0)+16))</f>
        <v>225</v>
      </c>
      <c r="AL178" s="378"/>
      <c r="AM178" s="377">
        <f>ABS(INDEX(AM:AM,MATCH(AM172,$AA:$AA,0)+14)+INDEX(AM:AM,MATCH(AM172,$AA:$AA,0)+15)+INDEX(AM:AM,MATCH(AM172,$AA:$AA,0)+16))</f>
        <v>184</v>
      </c>
      <c r="AN178" s="378"/>
      <c r="AO178" s="377">
        <f>ABS(INDEX(AO:AO,MATCH(AO172,$AA:$AA,0)+14)+INDEX(AO:AO,MATCH(AO172,$AA:$AA,0)+15)+INDEX(AO:AO,MATCH(AO172,$AA:$AA,0)+16))</f>
        <v>187</v>
      </c>
      <c r="AP178" s="378"/>
      <c r="AQ178" s="377">
        <f>ABS(INDEX(AQ:AQ,MATCH(AQ172,$AA:$AA,0)+14)+INDEX(AQ:AQ,MATCH(AQ172,$AA:$AA,0)+15)+INDEX(AQ:AQ,MATCH(AQ172,$AA:$AA,0)+16))</f>
        <v>183</v>
      </c>
      <c r="AR178" s="378"/>
      <c r="AS178" s="377">
        <f>ABS(INDEX(AS:AS,MATCH(AS172,$AA:$AA,0)+14)+INDEX(AS:AS,MATCH(AS172,$AA:$AA,0)+15)+INDEX(AS:AS,MATCH(AS172,$AA:$AA,0)+16))</f>
        <v>226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683</v>
      </c>
      <c r="E179" s="341" t="str">
        <f>IF(AD179=0,"",AD179)</f>
        <v/>
      </c>
      <c r="F179" s="341">
        <f>IF(AE179=1505,"",AE179)</f>
        <v>785</v>
      </c>
      <c r="G179" s="341" t="str">
        <f>IF(AF179=0,"",AF179)</f>
        <v/>
      </c>
      <c r="H179" s="341">
        <f>IF(AG179=1505,"",AG179)</f>
        <v>785</v>
      </c>
      <c r="I179" s="341" t="str">
        <f>IF(AH179=0,"",AH179)</f>
        <v/>
      </c>
      <c r="J179" s="341">
        <f>IF(AI179=1505,"",AI179)</f>
        <v>748</v>
      </c>
      <c r="K179" s="341" t="str">
        <f>IF(AJ179=0,"",AJ179)</f>
        <v/>
      </c>
      <c r="L179" s="341">
        <f>IF(AK179=1505,"",AK179)</f>
        <v>796</v>
      </c>
      <c r="M179" s="341" t="str">
        <f>IF(AL179=0,"",AL179)</f>
        <v/>
      </c>
      <c r="N179" s="341">
        <f>IF(AM179=1505,"",AM179)</f>
        <v>765</v>
      </c>
      <c r="O179" s="341" t="str">
        <f>IF(AN179=0,"",AN179)</f>
        <v/>
      </c>
      <c r="P179" s="341">
        <f>IF(AO179=1505,"",AO179)</f>
        <v>697</v>
      </c>
      <c r="Q179" s="341" t="str">
        <f>IF(AP179=0,"",AP179)</f>
        <v/>
      </c>
      <c r="R179" s="341">
        <f>IF(AQ179=1505,"",AQ179)</f>
        <v>794</v>
      </c>
      <c r="S179" s="341" t="str">
        <f>IF(AR179=0,"",AR179)</f>
        <v/>
      </c>
      <c r="T179" s="341">
        <f>IF(AS179=1505,"",AS179)</f>
        <v>883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683</v>
      </c>
      <c r="AD179" s="358"/>
      <c r="AE179" s="357">
        <f>SUM(AE175:AE178)</f>
        <v>785</v>
      </c>
      <c r="AF179" s="358"/>
      <c r="AG179" s="357">
        <f>SUM(AG175:AG178)</f>
        <v>785</v>
      </c>
      <c r="AH179" s="358"/>
      <c r="AI179" s="357">
        <f>SUM(AI175:AI178)</f>
        <v>748</v>
      </c>
      <c r="AJ179" s="358"/>
      <c r="AK179" s="357">
        <f>SUM(AK175:AK178)</f>
        <v>796</v>
      </c>
      <c r="AL179" s="358"/>
      <c r="AM179" s="357">
        <f>SUM(AM175:AM178)</f>
        <v>765</v>
      </c>
      <c r="AN179" s="358"/>
      <c r="AO179" s="357">
        <f>SUM(AO175:AO178)</f>
        <v>697</v>
      </c>
      <c r="AP179" s="358"/>
      <c r="AQ179" s="357">
        <f>SUM(AQ175:AQ178)</f>
        <v>794</v>
      </c>
      <c r="AR179" s="358"/>
      <c r="AS179" s="357">
        <f>SUM(AS175:AS178)</f>
        <v>883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05.04./06.04.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05.04./06.04.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Dettelbach Extreme Bowlingarena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51">
        <f>IF(AD187="","",AD187)</f>
        <v>0.5</v>
      </c>
      <c r="F187" s="75">
        <f t="shared" ref="F187:F200" si="209">IF(AE187=0,"",AE187)</f>
        <v>242</v>
      </c>
      <c r="G187" s="351">
        <f>IF(AF187="","",AF187)</f>
        <v>0</v>
      </c>
      <c r="H187" s="75">
        <f t="shared" ref="H187:H200" si="210">IF(AG187=0,"",AG187)</f>
        <v>186</v>
      </c>
      <c r="I187" s="351">
        <f>IF(AH187="","",AH187)</f>
        <v>0</v>
      </c>
      <c r="J187" s="75">
        <f t="shared" ref="J187:J200" si="211">IF(AI187=0,"",AI187)</f>
        <v>147</v>
      </c>
      <c r="K187" s="351">
        <f>IF(AJ187="","",AJ187)</f>
        <v>0</v>
      </c>
      <c r="L187" s="75">
        <f t="shared" ref="L187:L200" si="212">IF(AK187=0,"",AK187)</f>
        <v>242</v>
      </c>
      <c r="M187" s="351">
        <f>IF(AL187="","",AL187)</f>
        <v>1</v>
      </c>
      <c r="N187" s="75">
        <f>IF(AM187=0,"",AM187)</f>
        <v>220</v>
      </c>
      <c r="O187" s="351">
        <f>IF(AN187="","",AN187)</f>
        <v>0</v>
      </c>
      <c r="P187" s="75">
        <f t="shared" ref="P187:P200" si="213">IF(AO187=0,"",AO187)</f>
        <v>164</v>
      </c>
      <c r="Q187" s="351">
        <f>IF(AP187="","",AP187)</f>
        <v>0</v>
      </c>
      <c r="R187" s="75">
        <f t="shared" ref="R187:R200" si="214">IF(AQ187=0,"",AQ187)</f>
        <v>150</v>
      </c>
      <c r="S187" s="351">
        <f>IF(AR187="","",AR187)</f>
        <v>0</v>
      </c>
      <c r="T187" s="75">
        <f t="shared" ref="T187:T200" si="215">IF(AS187=0,"",AS187)</f>
        <v>205</v>
      </c>
      <c r="U187" s="351">
        <f>IF(AT187="","",AT187)</f>
        <v>1</v>
      </c>
      <c r="V187" s="75">
        <f t="shared" ref="V187:V200" si="216">IF(AU187=0,"",AU187)</f>
        <v>1746</v>
      </c>
      <c r="W187" s="351">
        <f>IF(AV187="","",AV187)</f>
        <v>2.5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0.5</v>
      </c>
      <c r="AE187" s="185">
        <v>242</v>
      </c>
      <c r="AF187" s="109">
        <f>IF(SUM(AE187:AE189)+AE205=0,0,IF(SUM(AE187:AE189)=AE205,0.5,IF(SUM(AE187:AE189)&gt;AE205,1,0)))</f>
        <v>0</v>
      </c>
      <c r="AG187" s="185">
        <v>186</v>
      </c>
      <c r="AH187" s="109">
        <f>IF(SUM(AG187:AG189)+AG205=0,0,IF(SUM(AG187:AG189)=AG205,0.5,IF(SUM(AG187:AG189)&gt;AG205,1,0)))</f>
        <v>0</v>
      </c>
      <c r="AI187" s="185">
        <v>147</v>
      </c>
      <c r="AJ187" s="109">
        <f>IF(SUM(AI187:AI189)+AI205=0,0,IF(SUM(AI187:AI189)=AI205,0.5,IF(SUM(AI187:AI189)&gt;AI205,1,0)))</f>
        <v>0</v>
      </c>
      <c r="AK187" s="185">
        <v>242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0</v>
      </c>
      <c r="AO187" s="185">
        <v>164</v>
      </c>
      <c r="AP187" s="109">
        <f>IF(SUM(AO187:AO189)+AO205=0,0,IF(SUM(AO187:AO189)=AO205,0.5,IF(SUM(AO187:AO189)&gt;AO205,1,0)))</f>
        <v>0</v>
      </c>
      <c r="AQ187" s="185">
        <v>150</v>
      </c>
      <c r="AR187" s="109">
        <f>IF(SUM(AQ187:AQ189)+AQ205=0,0,IF(SUM(AQ187:AQ189)=AQ205,0.5,IF(SUM(AQ187:AQ189)&gt;AQ205,1,0)))</f>
        <v>0</v>
      </c>
      <c r="AS187" s="185">
        <v>205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1746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1746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190</v>
      </c>
      <c r="BI187" s="215">
        <f t="shared" ref="BI187:BI198" si="219">IF(AE187=0,"",AE187)</f>
        <v>242</v>
      </c>
      <c r="BJ187" s="215">
        <f t="shared" ref="BJ187:BJ198" si="220">IF(AG187=0,"",AG187)</f>
        <v>186</v>
      </c>
      <c r="BK187" s="215">
        <f t="shared" ref="BK187:BK198" si="221">IF(AI187=0,"",AI187)</f>
        <v>147</v>
      </c>
      <c r="BL187" s="215">
        <f t="shared" ref="BL187:BL198" si="222">IF(AK187=0,"",AK187)</f>
        <v>242</v>
      </c>
      <c r="BM187" s="215">
        <f t="shared" ref="BM187:BM198" si="223">IF(AM187=0,"",AM187)</f>
        <v>220</v>
      </c>
      <c r="BN187" s="215">
        <f t="shared" ref="BN187:BN198" si="224">IF(AO187=0,"",AO187)</f>
        <v>164</v>
      </c>
      <c r="BO187" s="215">
        <f t="shared" ref="BO187:BO198" si="225">IF(AQ187=0,"",AQ187)</f>
        <v>150</v>
      </c>
      <c r="BP187" s="215">
        <f t="shared" ref="BP187:BP198" si="226">IF(AS187=0,"",AS187)</f>
        <v>205</v>
      </c>
      <c r="BQ187" s="216"/>
      <c r="BR187" s="214"/>
      <c r="BS187" s="215">
        <f>MAX(BH187:BP187)</f>
        <v>242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1746</v>
      </c>
      <c r="BX187" s="215">
        <f>IF(COUNTIF(BH187:BP187,"&gt;0")&lt;Spielorte!$A$23,0,BE187/Spielorte!$A$23)</f>
        <v>194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231</v>
      </c>
      <c r="E190" s="351">
        <f>IF(AD190="","",AD190)</f>
        <v>1</v>
      </c>
      <c r="F190" s="75">
        <f t="shared" si="209"/>
        <v>180</v>
      </c>
      <c r="G190" s="351">
        <f>IF(AF190="","",AF190)</f>
        <v>0</v>
      </c>
      <c r="H190" s="75">
        <f t="shared" si="210"/>
        <v>213</v>
      </c>
      <c r="I190" s="351">
        <f>IF(AH190="","",AH190)</f>
        <v>1</v>
      </c>
      <c r="J190" s="75">
        <f t="shared" si="211"/>
        <v>196</v>
      </c>
      <c r="K190" s="351">
        <f>IF(AJ190="","",AJ190)</f>
        <v>1</v>
      </c>
      <c r="L190" s="75">
        <f t="shared" si="212"/>
        <v>186</v>
      </c>
      <c r="M190" s="351">
        <f>IF(AL190="","",AL190)</f>
        <v>0</v>
      </c>
      <c r="N190" s="75">
        <f t="shared" si="229"/>
        <v>212</v>
      </c>
      <c r="O190" s="351">
        <f>IF(AN190="","",AN190)</f>
        <v>1</v>
      </c>
      <c r="P190" s="75">
        <f t="shared" si="213"/>
        <v>169</v>
      </c>
      <c r="Q190" s="351">
        <f>IF(AP190="","",AP190)</f>
        <v>0</v>
      </c>
      <c r="R190" s="75">
        <f t="shared" si="214"/>
        <v>180</v>
      </c>
      <c r="S190" s="351">
        <f>IF(AR190="","",AR190)</f>
        <v>1</v>
      </c>
      <c r="T190" s="75">
        <f t="shared" si="215"/>
        <v>164</v>
      </c>
      <c r="U190" s="351">
        <f>IF(AT190="","",AT190)</f>
        <v>1</v>
      </c>
      <c r="V190" s="75">
        <f t="shared" si="216"/>
        <v>1731</v>
      </c>
      <c r="W190" s="351">
        <f>IF(AV190="","",AV190)</f>
        <v>6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231</v>
      </c>
      <c r="AD190" s="109">
        <f>IF(SUM(AC190:AC192)+AC206=0,0,IF(SUM(AC190:AC192)=AC206,0.5,IF(SUM(AC190:AC192)&gt;AC206,1,0)))</f>
        <v>1</v>
      </c>
      <c r="AE190" s="188">
        <v>180</v>
      </c>
      <c r="AF190" s="109">
        <f>IF(SUM(AE190:AE192)+AE206=0,0,IF(SUM(AE190:AE192)=AE206,0.5,IF(SUM(AE190:AE192)&gt;AE206,1,0)))</f>
        <v>0</v>
      </c>
      <c r="AG190" s="188">
        <v>213</v>
      </c>
      <c r="AH190" s="109">
        <f>IF(SUM(AG190:AG192)+AG206=0,0,IF(SUM(AG190:AG192)=AG206,0.5,IF(SUM(AG190:AG192)&gt;AG206,1,0)))</f>
        <v>1</v>
      </c>
      <c r="AI190" s="188">
        <v>196</v>
      </c>
      <c r="AJ190" s="109">
        <f>IF(SUM(AI190:AI192)+AI206=0,0,IF(SUM(AI190:AI192)=AI206,0.5,IF(SUM(AI190:AI192)&gt;AI206,1,0)))</f>
        <v>1</v>
      </c>
      <c r="AK190" s="188">
        <v>186</v>
      </c>
      <c r="AL190" s="109">
        <f>IF(SUM(AK190:AK192)+AK206=0,0,IF(SUM(AK190:AK192)=AK206,0.5,IF(SUM(AK190:AK192)&gt;AK206,1,0)))</f>
        <v>0</v>
      </c>
      <c r="AM190" s="188">
        <v>212</v>
      </c>
      <c r="AN190" s="109">
        <f>IF(ABS(SUM(AM190:AM192))+AM206=0,0,IF(ABS(SUM(AM190:AM192))=AM206,0.5,IF(ABS(SUM(AM190:AM192))&gt;AM206,1,0)))</f>
        <v>1</v>
      </c>
      <c r="AO190" s="188">
        <v>169</v>
      </c>
      <c r="AP190" s="109">
        <f>IF(SUM(AO190:AO192)+AO206=0,0,IF(SUM(AO190:AO192)=AO206,0.5,IF(SUM(AO190:AO192)&gt;AO206,1,0)))</f>
        <v>0</v>
      </c>
      <c r="AQ190" s="188">
        <v>180</v>
      </c>
      <c r="AR190" s="109">
        <f>IF(SUM(AQ190:AQ192)+AQ206=0,0,IF(SUM(AQ190:AQ192)=AQ206,0.5,IF(SUM(AQ190:AQ192)&gt;AQ206,1,0)))</f>
        <v>1</v>
      </c>
      <c r="AS190" s="188">
        <v>164</v>
      </c>
      <c r="AT190" s="109">
        <f>IF(SUM(AS190:AS192)+AS206=0,0,IF(SUM(AS190:AS192)=AS206,0.5,IF(SUM(AS190:AS192)&gt;AS206,1,0)))</f>
        <v>1</v>
      </c>
      <c r="AU190" s="110">
        <f t="shared" si="217"/>
        <v>1731</v>
      </c>
      <c r="AV190" s="111">
        <f>SUM(AD190+AF190+AH190+AJ190+AL190+AN190+AP190+AR190+AT190)</f>
        <v>6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1731</v>
      </c>
      <c r="BF190" s="215">
        <f t="shared" si="232"/>
        <v>9</v>
      </c>
      <c r="BG190" s="215">
        <f t="shared" si="233"/>
        <v>9</v>
      </c>
      <c r="BH190" s="215">
        <f t="shared" si="218"/>
        <v>231</v>
      </c>
      <c r="BI190" s="215">
        <f t="shared" si="219"/>
        <v>180</v>
      </c>
      <c r="BJ190" s="215">
        <f t="shared" si="220"/>
        <v>213</v>
      </c>
      <c r="BK190" s="215">
        <f t="shared" si="221"/>
        <v>196</v>
      </c>
      <c r="BL190" s="215">
        <f t="shared" si="222"/>
        <v>186</v>
      </c>
      <c r="BM190" s="215">
        <f t="shared" si="223"/>
        <v>212</v>
      </c>
      <c r="BN190" s="215">
        <f t="shared" si="224"/>
        <v>169</v>
      </c>
      <c r="BO190" s="215">
        <f t="shared" si="225"/>
        <v>180</v>
      </c>
      <c r="BP190" s="215">
        <f t="shared" si="226"/>
        <v>164</v>
      </c>
      <c r="BQ190" s="216"/>
      <c r="BR190" s="214"/>
      <c r="BS190" s="215">
        <f t="shared" si="234"/>
        <v>231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1731</v>
      </c>
      <c r="BX190" s="215">
        <f>IF(COUNTIF(BH190:BP190,"&gt;0")&lt;Spielorte!$A$23,0,BE190/Spielorte!$A$23)</f>
        <v>192.33333333333334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244</v>
      </c>
      <c r="E193" s="351">
        <f>IF(AD193="","",AD193)</f>
        <v>1</v>
      </c>
      <c r="F193" s="75">
        <f t="shared" si="209"/>
        <v>191</v>
      </c>
      <c r="G193" s="351">
        <f>IF(AF193="","",AF193)</f>
        <v>1</v>
      </c>
      <c r="H193" s="75">
        <f t="shared" si="210"/>
        <v>171</v>
      </c>
      <c r="I193" s="351">
        <f>IF(AH193="","",AH193)</f>
        <v>1</v>
      </c>
      <c r="J193" s="75">
        <f t="shared" si="211"/>
        <v>198</v>
      </c>
      <c r="K193" s="351">
        <f>IF(AJ193="","",AJ193)</f>
        <v>1</v>
      </c>
      <c r="L193" s="75">
        <f t="shared" si="212"/>
        <v>246</v>
      </c>
      <c r="M193" s="351">
        <f>IF(AL193="","",AL193)</f>
        <v>1</v>
      </c>
      <c r="N193" s="75">
        <f t="shared" si="229"/>
        <v>210</v>
      </c>
      <c r="O193" s="351">
        <f>IF(AN193="","",AN193)</f>
        <v>1</v>
      </c>
      <c r="P193" s="75">
        <f t="shared" si="213"/>
        <v>177</v>
      </c>
      <c r="Q193" s="351">
        <f>IF(AP193="","",AP193)</f>
        <v>0</v>
      </c>
      <c r="R193" s="75">
        <f t="shared" si="214"/>
        <v>183</v>
      </c>
      <c r="S193" s="351">
        <f>IF(AR193="","",AR193)</f>
        <v>1</v>
      </c>
      <c r="T193" s="75">
        <f t="shared" si="215"/>
        <v>158</v>
      </c>
      <c r="U193" s="351">
        <f>IF(AT193="","",AT193)</f>
        <v>0</v>
      </c>
      <c r="V193" s="75">
        <f t="shared" si="216"/>
        <v>1778</v>
      </c>
      <c r="W193" s="351">
        <f>IF(AV193="","",AV193)</f>
        <v>7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244</v>
      </c>
      <c r="AD193" s="109">
        <f>IF(SUM(AC193:AC195)+AC207=0,0,IF(SUM(AC193:AC195)=AC207,0.5,IF(SUM(AC193:AC195)&gt;AC207,1,0)))</f>
        <v>1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171</v>
      </c>
      <c r="AH193" s="109">
        <f>IF(SUM(AG193:AG195)+AG207=0,0,IF(SUM(AG193:AG195)=AG207,0.5,IF(SUM(AG193:AG195)&gt;AG207,1,0)))</f>
        <v>1</v>
      </c>
      <c r="AI193" s="188">
        <v>198</v>
      </c>
      <c r="AJ193" s="109">
        <f>IF(SUM(AI193:AI195)+AI207=0,0,IF(SUM(AI193:AI195)=AI207,0.5,IF(SUM(AI193:AI195)&gt;AI207,1,0)))</f>
        <v>1</v>
      </c>
      <c r="AK193" s="188">
        <v>246</v>
      </c>
      <c r="AL193" s="109">
        <f>IF(SUM(AK193:AK195)+AK207=0,0,IF(SUM(AK193:AK195)=AK207,0.5,IF(SUM(AK193:AK195)&gt;AK207,1,0)))</f>
        <v>1</v>
      </c>
      <c r="AM193" s="188">
        <v>210</v>
      </c>
      <c r="AN193" s="109">
        <f>IF(SUM(AM193:AM195)+AM207=0,0,IF(SUM(AM193:AM195)=AM207,0.5,IF(SUM(AM193:AM195)&gt;AM207,1,0)))</f>
        <v>1</v>
      </c>
      <c r="AO193" s="188">
        <v>177</v>
      </c>
      <c r="AP193" s="109">
        <f>IF(SUM(AO193:AO195)+AO207=0,0,IF(SUM(AO193:AO195)=AO207,0.5,IF(SUM(AO193:AO195)&gt;AO207,1,0)))</f>
        <v>0</v>
      </c>
      <c r="AQ193" s="188">
        <v>183</v>
      </c>
      <c r="AR193" s="109">
        <f>IF(SUM(AQ193:AQ195)+AQ207=0,0,IF(SUM(AQ193:AQ195)=AQ207,0.5,IF(SUM(AQ193:AQ195)&gt;AQ207,1,0)))</f>
        <v>1</v>
      </c>
      <c r="AS193" s="188">
        <v>158</v>
      </c>
      <c r="AT193" s="109">
        <f>IF(SUM(AS193:AS195)+AS207=0,0,IF(SUM(AS193:AS195)=AS207,0.5,IF(SUM(AS193:AS195)&gt;AS207,1,0)))</f>
        <v>0</v>
      </c>
      <c r="AU193" s="110">
        <f t="shared" si="217"/>
        <v>1778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1778</v>
      </c>
      <c r="BF193" s="215">
        <f t="shared" si="232"/>
        <v>9</v>
      </c>
      <c r="BG193" s="215">
        <f t="shared" si="233"/>
        <v>9</v>
      </c>
      <c r="BH193" s="215">
        <f t="shared" si="218"/>
        <v>244</v>
      </c>
      <c r="BI193" s="215">
        <f t="shared" si="219"/>
        <v>191</v>
      </c>
      <c r="BJ193" s="215">
        <f t="shared" si="220"/>
        <v>171</v>
      </c>
      <c r="BK193" s="215">
        <f t="shared" si="221"/>
        <v>198</v>
      </c>
      <c r="BL193" s="215">
        <f t="shared" si="222"/>
        <v>246</v>
      </c>
      <c r="BM193" s="215">
        <f t="shared" si="223"/>
        <v>210</v>
      </c>
      <c r="BN193" s="215">
        <f t="shared" si="224"/>
        <v>177</v>
      </c>
      <c r="BO193" s="215">
        <f t="shared" si="225"/>
        <v>183</v>
      </c>
      <c r="BP193" s="215">
        <f t="shared" si="226"/>
        <v>158</v>
      </c>
      <c r="BQ193" s="216"/>
      <c r="BR193" s="214"/>
      <c r="BS193" s="215">
        <f t="shared" si="234"/>
        <v>246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1778</v>
      </c>
      <c r="BX193" s="215">
        <f>IF(COUNTIF(BH193:BP193,"&gt;0")&lt;Spielorte!$A$23,0,BE193/Spielorte!$A$23)</f>
        <v>197.55555555555554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245</v>
      </c>
      <c r="E196" s="351">
        <f>IF(AD196="","",AD196)</f>
        <v>1</v>
      </c>
      <c r="F196" s="75">
        <f t="shared" si="209"/>
        <v>212</v>
      </c>
      <c r="G196" s="351">
        <f>IF(AF196="","",AF196)</f>
        <v>0</v>
      </c>
      <c r="H196" s="75">
        <f t="shared" si="210"/>
        <v>244</v>
      </c>
      <c r="I196" s="351">
        <f>IF(AH196="","",AH196)</f>
        <v>1</v>
      </c>
      <c r="J196" s="75">
        <f t="shared" si="211"/>
        <v>237</v>
      </c>
      <c r="K196" s="351">
        <f>IF(AJ196="","",AJ196)</f>
        <v>1</v>
      </c>
      <c r="L196" s="75">
        <f t="shared" si="212"/>
        <v>192</v>
      </c>
      <c r="M196" s="351">
        <f>IF(AL196="","",AL196)</f>
        <v>0</v>
      </c>
      <c r="N196" s="75">
        <f t="shared" si="229"/>
        <v>221</v>
      </c>
      <c r="O196" s="351">
        <f>IF(AN196="","",AN196)</f>
        <v>1</v>
      </c>
      <c r="P196" s="75">
        <f t="shared" si="213"/>
        <v>187</v>
      </c>
      <c r="Q196" s="351">
        <f>IF(AP196="","",AP196)</f>
        <v>1</v>
      </c>
      <c r="R196" s="75">
        <f t="shared" si="214"/>
        <v>204</v>
      </c>
      <c r="S196" s="351">
        <f>IF(AR196="","",AR196)</f>
        <v>1</v>
      </c>
      <c r="T196" s="75">
        <f t="shared" si="215"/>
        <v>234</v>
      </c>
      <c r="U196" s="351">
        <f>IF(AT196="","",AT196)</f>
        <v>1</v>
      </c>
      <c r="V196" s="75">
        <f t="shared" si="216"/>
        <v>1976</v>
      </c>
      <c r="W196" s="351">
        <f>IF(AV196="","",AV196)</f>
        <v>7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245</v>
      </c>
      <c r="AD196" s="109">
        <f>IF(SUM(AC196:AC198)+AC208=0,0,IF(SUM(AC196:AC198)=AC208,0.5,IF(SUM(AC196:AC198)&gt;AC208,1,0)))</f>
        <v>1</v>
      </c>
      <c r="AE196" s="188">
        <v>212</v>
      </c>
      <c r="AF196" s="109">
        <f>IF(SUM(AE196:AE198)+AE208=0,0,IF(SUM(AE196:AE198)=AE208,0.5,IF(SUM(AE196:AE198)&gt;AE208,1,0)))</f>
        <v>0</v>
      </c>
      <c r="AG196" s="188">
        <v>244</v>
      </c>
      <c r="AH196" s="109">
        <f>IF(SUM(AG196:AG198)+AG208=0,0,IF(SUM(AG196:AG198)=AG208,0.5,IF(SUM(AG196:AG198)&gt;AG208,1,0)))</f>
        <v>1</v>
      </c>
      <c r="AI196" s="188">
        <v>237</v>
      </c>
      <c r="AJ196" s="109">
        <f>IF(SUM(AI196:AI198)+AI208=0,0,IF(SUM(AI196:AI198)=AI208,0.5,IF(SUM(AI196:AI198)&gt;AI208,1,0)))</f>
        <v>1</v>
      </c>
      <c r="AK196" s="188">
        <v>192</v>
      </c>
      <c r="AL196" s="109">
        <f>IF(SUM(AK196:AK198)+AK208=0,0,IF(SUM(AK196:AK198)=AK208,0.5,IF(SUM(AK196:AK198)&gt;AK208,1,0)))</f>
        <v>0</v>
      </c>
      <c r="AM196" s="188">
        <v>221</v>
      </c>
      <c r="AN196" s="109">
        <f>IF(SUM(AM196:AM198)+AM208=0,0,IF(SUM(AM196:AM198)=AM208,0.5,IF(SUM(AM196:AM198)&gt;AM208,1,0)))</f>
        <v>1</v>
      </c>
      <c r="AO196" s="188">
        <v>187</v>
      </c>
      <c r="AP196" s="109">
        <f>IF(SUM(AO196:AO198)+AO208=0,0,IF(SUM(AO196:AO198)=AO208,0.5,IF(SUM(AO196:AO198)&gt;AO208,1,0)))</f>
        <v>1</v>
      </c>
      <c r="AQ196" s="188">
        <v>204</v>
      </c>
      <c r="AR196" s="109">
        <f>IF(SUM(AQ196:AQ198)+AQ208=0,0,IF(SUM(AQ196:AQ198)=AQ208,0.5,IF(SUM(AQ196:AQ198)&gt;AQ208,1,0)))</f>
        <v>1</v>
      </c>
      <c r="AS196" s="188">
        <v>234</v>
      </c>
      <c r="AT196" s="109">
        <f>IF(SUM(AS196:AS198)+AS208=0,0,IF(SUM(AS196:AS198)=AS208,0.5,IF(SUM(AS196:AS198)&gt;AS208,1,0)))</f>
        <v>1</v>
      </c>
      <c r="AU196" s="110">
        <f t="shared" si="217"/>
        <v>1976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1976</v>
      </c>
      <c r="BF196" s="215">
        <f t="shared" si="232"/>
        <v>9</v>
      </c>
      <c r="BG196" s="215">
        <f t="shared" si="233"/>
        <v>9</v>
      </c>
      <c r="BH196" s="215">
        <f t="shared" si="218"/>
        <v>245</v>
      </c>
      <c r="BI196" s="215">
        <f t="shared" si="219"/>
        <v>212</v>
      </c>
      <c r="BJ196" s="215">
        <f t="shared" si="220"/>
        <v>244</v>
      </c>
      <c r="BK196" s="215">
        <f t="shared" si="221"/>
        <v>237</v>
      </c>
      <c r="BL196" s="215">
        <f t="shared" si="222"/>
        <v>192</v>
      </c>
      <c r="BM196" s="215">
        <f t="shared" si="223"/>
        <v>221</v>
      </c>
      <c r="BN196" s="215">
        <f t="shared" si="224"/>
        <v>187</v>
      </c>
      <c r="BO196" s="215">
        <f t="shared" si="225"/>
        <v>204</v>
      </c>
      <c r="BP196" s="215">
        <f t="shared" si="226"/>
        <v>234</v>
      </c>
      <c r="BQ196" s="216"/>
      <c r="BR196" s="214"/>
      <c r="BS196" s="215">
        <f t="shared" si="234"/>
        <v>245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1976</v>
      </c>
      <c r="BX196" s="215">
        <f>IF(COUNTIF(BH196:BP196,"&gt;0")&lt;Spielorte!$A$23,0,BE196/Spielorte!$A$23)</f>
        <v>219.55555555555554</v>
      </c>
      <c r="BY196" s="215">
        <f t="shared" si="239"/>
        <v>219.55555575155554</v>
      </c>
      <c r="BZ196" s="214">
        <f t="shared" si="227"/>
        <v>1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910</v>
      </c>
      <c r="E199" s="84">
        <f>IF(AD199="","",AD199)</f>
        <v>2</v>
      </c>
      <c r="F199" s="83">
        <f t="shared" si="209"/>
        <v>825</v>
      </c>
      <c r="G199" s="84">
        <f>IF(AF199="","",AF199)</f>
        <v>0</v>
      </c>
      <c r="H199" s="83">
        <f t="shared" si="210"/>
        <v>814</v>
      </c>
      <c r="I199" s="84">
        <f>IF(AH199="","",AH199)</f>
        <v>2</v>
      </c>
      <c r="J199" s="83">
        <f t="shared" si="211"/>
        <v>778</v>
      </c>
      <c r="K199" s="84">
        <f>IF(AJ199="","",AJ199)</f>
        <v>2</v>
      </c>
      <c r="L199" s="83">
        <f t="shared" si="212"/>
        <v>866</v>
      </c>
      <c r="M199" s="84">
        <f>IF(AL199="","",AL199)</f>
        <v>2</v>
      </c>
      <c r="N199" s="83">
        <f t="shared" si="229"/>
        <v>863</v>
      </c>
      <c r="O199" s="84">
        <f>IF(AN199="","",AN199)</f>
        <v>2</v>
      </c>
      <c r="P199" s="83">
        <f t="shared" si="213"/>
        <v>697</v>
      </c>
      <c r="Q199" s="84">
        <f>IF(AP199="","",AP199)</f>
        <v>0</v>
      </c>
      <c r="R199" s="83">
        <f t="shared" si="214"/>
        <v>717</v>
      </c>
      <c r="S199" s="84">
        <f>IF(AR199="","",AR199)</f>
        <v>2</v>
      </c>
      <c r="T199" s="83">
        <f t="shared" si="215"/>
        <v>761</v>
      </c>
      <c r="U199" s="84">
        <f>IF(AT199="","",AT199)</f>
        <v>2</v>
      </c>
      <c r="V199" s="83">
        <f t="shared" si="216"/>
        <v>7231</v>
      </c>
      <c r="W199" s="84">
        <f>IF(AV199="","",AV199)</f>
        <v>14</v>
      </c>
      <c r="AA199" s="81" t="s">
        <v>1799</v>
      </c>
      <c r="AB199" s="120"/>
      <c r="AC199" s="211">
        <f>ABS(SUM(AC187:AC189))+ABS(SUM(AC190:AC192))+ABS(SUM(AC193:AC195))+ABS(SUM(AC196:AC198))</f>
        <v>910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825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814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778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866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863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717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761</v>
      </c>
      <c r="AT199" s="121">
        <f>IF(AS199+AS209=0,0,IF(AS199=AS209,1,IF(AS199&gt;AS209,2,0)))</f>
        <v>2</v>
      </c>
      <c r="AU199" s="122">
        <f>SUM(AC199+AE199+AG199+AI199+AK199+AM199+AO199+AQ199+AS199)</f>
        <v>7231</v>
      </c>
      <c r="AV199" s="123">
        <f>SUM(AD199+AF199+AH199+AJ199+AL199+AN199+AP199+AR199+AT199)</f>
        <v>14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5.5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5</v>
      </c>
      <c r="J200" s="86" t="str">
        <f t="shared" si="211"/>
        <v/>
      </c>
      <c r="K200" s="87">
        <f>IF(AJ200="","",AJ200)</f>
        <v>5</v>
      </c>
      <c r="L200" s="86" t="str">
        <f t="shared" si="212"/>
        <v/>
      </c>
      <c r="M200" s="87">
        <f>IF(AL200="","",AL200)</f>
        <v>4</v>
      </c>
      <c r="N200" s="86" t="str">
        <f t="shared" si="229"/>
        <v/>
      </c>
      <c r="O200" s="87">
        <f>IF(AN200="","",AN200)</f>
        <v>5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5</v>
      </c>
      <c r="T200" s="86" t="str">
        <f t="shared" si="215"/>
        <v/>
      </c>
      <c r="U200" s="87">
        <f>IF(AT200="","",AT200)</f>
        <v>5</v>
      </c>
      <c r="V200" s="86" t="str">
        <f t="shared" si="216"/>
        <v/>
      </c>
      <c r="W200" s="87">
        <f>IF(AV200="","",AV200)</f>
        <v>36.5</v>
      </c>
      <c r="AA200" s="85" t="s">
        <v>1814</v>
      </c>
      <c r="AB200" s="86"/>
      <c r="AC200" s="86"/>
      <c r="AD200" s="124">
        <f>SUM(AD187:AD199)</f>
        <v>5.5</v>
      </c>
      <c r="AE200" s="86"/>
      <c r="AF200" s="124">
        <f>SUM(AF187:AF199)</f>
        <v>1</v>
      </c>
      <c r="AG200" s="86"/>
      <c r="AH200" s="124">
        <f>SUM(AH187:AH199)</f>
        <v>5</v>
      </c>
      <c r="AI200" s="86"/>
      <c r="AJ200" s="124">
        <f>SUM(AJ187:AJ199)</f>
        <v>5</v>
      </c>
      <c r="AK200" s="86"/>
      <c r="AL200" s="124">
        <f>SUM(AL187:AL199)</f>
        <v>4</v>
      </c>
      <c r="AM200" s="86"/>
      <c r="AN200" s="124">
        <f>SUM(AN187:AN199)</f>
        <v>5</v>
      </c>
      <c r="AO200" s="86"/>
      <c r="AP200" s="124">
        <f>SUM(AP187:AP199)</f>
        <v>1</v>
      </c>
      <c r="AQ200" s="86"/>
      <c r="AR200" s="124">
        <f>SUM(AR187:AR199)</f>
        <v>5</v>
      </c>
      <c r="AS200" s="86"/>
      <c r="AT200" s="124">
        <f>SUM(AT187:AT199)</f>
        <v>5</v>
      </c>
      <c r="AU200" s="86"/>
      <c r="AV200" s="125">
        <f>SUM(AV187:AV199)</f>
        <v>36.5</v>
      </c>
      <c r="AW200" s="101"/>
      <c r="AX200" s="102"/>
      <c r="BA200" s="212">
        <f>+AV200</f>
        <v>36.5</v>
      </c>
      <c r="BB200" s="213">
        <f>+AU199</f>
        <v>7231</v>
      </c>
      <c r="BC200" s="214">
        <f>+AA182</f>
        <v>7</v>
      </c>
      <c r="BF200" s="215">
        <f>SUM(BF181:BF199)</f>
        <v>36</v>
      </c>
      <c r="BQ200" s="212">
        <f>+BB200/1000000+BA200</f>
        <v>36.507230999999997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1</v>
      </c>
      <c r="E202" s="349" t="str">
        <f t="shared" si="240"/>
        <v/>
      </c>
      <c r="F202" s="349">
        <f t="shared" si="240"/>
        <v>5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2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4</v>
      </c>
      <c r="O202" s="349" t="str">
        <f t="shared" si="240"/>
        <v/>
      </c>
      <c r="P202" s="349">
        <f t="shared" si="240"/>
        <v>6</v>
      </c>
      <c r="Q202" s="349" t="str">
        <f t="shared" si="240"/>
        <v/>
      </c>
      <c r="R202" s="349">
        <f t="shared" ref="L202:U204" si="241">IF(AQ202=0,"",AQ202)</f>
        <v>3</v>
      </c>
      <c r="S202" s="349" t="str">
        <f t="shared" si="241"/>
        <v/>
      </c>
      <c r="T202" s="349">
        <f t="shared" si="241"/>
        <v>8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VLOOKUP($AA182,Schlüssel!$A$5:$DG$14,103)</f>
        <v>1</v>
      </c>
      <c r="AD202" s="374"/>
      <c r="AE202" s="373">
        <f>VLOOKUP($AA182,Schlüssel!$A$5:$EK$14,104)</f>
        <v>5</v>
      </c>
      <c r="AF202" s="374"/>
      <c r="AG202" s="373">
        <f>VLOOKUP($AA182,Schlüssel!$A$5:$EK$14,105)</f>
        <v>9</v>
      </c>
      <c r="AH202" s="374"/>
      <c r="AI202" s="373">
        <f>VLOOKUP($AA182,Schlüssel!$A$5:$EK$14,106)</f>
        <v>2</v>
      </c>
      <c r="AJ202" s="374"/>
      <c r="AK202" s="373">
        <f>VLOOKUP($AA182,Schlüssel!$A$5:$EK$14,107)</f>
        <v>10</v>
      </c>
      <c r="AL202" s="374"/>
      <c r="AM202" s="373">
        <f>VLOOKUP($AA182,Schlüssel!$A$5:$EK$14,108)</f>
        <v>4</v>
      </c>
      <c r="AN202" s="374"/>
      <c r="AO202" s="373">
        <f>VLOOKUP($AA182,Schlüssel!$A$5:$EK$14,109)</f>
        <v>6</v>
      </c>
      <c r="AP202" s="374"/>
      <c r="AQ202" s="373">
        <f>VLOOKUP($AA182,Schlüssel!$A$5:$EK$14,110)</f>
        <v>3</v>
      </c>
      <c r="AR202" s="374"/>
      <c r="AS202" s="373">
        <f>VLOOKUP($AA182,Schlüssel!$A$5:$EK$14,111)</f>
        <v>8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Comet Nürnberg</v>
      </c>
      <c r="E203" s="347" t="str">
        <f t="shared" si="242"/>
        <v/>
      </c>
      <c r="F203" s="346" t="str">
        <f t="shared" si="242"/>
        <v>RW Lichtenhof Stein 1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Bajuwaren München 1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SG DJK Rimpar</v>
      </c>
      <c r="O203" s="347" t="str">
        <f t="shared" si="241"/>
        <v/>
      </c>
      <c r="P203" s="346" t="str">
        <f t="shared" si="241"/>
        <v>SG Rottendorf 1</v>
      </c>
      <c r="Q203" s="347" t="str">
        <f t="shared" si="241"/>
        <v/>
      </c>
      <c r="R203" s="346" t="str">
        <f t="shared" si="241"/>
        <v>BK München 3</v>
      </c>
      <c r="S203" s="347" t="str">
        <f t="shared" si="241"/>
        <v/>
      </c>
      <c r="T203" s="346" t="str">
        <f t="shared" si="241"/>
        <v>BC EMAX Unterföhring 2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Comet Nürnberg</v>
      </c>
      <c r="AD203" s="347"/>
      <c r="AE203" s="346" t="str">
        <f>VLOOKUP(AE202,Schlüssel!$A$5:$K$14,2)</f>
        <v>RW Lichtenhof Stein 1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SG Rottendorf 1</v>
      </c>
      <c r="AP203" s="347"/>
      <c r="AQ203" s="346" t="str">
        <f>VLOOKUP(AQ202,Schlüssel!$A$5:$K$14,2)</f>
        <v>BK München 3</v>
      </c>
      <c r="AR203" s="347"/>
      <c r="AS203" s="346" t="str">
        <f>VLOOKUP(AS202,Schlüssel!$A$5:$K$14,2)</f>
        <v>BC EMAX Unterföhring 2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190</v>
      </c>
      <c r="E205" s="342" t="str">
        <f>IF(AD205=0,"",AD205)</f>
        <v/>
      </c>
      <c r="F205" s="342">
        <f>IF(AE205=301,"",AE205)</f>
        <v>247</v>
      </c>
      <c r="G205" s="342" t="str">
        <f>IF(AF205=0,"",AF205)</f>
        <v/>
      </c>
      <c r="H205" s="342">
        <f>IF(AG205=301,"",AG205)</f>
        <v>204</v>
      </c>
      <c r="I205" s="342" t="str">
        <f>IF(AH205=0,"",AH205)</f>
        <v/>
      </c>
      <c r="J205" s="342">
        <f>IF(AI205=301,"",AI205)</f>
        <v>223</v>
      </c>
      <c r="K205" s="342" t="str">
        <f>IF(AJ205=0,"",AJ205)</f>
        <v/>
      </c>
      <c r="L205" s="342">
        <f>IF(AK205=301,"",AK205)</f>
        <v>224</v>
      </c>
      <c r="M205" s="342" t="str">
        <f>IF(AL205=0,"",AL205)</f>
        <v/>
      </c>
      <c r="N205" s="342">
        <f>IF(AM205=301,"",AM205)</f>
        <v>237</v>
      </c>
      <c r="O205" s="342" t="str">
        <f>IF(AN205=0,"",AN205)</f>
        <v/>
      </c>
      <c r="P205" s="342">
        <f>IF(AO205=301,"",AO205)</f>
        <v>182</v>
      </c>
      <c r="Q205" s="342" t="str">
        <f>IF(AP205=0,"",AP205)</f>
        <v/>
      </c>
      <c r="R205" s="342">
        <f>IF(AQ205=301,"",AQ205)</f>
        <v>175</v>
      </c>
      <c r="S205" s="342" t="str">
        <f>IF(AR205=0,"",AR205)</f>
        <v/>
      </c>
      <c r="T205" s="342">
        <f>IF(AS205=301,"",AS205)</f>
        <v>182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190</v>
      </c>
      <c r="AD205" s="376"/>
      <c r="AE205" s="375">
        <f>ABS(INDEX(AE:AE,MATCH(AE202,$AA:$AA,0)+5)+INDEX(AE:AE,MATCH(AE202,$AA:$AA,0)+6)+INDEX(AE:AE,MATCH(AE202,$AA:$AA,0)+7))</f>
        <v>247</v>
      </c>
      <c r="AF205" s="376"/>
      <c r="AG205" s="375">
        <f>ABS(INDEX(AG:AG,MATCH(AG202,$AA:$AA,0)+5)+INDEX(AG:AG,MATCH(AG202,$AA:$AA,0)+6)+INDEX(AG:AG,MATCH(AG202,$AA:$AA,0)+7))</f>
        <v>204</v>
      </c>
      <c r="AH205" s="376"/>
      <c r="AI205" s="375">
        <f>ABS(INDEX(AI:AI,MATCH(AI202,$AA:$AA,0)+5)+INDEX(AI:AI,MATCH(AI202,$AA:$AA,0)+6)+INDEX(AI:AI,MATCH(AI202,$AA:$AA,0)+7))</f>
        <v>223</v>
      </c>
      <c r="AJ205" s="376"/>
      <c r="AK205" s="375">
        <f>ABS(INDEX(AK:AK,MATCH(AK202,$AA:$AA,0)+5)+INDEX(AK:AK,MATCH(AK202,$AA:$AA,0)+6)+INDEX(AK:AK,MATCH(AK202,$AA:$AA,0)+7))</f>
        <v>224</v>
      </c>
      <c r="AL205" s="376"/>
      <c r="AM205" s="375">
        <f>ABS(INDEX(AM:AM,MATCH(AM202,$AA:$AA,0)+5)+INDEX(AM:AM,MATCH(AM202,$AA:$AA,0)+6)+INDEX(AM:AM,MATCH(AM202,$AA:$AA,0)+7))</f>
        <v>237</v>
      </c>
      <c r="AN205" s="376"/>
      <c r="AO205" s="375">
        <f>ABS(INDEX(AO:AO,MATCH(AO202,$AA:$AA,0)+5)+INDEX(AO:AO,MATCH(AO202,$AA:$AA,0)+6)+INDEX(AO:AO,MATCH(AO202,$AA:$AA,0)+7))</f>
        <v>182</v>
      </c>
      <c r="AP205" s="376"/>
      <c r="AQ205" s="375">
        <f>ABS(INDEX(AQ:AQ,MATCH(AQ202,$AA:$AA,0)+5)+INDEX(AQ:AQ,MATCH(AQ202,$AA:$AA,0)+6)+INDEX(AQ:AQ,MATCH(AQ202,$AA:$AA,0)+7))</f>
        <v>175</v>
      </c>
      <c r="AR205" s="376"/>
      <c r="AS205" s="375">
        <f>ABS(INDEX(AS:AS,MATCH(AS202,$AA:$AA,0)+5)+INDEX(AS:AS,MATCH(AS202,$AA:$AA,0)+6)+INDEX(AS:AS,MATCH(AS202,$AA:$AA,0)+7))</f>
        <v>182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214</v>
      </c>
      <c r="E206" s="342" t="str">
        <f>IF(AD206=0,"",AD206)</f>
        <v/>
      </c>
      <c r="F206" s="342">
        <f>IF(AE206=301,"",AE206)</f>
        <v>195</v>
      </c>
      <c r="G206" s="342" t="str">
        <f>IF(AF206=0,"",AF206)</f>
        <v/>
      </c>
      <c r="H206" s="342">
        <f>IF(AG206=301,"",AG206)</f>
        <v>159</v>
      </c>
      <c r="I206" s="342" t="str">
        <f>IF(AH206=0,"",AH206)</f>
        <v/>
      </c>
      <c r="J206" s="342">
        <f>IF(AI206=301,"",AI206)</f>
        <v>132</v>
      </c>
      <c r="K206" s="342" t="str">
        <f>IF(AJ206=0,"",AJ206)</f>
        <v/>
      </c>
      <c r="L206" s="342">
        <f>IF(AK206=301,"",AK206)</f>
        <v>264</v>
      </c>
      <c r="M206" s="342" t="str">
        <f>IF(AL206=0,"",AL206)</f>
        <v/>
      </c>
      <c r="N206" s="342">
        <f>IF(AM206=301,"",AM206)</f>
        <v>189</v>
      </c>
      <c r="O206" s="342" t="str">
        <f>IF(AN206=0,"",AN206)</f>
        <v/>
      </c>
      <c r="P206" s="342">
        <f>IF(AO206=301,"",AO206)</f>
        <v>191</v>
      </c>
      <c r="Q206" s="342" t="str">
        <f>IF(AP206=0,"",AP206)</f>
        <v/>
      </c>
      <c r="R206" s="342">
        <f>IF(AQ206=301,"",AQ206)</f>
        <v>173</v>
      </c>
      <c r="S206" s="342" t="str">
        <f>IF(AR206=0,"",AR206)</f>
        <v/>
      </c>
      <c r="T206" s="342">
        <f>IF(AS206=301,"",AS206)</f>
        <v>136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214</v>
      </c>
      <c r="AD206" s="378"/>
      <c r="AE206" s="377">
        <f>ABS(INDEX(AE:AE,MATCH(AE202,$AA:$AA,0)+8)+INDEX(AE:AE,MATCH(AE202,$AA:$AA,0)+9)+INDEX(AE:AE,MATCH(AE202,$AA:$AA,0)+10))</f>
        <v>195</v>
      </c>
      <c r="AF206" s="378"/>
      <c r="AG206" s="377">
        <f>ABS(INDEX(AG:AG,MATCH(AG202,$AA:$AA,0)+8)+INDEX(AG:AG,MATCH(AG202,$AA:$AA,0)+9)+INDEX(AG:AG,MATCH(AG202,$AA:$AA,0)+10))</f>
        <v>159</v>
      </c>
      <c r="AH206" s="378"/>
      <c r="AI206" s="377">
        <f>ABS(INDEX(AI:AI,MATCH(AI202,$AA:$AA,0)+8)+INDEX(AI:AI,MATCH(AI202,$AA:$AA,0)+9)+INDEX(AI:AI,MATCH(AI202,$AA:$AA,0)+10))</f>
        <v>132</v>
      </c>
      <c r="AJ206" s="378"/>
      <c r="AK206" s="377">
        <f>ABS(INDEX(AK:AK,MATCH(AK202,$AA:$AA,0)+8)+INDEX(AK:AK,MATCH(AK202,$AA:$AA,0)+9)+INDEX(AK:AK,MATCH(AK202,$AA:$AA,0)+10))</f>
        <v>264</v>
      </c>
      <c r="AL206" s="378"/>
      <c r="AM206" s="377">
        <f>ABS(INDEX(AM:AM,MATCH(AM202,$AA:$AA,0)+8)+INDEX(AM:AM,MATCH(AM202,$AA:$AA,0)+9)+INDEX(AM:AM,MATCH(AM202,$AA:$AA,0)+10))</f>
        <v>189</v>
      </c>
      <c r="AN206" s="378"/>
      <c r="AO206" s="377">
        <f>ABS(INDEX(AO:AO,MATCH(AO202,$AA:$AA,0)+8)+INDEX(AO:AO,MATCH(AO202,$AA:$AA,0)+9)+INDEX(AO:AO,MATCH(AO202,$AA:$AA,0)+10))</f>
        <v>191</v>
      </c>
      <c r="AP206" s="378"/>
      <c r="AQ206" s="377">
        <f>ABS(INDEX(AQ:AQ,MATCH(AQ202,$AA:$AA,0)+8)+INDEX(AQ:AQ,MATCH(AQ202,$AA:$AA,0)+9)+INDEX(AQ:AQ,MATCH(AQ202,$AA:$AA,0)+10))</f>
        <v>173</v>
      </c>
      <c r="AR206" s="378"/>
      <c r="AS206" s="377">
        <f>ABS(INDEX(AS:AS,MATCH(AS202,$AA:$AA,0)+8)+INDEX(AS:AS,MATCH(AS202,$AA:$AA,0)+9)+INDEX(AS:AS,MATCH(AS202,$AA:$AA,0)+10))</f>
        <v>136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183</v>
      </c>
      <c r="E207" s="342" t="str">
        <f>IF(AD207=0,"",AD207)</f>
        <v/>
      </c>
      <c r="F207" s="342">
        <f>IF(AE207=301,"",AE207)</f>
        <v>190</v>
      </c>
      <c r="G207" s="342" t="str">
        <f>IF(AF207=0,"",AF207)</f>
        <v/>
      </c>
      <c r="H207" s="342">
        <f>IF(AG207=301,"",AG207)</f>
        <v>149</v>
      </c>
      <c r="I207" s="342" t="str">
        <f>IF(AH207=0,"",AH207)</f>
        <v/>
      </c>
      <c r="J207" s="342">
        <f>IF(AI207=301,"",AI207)</f>
        <v>187</v>
      </c>
      <c r="K207" s="342" t="str">
        <f>IF(AJ207=0,"",AJ207)</f>
        <v/>
      </c>
      <c r="L207" s="342">
        <f>IF(AK207=301,"",AK207)</f>
        <v>147</v>
      </c>
      <c r="M207" s="342" t="str">
        <f>IF(AL207=0,"",AL207)</f>
        <v/>
      </c>
      <c r="N207" s="342">
        <f>IF(AM207=301,"",AM207)</f>
        <v>150</v>
      </c>
      <c r="O207" s="342" t="str">
        <f>IF(AN207=0,"",AN207)</f>
        <v/>
      </c>
      <c r="P207" s="342">
        <f>IF(AO207=301,"",AO207)</f>
        <v>182</v>
      </c>
      <c r="Q207" s="342" t="str">
        <f>IF(AP207=0,"",AP207)</f>
        <v/>
      </c>
      <c r="R207" s="342">
        <f>IF(AQ207=301,"",AQ207)</f>
        <v>160</v>
      </c>
      <c r="S207" s="342" t="str">
        <f>IF(AR207=0,"",AR207)</f>
        <v/>
      </c>
      <c r="T207" s="342">
        <f>IF(AS207=301,"",AS207)</f>
        <v>185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183</v>
      </c>
      <c r="AD207" s="378"/>
      <c r="AE207" s="377">
        <f>ABS(INDEX(AE:AE,MATCH(AE202,$AA:$AA,0)+11)+INDEX(AE:AE,MATCH(AE202,$AA:$AA,0)+12)+INDEX(AE:AE,MATCH(AE202,$AA:$AA,0)+13))</f>
        <v>190</v>
      </c>
      <c r="AF207" s="378"/>
      <c r="AG207" s="377">
        <f>ABS(INDEX(AG:AG,MATCH(AG202,$AA:$AA,0)+11)+INDEX(AG:AG,MATCH(AG202,$AA:$AA,0)+12)+INDEX(AG:AG,MATCH(AG202,$AA:$AA,0)+13))</f>
        <v>149</v>
      </c>
      <c r="AH207" s="378"/>
      <c r="AI207" s="377">
        <f>ABS(INDEX(AI:AI,MATCH(AI202,$AA:$AA,0)+11)+INDEX(AI:AI,MATCH(AI202,$AA:$AA,0)+12)+INDEX(AI:AI,MATCH(AI202,$AA:$AA,0)+13))</f>
        <v>187</v>
      </c>
      <c r="AJ207" s="378"/>
      <c r="AK207" s="377">
        <f>ABS(INDEX(AK:AK,MATCH(AK202,$AA:$AA,0)+11)+INDEX(AK:AK,MATCH(AK202,$AA:$AA,0)+12)+INDEX(AK:AK,MATCH(AK202,$AA:$AA,0)+13))</f>
        <v>147</v>
      </c>
      <c r="AL207" s="378"/>
      <c r="AM207" s="377">
        <f>ABS(INDEX(AM:AM,MATCH(AM202,$AA:$AA,0)+11)+INDEX(AM:AM,MATCH(AM202,$AA:$AA,0)+12)+INDEX(AM:AM,MATCH(AM202,$AA:$AA,0)+13))</f>
        <v>150</v>
      </c>
      <c r="AN207" s="378"/>
      <c r="AO207" s="377">
        <f>ABS(INDEX(AO:AO,MATCH(AO202,$AA:$AA,0)+11)+INDEX(AO:AO,MATCH(AO202,$AA:$AA,0)+12)+INDEX(AO:AO,MATCH(AO202,$AA:$AA,0)+13))</f>
        <v>182</v>
      </c>
      <c r="AP207" s="378"/>
      <c r="AQ207" s="377">
        <f>ABS(INDEX(AQ:AQ,MATCH(AQ202,$AA:$AA,0)+11)+INDEX(AQ:AQ,MATCH(AQ202,$AA:$AA,0)+12)+INDEX(AQ:AQ,MATCH(AQ202,$AA:$AA,0)+13))</f>
        <v>160</v>
      </c>
      <c r="AR207" s="378"/>
      <c r="AS207" s="377">
        <f>ABS(INDEX(AS:AS,MATCH(AS202,$AA:$AA,0)+11)+INDEX(AS:AS,MATCH(AS202,$AA:$AA,0)+12)+INDEX(AS:AS,MATCH(AS202,$AA:$AA,0)+13))</f>
        <v>185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226</v>
      </c>
      <c r="E208" s="342" t="str">
        <f>IF(AD208=0,"",AD208)</f>
        <v/>
      </c>
      <c r="F208" s="342">
        <f>IF(AE208=301,"",AE208)</f>
        <v>215</v>
      </c>
      <c r="G208" s="342" t="str">
        <f>IF(AF208=0,"",AF208)</f>
        <v/>
      </c>
      <c r="H208" s="342">
        <f>IF(AG208=301,"",AG208)</f>
        <v>188</v>
      </c>
      <c r="I208" s="342" t="str">
        <f>IF(AH208=0,"",AH208)</f>
        <v/>
      </c>
      <c r="J208" s="342">
        <f>IF(AI208=301,"",AI208)</f>
        <v>188</v>
      </c>
      <c r="K208" s="342" t="str">
        <f>IF(AJ208=0,"",AJ208)</f>
        <v/>
      </c>
      <c r="L208" s="342">
        <f>IF(AK208=301,"",AK208)</f>
        <v>226</v>
      </c>
      <c r="M208" s="342" t="str">
        <f>IF(AL208=0,"",AL208)</f>
        <v/>
      </c>
      <c r="N208" s="342">
        <f>IF(AM208=301,"",AM208)</f>
        <v>186</v>
      </c>
      <c r="O208" s="342" t="str">
        <f>IF(AN208=0,"",AN208)</f>
        <v/>
      </c>
      <c r="P208" s="342">
        <f>IF(AO208=301,"",AO208)</f>
        <v>152</v>
      </c>
      <c r="Q208" s="342" t="str">
        <f>IF(AP208=0,"",AP208)</f>
        <v/>
      </c>
      <c r="R208" s="342">
        <f>IF(AQ208=301,"",AQ208)</f>
        <v>172</v>
      </c>
      <c r="S208" s="342" t="str">
        <f>IF(AR208=0,"",AR208)</f>
        <v/>
      </c>
      <c r="T208" s="342">
        <f>IF(AS208=301,"",AS208)</f>
        <v>181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226</v>
      </c>
      <c r="AD208" s="378"/>
      <c r="AE208" s="377">
        <f>ABS(INDEX(AE:AE,MATCH(AE202,$AA:$AA,0)+14)+INDEX(AE:AE,MATCH(AE202,$AA:$AA,0)+15)+INDEX(AE:AE,MATCH(AE202,$AA:$AA,0)+16))</f>
        <v>215</v>
      </c>
      <c r="AF208" s="378"/>
      <c r="AG208" s="377">
        <f>ABS(INDEX(AG:AG,MATCH(AG202,$AA:$AA,0)+14)+INDEX(AG:AG,MATCH(AG202,$AA:$AA,0)+15)+INDEX(AG:AG,MATCH(AG202,$AA:$AA,0)+16))</f>
        <v>188</v>
      </c>
      <c r="AH208" s="378"/>
      <c r="AI208" s="377">
        <f>ABS(INDEX(AI:AI,MATCH(AI202,$AA:$AA,0)+14)+INDEX(AI:AI,MATCH(AI202,$AA:$AA,0)+15)+INDEX(AI:AI,MATCH(AI202,$AA:$AA,0)+16))</f>
        <v>188</v>
      </c>
      <c r="AJ208" s="378"/>
      <c r="AK208" s="377">
        <f>ABS(INDEX(AK:AK,MATCH(AK202,$AA:$AA,0)+14)+INDEX(AK:AK,MATCH(AK202,$AA:$AA,0)+15)+INDEX(AK:AK,MATCH(AK202,$AA:$AA,0)+16))</f>
        <v>226</v>
      </c>
      <c r="AL208" s="378"/>
      <c r="AM208" s="377">
        <f>ABS(INDEX(AM:AM,MATCH(AM202,$AA:$AA,0)+14)+INDEX(AM:AM,MATCH(AM202,$AA:$AA,0)+15)+INDEX(AM:AM,MATCH(AM202,$AA:$AA,0)+16))</f>
        <v>186</v>
      </c>
      <c r="AN208" s="378"/>
      <c r="AO208" s="377">
        <f>ABS(INDEX(AO:AO,MATCH(AO202,$AA:$AA,0)+14)+INDEX(AO:AO,MATCH(AO202,$AA:$AA,0)+15)+INDEX(AO:AO,MATCH(AO202,$AA:$AA,0)+16))</f>
        <v>152</v>
      </c>
      <c r="AP208" s="378"/>
      <c r="AQ208" s="377">
        <f>ABS(INDEX(AQ:AQ,MATCH(AQ202,$AA:$AA,0)+14)+INDEX(AQ:AQ,MATCH(AQ202,$AA:$AA,0)+15)+INDEX(AQ:AQ,MATCH(AQ202,$AA:$AA,0)+16))</f>
        <v>172</v>
      </c>
      <c r="AR208" s="378"/>
      <c r="AS208" s="377">
        <f>ABS(INDEX(AS:AS,MATCH(AS202,$AA:$AA,0)+14)+INDEX(AS:AS,MATCH(AS202,$AA:$AA,0)+15)+INDEX(AS:AS,MATCH(AS202,$AA:$AA,0)+16))</f>
        <v>181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813</v>
      </c>
      <c r="E209" s="341" t="str">
        <f>IF(AD209=0,"",AD209)</f>
        <v/>
      </c>
      <c r="F209" s="341">
        <f>IF(AE209=1505,"",AE209)</f>
        <v>847</v>
      </c>
      <c r="G209" s="341" t="str">
        <f>IF(AF209=0,"",AF209)</f>
        <v/>
      </c>
      <c r="H209" s="341">
        <f>IF(AG209=1505,"",AG209)</f>
        <v>700</v>
      </c>
      <c r="I209" s="341" t="str">
        <f>IF(AH209=0,"",AH209)</f>
        <v/>
      </c>
      <c r="J209" s="341">
        <f>IF(AI209=1505,"",AI209)</f>
        <v>730</v>
      </c>
      <c r="K209" s="341" t="str">
        <f>IF(AJ209=0,"",AJ209)</f>
        <v/>
      </c>
      <c r="L209" s="341">
        <f>IF(AK209=1505,"",AK209)</f>
        <v>861</v>
      </c>
      <c r="M209" s="341" t="str">
        <f>IF(AL209=0,"",AL209)</f>
        <v/>
      </c>
      <c r="N209" s="341">
        <f>IF(AM209=1505,"",AM209)</f>
        <v>762</v>
      </c>
      <c r="O209" s="341" t="str">
        <f>IF(AN209=0,"",AN209)</f>
        <v/>
      </c>
      <c r="P209" s="341">
        <f>IF(AO209=1505,"",AO209)</f>
        <v>707</v>
      </c>
      <c r="Q209" s="341" t="str">
        <f>IF(AP209=0,"",AP209)</f>
        <v/>
      </c>
      <c r="R209" s="341">
        <f>IF(AQ209=1505,"",AQ209)</f>
        <v>680</v>
      </c>
      <c r="S209" s="341" t="str">
        <f>IF(AR209=0,"",AR209)</f>
        <v/>
      </c>
      <c r="T209" s="341">
        <f>IF(AS209=1505,"",AS209)</f>
        <v>684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813</v>
      </c>
      <c r="AD209" s="358"/>
      <c r="AE209" s="357">
        <f>SUM(AE205:AE208)</f>
        <v>847</v>
      </c>
      <c r="AF209" s="358"/>
      <c r="AG209" s="357">
        <f>SUM(AG205:AG208)</f>
        <v>700</v>
      </c>
      <c r="AH209" s="358"/>
      <c r="AI209" s="357">
        <f>SUM(AI205:AI208)</f>
        <v>730</v>
      </c>
      <c r="AJ209" s="358"/>
      <c r="AK209" s="357">
        <f>SUM(AK205:AK208)</f>
        <v>861</v>
      </c>
      <c r="AL209" s="358"/>
      <c r="AM209" s="357">
        <f>SUM(AM205:AM208)</f>
        <v>762</v>
      </c>
      <c r="AN209" s="358"/>
      <c r="AO209" s="357">
        <f>SUM(AO205:AO208)</f>
        <v>707</v>
      </c>
      <c r="AP209" s="358"/>
      <c r="AQ209" s="357">
        <f>SUM(AQ205:AQ208)</f>
        <v>680</v>
      </c>
      <c r="AR209" s="358"/>
      <c r="AS209" s="357">
        <f>SUM(AS205:AS208)</f>
        <v>684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05.04./06.04.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05.04./06.04.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Dettelbach Extreme Bowlingarena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212</v>
      </c>
      <c r="E217" s="351">
        <f>IF(AD217="","",AD217)</f>
        <v>0</v>
      </c>
      <c r="F217" s="75">
        <f t="shared" ref="F217:F230" si="244">IF(AE217=0,"",AE217)</f>
        <v>238</v>
      </c>
      <c r="G217" s="351">
        <f>IF(AF217="","",AF217)</f>
        <v>1</v>
      </c>
      <c r="H217" s="75">
        <f t="shared" ref="H217:H230" si="245">IF(AG217=0,"",AG217)</f>
        <v>168</v>
      </c>
      <c r="I217" s="351">
        <f>IF(AH217="","",AH217)</f>
        <v>0</v>
      </c>
      <c r="J217" s="75">
        <f t="shared" ref="J217:J230" si="246">IF(AI217=0,"",AI217)</f>
        <v>179</v>
      </c>
      <c r="K217" s="351">
        <f>IF(AJ217="","",AJ217)</f>
        <v>0</v>
      </c>
      <c r="L217" s="75">
        <f t="shared" ref="L217:L230" si="247">IF(AK217=0,"",AK217)</f>
        <v>178</v>
      </c>
      <c r="M217" s="351">
        <f>IF(AL217="","",AL217)</f>
        <v>0</v>
      </c>
      <c r="N217" s="75">
        <f>IF(AM217=0,"",AM217)</f>
        <v>246</v>
      </c>
      <c r="O217" s="351">
        <f>IF(AN217="","",AN217)</f>
        <v>1</v>
      </c>
      <c r="P217" s="75">
        <f t="shared" ref="P217:P230" si="248">IF(AO217=0,"",AO217)</f>
        <v>189</v>
      </c>
      <c r="Q217" s="351">
        <f>IF(AP217="","",AP217)</f>
        <v>1</v>
      </c>
      <c r="R217" s="75">
        <f t="shared" ref="R217:R230" si="249">IF(AQ217=0,"",AQ217)</f>
        <v>192</v>
      </c>
      <c r="S217" s="351">
        <f>IF(AR217="","",AR217)</f>
        <v>0</v>
      </c>
      <c r="T217" s="75">
        <f t="shared" ref="T217:T230" si="250">IF(AS217=0,"",AS217)</f>
        <v>182</v>
      </c>
      <c r="U217" s="351">
        <f>IF(AT217="","",AT217)</f>
        <v>0</v>
      </c>
      <c r="V217" s="75">
        <f t="shared" ref="V217:V230" si="251">IF(AU217=0,"",AU217)</f>
        <v>1784</v>
      </c>
      <c r="W217" s="351">
        <f>IF(AV217="","",AV217)</f>
        <v>3</v>
      </c>
      <c r="Z217" s="354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212</v>
      </c>
      <c r="AD217" s="109">
        <f>IF(SUM(AC217:AC219)+AC235=0,0,IF(SUM(AC217:AC219)=AC235,0.5,IF(SUM(AC217:AC219)&gt;AC235,1,0)))</f>
        <v>0</v>
      </c>
      <c r="AE217" s="185">
        <v>238</v>
      </c>
      <c r="AF217" s="109">
        <f>IF(SUM(AE217:AE219)+AE235=0,0,IF(SUM(AE217:AE219)=AE235,0.5,IF(SUM(AE217:AE219)&gt;AE235,1,0)))</f>
        <v>1</v>
      </c>
      <c r="AG217" s="185">
        <v>168</v>
      </c>
      <c r="AH217" s="109">
        <f>IF(SUM(AG217:AG219)+AG235=0,0,IF(SUM(AG217:AG219)=AG235,0.5,IF(SUM(AG217:AG219)&gt;AG235,1,0)))</f>
        <v>0</v>
      </c>
      <c r="AI217" s="185">
        <v>179</v>
      </c>
      <c r="AJ217" s="109">
        <f>IF(SUM(AI217:AI219)+AI235=0,0,IF(SUM(AI217:AI219)=AI235,0.5,IF(SUM(AI217:AI219)&gt;AI235,1,0)))</f>
        <v>0</v>
      </c>
      <c r="AK217" s="185">
        <v>178</v>
      </c>
      <c r="AL217" s="109">
        <f>IF(SUM(AK217:AK219)+AK235=0,0,IF(SUM(AK217:AK219)=AK235,0.5,IF(SUM(AK217:AK219)&gt;AK235,1,0)))</f>
        <v>0</v>
      </c>
      <c r="AM217" s="185">
        <v>246</v>
      </c>
      <c r="AN217" s="109">
        <f>IF(SUM(AM217:AM219)+AM235=0,0,IF(SUM(AM217:AM219)=AM235,0.5,IF(SUM(AM217:AM219)&gt;AM235,1,0)))</f>
        <v>1</v>
      </c>
      <c r="AO217" s="185">
        <v>189</v>
      </c>
      <c r="AP217" s="109">
        <f>IF(SUM(AO217:AO219)+AO235=0,0,IF(SUM(AO217:AO219)=AO235,0.5,IF(SUM(AO217:AO219)&gt;AO235,1,0)))</f>
        <v>1</v>
      </c>
      <c r="AQ217" s="185">
        <v>192</v>
      </c>
      <c r="AR217" s="109">
        <f>IF(SUM(AQ217:AQ219)+AQ235=0,0,IF(SUM(AQ217:AQ219)=AQ235,0.5,IF(SUM(AQ217:AQ219)&gt;AQ235,1,0)))</f>
        <v>0</v>
      </c>
      <c r="AS217" s="185">
        <v>182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1784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1784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212</v>
      </c>
      <c r="BI217" s="215">
        <f t="shared" ref="BI217:BI228" si="254">IF(AE217=0,"",AE217)</f>
        <v>238</v>
      </c>
      <c r="BJ217" s="215">
        <f t="shared" ref="BJ217:BJ228" si="255">IF(AG217=0,"",AG217)</f>
        <v>168</v>
      </c>
      <c r="BK217" s="215">
        <f t="shared" ref="BK217:BK228" si="256">IF(AI217=0,"",AI217)</f>
        <v>179</v>
      </c>
      <c r="BL217" s="215">
        <f t="shared" ref="BL217:BL228" si="257">IF(AK217=0,"",AK217)</f>
        <v>178</v>
      </c>
      <c r="BM217" s="215">
        <f t="shared" ref="BM217:BM228" si="258">IF(AM217=0,"",AM217)</f>
        <v>246</v>
      </c>
      <c r="BN217" s="215">
        <f t="shared" ref="BN217:BN228" si="259">IF(AO217=0,"",AO217)</f>
        <v>189</v>
      </c>
      <c r="BO217" s="215">
        <f t="shared" ref="BO217:BO228" si="260">IF(AQ217=0,"",AQ217)</f>
        <v>192</v>
      </c>
      <c r="BP217" s="215">
        <f t="shared" ref="BP217:BP228" si="261">IF(AS217=0,"",AS217)</f>
        <v>182</v>
      </c>
      <c r="BQ217" s="216"/>
      <c r="BR217" s="214"/>
      <c r="BS217" s="215">
        <f>MAX(BH217:BP217)</f>
        <v>246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1784</v>
      </c>
      <c r="BX217" s="215">
        <f>IF(COUNTIF(BH217:BP217,"&gt;0")&lt;Spielorte!$A$23,0,BE217/Spielorte!$A$23)</f>
        <v>198.22222222222223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 t="str">
        <f t="shared" si="251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Probst, Marco</v>
      </c>
      <c r="C220" s="74">
        <f t="shared" si="263"/>
        <v>7602</v>
      </c>
      <c r="D220" s="75">
        <f t="shared" si="263"/>
        <v>203</v>
      </c>
      <c r="E220" s="351">
        <f>IF(AD220="","",AD220)</f>
        <v>1</v>
      </c>
      <c r="F220" s="75">
        <f t="shared" si="244"/>
        <v>222</v>
      </c>
      <c r="G220" s="351">
        <f>IF(AF220="","",AF220)</f>
        <v>1</v>
      </c>
      <c r="H220" s="75">
        <f t="shared" si="245"/>
        <v>174</v>
      </c>
      <c r="I220" s="351">
        <f>IF(AH220="","",AH220)</f>
        <v>1</v>
      </c>
      <c r="J220" s="75">
        <f t="shared" si="246"/>
        <v>190</v>
      </c>
      <c r="K220" s="351">
        <f>IF(AJ220="","",AJ220)</f>
        <v>1</v>
      </c>
      <c r="L220" s="75">
        <f t="shared" si="247"/>
        <v>217</v>
      </c>
      <c r="M220" s="351">
        <f>IF(AL220="","",AL220)</f>
        <v>0</v>
      </c>
      <c r="N220" s="75">
        <f t="shared" si="264"/>
        <v>174</v>
      </c>
      <c r="O220" s="351">
        <f>IF(AN220="","",AN220)</f>
        <v>0</v>
      </c>
      <c r="P220" s="75">
        <f t="shared" si="248"/>
        <v>182</v>
      </c>
      <c r="Q220" s="351">
        <f>IF(AP220="","",AP220)</f>
        <v>1</v>
      </c>
      <c r="R220" s="75">
        <f t="shared" si="249"/>
        <v>214</v>
      </c>
      <c r="S220" s="351">
        <f>IF(AR220="","",AR220)</f>
        <v>1</v>
      </c>
      <c r="T220" s="75">
        <f t="shared" si="250"/>
        <v>136</v>
      </c>
      <c r="U220" s="351">
        <f>IF(AT220="","",AT220)</f>
        <v>0</v>
      </c>
      <c r="V220" s="75">
        <f t="shared" si="251"/>
        <v>1712</v>
      </c>
      <c r="W220" s="351">
        <f>IF(AV220="","",AV220)</f>
        <v>6</v>
      </c>
      <c r="Z220" s="354" t="s">
        <v>2</v>
      </c>
      <c r="AA220" s="108" t="str">
        <f>IF(AB220=0,"",VLOOKUP(AB220,Starter!$A$1:$D$199,2,FALSE))</f>
        <v>Probst, Marco</v>
      </c>
      <c r="AB220" s="99">
        <v>7602</v>
      </c>
      <c r="AC220" s="188">
        <v>203</v>
      </c>
      <c r="AD220" s="109">
        <f>IF(SUM(AC220:AC222)+AC236=0,0,IF(SUM(AC220:AC222)=AC236,0.5,IF(SUM(AC220:AC222)&gt;AC236,1,0)))</f>
        <v>1</v>
      </c>
      <c r="AE220" s="188">
        <v>222</v>
      </c>
      <c r="AF220" s="109">
        <f>IF(SUM(AE220:AE222)+AE236=0,0,IF(SUM(AE220:AE222)=AE236,0.5,IF(SUM(AE220:AE222)&gt;AE236,1,0)))</f>
        <v>1</v>
      </c>
      <c r="AG220" s="188">
        <v>174</v>
      </c>
      <c r="AH220" s="109">
        <f>IF(SUM(AG220:AG222)+AG236=0,0,IF(SUM(AG220:AG222)=AG236,0.5,IF(SUM(AG220:AG222)&gt;AG236,1,0)))</f>
        <v>1</v>
      </c>
      <c r="AI220" s="188">
        <v>190</v>
      </c>
      <c r="AJ220" s="109">
        <f>IF(SUM(AI220:AI222)+AI236=0,0,IF(SUM(AI220:AI222)=AI236,0.5,IF(SUM(AI220:AI222)&gt;AI236,1,0)))</f>
        <v>1</v>
      </c>
      <c r="AK220" s="188">
        <v>217</v>
      </c>
      <c r="AL220" s="109">
        <f>IF(SUM(AK220:AK222)+AK236=0,0,IF(SUM(AK220:AK222)=AK236,0.5,IF(SUM(AK220:AK222)&gt;AK236,1,0)))</f>
        <v>0</v>
      </c>
      <c r="AM220" s="188">
        <v>174</v>
      </c>
      <c r="AN220" s="109">
        <f>IF(SUM(AM220:AM222)+AM236=0,0,IF(SUM(AM220:AM222)=AM236,0.5,IF(SUM(AM220:AM222)&gt;AM236,1,0)))</f>
        <v>0</v>
      </c>
      <c r="AO220" s="188">
        <v>182</v>
      </c>
      <c r="AP220" s="109">
        <f>IF(SUM(AO220:AO222)+AO236=0,0,IF(SUM(AO220:AO222)=AO236,0.5,IF(SUM(AO220:AO222)&gt;AO236,1,0)))</f>
        <v>1</v>
      </c>
      <c r="AQ220" s="188">
        <v>214</v>
      </c>
      <c r="AR220" s="109">
        <f>IF(SUM(AQ220:AQ222)+AQ236=0,0,IF(SUM(AQ220:AQ222)=AQ236,0.5,IF(SUM(AQ220:AQ222)&gt;AQ236,1,0)))</f>
        <v>1</v>
      </c>
      <c r="AS220" s="188">
        <v>136</v>
      </c>
      <c r="AT220" s="109">
        <f>IF(SUM(AS220:AS222)+AS236=0,0,IF(SUM(AS220:AS222)=AS236,0.5,IF(SUM(AS220:AS222)&gt;AS236,1,0)))</f>
        <v>0</v>
      </c>
      <c r="AU220" s="110">
        <f t="shared" si="252"/>
        <v>1712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5"/>
        <v>7602</v>
      </c>
      <c r="BE220" s="213">
        <f t="shared" si="266"/>
        <v>1712</v>
      </c>
      <c r="BF220" s="215">
        <f t="shared" si="267"/>
        <v>9</v>
      </c>
      <c r="BG220" s="215">
        <f t="shared" si="268"/>
        <v>9</v>
      </c>
      <c r="BH220" s="215">
        <f t="shared" si="253"/>
        <v>203</v>
      </c>
      <c r="BI220" s="215">
        <f t="shared" si="254"/>
        <v>222</v>
      </c>
      <c r="BJ220" s="215">
        <f t="shared" si="255"/>
        <v>174</v>
      </c>
      <c r="BK220" s="215">
        <f t="shared" si="256"/>
        <v>190</v>
      </c>
      <c r="BL220" s="215">
        <f t="shared" si="257"/>
        <v>217</v>
      </c>
      <c r="BM220" s="215">
        <f t="shared" si="258"/>
        <v>174</v>
      </c>
      <c r="BN220" s="215">
        <f t="shared" si="259"/>
        <v>182</v>
      </c>
      <c r="BO220" s="215">
        <f t="shared" si="260"/>
        <v>214</v>
      </c>
      <c r="BP220" s="215">
        <f t="shared" si="261"/>
        <v>136</v>
      </c>
      <c r="BQ220" s="216"/>
      <c r="BR220" s="214"/>
      <c r="BS220" s="215">
        <f t="shared" si="269"/>
        <v>222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1712</v>
      </c>
      <c r="BX220" s="215">
        <f>IF(COUNTIF(BH220:BP220,"&gt;0")&lt;Spielorte!$A$23,0,BE220/Spielorte!$A$23)</f>
        <v>190.22222222222223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 t="str">
        <f t="shared" si="251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Denz, Günter</v>
      </c>
      <c r="C223" s="74">
        <f t="shared" si="263"/>
        <v>16398</v>
      </c>
      <c r="D223" s="75">
        <f t="shared" si="263"/>
        <v>156</v>
      </c>
      <c r="E223" s="351">
        <f>IF(AD223="","",AD223)</f>
        <v>0</v>
      </c>
      <c r="F223" s="75" t="str">
        <f t="shared" si="244"/>
        <v/>
      </c>
      <c r="G223" s="351">
        <f>IF(AF223="","",AF223)</f>
        <v>0</v>
      </c>
      <c r="H223" s="75" t="str">
        <f t="shared" si="245"/>
        <v/>
      </c>
      <c r="I223" s="351">
        <f>IF(AH223="","",AH223)</f>
        <v>0.5</v>
      </c>
      <c r="J223" s="75" t="str">
        <f t="shared" si="246"/>
        <v/>
      </c>
      <c r="K223" s="351">
        <f>IF(AJ223="","",AJ223)</f>
        <v>1</v>
      </c>
      <c r="L223" s="75">
        <f t="shared" si="247"/>
        <v>189</v>
      </c>
      <c r="M223" s="351">
        <f>IF(AL223="","",AL223)</f>
        <v>1</v>
      </c>
      <c r="N223" s="75">
        <f t="shared" si="264"/>
        <v>161</v>
      </c>
      <c r="O223" s="351">
        <f>IF(AN223="","",AN223)</f>
        <v>1</v>
      </c>
      <c r="P223" s="75">
        <f t="shared" si="248"/>
        <v>190</v>
      </c>
      <c r="Q223" s="351">
        <f>IF(AP223="","",AP223)</f>
        <v>1</v>
      </c>
      <c r="R223" s="75" t="str">
        <f t="shared" si="249"/>
        <v/>
      </c>
      <c r="S223" s="351">
        <f>IF(AR223="","",AR223)</f>
        <v>1</v>
      </c>
      <c r="T223" s="75" t="str">
        <f t="shared" si="250"/>
        <v/>
      </c>
      <c r="U223" s="351">
        <f>IF(AT223="","",AT223)</f>
        <v>1</v>
      </c>
      <c r="V223" s="75">
        <f t="shared" si="251"/>
        <v>696</v>
      </c>
      <c r="W223" s="351">
        <f>IF(AV223="","",AV223)</f>
        <v>6.5</v>
      </c>
      <c r="Z223" s="354" t="s">
        <v>3</v>
      </c>
      <c r="AA223" s="108" t="str">
        <f>IF(AB223=0,"",VLOOKUP(AB223,Starter!$A$1:$D$199,2,FALSE))</f>
        <v>Denz, Günter</v>
      </c>
      <c r="AB223" s="99">
        <v>16398</v>
      </c>
      <c r="AC223" s="188">
        <v>156</v>
      </c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0.5</v>
      </c>
      <c r="AI223" s="188"/>
      <c r="AJ223" s="109">
        <f>IF(SUM(AI223:AI225)+AI237=0,0,IF(SUM(AI223:AI225)=AI237,0.5,IF(SUM(AI223:AI225)&gt;AI237,1,0)))</f>
        <v>1</v>
      </c>
      <c r="AK223" s="188">
        <v>189</v>
      </c>
      <c r="AL223" s="109">
        <f>IF(SUM(AK223:AK225)+AK237=0,0,IF(SUM(AK223:AK225)=AK237,0.5,IF(SUM(AK223:AK225)&gt;AK237,1,0)))</f>
        <v>1</v>
      </c>
      <c r="AM223" s="188">
        <v>161</v>
      </c>
      <c r="AN223" s="109">
        <f>IF(SUM(AM223:AM225)+AM237=0,0,IF(SUM(AM223:AM225)=AM237,0.5,IF(SUM(AM223:AM225)&gt;AM237,1,0)))</f>
        <v>1</v>
      </c>
      <c r="AO223" s="188">
        <v>190</v>
      </c>
      <c r="AP223" s="109">
        <f>IF(SUM(AO223:AO225)+AO237=0,0,IF(SUM(AO223:AO225)=AO237,0.5,IF(SUM(AO223:AO225)&gt;AO237,1,0)))</f>
        <v>1</v>
      </c>
      <c r="AQ223" s="188"/>
      <c r="AR223" s="109">
        <f>IF(SUM(AQ223:AQ225)+AQ237=0,0,IF(SUM(AQ223:AQ225)=AQ237,0.5,IF(SUM(AQ223:AQ225)&gt;AQ237,1,0)))</f>
        <v>1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696</v>
      </c>
      <c r="AV223" s="111">
        <f>SUM(AD223+AF223+AH223+AJ223+AL223+AN223+AP223+AR223+AT223)</f>
        <v>6.5</v>
      </c>
      <c r="AW223" s="101"/>
      <c r="AX223" s="102"/>
      <c r="AZ223" s="63"/>
      <c r="BA223" s="212"/>
      <c r="BB223" s="213"/>
      <c r="BC223" s="214"/>
      <c r="BD223" s="217">
        <f t="shared" si="265"/>
        <v>16398</v>
      </c>
      <c r="BE223" s="213">
        <f t="shared" si="266"/>
        <v>696</v>
      </c>
      <c r="BF223" s="215">
        <f t="shared" si="267"/>
        <v>4</v>
      </c>
      <c r="BG223" s="215">
        <f t="shared" si="268"/>
        <v>4</v>
      </c>
      <c r="BH223" s="215">
        <f t="shared" si="253"/>
        <v>156</v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>
        <f t="shared" si="257"/>
        <v>189</v>
      </c>
      <c r="BM223" s="215">
        <f t="shared" si="258"/>
        <v>161</v>
      </c>
      <c r="BN223" s="215">
        <f t="shared" si="259"/>
        <v>190</v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190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696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>Lohse, Sebastian</v>
      </c>
      <c r="C224" s="77">
        <f t="shared" si="263"/>
        <v>27134</v>
      </c>
      <c r="D224" s="78" t="str">
        <f t="shared" si="263"/>
        <v/>
      </c>
      <c r="E224" s="352"/>
      <c r="F224" s="78">
        <f t="shared" si="244"/>
        <v>158</v>
      </c>
      <c r="G224" s="352"/>
      <c r="H224" s="78">
        <f t="shared" si="245"/>
        <v>179</v>
      </c>
      <c r="I224" s="352"/>
      <c r="J224" s="78">
        <f t="shared" si="246"/>
        <v>213</v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>
        <f t="shared" si="249"/>
        <v>146</v>
      </c>
      <c r="S224" s="352"/>
      <c r="T224" s="78">
        <f t="shared" si="250"/>
        <v>185</v>
      </c>
      <c r="U224" s="352"/>
      <c r="V224" s="78">
        <f t="shared" si="251"/>
        <v>881</v>
      </c>
      <c r="W224" s="352"/>
      <c r="Z224" s="355"/>
      <c r="AA224" s="108" t="str">
        <f>IF(AB224=0,"",VLOOKUP(AB224,Starter!$A$1:$D$199,2,FALSE))</f>
        <v>Lohse, Sebastian</v>
      </c>
      <c r="AB224" s="98">
        <v>27134</v>
      </c>
      <c r="AC224" s="186"/>
      <c r="AD224" s="112"/>
      <c r="AE224" s="186">
        <v>158</v>
      </c>
      <c r="AF224" s="112"/>
      <c r="AG224" s="186">
        <v>179</v>
      </c>
      <c r="AH224" s="112"/>
      <c r="AI224" s="186">
        <v>213</v>
      </c>
      <c r="AJ224" s="112"/>
      <c r="AK224" s="186"/>
      <c r="AL224" s="112"/>
      <c r="AM224" s="186"/>
      <c r="AN224" s="112"/>
      <c r="AO224" s="186"/>
      <c r="AP224" s="112"/>
      <c r="AQ224" s="186">
        <v>146</v>
      </c>
      <c r="AR224" s="112"/>
      <c r="AS224" s="186">
        <v>185</v>
      </c>
      <c r="AT224" s="112"/>
      <c r="AU224" s="113">
        <f t="shared" si="252"/>
        <v>881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27134</v>
      </c>
      <c r="BE224" s="213">
        <f t="shared" si="266"/>
        <v>881</v>
      </c>
      <c r="BF224" s="215">
        <f t="shared" si="267"/>
        <v>5</v>
      </c>
      <c r="BG224" s="215">
        <f t="shared" si="268"/>
        <v>5</v>
      </c>
      <c r="BH224" s="215" t="str">
        <f t="shared" si="253"/>
        <v/>
      </c>
      <c r="BI224" s="215">
        <f t="shared" si="254"/>
        <v>158</v>
      </c>
      <c r="BJ224" s="215">
        <f t="shared" si="255"/>
        <v>179</v>
      </c>
      <c r="BK224" s="215">
        <f t="shared" si="256"/>
        <v>213</v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>
        <f t="shared" si="260"/>
        <v>146</v>
      </c>
      <c r="BP224" s="215">
        <f t="shared" si="261"/>
        <v>185</v>
      </c>
      <c r="BQ224" s="216"/>
      <c r="BR224" s="214"/>
      <c r="BS224" s="215">
        <f t="shared" si="269"/>
        <v>213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881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63"/>
        <v>25554</v>
      </c>
      <c r="D226" s="75">
        <f t="shared" si="263"/>
        <v>163</v>
      </c>
      <c r="E226" s="351">
        <f>IF(AD226="","",AD226)</f>
        <v>0</v>
      </c>
      <c r="F226" s="75">
        <f t="shared" si="244"/>
        <v>181</v>
      </c>
      <c r="G226" s="351">
        <f>IF(AF226="","",AF226)</f>
        <v>0</v>
      </c>
      <c r="H226" s="75" t="str">
        <f t="shared" si="245"/>
        <v/>
      </c>
      <c r="I226" s="351">
        <f>IF(AH226="","",AH226)</f>
        <v>1</v>
      </c>
      <c r="J226" s="75" t="str">
        <f t="shared" si="246"/>
        <v/>
      </c>
      <c r="K226" s="351">
        <f>IF(AJ226="","",AJ226)</f>
        <v>1</v>
      </c>
      <c r="L226" s="75">
        <f t="shared" si="247"/>
        <v>181</v>
      </c>
      <c r="M226" s="351">
        <f>IF(AL226="","",AL226)</f>
        <v>0</v>
      </c>
      <c r="N226" s="75">
        <f t="shared" si="264"/>
        <v>184</v>
      </c>
      <c r="O226" s="351">
        <f>IF(AN226="","",AN226)</f>
        <v>0</v>
      </c>
      <c r="P226" s="75">
        <f t="shared" si="248"/>
        <v>148</v>
      </c>
      <c r="Q226" s="351">
        <f>IF(AP226="","",AP226)</f>
        <v>0</v>
      </c>
      <c r="R226" s="75" t="str">
        <f t="shared" si="249"/>
        <v/>
      </c>
      <c r="S226" s="351">
        <f>IF(AR226="","",AR226)</f>
        <v>1</v>
      </c>
      <c r="T226" s="75" t="str">
        <f t="shared" si="250"/>
        <v/>
      </c>
      <c r="U226" s="351">
        <f>IF(AT226="","",AT226)</f>
        <v>0</v>
      </c>
      <c r="V226" s="75">
        <f t="shared" si="251"/>
        <v>857</v>
      </c>
      <c r="W226" s="351">
        <f>IF(AV226="","",AV226)</f>
        <v>3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163</v>
      </c>
      <c r="AD226" s="109">
        <f>IF(SUM(AC226:AC228)+AC238=0,0,IF(SUM(AC226:AC228)=AC238,0.5,IF(SUM(AC226:AC228)&gt;AC238,1,0)))</f>
        <v>0</v>
      </c>
      <c r="AE226" s="188">
        <v>181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1</v>
      </c>
      <c r="AI226" s="188"/>
      <c r="AJ226" s="109">
        <f>IF(SUM(AI226:AI228)+AI238=0,0,IF(SUM(AI226:AI228)=AI238,0.5,IF(SUM(AI226:AI228)&gt;AI238,1,0)))</f>
        <v>1</v>
      </c>
      <c r="AK226" s="188">
        <v>181</v>
      </c>
      <c r="AL226" s="109">
        <f>IF(SUM(AK226:AK228)+AK238=0,0,IF(SUM(AK226:AK228)=AK238,0.5,IF(SUM(AK226:AK228)&gt;AK238,1,0)))</f>
        <v>0</v>
      </c>
      <c r="AM226" s="188">
        <v>184</v>
      </c>
      <c r="AN226" s="109">
        <f>IF(SUM(AM226:AM228)+AM238=0,0,IF(SUM(AM226:AM228)=AM238,0.5,IF(SUM(AM226:AM228)&gt;AM238,1,0)))</f>
        <v>0</v>
      </c>
      <c r="AO226" s="188">
        <v>148</v>
      </c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857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5"/>
        <v>25554</v>
      </c>
      <c r="BE226" s="213">
        <f t="shared" si="266"/>
        <v>857</v>
      </c>
      <c r="BF226" s="215">
        <f t="shared" si="267"/>
        <v>5</v>
      </c>
      <c r="BG226" s="215">
        <f t="shared" si="268"/>
        <v>5</v>
      </c>
      <c r="BH226" s="215">
        <f t="shared" si="253"/>
        <v>163</v>
      </c>
      <c r="BI226" s="215">
        <f t="shared" si="254"/>
        <v>181</v>
      </c>
      <c r="BJ226" s="215" t="str">
        <f t="shared" si="255"/>
        <v/>
      </c>
      <c r="BK226" s="215" t="str">
        <f t="shared" si="256"/>
        <v/>
      </c>
      <c r="BL226" s="215">
        <f t="shared" si="257"/>
        <v>181</v>
      </c>
      <c r="BM226" s="215">
        <f t="shared" si="258"/>
        <v>184</v>
      </c>
      <c r="BN226" s="215">
        <f t="shared" si="259"/>
        <v>148</v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184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857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>Richter, Benjamin</v>
      </c>
      <c r="C227" s="77">
        <f t="shared" si="263"/>
        <v>41008</v>
      </c>
      <c r="D227" s="78" t="str">
        <f t="shared" si="263"/>
        <v/>
      </c>
      <c r="E227" s="352"/>
      <c r="F227" s="78" t="str">
        <f t="shared" si="244"/>
        <v/>
      </c>
      <c r="G227" s="352"/>
      <c r="H227" s="78">
        <f t="shared" si="245"/>
        <v>205</v>
      </c>
      <c r="I227" s="352"/>
      <c r="J227" s="78">
        <f t="shared" si="246"/>
        <v>174</v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>
        <f t="shared" si="249"/>
        <v>213</v>
      </c>
      <c r="S227" s="352"/>
      <c r="T227" s="78">
        <f t="shared" si="250"/>
        <v>181</v>
      </c>
      <c r="U227" s="352"/>
      <c r="V227" s="78">
        <f t="shared" si="251"/>
        <v>773</v>
      </c>
      <c r="W227" s="352"/>
      <c r="Z227" s="355"/>
      <c r="AA227" s="108" t="str">
        <f>IF(AB227=0,"",VLOOKUP(AB227,Starter!$A$1:$D$199,2,FALSE))</f>
        <v>Richter, Benjamin</v>
      </c>
      <c r="AB227" s="98">
        <v>41008</v>
      </c>
      <c r="AC227" s="186"/>
      <c r="AD227" s="112"/>
      <c r="AE227" s="186"/>
      <c r="AF227" s="112"/>
      <c r="AG227" s="186">
        <v>205</v>
      </c>
      <c r="AH227" s="112"/>
      <c r="AI227" s="186">
        <v>174</v>
      </c>
      <c r="AJ227" s="112"/>
      <c r="AK227" s="186"/>
      <c r="AL227" s="112"/>
      <c r="AM227" s="186"/>
      <c r="AN227" s="112"/>
      <c r="AO227" s="186"/>
      <c r="AP227" s="112"/>
      <c r="AQ227" s="186">
        <v>213</v>
      </c>
      <c r="AR227" s="112"/>
      <c r="AS227" s="186">
        <v>181</v>
      </c>
      <c r="AT227" s="112"/>
      <c r="AU227" s="113">
        <f t="shared" si="252"/>
        <v>773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41008</v>
      </c>
      <c r="BE227" s="213">
        <f t="shared" si="266"/>
        <v>773</v>
      </c>
      <c r="BF227" s="215">
        <f t="shared" si="267"/>
        <v>4</v>
      </c>
      <c r="BG227" s="215">
        <f t="shared" si="268"/>
        <v>4</v>
      </c>
      <c r="BH227" s="215" t="str">
        <f t="shared" si="253"/>
        <v/>
      </c>
      <c r="BI227" s="215" t="str">
        <f t="shared" si="254"/>
        <v/>
      </c>
      <c r="BJ227" s="215">
        <f t="shared" si="255"/>
        <v>205</v>
      </c>
      <c r="BK227" s="215">
        <f t="shared" si="256"/>
        <v>174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>
        <f t="shared" si="260"/>
        <v>213</v>
      </c>
      <c r="BP227" s="215">
        <f t="shared" si="261"/>
        <v>181</v>
      </c>
      <c r="BQ227" s="216"/>
      <c r="BR227" s="214"/>
      <c r="BS227" s="215">
        <f t="shared" si="269"/>
        <v>213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773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734</v>
      </c>
      <c r="E229" s="84">
        <f>IF(AD229="","",AD229)</f>
        <v>0</v>
      </c>
      <c r="F229" s="83">
        <f t="shared" si="244"/>
        <v>799</v>
      </c>
      <c r="G229" s="84">
        <f>IF(AF229="","",AF229)</f>
        <v>0</v>
      </c>
      <c r="H229" s="83">
        <f t="shared" si="245"/>
        <v>726</v>
      </c>
      <c r="I229" s="84">
        <f>IF(AH229="","",AH229)</f>
        <v>2</v>
      </c>
      <c r="J229" s="83">
        <f t="shared" si="246"/>
        <v>756</v>
      </c>
      <c r="K229" s="84">
        <f>IF(AJ229="","",AJ229)</f>
        <v>2</v>
      </c>
      <c r="L229" s="83">
        <f t="shared" si="247"/>
        <v>765</v>
      </c>
      <c r="M229" s="84">
        <f>IF(AL229="","",AL229)</f>
        <v>0</v>
      </c>
      <c r="N229" s="83">
        <f t="shared" si="264"/>
        <v>765</v>
      </c>
      <c r="O229" s="84">
        <f>IF(AN229="","",AN229)</f>
        <v>0</v>
      </c>
      <c r="P229" s="83">
        <f t="shared" si="248"/>
        <v>709</v>
      </c>
      <c r="Q229" s="84">
        <f>IF(AP229="","",AP229)</f>
        <v>0</v>
      </c>
      <c r="R229" s="83">
        <f t="shared" si="249"/>
        <v>765</v>
      </c>
      <c r="S229" s="84">
        <f>IF(AR229="","",AR229)</f>
        <v>2</v>
      </c>
      <c r="T229" s="83">
        <f t="shared" si="250"/>
        <v>684</v>
      </c>
      <c r="U229" s="84">
        <f>IF(AT229="","",AT229)</f>
        <v>0</v>
      </c>
      <c r="V229" s="83">
        <f t="shared" si="251"/>
        <v>6703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734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799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726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756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765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765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709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765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684</v>
      </c>
      <c r="AT229" s="121">
        <f>IF(AS229+AS239=0,0,IF(AS229=AS239,1,IF(AS229&gt;AS239,2,0)))</f>
        <v>0</v>
      </c>
      <c r="AU229" s="122">
        <f>SUM(AC229+AE229+AG229+AI229+AK229+AM229+AO229+AQ229+AS229)</f>
        <v>6703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1</v>
      </c>
      <c r="F230" s="86" t="str">
        <f t="shared" si="244"/>
        <v/>
      </c>
      <c r="G230" s="87">
        <f>IF(AF230="","",AF230)</f>
        <v>2</v>
      </c>
      <c r="H230" s="86" t="str">
        <f t="shared" si="245"/>
        <v/>
      </c>
      <c r="I230" s="87">
        <f>IF(AH230="","",AH230)</f>
        <v>4.5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3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2</v>
      </c>
      <c r="AG230" s="86"/>
      <c r="AH230" s="124">
        <f>SUM(AH217:AH229)</f>
        <v>4.5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3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6703</v>
      </c>
      <c r="BC230" s="214">
        <f>+AA212</f>
        <v>8</v>
      </c>
      <c r="BF230" s="215">
        <f>SUM(BF211:BF229)</f>
        <v>36</v>
      </c>
      <c r="BQ230" s="212">
        <f>+BB230/1000000+BA230</f>
        <v>24.506703000000002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10</v>
      </c>
      <c r="E232" s="349" t="str">
        <f t="shared" si="275"/>
        <v/>
      </c>
      <c r="F232" s="349">
        <f t="shared" si="275"/>
        <v>1</v>
      </c>
      <c r="G232" s="349" t="str">
        <f t="shared" si="275"/>
        <v/>
      </c>
      <c r="H232" s="349">
        <f t="shared" si="275"/>
        <v>2</v>
      </c>
      <c r="I232" s="349" t="str">
        <f t="shared" si="275"/>
        <v/>
      </c>
      <c r="J232" s="349">
        <f t="shared" si="275"/>
        <v>5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9</v>
      </c>
      <c r="Q232" s="349" t="str">
        <f t="shared" si="275"/>
        <v/>
      </c>
      <c r="R232" s="349">
        <f t="shared" ref="L232:U234" si="276">IF(AQ232=0,"",AQ232)</f>
        <v>4</v>
      </c>
      <c r="S232" s="349" t="str">
        <f t="shared" si="276"/>
        <v/>
      </c>
      <c r="T232" s="349">
        <f t="shared" si="276"/>
        <v>7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VLOOKUP($AA212,Schlüssel!$A$5:$DG$14,103)</f>
        <v>10</v>
      </c>
      <c r="AD232" s="374"/>
      <c r="AE232" s="373">
        <f>VLOOKUP($AA212,Schlüssel!$A$5:$EK$14,104)</f>
        <v>1</v>
      </c>
      <c r="AF232" s="374"/>
      <c r="AG232" s="373">
        <f>VLOOKUP($AA212,Schlüssel!$A$5:$EK$14,105)</f>
        <v>2</v>
      </c>
      <c r="AH232" s="374"/>
      <c r="AI232" s="373">
        <f>VLOOKUP($AA212,Schlüssel!$A$5:$EK$14,106)</f>
        <v>5</v>
      </c>
      <c r="AJ232" s="374"/>
      <c r="AK232" s="373">
        <f>VLOOKUP($AA212,Schlüssel!$A$5:$EK$14,107)</f>
        <v>3</v>
      </c>
      <c r="AL232" s="374"/>
      <c r="AM232" s="373">
        <f>VLOOKUP($AA212,Schlüssel!$A$5:$EK$14,108)</f>
        <v>6</v>
      </c>
      <c r="AN232" s="374"/>
      <c r="AO232" s="373">
        <f>VLOOKUP($AA212,Schlüssel!$A$5:$EK$14,109)</f>
        <v>9</v>
      </c>
      <c r="AP232" s="374"/>
      <c r="AQ232" s="373">
        <f>VLOOKUP($AA212,Schlüssel!$A$5:$EK$14,110)</f>
        <v>4</v>
      </c>
      <c r="AR232" s="374"/>
      <c r="AS232" s="373">
        <f>VLOOKUP($AA212,Schlüssel!$A$5:$EK$14,111)</f>
        <v>7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High Roller Rosenheim 1</v>
      </c>
      <c r="E233" s="347" t="str">
        <f t="shared" si="277"/>
        <v/>
      </c>
      <c r="F233" s="346" t="str">
        <f t="shared" si="277"/>
        <v>BC Comet Nürnberg</v>
      </c>
      <c r="G233" s="347" t="str">
        <f t="shared" si="277"/>
        <v/>
      </c>
      <c r="H233" s="346" t="str">
        <f t="shared" si="277"/>
        <v>Bajuwaren München 1</v>
      </c>
      <c r="I233" s="347" t="str">
        <f t="shared" si="277"/>
        <v/>
      </c>
      <c r="J233" s="346" t="str">
        <f t="shared" si="277"/>
        <v>RW Lichtenhof Stein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Bowlinghaus Bamberg 1</v>
      </c>
      <c r="Q233" s="347" t="str">
        <f t="shared" si="276"/>
        <v/>
      </c>
      <c r="R233" s="346" t="str">
        <f t="shared" si="276"/>
        <v>SG DJK Rimpar</v>
      </c>
      <c r="S233" s="347" t="str">
        <f t="shared" si="276"/>
        <v/>
      </c>
      <c r="T233" s="346" t="str">
        <f t="shared" si="276"/>
        <v>Schanzer Ingolstadt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BC Comet Nürnberg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Bowlinghaus Bamberg 1</v>
      </c>
      <c r="AP233" s="347"/>
      <c r="AQ233" s="346" t="str">
        <f>VLOOKUP(AQ232,Schlüssel!$A$5:$K$14,2)</f>
        <v>SG DJK Rimpar</v>
      </c>
      <c r="AR233" s="347"/>
      <c r="AS233" s="346" t="str">
        <f>VLOOKUP(AS232,Schlüssel!$A$5:$K$14,2)</f>
        <v>Schanzer Ingolstadt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237</v>
      </c>
      <c r="E235" s="342" t="str">
        <f>IF(AD235=0,"",AD235)</f>
        <v/>
      </c>
      <c r="F235" s="342">
        <f>IF(AE235=301,"",AE235)</f>
        <v>201</v>
      </c>
      <c r="G235" s="342" t="str">
        <f>IF(AF235=0,"",AF235)</f>
        <v/>
      </c>
      <c r="H235" s="342">
        <f>IF(AG235=301,"",AG235)</f>
        <v>194</v>
      </c>
      <c r="I235" s="342" t="str">
        <f>IF(AH235=0,"",AH235)</f>
        <v/>
      </c>
      <c r="J235" s="342">
        <f>IF(AI235=301,"",AI235)</f>
        <v>181</v>
      </c>
      <c r="K235" s="342" t="str">
        <f>IF(AJ235=0,"",AJ235)</f>
        <v/>
      </c>
      <c r="L235" s="342">
        <f>IF(AK235=301,"",AK235)</f>
        <v>203</v>
      </c>
      <c r="M235" s="342" t="str">
        <f>IF(AL235=0,"",AL235)</f>
        <v/>
      </c>
      <c r="N235" s="342">
        <f>IF(AM235=301,"",AM235)</f>
        <v>203</v>
      </c>
      <c r="O235" s="342" t="str">
        <f>IF(AN235=0,"",AN235)</f>
        <v/>
      </c>
      <c r="P235" s="342">
        <f>IF(AO235=301,"",AO235)</f>
        <v>182</v>
      </c>
      <c r="Q235" s="342" t="str">
        <f>IF(AP235=0,"",AP235)</f>
        <v/>
      </c>
      <c r="R235" s="342">
        <f>IF(AQ235=301,"",AQ235)</f>
        <v>212</v>
      </c>
      <c r="S235" s="342" t="str">
        <f>IF(AR235=0,"",AR235)</f>
        <v/>
      </c>
      <c r="T235" s="342">
        <f>IF(AS235=301,"",AS235)</f>
        <v>205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237</v>
      </c>
      <c r="AD235" s="376"/>
      <c r="AE235" s="375">
        <f>ABS(INDEX(AE:AE,MATCH(AE232,$AA:$AA,0)+5)+INDEX(AE:AE,MATCH(AE232,$AA:$AA,0)+6)+INDEX(AE:AE,MATCH(AE232,$AA:$AA,0)+7))</f>
        <v>201</v>
      </c>
      <c r="AF235" s="376"/>
      <c r="AG235" s="375">
        <f>ABS(INDEX(AG:AG,MATCH(AG232,$AA:$AA,0)+5)+INDEX(AG:AG,MATCH(AG232,$AA:$AA,0)+6)+INDEX(AG:AG,MATCH(AG232,$AA:$AA,0)+7))</f>
        <v>194</v>
      </c>
      <c r="AH235" s="376"/>
      <c r="AI235" s="375">
        <f>ABS(INDEX(AI:AI,MATCH(AI232,$AA:$AA,0)+5)+INDEX(AI:AI,MATCH(AI232,$AA:$AA,0)+6)+INDEX(AI:AI,MATCH(AI232,$AA:$AA,0)+7))</f>
        <v>181</v>
      </c>
      <c r="AJ235" s="376"/>
      <c r="AK235" s="375">
        <f>ABS(INDEX(AK:AK,MATCH(AK232,$AA:$AA,0)+5)+INDEX(AK:AK,MATCH(AK232,$AA:$AA,0)+6)+INDEX(AK:AK,MATCH(AK232,$AA:$AA,0)+7))</f>
        <v>203</v>
      </c>
      <c r="AL235" s="376"/>
      <c r="AM235" s="375">
        <f>ABS(INDEX(AM:AM,MATCH(AM232,$AA:$AA,0)+5)+INDEX(AM:AM,MATCH(AM232,$AA:$AA,0)+6)+INDEX(AM:AM,MATCH(AM232,$AA:$AA,0)+7))</f>
        <v>203</v>
      </c>
      <c r="AN235" s="376"/>
      <c r="AO235" s="375">
        <f>ABS(INDEX(AO:AO,MATCH(AO232,$AA:$AA,0)+5)+INDEX(AO:AO,MATCH(AO232,$AA:$AA,0)+6)+INDEX(AO:AO,MATCH(AO232,$AA:$AA,0)+7))</f>
        <v>182</v>
      </c>
      <c r="AP235" s="376"/>
      <c r="AQ235" s="375">
        <f>ABS(INDEX(AQ:AQ,MATCH(AQ232,$AA:$AA,0)+5)+INDEX(AQ:AQ,MATCH(AQ232,$AA:$AA,0)+6)+INDEX(AQ:AQ,MATCH(AQ232,$AA:$AA,0)+7))</f>
        <v>212</v>
      </c>
      <c r="AR235" s="376"/>
      <c r="AS235" s="375">
        <f>ABS(INDEX(AS:AS,MATCH(AS232,$AA:$AA,0)+5)+INDEX(AS:AS,MATCH(AS232,$AA:$AA,0)+6)+INDEX(AS:AS,MATCH(AS232,$AA:$AA,0)+7))</f>
        <v>205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192</v>
      </c>
      <c r="E236" s="342" t="str">
        <f>IF(AD236=0,"",AD236)</f>
        <v/>
      </c>
      <c r="F236" s="342">
        <f>IF(AE236=301,"",AE236)</f>
        <v>190</v>
      </c>
      <c r="G236" s="342" t="str">
        <f>IF(AF236=0,"",AF236)</f>
        <v/>
      </c>
      <c r="H236" s="342">
        <f>IF(AG236=301,"",AG236)</f>
        <v>173</v>
      </c>
      <c r="I236" s="342" t="str">
        <f>IF(AH236=0,"",AH236)</f>
        <v/>
      </c>
      <c r="J236" s="342">
        <f>IF(AI236=301,"",AI236)</f>
        <v>170</v>
      </c>
      <c r="K236" s="342" t="str">
        <f>IF(AJ236=0,"",AJ236)</f>
        <v/>
      </c>
      <c r="L236" s="342">
        <f>IF(AK236=301,"",AK236)</f>
        <v>226</v>
      </c>
      <c r="M236" s="342" t="str">
        <f>IF(AL236=0,"",AL236)</f>
        <v/>
      </c>
      <c r="N236" s="342">
        <f>IF(AM236=301,"",AM236)</f>
        <v>195</v>
      </c>
      <c r="O236" s="342" t="str">
        <f>IF(AN236=0,"",AN236)</f>
        <v/>
      </c>
      <c r="P236" s="342">
        <f>IF(AO236=301,"",AO236)</f>
        <v>170</v>
      </c>
      <c r="Q236" s="342" t="str">
        <f>IF(AP236=0,"",AP236)</f>
        <v/>
      </c>
      <c r="R236" s="342">
        <f>IF(AQ236=301,"",AQ236)</f>
        <v>211</v>
      </c>
      <c r="S236" s="342" t="str">
        <f>IF(AR236=0,"",AR236)</f>
        <v/>
      </c>
      <c r="T236" s="342">
        <f>IF(AS236=301,"",AS236)</f>
        <v>164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192</v>
      </c>
      <c r="AD236" s="378"/>
      <c r="AE236" s="377">
        <f>ABS(INDEX(AE:AE,MATCH(AE232,$AA:$AA,0)+8)+INDEX(AE:AE,MATCH(AE232,$AA:$AA,0)+9)+INDEX(AE:AE,MATCH(AE232,$AA:$AA,0)+10))</f>
        <v>190</v>
      </c>
      <c r="AF236" s="378"/>
      <c r="AG236" s="377">
        <f>ABS(INDEX(AG:AG,MATCH(AG232,$AA:$AA,0)+8)+INDEX(AG:AG,MATCH(AG232,$AA:$AA,0)+9)+INDEX(AG:AG,MATCH(AG232,$AA:$AA,0)+10))</f>
        <v>173</v>
      </c>
      <c r="AH236" s="378"/>
      <c r="AI236" s="377">
        <f>ABS(INDEX(AI:AI,MATCH(AI232,$AA:$AA,0)+8)+INDEX(AI:AI,MATCH(AI232,$AA:$AA,0)+9)+INDEX(AI:AI,MATCH(AI232,$AA:$AA,0)+10))</f>
        <v>170</v>
      </c>
      <c r="AJ236" s="378"/>
      <c r="AK236" s="377">
        <f>ABS(INDEX(AK:AK,MATCH(AK232,$AA:$AA,0)+8)+INDEX(AK:AK,MATCH(AK232,$AA:$AA,0)+9)+INDEX(AK:AK,MATCH(AK232,$AA:$AA,0)+10))</f>
        <v>226</v>
      </c>
      <c r="AL236" s="378"/>
      <c r="AM236" s="377">
        <f>ABS(INDEX(AM:AM,MATCH(AM232,$AA:$AA,0)+8)+INDEX(AM:AM,MATCH(AM232,$AA:$AA,0)+9)+INDEX(AM:AM,MATCH(AM232,$AA:$AA,0)+10))</f>
        <v>195</v>
      </c>
      <c r="AN236" s="378"/>
      <c r="AO236" s="377">
        <f>ABS(INDEX(AO:AO,MATCH(AO232,$AA:$AA,0)+8)+INDEX(AO:AO,MATCH(AO232,$AA:$AA,0)+9)+INDEX(AO:AO,MATCH(AO232,$AA:$AA,0)+10))</f>
        <v>170</v>
      </c>
      <c r="AP236" s="378"/>
      <c r="AQ236" s="377">
        <f>ABS(INDEX(AQ:AQ,MATCH(AQ232,$AA:$AA,0)+8)+INDEX(AQ:AQ,MATCH(AQ232,$AA:$AA,0)+9)+INDEX(AQ:AQ,MATCH(AQ232,$AA:$AA,0)+10))</f>
        <v>211</v>
      </c>
      <c r="AR236" s="378"/>
      <c r="AS236" s="377">
        <f>ABS(INDEX(AS:AS,MATCH(AS232,$AA:$AA,0)+8)+INDEX(AS:AS,MATCH(AS232,$AA:$AA,0)+9)+INDEX(AS:AS,MATCH(AS232,$AA:$AA,0)+10))</f>
        <v>164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157</v>
      </c>
      <c r="E237" s="342" t="str">
        <f>IF(AD237=0,"",AD237)</f>
        <v/>
      </c>
      <c r="F237" s="342">
        <f>IF(AE237=301,"",AE237)</f>
        <v>194</v>
      </c>
      <c r="G237" s="342" t="str">
        <f>IF(AF237=0,"",AF237)</f>
        <v/>
      </c>
      <c r="H237" s="342">
        <f>IF(AG237=301,"",AG237)</f>
        <v>179</v>
      </c>
      <c r="I237" s="342" t="str">
        <f>IF(AH237=0,"",AH237)</f>
        <v/>
      </c>
      <c r="J237" s="342">
        <f>IF(AI237=301,"",AI237)</f>
        <v>177</v>
      </c>
      <c r="K237" s="342" t="str">
        <f>IF(AJ237=0,"",AJ237)</f>
        <v/>
      </c>
      <c r="L237" s="342">
        <f>IF(AK237=301,"",AK237)</f>
        <v>188</v>
      </c>
      <c r="M237" s="342" t="str">
        <f>IF(AL237=0,"",AL237)</f>
        <v/>
      </c>
      <c r="N237" s="342">
        <f>IF(AM237=301,"",AM237)</f>
        <v>158</v>
      </c>
      <c r="O237" s="342" t="str">
        <f>IF(AN237=0,"",AN237)</f>
        <v/>
      </c>
      <c r="P237" s="342">
        <f>IF(AO237=301,"",AO237)</f>
        <v>182</v>
      </c>
      <c r="Q237" s="342" t="str">
        <f>IF(AP237=0,"",AP237)</f>
        <v/>
      </c>
      <c r="R237" s="342">
        <f>IF(AQ237=301,"",AQ237)</f>
        <v>143</v>
      </c>
      <c r="S237" s="342" t="str">
        <f>IF(AR237=0,"",AR237)</f>
        <v/>
      </c>
      <c r="T237" s="342">
        <f>IF(AS237=301,"",AS237)</f>
        <v>158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157</v>
      </c>
      <c r="AD237" s="378"/>
      <c r="AE237" s="377">
        <f>ABS(INDEX(AE:AE,MATCH(AE232,$AA:$AA,0)+11)+INDEX(AE:AE,MATCH(AE232,$AA:$AA,0)+12)+INDEX(AE:AE,MATCH(AE232,$AA:$AA,0)+13))</f>
        <v>194</v>
      </c>
      <c r="AF237" s="378"/>
      <c r="AG237" s="377">
        <f>ABS(INDEX(AG:AG,MATCH(AG232,$AA:$AA,0)+11)+INDEX(AG:AG,MATCH(AG232,$AA:$AA,0)+12)+INDEX(AG:AG,MATCH(AG232,$AA:$AA,0)+13))</f>
        <v>179</v>
      </c>
      <c r="AH237" s="378"/>
      <c r="AI237" s="377">
        <f>ABS(INDEX(AI:AI,MATCH(AI232,$AA:$AA,0)+11)+INDEX(AI:AI,MATCH(AI232,$AA:$AA,0)+12)+INDEX(AI:AI,MATCH(AI232,$AA:$AA,0)+13))</f>
        <v>177</v>
      </c>
      <c r="AJ237" s="378"/>
      <c r="AK237" s="377">
        <f>ABS(INDEX(AK:AK,MATCH(AK232,$AA:$AA,0)+11)+INDEX(AK:AK,MATCH(AK232,$AA:$AA,0)+12)+INDEX(AK:AK,MATCH(AK232,$AA:$AA,0)+13))</f>
        <v>188</v>
      </c>
      <c r="AL237" s="378"/>
      <c r="AM237" s="377">
        <f>ABS(INDEX(AM:AM,MATCH(AM232,$AA:$AA,0)+11)+INDEX(AM:AM,MATCH(AM232,$AA:$AA,0)+12)+INDEX(AM:AM,MATCH(AM232,$AA:$AA,0)+13))</f>
        <v>158</v>
      </c>
      <c r="AN237" s="378"/>
      <c r="AO237" s="377">
        <f>ABS(INDEX(AO:AO,MATCH(AO232,$AA:$AA,0)+11)+INDEX(AO:AO,MATCH(AO232,$AA:$AA,0)+12)+INDEX(AO:AO,MATCH(AO232,$AA:$AA,0)+13))</f>
        <v>182</v>
      </c>
      <c r="AP237" s="378"/>
      <c r="AQ237" s="377">
        <f>ABS(INDEX(AQ:AQ,MATCH(AQ232,$AA:$AA,0)+11)+INDEX(AQ:AQ,MATCH(AQ232,$AA:$AA,0)+12)+INDEX(AQ:AQ,MATCH(AQ232,$AA:$AA,0)+13))</f>
        <v>143</v>
      </c>
      <c r="AR237" s="378"/>
      <c r="AS237" s="377">
        <f>ABS(INDEX(AS:AS,MATCH(AS232,$AA:$AA,0)+11)+INDEX(AS:AS,MATCH(AS232,$AA:$AA,0)+12)+INDEX(AS:AS,MATCH(AS232,$AA:$AA,0)+13))</f>
        <v>158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188</v>
      </c>
      <c r="E238" s="342" t="str">
        <f>IF(AD238=0,"",AD238)</f>
        <v/>
      </c>
      <c r="F238" s="342">
        <f>IF(AE238=301,"",AE238)</f>
        <v>215</v>
      </c>
      <c r="G238" s="342" t="str">
        <f>IF(AF238=0,"",AF238)</f>
        <v/>
      </c>
      <c r="H238" s="342">
        <f>IF(AG238=301,"",AG238)</f>
        <v>170</v>
      </c>
      <c r="I238" s="342" t="str">
        <f>IF(AH238=0,"",AH238)</f>
        <v/>
      </c>
      <c r="J238" s="342">
        <f>IF(AI238=301,"",AI238)</f>
        <v>172</v>
      </c>
      <c r="K238" s="342" t="str">
        <f>IF(AJ238=0,"",AJ238)</f>
        <v/>
      </c>
      <c r="L238" s="342">
        <f>IF(AK238=301,"",AK238)</f>
        <v>194</v>
      </c>
      <c r="M238" s="342" t="str">
        <f>IF(AL238=0,"",AL238)</f>
        <v/>
      </c>
      <c r="N238" s="342">
        <f>IF(AM238=301,"",AM238)</f>
        <v>236</v>
      </c>
      <c r="O238" s="342" t="str">
        <f>IF(AN238=0,"",AN238)</f>
        <v/>
      </c>
      <c r="P238" s="342">
        <f>IF(AO238=301,"",AO238)</f>
        <v>206</v>
      </c>
      <c r="Q238" s="342" t="str">
        <f>IF(AP238=0,"",AP238)</f>
        <v/>
      </c>
      <c r="R238" s="342">
        <f>IF(AQ238=301,"",AQ238)</f>
        <v>187</v>
      </c>
      <c r="S238" s="342" t="str">
        <f>IF(AR238=0,"",AR238)</f>
        <v/>
      </c>
      <c r="T238" s="342">
        <f>IF(AS238=301,"",AS238)</f>
        <v>234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188</v>
      </c>
      <c r="AD238" s="378"/>
      <c r="AE238" s="377">
        <f>ABS(INDEX(AE:AE,MATCH(AE232,$AA:$AA,0)+14)+INDEX(AE:AE,MATCH(AE232,$AA:$AA,0)+15)+INDEX(AE:AE,MATCH(AE232,$AA:$AA,0)+16))</f>
        <v>215</v>
      </c>
      <c r="AF238" s="378"/>
      <c r="AG238" s="377">
        <f>ABS(INDEX(AG:AG,MATCH(AG232,$AA:$AA,0)+14)+INDEX(AG:AG,MATCH(AG232,$AA:$AA,0)+15)+INDEX(AG:AG,MATCH(AG232,$AA:$AA,0)+16))</f>
        <v>170</v>
      </c>
      <c r="AH238" s="378"/>
      <c r="AI238" s="377">
        <f>ABS(INDEX(AI:AI,MATCH(AI232,$AA:$AA,0)+14)+INDEX(AI:AI,MATCH(AI232,$AA:$AA,0)+15)+INDEX(AI:AI,MATCH(AI232,$AA:$AA,0)+16))</f>
        <v>172</v>
      </c>
      <c r="AJ238" s="378"/>
      <c r="AK238" s="377">
        <f>ABS(INDEX(AK:AK,MATCH(AK232,$AA:$AA,0)+14)+INDEX(AK:AK,MATCH(AK232,$AA:$AA,0)+15)+INDEX(AK:AK,MATCH(AK232,$AA:$AA,0)+16))</f>
        <v>194</v>
      </c>
      <c r="AL238" s="378"/>
      <c r="AM238" s="377">
        <f>ABS(INDEX(AM:AM,MATCH(AM232,$AA:$AA,0)+14)+INDEX(AM:AM,MATCH(AM232,$AA:$AA,0)+15)+INDEX(AM:AM,MATCH(AM232,$AA:$AA,0)+16))</f>
        <v>236</v>
      </c>
      <c r="AN238" s="378"/>
      <c r="AO238" s="377">
        <f>ABS(INDEX(AO:AO,MATCH(AO232,$AA:$AA,0)+14)+INDEX(AO:AO,MATCH(AO232,$AA:$AA,0)+15)+INDEX(AO:AO,MATCH(AO232,$AA:$AA,0)+16))</f>
        <v>206</v>
      </c>
      <c r="AP238" s="378"/>
      <c r="AQ238" s="377">
        <f>ABS(INDEX(AQ:AQ,MATCH(AQ232,$AA:$AA,0)+14)+INDEX(AQ:AQ,MATCH(AQ232,$AA:$AA,0)+15)+INDEX(AQ:AQ,MATCH(AQ232,$AA:$AA,0)+16))</f>
        <v>187</v>
      </c>
      <c r="AR238" s="378"/>
      <c r="AS238" s="377">
        <f>ABS(INDEX(AS:AS,MATCH(AS232,$AA:$AA,0)+14)+INDEX(AS:AS,MATCH(AS232,$AA:$AA,0)+15)+INDEX(AS:AS,MATCH(AS232,$AA:$AA,0)+16))</f>
        <v>234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774</v>
      </c>
      <c r="E239" s="341" t="str">
        <f>IF(AD239=0,"",AD239)</f>
        <v/>
      </c>
      <c r="F239" s="341">
        <f>IF(AE239=1505,"",AE239)</f>
        <v>800</v>
      </c>
      <c r="G239" s="341" t="str">
        <f>IF(AF239=0,"",AF239)</f>
        <v/>
      </c>
      <c r="H239" s="341">
        <f>IF(AG239=1505,"",AG239)</f>
        <v>716</v>
      </c>
      <c r="I239" s="341" t="str">
        <f>IF(AH239=0,"",AH239)</f>
        <v/>
      </c>
      <c r="J239" s="341">
        <f>IF(AI239=1505,"",AI239)</f>
        <v>700</v>
      </c>
      <c r="K239" s="341" t="str">
        <f>IF(AJ239=0,"",AJ239)</f>
        <v/>
      </c>
      <c r="L239" s="341">
        <f>IF(AK239=1505,"",AK239)</f>
        <v>811</v>
      </c>
      <c r="M239" s="341" t="str">
        <f>IF(AL239=0,"",AL239)</f>
        <v/>
      </c>
      <c r="N239" s="341">
        <f>IF(AM239=1505,"",AM239)</f>
        <v>792</v>
      </c>
      <c r="O239" s="341" t="str">
        <f>IF(AN239=0,"",AN239)</f>
        <v/>
      </c>
      <c r="P239" s="341">
        <f>IF(AO239=1505,"",AO239)</f>
        <v>740</v>
      </c>
      <c r="Q239" s="341" t="str">
        <f>IF(AP239=0,"",AP239)</f>
        <v/>
      </c>
      <c r="R239" s="341">
        <f>IF(AQ239=1505,"",AQ239)</f>
        <v>753</v>
      </c>
      <c r="S239" s="341" t="str">
        <f>IF(AR239=0,"",AR239)</f>
        <v/>
      </c>
      <c r="T239" s="341">
        <f>IF(AS239=1505,"",AS239)</f>
        <v>761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774</v>
      </c>
      <c r="AD239" s="358"/>
      <c r="AE239" s="357">
        <f>SUM(AE235:AE238)</f>
        <v>800</v>
      </c>
      <c r="AF239" s="358"/>
      <c r="AG239" s="357">
        <f>SUM(AG235:AG238)</f>
        <v>716</v>
      </c>
      <c r="AH239" s="358"/>
      <c r="AI239" s="357">
        <f>SUM(AI235:AI238)</f>
        <v>700</v>
      </c>
      <c r="AJ239" s="358"/>
      <c r="AK239" s="357">
        <f>SUM(AK235:AK238)</f>
        <v>811</v>
      </c>
      <c r="AL239" s="358"/>
      <c r="AM239" s="357">
        <f>SUM(AM235:AM238)</f>
        <v>792</v>
      </c>
      <c r="AN239" s="358"/>
      <c r="AO239" s="357">
        <f>SUM(AO235:AO238)</f>
        <v>740</v>
      </c>
      <c r="AP239" s="358"/>
      <c r="AQ239" s="357">
        <f>SUM(AQ235:AQ238)</f>
        <v>753</v>
      </c>
      <c r="AR239" s="358"/>
      <c r="AS239" s="357">
        <f>SUM(AS235:AS238)</f>
        <v>761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05.04./06.04.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05.04./06.04.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Dettelbach Extreme Bowlingarena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225</v>
      </c>
      <c r="E247" s="351">
        <f>IF(AD247="","",AD247)</f>
        <v>1</v>
      </c>
      <c r="F247" s="75">
        <f t="shared" ref="F247:F260" si="279">IF(AE247=0,"",AE247)</f>
        <v>213</v>
      </c>
      <c r="G247" s="351">
        <f>IF(AF247="","",AF247)</f>
        <v>0.5</v>
      </c>
      <c r="H247" s="75">
        <f t="shared" ref="H247:H260" si="280">IF(AG247=0,"",AG247)</f>
        <v>204</v>
      </c>
      <c r="I247" s="351">
        <f>IF(AH247="","",AH247)</f>
        <v>1</v>
      </c>
      <c r="J247" s="75">
        <f t="shared" ref="J247:J260" si="281">IF(AI247=0,"",AI247)</f>
        <v>212</v>
      </c>
      <c r="K247" s="351">
        <f>IF(AJ247="","",AJ247)</f>
        <v>0</v>
      </c>
      <c r="L247" s="75">
        <f t="shared" ref="L247:L260" si="282">IF(AK247=0,"",AK247)</f>
        <v>195</v>
      </c>
      <c r="M247" s="351">
        <f>IF(AL247="","",AL247)</f>
        <v>1</v>
      </c>
      <c r="N247" s="75">
        <f>IF(AM247=0,"",AM247)</f>
        <v>245</v>
      </c>
      <c r="O247" s="351">
        <f>IF(AN247="","",AN247)</f>
        <v>1</v>
      </c>
      <c r="P247" s="75">
        <f t="shared" ref="P247:P260" si="283">IF(AO247=0,"",AO247)</f>
        <v>182</v>
      </c>
      <c r="Q247" s="351">
        <f>IF(AP247="","",AP247)</f>
        <v>0</v>
      </c>
      <c r="R247" s="75">
        <f t="shared" ref="R247:R260" si="284">IF(AQ247=0,"",AQ247)</f>
        <v>176</v>
      </c>
      <c r="S247" s="351">
        <f>IF(AR247="","",AR247)</f>
        <v>0</v>
      </c>
      <c r="T247" s="75">
        <f t="shared" ref="T247:T260" si="285">IF(AS247=0,"",AS247)</f>
        <v>196</v>
      </c>
      <c r="U247" s="351">
        <f>IF(AT247="","",AT247)</f>
        <v>1</v>
      </c>
      <c r="V247" s="75">
        <f t="shared" ref="V247:V260" si="286">IF(AU247=0,"",AU247)</f>
        <v>1848</v>
      </c>
      <c r="W247" s="351">
        <f>IF(AV247="","",AV247)</f>
        <v>5.5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225</v>
      </c>
      <c r="AD247" s="109">
        <f>IF(SUM(AC247:AC249)+AC265=0,0,IF(SUM(AC247:AC249)=AC265,0.5,IF(SUM(AC247:AC249)&gt;AC265,1,0)))</f>
        <v>1</v>
      </c>
      <c r="AE247" s="185">
        <v>213</v>
      </c>
      <c r="AF247" s="109">
        <f>IF(SUM(AE247:AE249)+AE265=0,0,IF(SUM(AE247:AE249)=AE265,0.5,IF(SUM(AE247:AE249)&gt;AE265,1,0)))</f>
        <v>0.5</v>
      </c>
      <c r="AG247" s="185">
        <v>204</v>
      </c>
      <c r="AH247" s="109">
        <f>IF(SUM(AG247:AG249)+AG265=0,0,IF(SUM(AG247:AG249)=AG265,0.5,IF(SUM(AG247:AG249)&gt;AG265,1,0)))</f>
        <v>1</v>
      </c>
      <c r="AI247" s="185">
        <v>212</v>
      </c>
      <c r="AJ247" s="109">
        <f>IF(SUM(AI247:AI249)+AI265=0,0,IF(SUM(AI247:AI249)=AI265,0.5,IF(SUM(AI247:AI249)&gt;AI265,1,0)))</f>
        <v>0</v>
      </c>
      <c r="AK247" s="185">
        <v>195</v>
      </c>
      <c r="AL247" s="109">
        <f>IF(SUM(AK247:AK249)+AK265=0,0,IF(SUM(AK247:AK249)=AK265,0.5,IF(SUM(AK247:AK249)&gt;AK265,1,0)))</f>
        <v>1</v>
      </c>
      <c r="AM247" s="185">
        <v>245</v>
      </c>
      <c r="AN247" s="109">
        <f>IF(SUM(AM247:AM249)+AM265=0,0,IF(SUM(AM247:AM249)=AM265,0.5,IF(SUM(AM247:AM249)&gt;AM265,1,0)))</f>
        <v>1</v>
      </c>
      <c r="AO247" s="185">
        <v>182</v>
      </c>
      <c r="AP247" s="109">
        <f>IF(SUM(AO247:AO249)+AO265=0,0,IF(SUM(AO247:AO249)=AO265,0.5,IF(SUM(AO247:AO249)&gt;AO265,1,0)))</f>
        <v>0</v>
      </c>
      <c r="AQ247" s="185">
        <v>176</v>
      </c>
      <c r="AR247" s="109">
        <f>IF(SUM(AQ247:AQ249)+AQ265=0,0,IF(SUM(AQ247:AQ249)=AQ265,0.5,IF(SUM(AQ247:AQ249)&gt;AQ265,1,0)))</f>
        <v>0</v>
      </c>
      <c r="AS247" s="185">
        <v>196</v>
      </c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1848</v>
      </c>
      <c r="AV247" s="111">
        <f>SUM(AD247+AF247+AH247+AJ247+AL247+AN247+AP247+AR247+AT247)</f>
        <v>5.5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1848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225</v>
      </c>
      <c r="BI247" s="215">
        <f t="shared" ref="BI247:BI258" si="289">IF(AE247=0,"",AE247)</f>
        <v>213</v>
      </c>
      <c r="BJ247" s="215">
        <f t="shared" ref="BJ247:BJ258" si="290">IF(AG247=0,"",AG247)</f>
        <v>204</v>
      </c>
      <c r="BK247" s="215">
        <f t="shared" ref="BK247:BK258" si="291">IF(AI247=0,"",AI247)</f>
        <v>212</v>
      </c>
      <c r="BL247" s="215">
        <f t="shared" ref="BL247:BL258" si="292">IF(AK247=0,"",AK247)</f>
        <v>195</v>
      </c>
      <c r="BM247" s="215">
        <f t="shared" ref="BM247:BM258" si="293">IF(AM247=0,"",AM247)</f>
        <v>245</v>
      </c>
      <c r="BN247" s="215">
        <f t="shared" ref="BN247:BN258" si="294">IF(AO247=0,"",AO247)</f>
        <v>182</v>
      </c>
      <c r="BO247" s="215">
        <f t="shared" ref="BO247:BO258" si="295">IF(AQ247=0,"",AQ247)</f>
        <v>176</v>
      </c>
      <c r="BP247" s="215">
        <f t="shared" ref="BP247:BP258" si="296">IF(AS247=0,"",AS247)</f>
        <v>196</v>
      </c>
      <c r="BQ247" s="216"/>
      <c r="BR247" s="214"/>
      <c r="BS247" s="215">
        <f>MAX(BH247:BP247)</f>
        <v>245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1848</v>
      </c>
      <c r="BX247" s="215">
        <f>IF(COUNTIF(BH247:BP247,"&gt;0")&lt;Spielorte!$A$23,0,BE247/Spielorte!$A$23)</f>
        <v>205.33333333333334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133</v>
      </c>
      <c r="E250" s="351">
        <f>IF(AD250="","",AD250)</f>
        <v>0</v>
      </c>
      <c r="F250" s="75" t="str">
        <f t="shared" si="279"/>
        <v/>
      </c>
      <c r="G250" s="351">
        <f>IF(AF250="","",AF250)</f>
        <v>1</v>
      </c>
      <c r="H250" s="75" t="str">
        <f t="shared" si="280"/>
        <v/>
      </c>
      <c r="I250" s="351">
        <f>IF(AH250="","",AH250)</f>
        <v>0</v>
      </c>
      <c r="J250" s="75" t="str">
        <f t="shared" si="281"/>
        <v/>
      </c>
      <c r="K250" s="351">
        <f>IF(AJ250="","",AJ250)</f>
        <v>0</v>
      </c>
      <c r="L250" s="75" t="str">
        <f t="shared" si="282"/>
        <v/>
      </c>
      <c r="M250" s="351">
        <f>IF(AL250="","",AL250)</f>
        <v>1</v>
      </c>
      <c r="N250" s="75" t="str">
        <f t="shared" si="299"/>
        <v/>
      </c>
      <c r="O250" s="351">
        <f>IF(AN250="","",AN250)</f>
        <v>0</v>
      </c>
      <c r="P250" s="75">
        <f t="shared" si="283"/>
        <v>170</v>
      </c>
      <c r="Q250" s="351">
        <f>IF(AP250="","",AP250)</f>
        <v>0</v>
      </c>
      <c r="R250" s="75">
        <f t="shared" si="284"/>
        <v>222</v>
      </c>
      <c r="S250" s="351">
        <f>IF(AR250="","",AR250)</f>
        <v>1</v>
      </c>
      <c r="T250" s="75">
        <f t="shared" si="285"/>
        <v>169</v>
      </c>
      <c r="U250" s="351">
        <f>IF(AT250="","",AT250)</f>
        <v>1</v>
      </c>
      <c r="V250" s="75">
        <f t="shared" si="286"/>
        <v>694</v>
      </c>
      <c r="W250" s="351">
        <f>IF(AV250="","",AV250)</f>
        <v>4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133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1</v>
      </c>
      <c r="AM250" s="188"/>
      <c r="AN250" s="109">
        <f>IF(SUM(AM250:AM252)+AM266=0,0,IF(SUM(AM250:AM252)=AM266,0.5,IF(SUM(AM250:AM252)&gt;AM266,1,0)))</f>
        <v>0</v>
      </c>
      <c r="AO250" s="188">
        <v>170</v>
      </c>
      <c r="AP250" s="109">
        <f>IF(SUM(AO250:AO252)+AO266=0,0,IF(SUM(AO250:AO252)=AO266,0.5,IF(SUM(AO250:AO252)&gt;AO266,1,0)))</f>
        <v>0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169</v>
      </c>
      <c r="AT250" s="109">
        <f>IF(SUM(AS250:AS252)+AS266=0,0,IF(SUM(AS250:AS252)=AS266,0.5,IF(SUM(AS250:AS252)&gt;AS266,1,0)))</f>
        <v>1</v>
      </c>
      <c r="AU250" s="110">
        <f t="shared" si="287"/>
        <v>694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694</v>
      </c>
      <c r="BF250" s="215">
        <f t="shared" si="302"/>
        <v>4</v>
      </c>
      <c r="BG250" s="215">
        <f t="shared" si="303"/>
        <v>4</v>
      </c>
      <c r="BH250" s="215">
        <f t="shared" si="288"/>
        <v>133</v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>
        <f t="shared" si="294"/>
        <v>170</v>
      </c>
      <c r="BO250" s="215">
        <f t="shared" si="295"/>
        <v>222</v>
      </c>
      <c r="BP250" s="215">
        <f t="shared" si="296"/>
        <v>169</v>
      </c>
      <c r="BQ250" s="216"/>
      <c r="BR250" s="214"/>
      <c r="BS250" s="215">
        <f t="shared" si="304"/>
        <v>222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694</v>
      </c>
      <c r="BX250" s="215">
        <f>IF(COUNTIF(BH250:BP250,"&gt;0")&lt;Spielorte!$A$23,0,BE250/Spielorte!$A$23)</f>
        <v>0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>Karl, William</v>
      </c>
      <c r="C251" s="77">
        <f t="shared" si="298"/>
        <v>16532</v>
      </c>
      <c r="D251" s="78" t="str">
        <f t="shared" si="298"/>
        <v/>
      </c>
      <c r="E251" s="352"/>
      <c r="F251" s="78">
        <f t="shared" si="279"/>
        <v>235</v>
      </c>
      <c r="G251" s="352"/>
      <c r="H251" s="78">
        <f t="shared" si="280"/>
        <v>159</v>
      </c>
      <c r="I251" s="352"/>
      <c r="J251" s="78">
        <f t="shared" si="281"/>
        <v>176</v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>
        <f t="shared" si="286"/>
        <v>570</v>
      </c>
      <c r="W251" s="352"/>
      <c r="Z251" s="355"/>
      <c r="AA251" s="108" t="str">
        <f>IF(AB251=0,"",VLOOKUP(AB251,Starter!$A$1:$D$199,2,FALSE))</f>
        <v>Karl, William</v>
      </c>
      <c r="AB251" s="98">
        <v>16532</v>
      </c>
      <c r="AC251" s="186"/>
      <c r="AD251" s="112"/>
      <c r="AE251" s="186">
        <v>235</v>
      </c>
      <c r="AF251" s="112"/>
      <c r="AG251" s="186">
        <v>159</v>
      </c>
      <c r="AH251" s="112"/>
      <c r="AI251" s="186">
        <v>176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570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16532</v>
      </c>
      <c r="BE251" s="213">
        <f t="shared" si="301"/>
        <v>570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>
        <f t="shared" si="289"/>
        <v>235</v>
      </c>
      <c r="BJ251" s="215">
        <f t="shared" si="290"/>
        <v>159</v>
      </c>
      <c r="BK251" s="215">
        <f t="shared" si="291"/>
        <v>176</v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235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570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>Badum, Daniel</v>
      </c>
      <c r="C252" s="80">
        <f t="shared" si="298"/>
        <v>38043</v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>
        <f t="shared" si="282"/>
        <v>192</v>
      </c>
      <c r="M252" s="353"/>
      <c r="N252" s="69">
        <f t="shared" si="299"/>
        <v>145</v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>
        <f t="shared" si="286"/>
        <v>337</v>
      </c>
      <c r="W252" s="353"/>
      <c r="Z252" s="356"/>
      <c r="AA252" s="118" t="str">
        <f>IF(AB252=0,"",VLOOKUP(AB252,Starter!$A$1:$D$199,2,FALSE))</f>
        <v>Badum, Daniel</v>
      </c>
      <c r="AB252" s="100">
        <v>38043</v>
      </c>
      <c r="AC252" s="189"/>
      <c r="AD252" s="119"/>
      <c r="AE252" s="189"/>
      <c r="AF252" s="119"/>
      <c r="AG252" s="189"/>
      <c r="AH252" s="119"/>
      <c r="AI252" s="189"/>
      <c r="AJ252" s="119"/>
      <c r="AK252" s="189">
        <v>192</v>
      </c>
      <c r="AL252" s="119"/>
      <c r="AM252" s="189">
        <v>145</v>
      </c>
      <c r="AN252" s="119"/>
      <c r="AO252" s="189"/>
      <c r="AP252" s="119"/>
      <c r="AQ252" s="189"/>
      <c r="AR252" s="119"/>
      <c r="AS252" s="189"/>
      <c r="AT252" s="119"/>
      <c r="AU252" s="116">
        <f t="shared" si="287"/>
        <v>337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38043</v>
      </c>
      <c r="BE252" s="213">
        <f t="shared" si="301"/>
        <v>337</v>
      </c>
      <c r="BF252" s="215">
        <f t="shared" si="302"/>
        <v>2</v>
      </c>
      <c r="BG252" s="215">
        <f t="shared" si="303"/>
        <v>2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>
        <f t="shared" si="292"/>
        <v>192</v>
      </c>
      <c r="BM252" s="215">
        <f t="shared" si="293"/>
        <v>145</v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192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337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196</v>
      </c>
      <c r="E253" s="351">
        <f>IF(AD253="","",AD253)</f>
        <v>0</v>
      </c>
      <c r="F253" s="75">
        <f t="shared" si="279"/>
        <v>178</v>
      </c>
      <c r="G253" s="351">
        <f>IF(AF253="","",AF253)</f>
        <v>0</v>
      </c>
      <c r="H253" s="75">
        <f t="shared" si="280"/>
        <v>149</v>
      </c>
      <c r="I253" s="351">
        <f>IF(AH253="","",AH253)</f>
        <v>0</v>
      </c>
      <c r="J253" s="75" t="str">
        <f t="shared" si="281"/>
        <v/>
      </c>
      <c r="K253" s="351">
        <f>IF(AJ253="","",AJ253)</f>
        <v>1</v>
      </c>
      <c r="L253" s="75" t="str">
        <f t="shared" si="282"/>
        <v/>
      </c>
      <c r="M253" s="351">
        <f>IF(AL253="","",AL253)</f>
        <v>1</v>
      </c>
      <c r="N253" s="75" t="str">
        <f t="shared" si="299"/>
        <v/>
      </c>
      <c r="O253" s="351">
        <f>IF(AN253="","",AN253)</f>
        <v>0</v>
      </c>
      <c r="P253" s="75" t="str">
        <f t="shared" si="283"/>
        <v/>
      </c>
      <c r="Q253" s="351">
        <f>IF(AP253="","",AP253)</f>
        <v>0</v>
      </c>
      <c r="R253" s="75" t="str">
        <f t="shared" si="284"/>
        <v/>
      </c>
      <c r="S253" s="351">
        <f>IF(AR253="","",AR253)</f>
        <v>1</v>
      </c>
      <c r="T253" s="75">
        <f t="shared" si="285"/>
        <v>168</v>
      </c>
      <c r="U253" s="351">
        <f>IF(AT253="","",AT253)</f>
        <v>0</v>
      </c>
      <c r="V253" s="75">
        <f t="shared" si="286"/>
        <v>691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196</v>
      </c>
      <c r="AD253" s="109">
        <f>IF(SUM(AC253:AC255)+AC267=0,0,IF(SUM(AC253:AC255)=AC267,0.5,IF(SUM(AC253:AC255)&gt;AC267,1,0)))</f>
        <v>0</v>
      </c>
      <c r="AE253" s="188">
        <v>178</v>
      </c>
      <c r="AF253" s="109">
        <f>IF(SUM(AE253:AE255)+AE267=0,0,IF(SUM(AE253:AE255)=AE267,0.5,IF(SUM(AE253:AE255)&gt;AE267,1,0)))</f>
        <v>0</v>
      </c>
      <c r="AG253" s="188">
        <v>149</v>
      </c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1</v>
      </c>
      <c r="AS253" s="188">
        <v>168</v>
      </c>
      <c r="AT253" s="109">
        <f>IF(SUM(AS253:AS255)+AS267=0,0,IF(SUM(AS253:AS255)=AS267,0.5,IF(SUM(AS253:AS255)&gt;AS267,1,0)))</f>
        <v>0</v>
      </c>
      <c r="AU253" s="110">
        <f t="shared" si="287"/>
        <v>691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691</v>
      </c>
      <c r="BF253" s="215">
        <f t="shared" si="302"/>
        <v>4</v>
      </c>
      <c r="BG253" s="215">
        <f t="shared" si="303"/>
        <v>4</v>
      </c>
      <c r="BH253" s="215">
        <f t="shared" si="288"/>
        <v>196</v>
      </c>
      <c r="BI253" s="215">
        <f t="shared" si="289"/>
        <v>178</v>
      </c>
      <c r="BJ253" s="215">
        <f t="shared" si="290"/>
        <v>149</v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>
        <f t="shared" si="296"/>
        <v>168</v>
      </c>
      <c r="BQ253" s="216"/>
      <c r="BR253" s="214"/>
      <c r="BS253" s="215">
        <f t="shared" si="304"/>
        <v>196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691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>Nolan, Jonathan</v>
      </c>
      <c r="C254" s="77">
        <f t="shared" si="298"/>
        <v>16873</v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>
        <f t="shared" si="281"/>
        <v>214</v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>
        <f t="shared" si="286"/>
        <v>214</v>
      </c>
      <c r="W254" s="352"/>
      <c r="Z254" s="355"/>
      <c r="AA254" s="108" t="str">
        <f>IF(AB254=0,"",VLOOKUP(AB254,Starter!$A$1:$D$199,2,FALSE))</f>
        <v>Nolan, Jonathan</v>
      </c>
      <c r="AB254" s="98">
        <v>16873</v>
      </c>
      <c r="AC254" s="186"/>
      <c r="AD254" s="112"/>
      <c r="AE254" s="186"/>
      <c r="AF254" s="112"/>
      <c r="AG254" s="186"/>
      <c r="AH254" s="112"/>
      <c r="AI254" s="186">
        <v>214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214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16873</v>
      </c>
      <c r="BE254" s="213">
        <f t="shared" si="301"/>
        <v>214</v>
      </c>
      <c r="BF254" s="215">
        <f t="shared" si="302"/>
        <v>1</v>
      </c>
      <c r="BG254" s="215">
        <f t="shared" si="303"/>
        <v>1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>
        <f t="shared" si="291"/>
        <v>214</v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214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214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>Holzinger, Sebastian</v>
      </c>
      <c r="C255" s="80">
        <f t="shared" si="298"/>
        <v>7099</v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>
        <f t="shared" si="282"/>
        <v>225</v>
      </c>
      <c r="M255" s="353"/>
      <c r="N255" s="69">
        <f t="shared" si="299"/>
        <v>178</v>
      </c>
      <c r="O255" s="353"/>
      <c r="P255" s="69">
        <f t="shared" si="283"/>
        <v>182</v>
      </c>
      <c r="Q255" s="353"/>
      <c r="R255" s="69">
        <f t="shared" si="284"/>
        <v>171</v>
      </c>
      <c r="S255" s="353"/>
      <c r="T255" s="69" t="str">
        <f t="shared" si="285"/>
        <v/>
      </c>
      <c r="U255" s="353"/>
      <c r="V255" s="69">
        <f t="shared" si="286"/>
        <v>756</v>
      </c>
      <c r="W255" s="353"/>
      <c r="Z255" s="356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225</v>
      </c>
      <c r="AL255" s="119"/>
      <c r="AM255" s="189">
        <v>178</v>
      </c>
      <c r="AN255" s="119"/>
      <c r="AO255" s="189">
        <v>182</v>
      </c>
      <c r="AP255" s="119"/>
      <c r="AQ255" s="189">
        <v>171</v>
      </c>
      <c r="AR255" s="119"/>
      <c r="AS255" s="189"/>
      <c r="AT255" s="119"/>
      <c r="AU255" s="116">
        <f t="shared" si="287"/>
        <v>756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7099</v>
      </c>
      <c r="BE255" s="213">
        <f t="shared" si="301"/>
        <v>756</v>
      </c>
      <c r="BF255" s="215">
        <f t="shared" si="302"/>
        <v>4</v>
      </c>
      <c r="BG255" s="215">
        <f t="shared" si="303"/>
        <v>4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>
        <f t="shared" si="292"/>
        <v>225</v>
      </c>
      <c r="BM255" s="215">
        <f t="shared" si="293"/>
        <v>178</v>
      </c>
      <c r="BN255" s="215">
        <f t="shared" si="294"/>
        <v>182</v>
      </c>
      <c r="BO255" s="215">
        <f t="shared" si="295"/>
        <v>171</v>
      </c>
      <c r="BP255" s="215" t="str">
        <f t="shared" si="296"/>
        <v/>
      </c>
      <c r="BQ255" s="216"/>
      <c r="BR255" s="214"/>
      <c r="BS255" s="215">
        <f t="shared" si="304"/>
        <v>225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756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Renner, Alexander</v>
      </c>
      <c r="C256" s="74">
        <f t="shared" si="298"/>
        <v>16251</v>
      </c>
      <c r="D256" s="75">
        <f t="shared" si="298"/>
        <v>247</v>
      </c>
      <c r="E256" s="351">
        <f>IF(AD256="","",AD256)</f>
        <v>1</v>
      </c>
      <c r="F256" s="75">
        <f t="shared" si="279"/>
        <v>172</v>
      </c>
      <c r="G256" s="351">
        <f>IF(AF256="","",AF256)</f>
        <v>1</v>
      </c>
      <c r="H256" s="75">
        <f t="shared" si="280"/>
        <v>188</v>
      </c>
      <c r="I256" s="351">
        <f>IF(AH256="","",AH256)</f>
        <v>0</v>
      </c>
      <c r="J256" s="75">
        <f t="shared" si="281"/>
        <v>146</v>
      </c>
      <c r="K256" s="351">
        <f>IF(AJ256="","",AJ256)</f>
        <v>0</v>
      </c>
      <c r="L256" s="75">
        <f t="shared" si="282"/>
        <v>214</v>
      </c>
      <c r="M256" s="351">
        <f>IF(AL256="","",AL256)</f>
        <v>0</v>
      </c>
      <c r="N256" s="75">
        <f t="shared" si="299"/>
        <v>245</v>
      </c>
      <c r="O256" s="351">
        <f>IF(AN256="","",AN256)</f>
        <v>1</v>
      </c>
      <c r="P256" s="75">
        <f t="shared" si="283"/>
        <v>206</v>
      </c>
      <c r="Q256" s="351">
        <f>IF(AP256="","",AP256)</f>
        <v>1</v>
      </c>
      <c r="R256" s="75">
        <f t="shared" si="284"/>
        <v>162</v>
      </c>
      <c r="S256" s="351">
        <f>IF(AR256="","",AR256)</f>
        <v>0</v>
      </c>
      <c r="T256" s="75">
        <f t="shared" si="285"/>
        <v>175</v>
      </c>
      <c r="U256" s="351">
        <f>IF(AT256="","",AT256)</f>
        <v>0</v>
      </c>
      <c r="V256" s="75">
        <f t="shared" si="286"/>
        <v>1755</v>
      </c>
      <c r="W256" s="351">
        <f>IF(AV256="","",AV256)</f>
        <v>4</v>
      </c>
      <c r="Z256" s="354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247</v>
      </c>
      <c r="AD256" s="109">
        <f>IF(SUM(AC256:AC258)+AC268=0,0,IF(SUM(AC256:AC258)=AC268,0.5,IF(SUM(AC256:AC258)&gt;AC268,1,0)))</f>
        <v>1</v>
      </c>
      <c r="AE256" s="188">
        <v>172</v>
      </c>
      <c r="AF256" s="109">
        <f>IF(SUM(AE256:AE258)+AE268=0,0,IF(SUM(AE256:AE258)=AE268,0.5,IF(SUM(AE256:AE258)&gt;AE268,1,0)))</f>
        <v>1</v>
      </c>
      <c r="AG256" s="188">
        <v>188</v>
      </c>
      <c r="AH256" s="109">
        <f>IF(SUM(AG256:AG258)+AG268=0,0,IF(SUM(AG256:AG258)=AG268,0.5,IF(SUM(AG256:AG258)&gt;AG268,1,0)))</f>
        <v>0</v>
      </c>
      <c r="AI256" s="188">
        <v>146</v>
      </c>
      <c r="AJ256" s="109">
        <f>IF(SUM(AI256:AI258)+AI268=0,0,IF(SUM(AI256:AI258)=AI268,0.5,IF(SUM(AI256:AI258)&gt;AI268,1,0)))</f>
        <v>0</v>
      </c>
      <c r="AK256" s="188">
        <v>214</v>
      </c>
      <c r="AL256" s="109">
        <f>IF(SUM(AK256:AK258)+AK268=0,0,IF(SUM(AK256:AK258)=AK268,0.5,IF(SUM(AK256:AK258)&gt;AK268,1,0)))</f>
        <v>0</v>
      </c>
      <c r="AM256" s="188">
        <v>245</v>
      </c>
      <c r="AN256" s="109">
        <f>IF(SUM(AM256:AM258)+AM268=0,0,IF(SUM(AM256:AM258)=AM268,0.5,IF(SUM(AM256:AM258)&gt;AM268,1,0)))</f>
        <v>1</v>
      </c>
      <c r="AO256" s="188">
        <v>206</v>
      </c>
      <c r="AP256" s="109">
        <f>IF(SUM(AO256:AO258)+AO268=0,0,IF(SUM(AO256:AO258)=AO268,0.5,IF(SUM(AO256:AO258)&gt;AO268,1,0)))</f>
        <v>1</v>
      </c>
      <c r="AQ256" s="188">
        <v>162</v>
      </c>
      <c r="AR256" s="109">
        <f>IF(SUM(AQ256:AQ258)+AQ268=0,0,IF(SUM(AQ256:AQ258)=AQ268,0.5,IF(SUM(AQ256:AQ258)&gt;AQ268,1,0)))</f>
        <v>0</v>
      </c>
      <c r="AS256" s="188">
        <v>175</v>
      </c>
      <c r="AT256" s="109">
        <f>IF(SUM(AS256:AS258)+AS268=0,0,IF(SUM(AS256:AS258)=AS268,0.5,IF(SUM(AS256:AS258)&gt;AS268,1,0)))</f>
        <v>0</v>
      </c>
      <c r="AU256" s="110">
        <f t="shared" si="287"/>
        <v>1755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300"/>
        <v>16251</v>
      </c>
      <c r="BE256" s="213">
        <f t="shared" si="301"/>
        <v>1755</v>
      </c>
      <c r="BF256" s="215">
        <f t="shared" si="302"/>
        <v>9</v>
      </c>
      <c r="BG256" s="215">
        <f t="shared" si="303"/>
        <v>9</v>
      </c>
      <c r="BH256" s="215">
        <f t="shared" si="288"/>
        <v>247</v>
      </c>
      <c r="BI256" s="215">
        <f t="shared" si="289"/>
        <v>172</v>
      </c>
      <c r="BJ256" s="215">
        <f t="shared" si="290"/>
        <v>188</v>
      </c>
      <c r="BK256" s="215">
        <f t="shared" si="291"/>
        <v>146</v>
      </c>
      <c r="BL256" s="215">
        <f t="shared" si="292"/>
        <v>214</v>
      </c>
      <c r="BM256" s="215">
        <f t="shared" si="293"/>
        <v>245</v>
      </c>
      <c r="BN256" s="215">
        <f t="shared" si="294"/>
        <v>206</v>
      </c>
      <c r="BO256" s="215">
        <f t="shared" si="295"/>
        <v>162</v>
      </c>
      <c r="BP256" s="215">
        <f t="shared" si="296"/>
        <v>175</v>
      </c>
      <c r="BQ256" s="216"/>
      <c r="BR256" s="214"/>
      <c r="BS256" s="215">
        <f t="shared" si="304"/>
        <v>247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2</v>
      </c>
      <c r="BW256" s="215">
        <f t="shared" si="308"/>
        <v>1755</v>
      </c>
      <c r="BX256" s="215">
        <f>IF(COUNTIF(BH256:BP256,"&gt;0")&lt;Spielorte!$A$23,0,BE256/Spielorte!$A$23)</f>
        <v>195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801</v>
      </c>
      <c r="E259" s="84">
        <f>IF(AD259="","",AD259)</f>
        <v>0</v>
      </c>
      <c r="F259" s="83">
        <f t="shared" si="279"/>
        <v>798</v>
      </c>
      <c r="G259" s="84">
        <f>IF(AF259="","",AF259)</f>
        <v>2</v>
      </c>
      <c r="H259" s="83">
        <f t="shared" si="280"/>
        <v>700</v>
      </c>
      <c r="I259" s="84">
        <f>IF(AH259="","",AH259)</f>
        <v>0</v>
      </c>
      <c r="J259" s="83">
        <f t="shared" si="281"/>
        <v>748</v>
      </c>
      <c r="K259" s="84">
        <f>IF(AJ259="","",AJ259)</f>
        <v>0</v>
      </c>
      <c r="L259" s="83">
        <f t="shared" si="282"/>
        <v>826</v>
      </c>
      <c r="M259" s="84">
        <f>IF(AL259="","",AL259)</f>
        <v>2</v>
      </c>
      <c r="N259" s="83">
        <f t="shared" si="299"/>
        <v>813</v>
      </c>
      <c r="O259" s="84">
        <f>IF(AN259="","",AN259)</f>
        <v>2</v>
      </c>
      <c r="P259" s="83">
        <f t="shared" si="283"/>
        <v>740</v>
      </c>
      <c r="Q259" s="84">
        <f>IF(AP259="","",AP259)</f>
        <v>2</v>
      </c>
      <c r="R259" s="83">
        <f t="shared" si="284"/>
        <v>731</v>
      </c>
      <c r="S259" s="84">
        <f>IF(AR259="","",AR259)</f>
        <v>2</v>
      </c>
      <c r="T259" s="83">
        <f t="shared" si="285"/>
        <v>708</v>
      </c>
      <c r="U259" s="84">
        <f>IF(AT259="","",AT259)</f>
        <v>2</v>
      </c>
      <c r="V259" s="83">
        <f t="shared" si="286"/>
        <v>6865</v>
      </c>
      <c r="W259" s="84">
        <f>IF(AV259="","",AV259)</f>
        <v>12</v>
      </c>
      <c r="AA259" s="81" t="s">
        <v>1799</v>
      </c>
      <c r="AB259" s="120"/>
      <c r="AC259" s="211">
        <f>ABS(SUM(AC247:AC249))+ABS(SUM(AC250:AC252))+ABS(SUM(AC253:AC255))+ABS(SUM(AC256:AC258))</f>
        <v>801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798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700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748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826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813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740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731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708</v>
      </c>
      <c r="AT259" s="121">
        <f>IF(AS259+AS269=0,0,IF(AS259=AS269,1,IF(AS259&gt;AS269,2,0)))</f>
        <v>2</v>
      </c>
      <c r="AU259" s="122">
        <f>SUM(AC259+AE259+AG259+AI259+AK259+AM259+AO259+AQ259+AS259)</f>
        <v>6865</v>
      </c>
      <c r="AV259" s="123">
        <f>SUM(AD259+AF259+AH259+AJ259+AL259+AN259+AP259+AR259+AT259)</f>
        <v>12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4.5</v>
      </c>
      <c r="H260" s="86" t="str">
        <f t="shared" si="280"/>
        <v/>
      </c>
      <c r="I260" s="87">
        <f>IF(AH260="","",AH260)</f>
        <v>1</v>
      </c>
      <c r="J260" s="86" t="str">
        <f t="shared" si="281"/>
        <v/>
      </c>
      <c r="K260" s="87">
        <f>IF(AJ260="","",AJ260)</f>
        <v>1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3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4</v>
      </c>
      <c r="V260" s="86" t="str">
        <f t="shared" si="286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4.5</v>
      </c>
      <c r="AG260" s="86"/>
      <c r="AH260" s="124">
        <f>SUM(AH247:AH259)</f>
        <v>1</v>
      </c>
      <c r="AI260" s="86"/>
      <c r="AJ260" s="124">
        <f>SUM(AJ247:AJ259)</f>
        <v>1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3</v>
      </c>
      <c r="AQ260" s="86"/>
      <c r="AR260" s="124">
        <f>SUM(AR247:AR259)</f>
        <v>4</v>
      </c>
      <c r="AS260" s="86"/>
      <c r="AT260" s="124">
        <f>SUM(AT247:AT259)</f>
        <v>4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6865</v>
      </c>
      <c r="BC260" s="214">
        <f>+AA242</f>
        <v>9</v>
      </c>
      <c r="BF260" s="215">
        <f>SUM(BF241:BF259)</f>
        <v>36</v>
      </c>
      <c r="BQ260" s="212">
        <f>+BB260/1000000+BA260</f>
        <v>28.506865000000001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4</v>
      </c>
      <c r="E262" s="349" t="str">
        <f t="shared" si="310"/>
        <v/>
      </c>
      <c r="F262" s="349">
        <f t="shared" si="310"/>
        <v>3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6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1</v>
      </c>
      <c r="O262" s="349" t="str">
        <f t="shared" si="310"/>
        <v/>
      </c>
      <c r="P262" s="349">
        <f t="shared" si="310"/>
        <v>8</v>
      </c>
      <c r="Q262" s="349" t="str">
        <f t="shared" si="310"/>
        <v/>
      </c>
      <c r="R262" s="349">
        <f t="shared" ref="L262:U264" si="311">IF(AQ262=0,"",AQ262)</f>
        <v>2</v>
      </c>
      <c r="S262" s="349" t="str">
        <f t="shared" si="311"/>
        <v/>
      </c>
      <c r="T262" s="349">
        <f t="shared" si="311"/>
        <v>10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VLOOKUP($AA242,Schlüssel!$A$5:$DG$14,103)</f>
        <v>4</v>
      </c>
      <c r="AD262" s="374"/>
      <c r="AE262" s="373">
        <f>VLOOKUP($AA242,Schlüssel!$A$5:$EK$14,104)</f>
        <v>3</v>
      </c>
      <c r="AF262" s="374"/>
      <c r="AG262" s="373">
        <f>VLOOKUP($AA242,Schlüssel!$A$5:$EK$14,105)</f>
        <v>7</v>
      </c>
      <c r="AH262" s="374"/>
      <c r="AI262" s="373">
        <f>VLOOKUP($AA242,Schlüssel!$A$5:$EK$14,106)</f>
        <v>6</v>
      </c>
      <c r="AJ262" s="374"/>
      <c r="AK262" s="373">
        <f>VLOOKUP($AA242,Schlüssel!$A$5:$EK$14,107)</f>
        <v>5</v>
      </c>
      <c r="AL262" s="374"/>
      <c r="AM262" s="373">
        <f>VLOOKUP($AA242,Schlüssel!$A$5:$EK$14,108)</f>
        <v>1</v>
      </c>
      <c r="AN262" s="374"/>
      <c r="AO262" s="373">
        <f>VLOOKUP($AA242,Schlüssel!$A$5:$EK$14,109)</f>
        <v>8</v>
      </c>
      <c r="AP262" s="374"/>
      <c r="AQ262" s="373">
        <f>VLOOKUP($AA242,Schlüssel!$A$5:$EK$14,110)</f>
        <v>2</v>
      </c>
      <c r="AR262" s="374"/>
      <c r="AS262" s="373">
        <f>VLOOKUP($AA242,Schlüssel!$A$5:$EK$14,111)</f>
        <v>10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SG DJK Rimpar</v>
      </c>
      <c r="E263" s="347" t="str">
        <f t="shared" si="312"/>
        <v/>
      </c>
      <c r="F263" s="346" t="str">
        <f t="shared" si="312"/>
        <v>BK München 3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SG Rottendorf 1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BC Comet Nürnberg</v>
      </c>
      <c r="O263" s="347" t="str">
        <f t="shared" si="311"/>
        <v/>
      </c>
      <c r="P263" s="346" t="str">
        <f t="shared" si="311"/>
        <v>BC EMAX Unterföhring 2</v>
      </c>
      <c r="Q263" s="347" t="str">
        <f t="shared" si="311"/>
        <v/>
      </c>
      <c r="R263" s="346" t="str">
        <f t="shared" si="311"/>
        <v>Bajuwaren München 1</v>
      </c>
      <c r="S263" s="347" t="str">
        <f t="shared" si="311"/>
        <v/>
      </c>
      <c r="T263" s="346" t="str">
        <f t="shared" si="311"/>
        <v>High Roller Rosenheim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SG DJK Rimpar</v>
      </c>
      <c r="AD263" s="347"/>
      <c r="AE263" s="346" t="str">
        <f>VLOOKUP(AE262,Schlüssel!$A$5:$K$14,2)</f>
        <v>BK München 3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SG Rottendorf 1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BC Comet Nürnberg</v>
      </c>
      <c r="AN263" s="347"/>
      <c r="AO263" s="346" t="str">
        <f>VLOOKUP(AO262,Schlüssel!$A$5:$K$14,2)</f>
        <v>BC EMAX Unterföhring 2</v>
      </c>
      <c r="AP263" s="347"/>
      <c r="AQ263" s="346" t="str">
        <f>VLOOKUP(AQ262,Schlüssel!$A$5:$K$14,2)</f>
        <v>Bajuwaren München 1</v>
      </c>
      <c r="AR263" s="347"/>
      <c r="AS263" s="346" t="str">
        <f>VLOOKUP(AS262,Schlüssel!$A$5:$K$14,2)</f>
        <v>High Roller Rosenheim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196</v>
      </c>
      <c r="E265" s="342" t="str">
        <f>IF(AD265=0,"",AD265)</f>
        <v/>
      </c>
      <c r="F265" s="342">
        <f>IF(AE265=301,"",AE265)</f>
        <v>213</v>
      </c>
      <c r="G265" s="342" t="str">
        <f>IF(AF265=0,"",AF265)</f>
        <v/>
      </c>
      <c r="H265" s="342">
        <f>IF(AG265=301,"",AG265)</f>
        <v>186</v>
      </c>
      <c r="I265" s="342" t="str">
        <f>IF(AH265=0,"",AH265)</f>
        <v/>
      </c>
      <c r="J265" s="342">
        <f>IF(AI265=301,"",AI265)</f>
        <v>234</v>
      </c>
      <c r="K265" s="342" t="str">
        <f>IF(AJ265=0,"",AJ265)</f>
        <v/>
      </c>
      <c r="L265" s="342">
        <f>IF(AK265=301,"",AK265)</f>
        <v>190</v>
      </c>
      <c r="M265" s="342" t="str">
        <f>IF(AL265=0,"",AL265)</f>
        <v/>
      </c>
      <c r="N265" s="342">
        <f>IF(AM265=301,"",AM265)</f>
        <v>194</v>
      </c>
      <c r="O265" s="342" t="str">
        <f>IF(AN265=0,"",AN265)</f>
        <v/>
      </c>
      <c r="P265" s="342">
        <f>IF(AO265=301,"",AO265)</f>
        <v>189</v>
      </c>
      <c r="Q265" s="342" t="str">
        <f>IF(AP265=0,"",AP265)</f>
        <v/>
      </c>
      <c r="R265" s="342">
        <f>IF(AQ265=301,"",AQ265)</f>
        <v>193</v>
      </c>
      <c r="S265" s="342" t="str">
        <f>IF(AR265=0,"",AR265)</f>
        <v/>
      </c>
      <c r="T265" s="342">
        <f>IF(AS265=301,"",AS265)</f>
        <v>184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196</v>
      </c>
      <c r="AD265" s="376"/>
      <c r="AE265" s="375">
        <f>ABS(INDEX(AE:AE,MATCH(AE262,$AA:$AA,0)+5)+INDEX(AE:AE,MATCH(AE262,$AA:$AA,0)+6)+INDEX(AE:AE,MATCH(AE262,$AA:$AA,0)+7))</f>
        <v>213</v>
      </c>
      <c r="AF265" s="376"/>
      <c r="AG265" s="375">
        <f>ABS(INDEX(AG:AG,MATCH(AG262,$AA:$AA,0)+5)+INDEX(AG:AG,MATCH(AG262,$AA:$AA,0)+6)+INDEX(AG:AG,MATCH(AG262,$AA:$AA,0)+7))</f>
        <v>186</v>
      </c>
      <c r="AH265" s="376"/>
      <c r="AI265" s="375">
        <f>ABS(INDEX(AI:AI,MATCH(AI262,$AA:$AA,0)+5)+INDEX(AI:AI,MATCH(AI262,$AA:$AA,0)+6)+INDEX(AI:AI,MATCH(AI262,$AA:$AA,0)+7))</f>
        <v>234</v>
      </c>
      <c r="AJ265" s="376"/>
      <c r="AK265" s="375">
        <f>ABS(INDEX(AK:AK,MATCH(AK262,$AA:$AA,0)+5)+INDEX(AK:AK,MATCH(AK262,$AA:$AA,0)+6)+INDEX(AK:AK,MATCH(AK262,$AA:$AA,0)+7))</f>
        <v>190</v>
      </c>
      <c r="AL265" s="376"/>
      <c r="AM265" s="375">
        <f>ABS(INDEX(AM:AM,MATCH(AM262,$AA:$AA,0)+5)+INDEX(AM:AM,MATCH(AM262,$AA:$AA,0)+6)+INDEX(AM:AM,MATCH(AM262,$AA:$AA,0)+7))</f>
        <v>194</v>
      </c>
      <c r="AN265" s="376"/>
      <c r="AO265" s="375">
        <f>ABS(INDEX(AO:AO,MATCH(AO262,$AA:$AA,0)+5)+INDEX(AO:AO,MATCH(AO262,$AA:$AA,0)+6)+INDEX(AO:AO,MATCH(AO262,$AA:$AA,0)+7))</f>
        <v>189</v>
      </c>
      <c r="AP265" s="376"/>
      <c r="AQ265" s="375">
        <f>ABS(INDEX(AQ:AQ,MATCH(AQ262,$AA:$AA,0)+5)+INDEX(AQ:AQ,MATCH(AQ262,$AA:$AA,0)+6)+INDEX(AQ:AQ,MATCH(AQ262,$AA:$AA,0)+7))</f>
        <v>193</v>
      </c>
      <c r="AR265" s="376"/>
      <c r="AS265" s="375">
        <f>ABS(INDEX(AS:AS,MATCH(AS262,$AA:$AA,0)+5)+INDEX(AS:AS,MATCH(AS262,$AA:$AA,0)+6)+INDEX(AS:AS,MATCH(AS262,$AA:$AA,0)+7))</f>
        <v>184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266</v>
      </c>
      <c r="E266" s="342" t="str">
        <f>IF(AD266=0,"",AD266)</f>
        <v/>
      </c>
      <c r="F266" s="342">
        <f>IF(AE266=301,"",AE266)</f>
        <v>211</v>
      </c>
      <c r="G266" s="342" t="str">
        <f>IF(AF266=0,"",AF266)</f>
        <v/>
      </c>
      <c r="H266" s="342">
        <f>IF(AG266=301,"",AG266)</f>
        <v>213</v>
      </c>
      <c r="I266" s="342" t="str">
        <f>IF(AH266=0,"",AH266)</f>
        <v/>
      </c>
      <c r="J266" s="342">
        <f>IF(AI266=301,"",AI266)</f>
        <v>179</v>
      </c>
      <c r="K266" s="342" t="str">
        <f>IF(AJ266=0,"",AJ266)</f>
        <v/>
      </c>
      <c r="L266" s="342">
        <f>IF(AK266=301,"",AK266)</f>
        <v>183</v>
      </c>
      <c r="M266" s="342" t="str">
        <f>IF(AL266=0,"",AL266)</f>
        <v/>
      </c>
      <c r="N266" s="342">
        <f>IF(AM266=301,"",AM266)</f>
        <v>203</v>
      </c>
      <c r="O266" s="342" t="str">
        <f>IF(AN266=0,"",AN266)</f>
        <v/>
      </c>
      <c r="P266" s="342">
        <f>IF(AO266=301,"",AO266)</f>
        <v>182</v>
      </c>
      <c r="Q266" s="342" t="str">
        <f>IF(AP266=0,"",AP266)</f>
        <v/>
      </c>
      <c r="R266" s="342">
        <f>IF(AQ266=301,"",AQ266)</f>
        <v>155</v>
      </c>
      <c r="S266" s="342" t="str">
        <f>IF(AR266=0,"",AR266)</f>
        <v/>
      </c>
      <c r="T266" s="342">
        <f>IF(AS266=301,"",AS266)</f>
        <v>155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266</v>
      </c>
      <c r="AD266" s="378"/>
      <c r="AE266" s="377">
        <f>ABS(INDEX(AE:AE,MATCH(AE262,$AA:$AA,0)+8)+INDEX(AE:AE,MATCH(AE262,$AA:$AA,0)+9)+INDEX(AE:AE,MATCH(AE262,$AA:$AA,0)+10))</f>
        <v>211</v>
      </c>
      <c r="AF266" s="378"/>
      <c r="AG266" s="377">
        <f>ABS(INDEX(AG:AG,MATCH(AG262,$AA:$AA,0)+8)+INDEX(AG:AG,MATCH(AG262,$AA:$AA,0)+9)+INDEX(AG:AG,MATCH(AG262,$AA:$AA,0)+10))</f>
        <v>213</v>
      </c>
      <c r="AH266" s="378"/>
      <c r="AI266" s="377">
        <f>ABS(INDEX(AI:AI,MATCH(AI262,$AA:$AA,0)+8)+INDEX(AI:AI,MATCH(AI262,$AA:$AA,0)+9)+INDEX(AI:AI,MATCH(AI262,$AA:$AA,0)+10))</f>
        <v>179</v>
      </c>
      <c r="AJ266" s="378"/>
      <c r="AK266" s="377">
        <f>ABS(INDEX(AK:AK,MATCH(AK262,$AA:$AA,0)+8)+INDEX(AK:AK,MATCH(AK262,$AA:$AA,0)+9)+INDEX(AK:AK,MATCH(AK262,$AA:$AA,0)+10))</f>
        <v>183</v>
      </c>
      <c r="AL266" s="378"/>
      <c r="AM266" s="377">
        <f>ABS(INDEX(AM:AM,MATCH(AM262,$AA:$AA,0)+8)+INDEX(AM:AM,MATCH(AM262,$AA:$AA,0)+9)+INDEX(AM:AM,MATCH(AM262,$AA:$AA,0)+10))</f>
        <v>203</v>
      </c>
      <c r="AN266" s="378"/>
      <c r="AO266" s="377">
        <f>ABS(INDEX(AO:AO,MATCH(AO262,$AA:$AA,0)+8)+INDEX(AO:AO,MATCH(AO262,$AA:$AA,0)+9)+INDEX(AO:AO,MATCH(AO262,$AA:$AA,0)+10))</f>
        <v>182</v>
      </c>
      <c r="AP266" s="378"/>
      <c r="AQ266" s="377">
        <f>ABS(INDEX(AQ:AQ,MATCH(AQ262,$AA:$AA,0)+8)+INDEX(AQ:AQ,MATCH(AQ262,$AA:$AA,0)+9)+INDEX(AQ:AQ,MATCH(AQ262,$AA:$AA,0)+10))</f>
        <v>155</v>
      </c>
      <c r="AR266" s="378"/>
      <c r="AS266" s="377">
        <f>ABS(INDEX(AS:AS,MATCH(AS262,$AA:$AA,0)+8)+INDEX(AS:AS,MATCH(AS262,$AA:$AA,0)+9)+INDEX(AS:AS,MATCH(AS262,$AA:$AA,0)+10))</f>
        <v>155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268</v>
      </c>
      <c r="E267" s="342" t="str">
        <f>IF(AD267=0,"",AD267)</f>
        <v/>
      </c>
      <c r="F267" s="342">
        <f>IF(AE267=301,"",AE267)</f>
        <v>191</v>
      </c>
      <c r="G267" s="342" t="str">
        <f>IF(AF267=0,"",AF267)</f>
        <v/>
      </c>
      <c r="H267" s="342">
        <f>IF(AG267=301,"",AG267)</f>
        <v>171</v>
      </c>
      <c r="I267" s="342" t="str">
        <f>IF(AH267=0,"",AH267)</f>
        <v/>
      </c>
      <c r="J267" s="342">
        <f>IF(AI267=301,"",AI267)</f>
        <v>212</v>
      </c>
      <c r="K267" s="342" t="str">
        <f>IF(AJ267=0,"",AJ267)</f>
        <v/>
      </c>
      <c r="L267" s="342">
        <f>IF(AK267=301,"",AK267)</f>
        <v>159</v>
      </c>
      <c r="M267" s="342" t="str">
        <f>IF(AL267=0,"",AL267)</f>
        <v/>
      </c>
      <c r="N267" s="342">
        <f>IF(AM267=301,"",AM267)</f>
        <v>194</v>
      </c>
      <c r="O267" s="342" t="str">
        <f>IF(AN267=0,"",AN267)</f>
        <v/>
      </c>
      <c r="P267" s="342">
        <f>IF(AO267=301,"",AO267)</f>
        <v>190</v>
      </c>
      <c r="Q267" s="342" t="str">
        <f>IF(AP267=0,"",AP267)</f>
        <v/>
      </c>
      <c r="R267" s="342">
        <f>IF(AQ267=301,"",AQ267)</f>
        <v>144</v>
      </c>
      <c r="S267" s="342" t="str">
        <f>IF(AR267=0,"",AR267)</f>
        <v/>
      </c>
      <c r="T267" s="342">
        <f>IF(AS267=301,"",AS267)</f>
        <v>171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268</v>
      </c>
      <c r="AD267" s="378"/>
      <c r="AE267" s="377">
        <f>ABS(INDEX(AE:AE,MATCH(AE262,$AA:$AA,0)+11)+INDEX(AE:AE,MATCH(AE262,$AA:$AA,0)+12)+INDEX(AE:AE,MATCH(AE262,$AA:$AA,0)+13))</f>
        <v>191</v>
      </c>
      <c r="AF267" s="378"/>
      <c r="AG267" s="377">
        <f>ABS(INDEX(AG:AG,MATCH(AG262,$AA:$AA,0)+11)+INDEX(AG:AG,MATCH(AG262,$AA:$AA,0)+12)+INDEX(AG:AG,MATCH(AG262,$AA:$AA,0)+13))</f>
        <v>171</v>
      </c>
      <c r="AH267" s="378"/>
      <c r="AI267" s="377">
        <f>ABS(INDEX(AI:AI,MATCH(AI262,$AA:$AA,0)+11)+INDEX(AI:AI,MATCH(AI262,$AA:$AA,0)+12)+INDEX(AI:AI,MATCH(AI262,$AA:$AA,0)+13))</f>
        <v>212</v>
      </c>
      <c r="AJ267" s="378"/>
      <c r="AK267" s="377">
        <f>ABS(INDEX(AK:AK,MATCH(AK262,$AA:$AA,0)+11)+INDEX(AK:AK,MATCH(AK262,$AA:$AA,0)+12)+INDEX(AK:AK,MATCH(AK262,$AA:$AA,0)+13))</f>
        <v>159</v>
      </c>
      <c r="AL267" s="378"/>
      <c r="AM267" s="377">
        <f>ABS(INDEX(AM:AM,MATCH(AM262,$AA:$AA,0)+11)+INDEX(AM:AM,MATCH(AM262,$AA:$AA,0)+12)+INDEX(AM:AM,MATCH(AM262,$AA:$AA,0)+13))</f>
        <v>194</v>
      </c>
      <c r="AN267" s="378"/>
      <c r="AO267" s="377">
        <f>ABS(INDEX(AO:AO,MATCH(AO262,$AA:$AA,0)+11)+INDEX(AO:AO,MATCH(AO262,$AA:$AA,0)+12)+INDEX(AO:AO,MATCH(AO262,$AA:$AA,0)+13))</f>
        <v>190</v>
      </c>
      <c r="AP267" s="378"/>
      <c r="AQ267" s="377">
        <f>ABS(INDEX(AQ:AQ,MATCH(AQ262,$AA:$AA,0)+11)+INDEX(AQ:AQ,MATCH(AQ262,$AA:$AA,0)+12)+INDEX(AQ:AQ,MATCH(AQ262,$AA:$AA,0)+13))</f>
        <v>144</v>
      </c>
      <c r="AR267" s="378"/>
      <c r="AS267" s="377">
        <f>ABS(INDEX(AS:AS,MATCH(AS262,$AA:$AA,0)+11)+INDEX(AS:AS,MATCH(AS262,$AA:$AA,0)+12)+INDEX(AS:AS,MATCH(AS262,$AA:$AA,0)+13))</f>
        <v>171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230</v>
      </c>
      <c r="E268" s="342" t="str">
        <f>IF(AD268=0,"",AD268)</f>
        <v/>
      </c>
      <c r="F268" s="342">
        <f>IF(AE268=301,"",AE268)</f>
        <v>169</v>
      </c>
      <c r="G268" s="342" t="str">
        <f>IF(AF268=0,"",AF268)</f>
        <v/>
      </c>
      <c r="H268" s="342">
        <f>IF(AG268=301,"",AG268)</f>
        <v>244</v>
      </c>
      <c r="I268" s="342" t="str">
        <f>IF(AH268=0,"",AH268)</f>
        <v/>
      </c>
      <c r="J268" s="342">
        <f>IF(AI268=301,"",AI268)</f>
        <v>153</v>
      </c>
      <c r="K268" s="342" t="str">
        <f>IF(AJ268=0,"",AJ268)</f>
        <v/>
      </c>
      <c r="L268" s="342">
        <f>IF(AK268=301,"",AK268)</f>
        <v>246</v>
      </c>
      <c r="M268" s="342" t="str">
        <f>IF(AL268=0,"",AL268)</f>
        <v/>
      </c>
      <c r="N268" s="342">
        <f>IF(AM268=301,"",AM268)</f>
        <v>172</v>
      </c>
      <c r="O268" s="342" t="str">
        <f>IF(AN268=0,"",AN268)</f>
        <v/>
      </c>
      <c r="P268" s="342">
        <f>IF(AO268=301,"",AO268)</f>
        <v>148</v>
      </c>
      <c r="Q268" s="342" t="str">
        <f>IF(AP268=0,"",AP268)</f>
        <v/>
      </c>
      <c r="R268" s="342">
        <f>IF(AQ268=301,"",AQ268)</f>
        <v>205</v>
      </c>
      <c r="S268" s="342" t="str">
        <f>IF(AR268=0,"",AR268)</f>
        <v/>
      </c>
      <c r="T268" s="342">
        <f>IF(AS268=301,"",AS268)</f>
        <v>196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230</v>
      </c>
      <c r="AD268" s="378"/>
      <c r="AE268" s="377">
        <f>ABS(INDEX(AE:AE,MATCH(AE262,$AA:$AA,0)+14)+INDEX(AE:AE,MATCH(AE262,$AA:$AA,0)+15)+INDEX(AE:AE,MATCH(AE262,$AA:$AA,0)+16))</f>
        <v>169</v>
      </c>
      <c r="AF268" s="378"/>
      <c r="AG268" s="377">
        <f>ABS(INDEX(AG:AG,MATCH(AG262,$AA:$AA,0)+14)+INDEX(AG:AG,MATCH(AG262,$AA:$AA,0)+15)+INDEX(AG:AG,MATCH(AG262,$AA:$AA,0)+16))</f>
        <v>244</v>
      </c>
      <c r="AH268" s="378"/>
      <c r="AI268" s="377">
        <f>ABS(INDEX(AI:AI,MATCH(AI262,$AA:$AA,0)+14)+INDEX(AI:AI,MATCH(AI262,$AA:$AA,0)+15)+INDEX(AI:AI,MATCH(AI262,$AA:$AA,0)+16))</f>
        <v>153</v>
      </c>
      <c r="AJ268" s="378"/>
      <c r="AK268" s="377">
        <f>ABS(INDEX(AK:AK,MATCH(AK262,$AA:$AA,0)+14)+INDEX(AK:AK,MATCH(AK262,$AA:$AA,0)+15)+INDEX(AK:AK,MATCH(AK262,$AA:$AA,0)+16))</f>
        <v>246</v>
      </c>
      <c r="AL268" s="378"/>
      <c r="AM268" s="377">
        <f>ABS(INDEX(AM:AM,MATCH(AM262,$AA:$AA,0)+14)+INDEX(AM:AM,MATCH(AM262,$AA:$AA,0)+15)+INDEX(AM:AM,MATCH(AM262,$AA:$AA,0)+16))</f>
        <v>172</v>
      </c>
      <c r="AN268" s="378"/>
      <c r="AO268" s="377">
        <f>ABS(INDEX(AO:AO,MATCH(AO262,$AA:$AA,0)+14)+INDEX(AO:AO,MATCH(AO262,$AA:$AA,0)+15)+INDEX(AO:AO,MATCH(AO262,$AA:$AA,0)+16))</f>
        <v>148</v>
      </c>
      <c r="AP268" s="378"/>
      <c r="AQ268" s="377">
        <f>ABS(INDEX(AQ:AQ,MATCH(AQ262,$AA:$AA,0)+14)+INDEX(AQ:AQ,MATCH(AQ262,$AA:$AA,0)+15)+INDEX(AQ:AQ,MATCH(AQ262,$AA:$AA,0)+16))</f>
        <v>205</v>
      </c>
      <c r="AR268" s="378"/>
      <c r="AS268" s="377">
        <f>ABS(INDEX(AS:AS,MATCH(AS262,$AA:$AA,0)+14)+INDEX(AS:AS,MATCH(AS262,$AA:$AA,0)+15)+INDEX(AS:AS,MATCH(AS262,$AA:$AA,0)+16))</f>
        <v>196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960</v>
      </c>
      <c r="E269" s="341" t="str">
        <f>IF(AD269=0,"",AD269)</f>
        <v/>
      </c>
      <c r="F269" s="341">
        <f>IF(AE269=1505,"",AE269)</f>
        <v>784</v>
      </c>
      <c r="G269" s="341" t="str">
        <f>IF(AF269=0,"",AF269)</f>
        <v/>
      </c>
      <c r="H269" s="341">
        <f>IF(AG269=1505,"",AG269)</f>
        <v>814</v>
      </c>
      <c r="I269" s="341" t="str">
        <f>IF(AH269=0,"",AH269)</f>
        <v/>
      </c>
      <c r="J269" s="341">
        <f>IF(AI269=1505,"",AI269)</f>
        <v>778</v>
      </c>
      <c r="K269" s="341" t="str">
        <f>IF(AJ269=0,"",AJ269)</f>
        <v/>
      </c>
      <c r="L269" s="341">
        <f>IF(AK269=1505,"",AK269)</f>
        <v>778</v>
      </c>
      <c r="M269" s="341" t="str">
        <f>IF(AL269=0,"",AL269)</f>
        <v/>
      </c>
      <c r="N269" s="341">
        <f>IF(AM269=1505,"",AM269)</f>
        <v>763</v>
      </c>
      <c r="O269" s="341" t="str">
        <f>IF(AN269=0,"",AN269)</f>
        <v/>
      </c>
      <c r="P269" s="341">
        <f>IF(AO269=1505,"",AO269)</f>
        <v>709</v>
      </c>
      <c r="Q269" s="341" t="str">
        <f>IF(AP269=0,"",AP269)</f>
        <v/>
      </c>
      <c r="R269" s="341">
        <f>IF(AQ269=1505,"",AQ269)</f>
        <v>697</v>
      </c>
      <c r="S269" s="341" t="str">
        <f>IF(AR269=0,"",AR269)</f>
        <v/>
      </c>
      <c r="T269" s="341">
        <f>IF(AS269=1505,"",AS269)</f>
        <v>706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960</v>
      </c>
      <c r="AD269" s="358"/>
      <c r="AE269" s="357">
        <f>SUM(AE265:AE268)</f>
        <v>784</v>
      </c>
      <c r="AF269" s="358"/>
      <c r="AG269" s="357">
        <f>SUM(AG265:AG268)</f>
        <v>814</v>
      </c>
      <c r="AH269" s="358"/>
      <c r="AI269" s="357">
        <f>SUM(AI265:AI268)</f>
        <v>778</v>
      </c>
      <c r="AJ269" s="358"/>
      <c r="AK269" s="357">
        <f>SUM(AK265:AK268)</f>
        <v>778</v>
      </c>
      <c r="AL269" s="358"/>
      <c r="AM269" s="357">
        <f>SUM(AM265:AM268)</f>
        <v>763</v>
      </c>
      <c r="AN269" s="358"/>
      <c r="AO269" s="357">
        <f>SUM(AO265:AO268)</f>
        <v>709</v>
      </c>
      <c r="AP269" s="358"/>
      <c r="AQ269" s="357">
        <f>SUM(AQ265:AQ268)</f>
        <v>697</v>
      </c>
      <c r="AR269" s="358"/>
      <c r="AS269" s="357">
        <f>SUM(AS265:AS268)</f>
        <v>706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05.04./06.04.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05.04./06.04.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Dettelbach Extreme Bowlingarena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237</v>
      </c>
      <c r="E277" s="351">
        <f>IF(AD277="","",AD277)</f>
        <v>1</v>
      </c>
      <c r="F277" s="75">
        <f t="shared" ref="F277:F290" si="314">IF(AE277=0,"",AE277)</f>
        <v>239</v>
      </c>
      <c r="G277" s="351">
        <f>IF(AF277="","",AF277)</f>
        <v>1</v>
      </c>
      <c r="H277" s="75">
        <f t="shared" ref="H277:H290" si="315">IF(AG277=0,"",AG277)</f>
        <v>210</v>
      </c>
      <c r="I277" s="351">
        <f>IF(AH277="","",AH277)</f>
        <v>1</v>
      </c>
      <c r="J277" s="75">
        <f t="shared" ref="J277:J290" si="316">IF(AI277=0,"",AI277)</f>
        <v>203</v>
      </c>
      <c r="K277" s="351">
        <f>IF(AJ277="","",AJ277)</f>
        <v>0</v>
      </c>
      <c r="L277" s="75">
        <f t="shared" ref="L277:L290" si="317">IF(AK277=0,"",AK277)</f>
        <v>224</v>
      </c>
      <c r="M277" s="351">
        <f>IF(AL277="","",AL277)</f>
        <v>0</v>
      </c>
      <c r="N277" s="75">
        <f>IF(AM277=0,"",AM277)</f>
        <v>234</v>
      </c>
      <c r="O277" s="351">
        <f>IF(AN277="","",AN277)</f>
        <v>1</v>
      </c>
      <c r="P277" s="75">
        <f t="shared" ref="P277:P290" si="318">IF(AO277=0,"",AO277)</f>
        <v>238</v>
      </c>
      <c r="Q277" s="351">
        <f>IF(AP277="","",AP277)</f>
        <v>1</v>
      </c>
      <c r="R277" s="75">
        <f t="shared" ref="R277:R290" si="319">IF(AQ277=0,"",AQ277)</f>
        <v>178</v>
      </c>
      <c r="S277" s="351">
        <f>IF(AR277="","",AR277)</f>
        <v>1</v>
      </c>
      <c r="T277" s="75">
        <f t="shared" ref="T277:T290" si="320">IF(AS277=0,"",AS277)</f>
        <v>184</v>
      </c>
      <c r="U277" s="351">
        <f>IF(AT277="","",AT277)</f>
        <v>0</v>
      </c>
      <c r="V277" s="75">
        <f t="shared" ref="V277:V290" si="321">IF(AU277=0,"",AU277)</f>
        <v>1947</v>
      </c>
      <c r="W277" s="351">
        <f>IF(AV277="","",AV277)</f>
        <v>6</v>
      </c>
      <c r="Z277" s="354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239</v>
      </c>
      <c r="AF277" s="109">
        <f>IF(SUM(AE277:AE279)+AE295=0,0,IF(SUM(AE277:AE279)=AE295,0.5,IF(SUM(AE277:AE279)&gt;AE295,1,0)))</f>
        <v>1</v>
      </c>
      <c r="AG277" s="185">
        <v>210</v>
      </c>
      <c r="AH277" s="109">
        <f>IF(SUM(AG277:AG279)+AG295=0,0,IF(SUM(AG277:AG279)=AG295,0.5,IF(SUM(AG277:AG279)&gt;AG295,1,0)))</f>
        <v>1</v>
      </c>
      <c r="AI277" s="185">
        <v>203</v>
      </c>
      <c r="AJ277" s="109">
        <f>IF(SUM(AI277:AI279)+AI295=0,0,IF(SUM(AI277:AI279)=AI295,0.5,IF(SUM(AI277:AI279)&gt;AI295,1,0)))</f>
        <v>0</v>
      </c>
      <c r="AK277" s="185">
        <v>224</v>
      </c>
      <c r="AL277" s="109">
        <f>IF(SUM(AK277:AK279)+AK295=0,0,IF(SUM(AK277:AK279)=AK295,0.5,IF(SUM(AK277:AK279)&gt;AK295,1,0)))</f>
        <v>0</v>
      </c>
      <c r="AM277" s="185">
        <v>234</v>
      </c>
      <c r="AN277" s="109">
        <f>IF(SUM(AM277:AM279)+AM295=0,0,IF(SUM(AM277:AM279)=AM295,0.5,IF(SUM(AM277:AM279)&gt;AM295,1,0)))</f>
        <v>1</v>
      </c>
      <c r="AO277" s="185">
        <v>238</v>
      </c>
      <c r="AP277" s="109">
        <f>IF(SUM(AO277:AO279)+AO295=0,0,IF(SUM(AO277:AO279)=AO295,0.5,IF(SUM(AO277:AO279)&gt;AO295,1,0)))</f>
        <v>1</v>
      </c>
      <c r="AQ277" s="185">
        <v>178</v>
      </c>
      <c r="AR277" s="109">
        <f>IF(SUM(AQ277:AQ279)+AQ295=0,0,IF(SUM(AQ277:AQ279)=AQ295,0.5,IF(SUM(AQ277:AQ279)&gt;AQ295,1,0)))</f>
        <v>1</v>
      </c>
      <c r="AS277" s="185">
        <v>184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1947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1947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239</v>
      </c>
      <c r="BJ277" s="215">
        <f t="shared" ref="BJ277:BJ288" si="325">IF(AG277=0,"",AG277)</f>
        <v>210</v>
      </c>
      <c r="BK277" s="215">
        <f t="shared" ref="BK277:BK288" si="326">IF(AI277=0,"",AI277)</f>
        <v>203</v>
      </c>
      <c r="BL277" s="215">
        <f t="shared" ref="BL277:BL288" si="327">IF(AK277=0,"",AK277)</f>
        <v>224</v>
      </c>
      <c r="BM277" s="215">
        <f t="shared" ref="BM277:BM288" si="328">IF(AM277=0,"",AM277)</f>
        <v>234</v>
      </c>
      <c r="BN277" s="215">
        <f t="shared" ref="BN277:BN288" si="329">IF(AO277=0,"",AO277)</f>
        <v>238</v>
      </c>
      <c r="BO277" s="215">
        <f t="shared" ref="BO277:BO288" si="330">IF(AQ277=0,"",AQ277)</f>
        <v>178</v>
      </c>
      <c r="BP277" s="215">
        <f t="shared" ref="BP277:BP288" si="331">IF(AS277=0,"",AS277)</f>
        <v>184</v>
      </c>
      <c r="BQ277" s="216"/>
      <c r="BR277" s="214"/>
      <c r="BS277" s="215">
        <f>MAX(BH277:BP277)</f>
        <v>239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1947</v>
      </c>
      <c r="BX277" s="215">
        <f>IF(COUNTIF(BH277:BP277,"&gt;0")&lt;Spielorte!$A$23,0,BE277/Spielorte!$A$23)</f>
        <v>216.33333333333334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192</v>
      </c>
      <c r="E280" s="351">
        <f>IF(AD280="","",AD280)</f>
        <v>0</v>
      </c>
      <c r="F280" s="75">
        <f t="shared" si="314"/>
        <v>158</v>
      </c>
      <c r="G280" s="351">
        <f>IF(AF280="","",AF280)</f>
        <v>0</v>
      </c>
      <c r="H280" s="75">
        <f t="shared" si="315"/>
        <v>189</v>
      </c>
      <c r="I280" s="351">
        <f>IF(AH280="","",AH280)</f>
        <v>0</v>
      </c>
      <c r="J280" s="75">
        <f t="shared" si="316"/>
        <v>150</v>
      </c>
      <c r="K280" s="351">
        <f>IF(AJ280="","",AJ280)</f>
        <v>0</v>
      </c>
      <c r="L280" s="75">
        <f t="shared" si="317"/>
        <v>264</v>
      </c>
      <c r="M280" s="351">
        <f>IF(AL280="","",AL280)</f>
        <v>1</v>
      </c>
      <c r="N280" s="75">
        <f t="shared" si="334"/>
        <v>157</v>
      </c>
      <c r="O280" s="351">
        <f>IF(AN280="","",AN280)</f>
        <v>0</v>
      </c>
      <c r="P280" s="75">
        <f t="shared" si="318"/>
        <v>187</v>
      </c>
      <c r="Q280" s="351">
        <f>IF(AP280="","",AP280)</f>
        <v>0</v>
      </c>
      <c r="R280" s="75">
        <f t="shared" si="319"/>
        <v>178</v>
      </c>
      <c r="S280" s="351">
        <f>IF(AR280="","",AR280)</f>
        <v>0</v>
      </c>
      <c r="T280" s="75">
        <f t="shared" si="320"/>
        <v>155</v>
      </c>
      <c r="U280" s="351">
        <f>IF(AT280="","",AT280)</f>
        <v>0</v>
      </c>
      <c r="V280" s="75">
        <f t="shared" si="321"/>
        <v>1630</v>
      </c>
      <c r="W280" s="351">
        <f>IF(AV280="","",AV280)</f>
        <v>1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192</v>
      </c>
      <c r="AD280" s="109">
        <f>IF(SUM(AC280:AC282)+AC296=0,0,IF(SUM(AC280:AC282)=AC296,0.5,IF(SUM(AC280:AC282)&gt;AC296,1,0)))</f>
        <v>0</v>
      </c>
      <c r="AE280" s="188">
        <v>158</v>
      </c>
      <c r="AF280" s="109">
        <f>IF(SUM(AE280:AE282)+AE296=0,0,IF(SUM(AE280:AE282)=AE296,0.5,IF(SUM(AE280:AE282)&gt;AE296,1,0)))</f>
        <v>0</v>
      </c>
      <c r="AG280" s="188">
        <v>189</v>
      </c>
      <c r="AH280" s="109">
        <f>IF(SUM(AG280:AG282)+AG296=0,0,IF(SUM(AG280:AG282)=AG296,0.5,IF(SUM(AG280:AG282)&gt;AG296,1,0)))</f>
        <v>0</v>
      </c>
      <c r="AI280" s="188">
        <v>150</v>
      </c>
      <c r="AJ280" s="109">
        <f>IF(SUM(AI280:AI282)+AI296=0,0,IF(SUM(AI280:AI282)=AI296,0.5,IF(SUM(AI280:AI282)&gt;AI296,1,0)))</f>
        <v>0</v>
      </c>
      <c r="AK280" s="188">
        <v>264</v>
      </c>
      <c r="AL280" s="109">
        <f>IF(SUM(AK280:AK282)+AK296=0,0,IF(SUM(AK280:AK282)=AK296,0.5,IF(SUM(AK280:AK282)&gt;AK296,1,0)))</f>
        <v>1</v>
      </c>
      <c r="AM280" s="188">
        <v>157</v>
      </c>
      <c r="AN280" s="109">
        <f>IF(SUM(AM280:AM282)+AM296=0,0,IF(SUM(AM280:AM282)=AM296,0.5,IF(SUM(AM280:AM282)&gt;AM296,1,0)))</f>
        <v>0</v>
      </c>
      <c r="AO280" s="188">
        <v>187</v>
      </c>
      <c r="AP280" s="109">
        <f>IF(SUM(AO280:AO282)+AO296=0,0,IF(SUM(AO280:AO282)=AO296,0.5,IF(SUM(AO280:AO282)&gt;AO296,1,0)))</f>
        <v>0</v>
      </c>
      <c r="AQ280" s="188">
        <v>178</v>
      </c>
      <c r="AR280" s="109">
        <f>IF(SUM(AQ280:AQ282)+AQ296=0,0,IF(SUM(AQ280:AQ282)=AQ296,0.5,IF(SUM(AQ280:AQ282)&gt;AQ296,1,0)))</f>
        <v>0</v>
      </c>
      <c r="AS280" s="188">
        <v>155</v>
      </c>
      <c r="AT280" s="109">
        <f>IF(SUM(AS280:AS282)+AS296=0,0,IF(SUM(AS280:AS282)=AS296,0.5,IF(SUM(AS280:AS282)&gt;AS296,1,0)))</f>
        <v>0</v>
      </c>
      <c r="AU280" s="110">
        <f t="shared" si="322"/>
        <v>1630</v>
      </c>
      <c r="AV280" s="111">
        <f>SUM(AD280+AF280+AH280+AJ280+AL280+AN280+AP280+AR280+AT280)</f>
        <v>1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1630</v>
      </c>
      <c r="BF280" s="215">
        <f t="shared" si="337"/>
        <v>9</v>
      </c>
      <c r="BG280" s="215">
        <f t="shared" si="338"/>
        <v>9</v>
      </c>
      <c r="BH280" s="215">
        <f t="shared" si="323"/>
        <v>192</v>
      </c>
      <c r="BI280" s="215">
        <f t="shared" si="324"/>
        <v>158</v>
      </c>
      <c r="BJ280" s="215">
        <f t="shared" si="325"/>
        <v>189</v>
      </c>
      <c r="BK280" s="215">
        <f t="shared" si="326"/>
        <v>150</v>
      </c>
      <c r="BL280" s="215">
        <f t="shared" si="327"/>
        <v>264</v>
      </c>
      <c r="BM280" s="215">
        <f t="shared" si="328"/>
        <v>157</v>
      </c>
      <c r="BN280" s="215">
        <f t="shared" si="329"/>
        <v>187</v>
      </c>
      <c r="BO280" s="215">
        <f t="shared" si="330"/>
        <v>178</v>
      </c>
      <c r="BP280" s="215">
        <f t="shared" si="331"/>
        <v>155</v>
      </c>
      <c r="BQ280" s="216"/>
      <c r="BR280" s="214"/>
      <c r="BS280" s="215">
        <f t="shared" si="339"/>
        <v>264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1630</v>
      </c>
      <c r="BX280" s="215">
        <f>IF(COUNTIF(BH280:BP280,"&gt;0")&lt;Spielorte!$A$23,0,BE280/Spielorte!$A$23)</f>
        <v>181.11111111111111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Tos, Sascha</v>
      </c>
      <c r="C283" s="74">
        <f t="shared" si="333"/>
        <v>16519</v>
      </c>
      <c r="D283" s="75">
        <f t="shared" si="333"/>
        <v>157</v>
      </c>
      <c r="E283" s="351">
        <f>IF(AD283="","",AD283)</f>
        <v>1</v>
      </c>
      <c r="F283" s="75">
        <f t="shared" si="314"/>
        <v>221</v>
      </c>
      <c r="G283" s="351">
        <f>IF(AF283="","",AF283)</f>
        <v>1</v>
      </c>
      <c r="H283" s="75">
        <f t="shared" si="315"/>
        <v>180</v>
      </c>
      <c r="I283" s="351">
        <f>IF(AH283="","",AH283)</f>
        <v>1</v>
      </c>
      <c r="J283" s="75">
        <f t="shared" si="316"/>
        <v>160</v>
      </c>
      <c r="K283" s="351">
        <f>IF(AJ283="","",AJ283)</f>
        <v>0.5</v>
      </c>
      <c r="L283" s="75" t="str">
        <f t="shared" si="317"/>
        <v/>
      </c>
      <c r="M283" s="351">
        <f>IF(AL283="","",AL283)</f>
        <v>0</v>
      </c>
      <c r="N283" s="75" t="str">
        <f t="shared" si="334"/>
        <v/>
      </c>
      <c r="O283" s="351">
        <f>IF(AN283="","",AN283)</f>
        <v>1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1</v>
      </c>
      <c r="T283" s="75" t="str">
        <f t="shared" si="320"/>
        <v/>
      </c>
      <c r="U283" s="351">
        <f>IF(AT283="","",AT283)</f>
        <v>1</v>
      </c>
      <c r="V283" s="75">
        <f t="shared" si="321"/>
        <v>718</v>
      </c>
      <c r="W283" s="351">
        <f>IF(AV283="","",AV283)</f>
        <v>6.5</v>
      </c>
      <c r="Z283" s="354" t="s">
        <v>3</v>
      </c>
      <c r="AA283" s="108" t="str">
        <f>IF(AB283=0,"",VLOOKUP(AB283,Starter!$A$1:$D$199,2,FALSE))</f>
        <v>Tos, Sascha</v>
      </c>
      <c r="AB283" s="99">
        <v>16519</v>
      </c>
      <c r="AC283" s="188">
        <v>157</v>
      </c>
      <c r="AD283" s="109">
        <f>IF(SUM(AC283:AC285)+AC297=0,0,IF(SUM(AC283:AC285)=AC297,0.5,IF(SUM(AC283:AC285)&gt;AC297,1,0)))</f>
        <v>1</v>
      </c>
      <c r="AE283" s="188">
        <v>221</v>
      </c>
      <c r="AF283" s="109">
        <f>IF(SUM(AE283:AE285)+AE297=0,0,IF(SUM(AE283:AE285)=AE297,0.5,IF(SUM(AE283:AE285)&gt;AE297,1,0)))</f>
        <v>1</v>
      </c>
      <c r="AG283" s="188">
        <v>180</v>
      </c>
      <c r="AH283" s="109">
        <f>IF(SUM(AG283:AG285)+AG297=0,0,IF(SUM(AG283:AG285)=AG297,0.5,IF(SUM(AG283:AG285)&gt;AG297,1,0)))</f>
        <v>1</v>
      </c>
      <c r="AI283" s="188">
        <v>160</v>
      </c>
      <c r="AJ283" s="109">
        <f>IF(SUM(AI283:AI285)+AI297=0,0,IF(SUM(AI283:AI285)=AI297,0.5,IF(SUM(AI283:AI285)&gt;AI297,1,0)))</f>
        <v>0.5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718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35"/>
        <v>16519</v>
      </c>
      <c r="BE283" s="213">
        <f t="shared" si="336"/>
        <v>718</v>
      </c>
      <c r="BF283" s="215">
        <f t="shared" si="337"/>
        <v>4</v>
      </c>
      <c r="BG283" s="215">
        <f t="shared" si="338"/>
        <v>4</v>
      </c>
      <c r="BH283" s="215">
        <f t="shared" si="323"/>
        <v>157</v>
      </c>
      <c r="BI283" s="215">
        <f t="shared" si="324"/>
        <v>221</v>
      </c>
      <c r="BJ283" s="215">
        <f t="shared" si="325"/>
        <v>180</v>
      </c>
      <c r="BK283" s="215">
        <f t="shared" si="326"/>
        <v>160</v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221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718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Schwarz, Christian</v>
      </c>
      <c r="C284" s="77">
        <f t="shared" si="333"/>
        <v>25061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>
        <f t="shared" si="317"/>
        <v>147</v>
      </c>
      <c r="M284" s="352"/>
      <c r="N284" s="78">
        <f t="shared" si="334"/>
        <v>165</v>
      </c>
      <c r="O284" s="352"/>
      <c r="P284" s="78">
        <f t="shared" si="318"/>
        <v>203</v>
      </c>
      <c r="Q284" s="352"/>
      <c r="R284" s="78">
        <f t="shared" si="319"/>
        <v>162</v>
      </c>
      <c r="S284" s="352"/>
      <c r="T284" s="78">
        <f t="shared" si="320"/>
        <v>171</v>
      </c>
      <c r="U284" s="352"/>
      <c r="V284" s="78">
        <f t="shared" si="321"/>
        <v>848</v>
      </c>
      <c r="W284" s="352"/>
      <c r="Z284" s="355"/>
      <c r="AA284" s="108" t="str">
        <f>IF(AB284=0,"",VLOOKUP(AB284,Starter!$A$1:$D$199,2,FALSE))</f>
        <v>Schwarz, Christian</v>
      </c>
      <c r="AB284" s="98">
        <v>25061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147</v>
      </c>
      <c r="AL284" s="112"/>
      <c r="AM284" s="186">
        <v>165</v>
      </c>
      <c r="AN284" s="112"/>
      <c r="AO284" s="186">
        <v>203</v>
      </c>
      <c r="AP284" s="112"/>
      <c r="AQ284" s="186">
        <v>162</v>
      </c>
      <c r="AR284" s="112"/>
      <c r="AS284" s="186">
        <v>171</v>
      </c>
      <c r="AT284" s="112"/>
      <c r="AU284" s="113">
        <f t="shared" si="322"/>
        <v>848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25061</v>
      </c>
      <c r="BE284" s="213">
        <f t="shared" si="336"/>
        <v>848</v>
      </c>
      <c r="BF284" s="215">
        <f t="shared" si="337"/>
        <v>5</v>
      </c>
      <c r="BG284" s="215">
        <f t="shared" si="338"/>
        <v>5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>
        <f t="shared" si="327"/>
        <v>147</v>
      </c>
      <c r="BM284" s="215">
        <f t="shared" si="328"/>
        <v>165</v>
      </c>
      <c r="BN284" s="215">
        <f t="shared" si="329"/>
        <v>203</v>
      </c>
      <c r="BO284" s="215">
        <f t="shared" si="330"/>
        <v>162</v>
      </c>
      <c r="BP284" s="215">
        <f t="shared" si="331"/>
        <v>171</v>
      </c>
      <c r="BQ284" s="216"/>
      <c r="BR284" s="214"/>
      <c r="BS284" s="215">
        <f t="shared" si="339"/>
        <v>203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848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188</v>
      </c>
      <c r="E286" s="351">
        <f>IF(AD286="","",AD286)</f>
        <v>1</v>
      </c>
      <c r="F286" s="75">
        <f t="shared" si="314"/>
        <v>167</v>
      </c>
      <c r="G286" s="351">
        <f>IF(AF286="","",AF286)</f>
        <v>1</v>
      </c>
      <c r="H286" s="75">
        <f t="shared" si="315"/>
        <v>190</v>
      </c>
      <c r="I286" s="351">
        <f>IF(AH286="","",AH286)</f>
        <v>1</v>
      </c>
      <c r="J286" s="75">
        <f t="shared" si="316"/>
        <v>159</v>
      </c>
      <c r="K286" s="351">
        <f>IF(AJ286="","",AJ286)</f>
        <v>0</v>
      </c>
      <c r="L286" s="75">
        <f t="shared" si="317"/>
        <v>226</v>
      </c>
      <c r="M286" s="351">
        <f>IF(AL286="","",AL286)</f>
        <v>1</v>
      </c>
      <c r="N286" s="75">
        <f t="shared" si="334"/>
        <v>168</v>
      </c>
      <c r="O286" s="351">
        <f>IF(AN286="","",AN286)</f>
        <v>0</v>
      </c>
      <c r="P286" s="75">
        <f t="shared" si="318"/>
        <v>136</v>
      </c>
      <c r="Q286" s="351">
        <f>IF(AP286="","",AP286)</f>
        <v>0</v>
      </c>
      <c r="R286" s="75" t="str">
        <f t="shared" si="319"/>
        <v/>
      </c>
      <c r="S286" s="351">
        <f>IF(AR286="","",AR286)</f>
        <v>0</v>
      </c>
      <c r="T286" s="75" t="str">
        <f t="shared" si="320"/>
        <v/>
      </c>
      <c r="U286" s="351">
        <f>IF(AT286="","",AT286)</f>
        <v>1</v>
      </c>
      <c r="V286" s="75">
        <f t="shared" si="321"/>
        <v>1234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188</v>
      </c>
      <c r="AD286" s="109">
        <f>IF(SUM(AC286:AC288)+AC298=0,0,IF(SUM(AC286:AC288)=AC298,0.5,IF(SUM(AC286:AC288)&gt;AC298,1,0)))</f>
        <v>1</v>
      </c>
      <c r="AE286" s="188">
        <v>167</v>
      </c>
      <c r="AF286" s="109">
        <f>IF(SUM(AE286:AE288)+AE298=0,0,IF(SUM(AE286:AE288)=AE298,0.5,IF(SUM(AE286:AE288)&gt;AE298,1,0)))</f>
        <v>1</v>
      </c>
      <c r="AG286" s="188">
        <v>190</v>
      </c>
      <c r="AH286" s="109">
        <f>IF(SUM(AG286:AG288)+AG298=0,0,IF(SUM(AG286:AG288)=AG298,0.5,IF(SUM(AG286:AG288)&gt;AG298,1,0)))</f>
        <v>1</v>
      </c>
      <c r="AI286" s="188">
        <v>159</v>
      </c>
      <c r="AJ286" s="109">
        <f>IF(SUM(AI286:AI288)+AI298=0,0,IF(SUM(AI286:AI288)=AI298,0.5,IF(SUM(AI286:AI288)&gt;AI298,1,0)))</f>
        <v>0</v>
      </c>
      <c r="AK286" s="188">
        <v>226</v>
      </c>
      <c r="AL286" s="109">
        <f>IF(SUM(AK286:AK288)+AK298=0,0,IF(SUM(AK286:AK288)=AK298,0.5,IF(SUM(AK286:AK288)&gt;AK298,1,0)))</f>
        <v>1</v>
      </c>
      <c r="AM286" s="188">
        <v>168</v>
      </c>
      <c r="AN286" s="109">
        <f>IF(SUM(AM286:AM288)+AM298=0,0,IF(SUM(AM286:AM288)=AM298,0.5,IF(SUM(AM286:AM288)&gt;AM298,1,0)))</f>
        <v>0</v>
      </c>
      <c r="AO286" s="188">
        <v>136</v>
      </c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1</v>
      </c>
      <c r="AU286" s="110">
        <f t="shared" si="322"/>
        <v>1234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1234</v>
      </c>
      <c r="BF286" s="215">
        <f t="shared" si="337"/>
        <v>7</v>
      </c>
      <c r="BG286" s="215">
        <f t="shared" si="338"/>
        <v>7</v>
      </c>
      <c r="BH286" s="215">
        <f t="shared" si="323"/>
        <v>188</v>
      </c>
      <c r="BI286" s="215">
        <f t="shared" si="324"/>
        <v>167</v>
      </c>
      <c r="BJ286" s="215">
        <f t="shared" si="325"/>
        <v>190</v>
      </c>
      <c r="BK286" s="215">
        <f t="shared" si="326"/>
        <v>159</v>
      </c>
      <c r="BL286" s="215">
        <f t="shared" si="327"/>
        <v>226</v>
      </c>
      <c r="BM286" s="215">
        <f t="shared" si="328"/>
        <v>168</v>
      </c>
      <c r="BN286" s="215">
        <f t="shared" si="329"/>
        <v>136</v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226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1234</v>
      </c>
      <c r="BX286" s="215">
        <f>IF(COUNTIF(BH286:BP286,"&gt;0")&lt;Spielorte!$A$23,0,BE286/Spielorte!$A$23)</f>
        <v>0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33"/>
        <v>16519</v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>
        <f t="shared" si="319"/>
        <v>191</v>
      </c>
      <c r="S287" s="352"/>
      <c r="T287" s="78">
        <f t="shared" si="320"/>
        <v>196</v>
      </c>
      <c r="U287" s="352"/>
      <c r="V287" s="78">
        <f t="shared" si="321"/>
        <v>387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>
        <v>191</v>
      </c>
      <c r="AR287" s="112"/>
      <c r="AS287" s="186">
        <v>196</v>
      </c>
      <c r="AT287" s="112"/>
      <c r="AU287" s="113">
        <f t="shared" si="322"/>
        <v>387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16519</v>
      </c>
      <c r="BE287" s="213">
        <f t="shared" si="336"/>
        <v>387</v>
      </c>
      <c r="BF287" s="215">
        <f t="shared" si="337"/>
        <v>2</v>
      </c>
      <c r="BG287" s="215">
        <f t="shared" si="338"/>
        <v>2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>
        <f t="shared" si="330"/>
        <v>191</v>
      </c>
      <c r="BP287" s="215">
        <f t="shared" si="331"/>
        <v>196</v>
      </c>
      <c r="BQ287" s="216"/>
      <c r="BR287" s="214"/>
      <c r="BS287" s="215">
        <f t="shared" si="339"/>
        <v>196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387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774</v>
      </c>
      <c r="E289" s="84">
        <f>IF(AD289="","",AD289)</f>
        <v>2</v>
      </c>
      <c r="F289" s="83">
        <f t="shared" si="314"/>
        <v>785</v>
      </c>
      <c r="G289" s="84">
        <f>IF(AF289="","",AF289)</f>
        <v>2</v>
      </c>
      <c r="H289" s="83">
        <f t="shared" si="315"/>
        <v>769</v>
      </c>
      <c r="I289" s="84">
        <f>IF(AH289="","",AH289)</f>
        <v>2</v>
      </c>
      <c r="J289" s="83">
        <f t="shared" si="316"/>
        <v>672</v>
      </c>
      <c r="K289" s="84">
        <f>IF(AJ289="","",AJ289)</f>
        <v>0</v>
      </c>
      <c r="L289" s="83">
        <f t="shared" si="317"/>
        <v>861</v>
      </c>
      <c r="M289" s="84">
        <f>IF(AL289="","",AL289)</f>
        <v>0</v>
      </c>
      <c r="N289" s="83">
        <f t="shared" si="334"/>
        <v>724</v>
      </c>
      <c r="O289" s="84">
        <f>IF(AN289="","",AN289)</f>
        <v>2</v>
      </c>
      <c r="P289" s="83">
        <f t="shared" si="318"/>
        <v>764</v>
      </c>
      <c r="Q289" s="84">
        <f>IF(AP289="","",AP289)</f>
        <v>0</v>
      </c>
      <c r="R289" s="83">
        <f t="shared" si="319"/>
        <v>709</v>
      </c>
      <c r="S289" s="84">
        <f>IF(AR289="","",AR289)</f>
        <v>0</v>
      </c>
      <c r="T289" s="83">
        <f t="shared" si="320"/>
        <v>706</v>
      </c>
      <c r="U289" s="84">
        <f>IF(AT289="","",AT289)</f>
        <v>0</v>
      </c>
      <c r="V289" s="83">
        <f t="shared" si="321"/>
        <v>6764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774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785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769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672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861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724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764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709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0</v>
      </c>
      <c r="AU289" s="122">
        <f>SUM(AC289+AE289+AG289+AI289+AK289+AM289+AO289+AQ289+AS289)</f>
        <v>6764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5</v>
      </c>
      <c r="J290" s="86" t="str">
        <f t="shared" si="316"/>
        <v/>
      </c>
      <c r="K290" s="87">
        <f>IF(AJ290="","",AJ290)</f>
        <v>0.5</v>
      </c>
      <c r="L290" s="86" t="str">
        <f t="shared" si="317"/>
        <v/>
      </c>
      <c r="M290" s="87">
        <f>IF(AL290="","",AL290)</f>
        <v>2</v>
      </c>
      <c r="N290" s="86" t="str">
        <f t="shared" si="334"/>
        <v/>
      </c>
      <c r="O290" s="87">
        <f>IF(AN290="","",AN290)</f>
        <v>4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2</v>
      </c>
      <c r="V290" s="86" t="str">
        <f t="shared" si="321"/>
        <v/>
      </c>
      <c r="W290" s="87">
        <f>IF(AV290="","",AV290)</f>
        <v>26.5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5</v>
      </c>
      <c r="AI290" s="86"/>
      <c r="AJ290" s="124">
        <f>SUM(AJ277:AJ289)</f>
        <v>0.5</v>
      </c>
      <c r="AK290" s="86"/>
      <c r="AL290" s="124">
        <f>SUM(AL277:AL289)</f>
        <v>2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</v>
      </c>
      <c r="AU290" s="86"/>
      <c r="AV290" s="125">
        <f>SUM(AV277:AV289)</f>
        <v>26.5</v>
      </c>
      <c r="AW290" s="101"/>
      <c r="AX290" s="102"/>
      <c r="BA290" s="212">
        <f>+AV290</f>
        <v>26.5</v>
      </c>
      <c r="BB290" s="213">
        <f>+AU289</f>
        <v>6764</v>
      </c>
      <c r="BC290" s="214">
        <f>+AA272</f>
        <v>10</v>
      </c>
      <c r="BF290" s="215">
        <f>SUM(BF271:BF289)</f>
        <v>36</v>
      </c>
      <c r="BQ290" s="212">
        <f>+BB290/1000000+BA290</f>
        <v>26.506764</v>
      </c>
      <c r="BR290" s="214">
        <f>RANK(BQ290,BQ:BQ)</f>
        <v>6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8</v>
      </c>
      <c r="E292" s="349" t="str">
        <f t="shared" si="345"/>
        <v/>
      </c>
      <c r="F292" s="349">
        <f t="shared" si="345"/>
        <v>6</v>
      </c>
      <c r="G292" s="349" t="str">
        <f t="shared" si="345"/>
        <v/>
      </c>
      <c r="H292" s="349">
        <f t="shared" si="345"/>
        <v>3</v>
      </c>
      <c r="I292" s="349" t="str">
        <f t="shared" si="345"/>
        <v/>
      </c>
      <c r="J292" s="349">
        <f t="shared" si="345"/>
        <v>4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2</v>
      </c>
      <c r="O292" s="349" t="str">
        <f t="shared" si="345"/>
        <v/>
      </c>
      <c r="P292" s="349">
        <f t="shared" si="345"/>
        <v>1</v>
      </c>
      <c r="Q292" s="349" t="str">
        <f t="shared" si="345"/>
        <v/>
      </c>
      <c r="R292" s="349">
        <f t="shared" ref="L292:U294" si="346">IF(AQ292=0,"",AQ292)</f>
        <v>5</v>
      </c>
      <c r="S292" s="349" t="str">
        <f t="shared" si="346"/>
        <v/>
      </c>
      <c r="T292" s="349">
        <f t="shared" si="346"/>
        <v>9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VLOOKUP($AA272,Schlüssel!$A$5:$DG$14,103)</f>
        <v>8</v>
      </c>
      <c r="AD292" s="374"/>
      <c r="AE292" s="373">
        <f>VLOOKUP($AA272,Schlüssel!$A$5:$EK$14,104)</f>
        <v>6</v>
      </c>
      <c r="AF292" s="374"/>
      <c r="AG292" s="373">
        <f>VLOOKUP($AA272,Schlüssel!$A$5:$EK$14,105)</f>
        <v>3</v>
      </c>
      <c r="AH292" s="374"/>
      <c r="AI292" s="373">
        <f>VLOOKUP($AA272,Schlüssel!$A$5:$EK$14,106)</f>
        <v>4</v>
      </c>
      <c r="AJ292" s="374"/>
      <c r="AK292" s="373">
        <f>VLOOKUP($AA272,Schlüssel!$A$5:$EK$14,107)</f>
        <v>7</v>
      </c>
      <c r="AL292" s="374"/>
      <c r="AM292" s="373">
        <f>VLOOKUP($AA272,Schlüssel!$A$5:$EK$14,108)</f>
        <v>2</v>
      </c>
      <c r="AN292" s="374"/>
      <c r="AO292" s="373">
        <f>VLOOKUP($AA272,Schlüssel!$A$5:$EK$14,109)</f>
        <v>1</v>
      </c>
      <c r="AP292" s="374"/>
      <c r="AQ292" s="373">
        <f>VLOOKUP($AA272,Schlüssel!$A$5:$EK$14,110)</f>
        <v>5</v>
      </c>
      <c r="AR292" s="374"/>
      <c r="AS292" s="373">
        <f>VLOOKUP($AA272,Schlüssel!$A$5:$EK$14,111)</f>
        <v>9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BC EMAX Unterföhring 2</v>
      </c>
      <c r="E293" s="347" t="str">
        <f t="shared" si="347"/>
        <v/>
      </c>
      <c r="F293" s="346" t="str">
        <f t="shared" si="347"/>
        <v>SG Rottendorf 1</v>
      </c>
      <c r="G293" s="347" t="str">
        <f t="shared" si="347"/>
        <v/>
      </c>
      <c r="H293" s="346" t="str">
        <f t="shared" si="347"/>
        <v>BK München 3</v>
      </c>
      <c r="I293" s="347" t="str">
        <f t="shared" si="347"/>
        <v/>
      </c>
      <c r="J293" s="346" t="str">
        <f t="shared" si="347"/>
        <v>SG DJK Rimpar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Bajuwaren München 1</v>
      </c>
      <c r="O293" s="347" t="str">
        <f t="shared" si="346"/>
        <v/>
      </c>
      <c r="P293" s="346" t="str">
        <f t="shared" si="346"/>
        <v>BC Comet Nürnberg</v>
      </c>
      <c r="Q293" s="347" t="str">
        <f t="shared" si="346"/>
        <v/>
      </c>
      <c r="R293" s="346" t="str">
        <f t="shared" si="346"/>
        <v>RW Lichtenhof Stein 1</v>
      </c>
      <c r="S293" s="347" t="str">
        <f t="shared" si="346"/>
        <v/>
      </c>
      <c r="T293" s="346" t="str">
        <f t="shared" si="346"/>
        <v>Bowlinghaus Bamberg 1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BK München 3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Bajuwaren München 1</v>
      </c>
      <c r="AN293" s="347"/>
      <c r="AO293" s="346" t="str">
        <f>VLOOKUP(AO292,Schlüssel!$A$5:$K$14,2)</f>
        <v>BC Comet Nürnberg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Bowlinghaus Bamberg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212</v>
      </c>
      <c r="E295" s="342" t="str">
        <f>IF(AD295=0,"",AD295)</f>
        <v/>
      </c>
      <c r="F295" s="342">
        <f>IF(AE295=301,"",AE295)</f>
        <v>191</v>
      </c>
      <c r="G295" s="342" t="str">
        <f>IF(AF295=0,"",AF295)</f>
        <v/>
      </c>
      <c r="H295" s="342">
        <f>IF(AG295=301,"",AG295)</f>
        <v>199</v>
      </c>
      <c r="I295" s="342" t="str">
        <f>IF(AH295=0,"",AH295)</f>
        <v/>
      </c>
      <c r="J295" s="342">
        <f>IF(AI295=301,"",AI295)</f>
        <v>212</v>
      </c>
      <c r="K295" s="342" t="str">
        <f>IF(AJ295=0,"",AJ295)</f>
        <v/>
      </c>
      <c r="L295" s="342">
        <f>IF(AK295=301,"",AK295)</f>
        <v>242</v>
      </c>
      <c r="M295" s="342" t="str">
        <f>IF(AL295=0,"",AL295)</f>
        <v/>
      </c>
      <c r="N295" s="342">
        <f>IF(AM295=301,"",AM295)</f>
        <v>176</v>
      </c>
      <c r="O295" s="342" t="str">
        <f>IF(AN295=0,"",AN295)</f>
        <v/>
      </c>
      <c r="P295" s="342">
        <f>IF(AO295=301,"",AO295)</f>
        <v>151</v>
      </c>
      <c r="Q295" s="342" t="str">
        <f>IF(AP295=0,"",AP295)</f>
        <v/>
      </c>
      <c r="R295" s="342">
        <f>IF(AQ295=301,"",AQ295)</f>
        <v>177</v>
      </c>
      <c r="S295" s="342" t="str">
        <f>IF(AR295=0,"",AR295)</f>
        <v/>
      </c>
      <c r="T295" s="342">
        <f>IF(AS295=301,"",AS295)</f>
        <v>196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212</v>
      </c>
      <c r="AD295" s="376"/>
      <c r="AE295" s="375">
        <f>ABS(INDEX(AE:AE,MATCH(AE292,$AA:$AA,0)+5)+INDEX(AE:AE,MATCH(AE292,$AA:$AA,0)+6)+INDEX(AE:AE,MATCH(AE292,$AA:$AA,0)+7))</f>
        <v>191</v>
      </c>
      <c r="AF295" s="376"/>
      <c r="AG295" s="375">
        <f>ABS(INDEX(AG:AG,MATCH(AG292,$AA:$AA,0)+5)+INDEX(AG:AG,MATCH(AG292,$AA:$AA,0)+6)+INDEX(AG:AG,MATCH(AG292,$AA:$AA,0)+7))</f>
        <v>199</v>
      </c>
      <c r="AH295" s="376"/>
      <c r="AI295" s="375">
        <f>ABS(INDEX(AI:AI,MATCH(AI292,$AA:$AA,0)+5)+INDEX(AI:AI,MATCH(AI292,$AA:$AA,0)+6)+INDEX(AI:AI,MATCH(AI292,$AA:$AA,0)+7))</f>
        <v>212</v>
      </c>
      <c r="AJ295" s="376"/>
      <c r="AK295" s="375">
        <f>ABS(INDEX(AK:AK,MATCH(AK292,$AA:$AA,0)+5)+INDEX(AK:AK,MATCH(AK292,$AA:$AA,0)+6)+INDEX(AK:AK,MATCH(AK292,$AA:$AA,0)+7))</f>
        <v>242</v>
      </c>
      <c r="AL295" s="376"/>
      <c r="AM295" s="375">
        <f>ABS(INDEX(AM:AM,MATCH(AM292,$AA:$AA,0)+5)+INDEX(AM:AM,MATCH(AM292,$AA:$AA,0)+6)+INDEX(AM:AM,MATCH(AM292,$AA:$AA,0)+7))</f>
        <v>176</v>
      </c>
      <c r="AN295" s="376"/>
      <c r="AO295" s="375">
        <f>ABS(INDEX(AO:AO,MATCH(AO292,$AA:$AA,0)+5)+INDEX(AO:AO,MATCH(AO292,$AA:$AA,0)+6)+INDEX(AO:AO,MATCH(AO292,$AA:$AA,0)+7))</f>
        <v>151</v>
      </c>
      <c r="AP295" s="376"/>
      <c r="AQ295" s="375">
        <f>ABS(INDEX(AQ:AQ,MATCH(AQ292,$AA:$AA,0)+5)+INDEX(AQ:AQ,MATCH(AQ292,$AA:$AA,0)+6)+INDEX(AQ:AQ,MATCH(AQ292,$AA:$AA,0)+7))</f>
        <v>177</v>
      </c>
      <c r="AR295" s="376"/>
      <c r="AS295" s="375">
        <f>ABS(INDEX(AS:AS,MATCH(AS292,$AA:$AA,0)+5)+INDEX(AS:AS,MATCH(AS292,$AA:$AA,0)+6)+INDEX(AS:AS,MATCH(AS292,$AA:$AA,0)+7))</f>
        <v>196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203</v>
      </c>
      <c r="E296" s="342" t="str">
        <f>IF(AD296=0,"",AD296)</f>
        <v/>
      </c>
      <c r="F296" s="342">
        <f>IF(AE296=301,"",AE296)</f>
        <v>179</v>
      </c>
      <c r="G296" s="342" t="str">
        <f>IF(AF296=0,"",AF296)</f>
        <v/>
      </c>
      <c r="H296" s="342">
        <f>IF(AG296=301,"",AG296)</f>
        <v>226</v>
      </c>
      <c r="I296" s="342" t="str">
        <f>IF(AH296=0,"",AH296)</f>
        <v/>
      </c>
      <c r="J296" s="342">
        <f>IF(AI296=301,"",AI296)</f>
        <v>180</v>
      </c>
      <c r="K296" s="342" t="str">
        <f>IF(AJ296=0,"",AJ296)</f>
        <v/>
      </c>
      <c r="L296" s="342">
        <f>IF(AK296=301,"",AK296)</f>
        <v>186</v>
      </c>
      <c r="M296" s="342" t="str">
        <f>IF(AL296=0,"",AL296)</f>
        <v/>
      </c>
      <c r="N296" s="342">
        <f>IF(AM296=301,"",AM296)</f>
        <v>202</v>
      </c>
      <c r="O296" s="342" t="str">
        <f>IF(AN296=0,"",AN296)</f>
        <v/>
      </c>
      <c r="P296" s="342">
        <f>IF(AO296=301,"",AO296)</f>
        <v>226</v>
      </c>
      <c r="Q296" s="342" t="str">
        <f>IF(AP296=0,"",AP296)</f>
        <v/>
      </c>
      <c r="R296" s="342">
        <f>IF(AQ296=301,"",AQ296)</f>
        <v>203</v>
      </c>
      <c r="S296" s="342" t="str">
        <f>IF(AR296=0,"",AR296)</f>
        <v/>
      </c>
      <c r="T296" s="342">
        <f>IF(AS296=301,"",AS296)</f>
        <v>169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203</v>
      </c>
      <c r="AD296" s="378"/>
      <c r="AE296" s="377">
        <f>ABS(INDEX(AE:AE,MATCH(AE292,$AA:$AA,0)+8)+INDEX(AE:AE,MATCH(AE292,$AA:$AA,0)+9)+INDEX(AE:AE,MATCH(AE292,$AA:$AA,0)+10))</f>
        <v>179</v>
      </c>
      <c r="AF296" s="378"/>
      <c r="AG296" s="377">
        <f>ABS(INDEX(AG:AG,MATCH(AG292,$AA:$AA,0)+8)+INDEX(AG:AG,MATCH(AG292,$AA:$AA,0)+9)+INDEX(AG:AG,MATCH(AG292,$AA:$AA,0)+10))</f>
        <v>226</v>
      </c>
      <c r="AH296" s="378"/>
      <c r="AI296" s="377">
        <f>ABS(INDEX(AI:AI,MATCH(AI292,$AA:$AA,0)+8)+INDEX(AI:AI,MATCH(AI292,$AA:$AA,0)+9)+INDEX(AI:AI,MATCH(AI292,$AA:$AA,0)+10))</f>
        <v>180</v>
      </c>
      <c r="AJ296" s="378"/>
      <c r="AK296" s="377">
        <f>ABS(INDEX(AK:AK,MATCH(AK292,$AA:$AA,0)+8)+INDEX(AK:AK,MATCH(AK292,$AA:$AA,0)+9)+INDEX(AK:AK,MATCH(AK292,$AA:$AA,0)+10))</f>
        <v>186</v>
      </c>
      <c r="AL296" s="378"/>
      <c r="AM296" s="377">
        <f>ABS(INDEX(AM:AM,MATCH(AM292,$AA:$AA,0)+8)+INDEX(AM:AM,MATCH(AM292,$AA:$AA,0)+9)+INDEX(AM:AM,MATCH(AM292,$AA:$AA,0)+10))</f>
        <v>202</v>
      </c>
      <c r="AN296" s="378"/>
      <c r="AO296" s="377">
        <f>ABS(INDEX(AO:AO,MATCH(AO292,$AA:$AA,0)+8)+INDEX(AO:AO,MATCH(AO292,$AA:$AA,0)+9)+INDEX(AO:AO,MATCH(AO292,$AA:$AA,0)+10))</f>
        <v>226</v>
      </c>
      <c r="AP296" s="378"/>
      <c r="AQ296" s="377">
        <f>ABS(INDEX(AQ:AQ,MATCH(AQ292,$AA:$AA,0)+8)+INDEX(AQ:AQ,MATCH(AQ292,$AA:$AA,0)+9)+INDEX(AQ:AQ,MATCH(AQ292,$AA:$AA,0)+10))</f>
        <v>203</v>
      </c>
      <c r="AR296" s="378"/>
      <c r="AS296" s="377">
        <f>ABS(INDEX(AS:AS,MATCH(AS292,$AA:$AA,0)+8)+INDEX(AS:AS,MATCH(AS292,$AA:$AA,0)+9)+INDEX(AS:AS,MATCH(AS292,$AA:$AA,0)+10))</f>
        <v>169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156</v>
      </c>
      <c r="E297" s="342" t="str">
        <f>IF(AD297=0,"",AD297)</f>
        <v/>
      </c>
      <c r="F297" s="342">
        <f>IF(AE297=301,"",AE297)</f>
        <v>182</v>
      </c>
      <c r="G297" s="342" t="str">
        <f>IF(AF297=0,"",AF297)</f>
        <v/>
      </c>
      <c r="H297" s="342">
        <f>IF(AG297=301,"",AG297)</f>
        <v>164</v>
      </c>
      <c r="I297" s="342" t="str">
        <f>IF(AH297=0,"",AH297)</f>
        <v/>
      </c>
      <c r="J297" s="342">
        <f>IF(AI297=301,"",AI297)</f>
        <v>160</v>
      </c>
      <c r="K297" s="342" t="str">
        <f>IF(AJ297=0,"",AJ297)</f>
        <v/>
      </c>
      <c r="L297" s="342">
        <f>IF(AK297=301,"",AK297)</f>
        <v>246</v>
      </c>
      <c r="M297" s="342" t="str">
        <f>IF(AL297=0,"",AL297)</f>
        <v/>
      </c>
      <c r="N297" s="342">
        <f>IF(AM297=301,"",AM297)</f>
        <v>137</v>
      </c>
      <c r="O297" s="342" t="str">
        <f>IF(AN297=0,"",AN297)</f>
        <v/>
      </c>
      <c r="P297" s="342">
        <f>IF(AO297=301,"",AO297)</f>
        <v>219</v>
      </c>
      <c r="Q297" s="342" t="str">
        <f>IF(AP297=0,"",AP297)</f>
        <v/>
      </c>
      <c r="R297" s="342">
        <f>IF(AQ297=301,"",AQ297)</f>
        <v>158</v>
      </c>
      <c r="S297" s="342" t="str">
        <f>IF(AR297=0,"",AR297)</f>
        <v/>
      </c>
      <c r="T297" s="342">
        <f>IF(AS297=301,"",AS297)</f>
        <v>168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156</v>
      </c>
      <c r="AD297" s="378"/>
      <c r="AE297" s="377">
        <f>ABS(INDEX(AE:AE,MATCH(AE292,$AA:$AA,0)+11)+INDEX(AE:AE,MATCH(AE292,$AA:$AA,0)+12)+INDEX(AE:AE,MATCH(AE292,$AA:$AA,0)+13))</f>
        <v>182</v>
      </c>
      <c r="AF297" s="378"/>
      <c r="AG297" s="377">
        <f>ABS(INDEX(AG:AG,MATCH(AG292,$AA:$AA,0)+11)+INDEX(AG:AG,MATCH(AG292,$AA:$AA,0)+12)+INDEX(AG:AG,MATCH(AG292,$AA:$AA,0)+13))</f>
        <v>164</v>
      </c>
      <c r="AH297" s="378"/>
      <c r="AI297" s="377">
        <f>ABS(INDEX(AI:AI,MATCH(AI292,$AA:$AA,0)+11)+INDEX(AI:AI,MATCH(AI292,$AA:$AA,0)+12)+INDEX(AI:AI,MATCH(AI292,$AA:$AA,0)+13))</f>
        <v>160</v>
      </c>
      <c r="AJ297" s="378"/>
      <c r="AK297" s="377">
        <f>ABS(INDEX(AK:AK,MATCH(AK292,$AA:$AA,0)+11)+INDEX(AK:AK,MATCH(AK292,$AA:$AA,0)+12)+INDEX(AK:AK,MATCH(AK292,$AA:$AA,0)+13))</f>
        <v>246</v>
      </c>
      <c r="AL297" s="378"/>
      <c r="AM297" s="377">
        <f>ABS(INDEX(AM:AM,MATCH(AM292,$AA:$AA,0)+11)+INDEX(AM:AM,MATCH(AM292,$AA:$AA,0)+12)+INDEX(AM:AM,MATCH(AM292,$AA:$AA,0)+13))</f>
        <v>137</v>
      </c>
      <c r="AN297" s="378"/>
      <c r="AO297" s="377">
        <f>ABS(INDEX(AO:AO,MATCH(AO292,$AA:$AA,0)+11)+INDEX(AO:AO,MATCH(AO292,$AA:$AA,0)+12)+INDEX(AO:AO,MATCH(AO292,$AA:$AA,0)+13))</f>
        <v>219</v>
      </c>
      <c r="AP297" s="378"/>
      <c r="AQ297" s="377">
        <f>ABS(INDEX(AQ:AQ,MATCH(AQ292,$AA:$AA,0)+11)+INDEX(AQ:AQ,MATCH(AQ292,$AA:$AA,0)+12)+INDEX(AQ:AQ,MATCH(AQ292,$AA:$AA,0)+13))</f>
        <v>158</v>
      </c>
      <c r="AR297" s="378"/>
      <c r="AS297" s="377">
        <f>ABS(INDEX(AS:AS,MATCH(AS292,$AA:$AA,0)+11)+INDEX(AS:AS,MATCH(AS292,$AA:$AA,0)+12)+INDEX(AS:AS,MATCH(AS292,$AA:$AA,0)+13))</f>
        <v>168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163</v>
      </c>
      <c r="E298" s="342" t="str">
        <f>IF(AD298=0,"",AD298)</f>
        <v/>
      </c>
      <c r="F298" s="342">
        <f>IF(AE298=301,"",AE298)</f>
        <v>150</v>
      </c>
      <c r="G298" s="342" t="str">
        <f>IF(AF298=0,"",AF298)</f>
        <v/>
      </c>
      <c r="H298" s="342">
        <f>IF(AG298=301,"",AG298)</f>
        <v>169</v>
      </c>
      <c r="I298" s="342" t="str">
        <f>IF(AH298=0,"",AH298)</f>
        <v/>
      </c>
      <c r="J298" s="342">
        <f>IF(AI298=301,"",AI298)</f>
        <v>188</v>
      </c>
      <c r="K298" s="342" t="str">
        <f>IF(AJ298=0,"",AJ298)</f>
        <v/>
      </c>
      <c r="L298" s="342">
        <f>IF(AK298=301,"",AK298)</f>
        <v>192</v>
      </c>
      <c r="M298" s="342" t="str">
        <f>IF(AL298=0,"",AL298)</f>
        <v/>
      </c>
      <c r="N298" s="342">
        <f>IF(AM298=301,"",AM298)</f>
        <v>194</v>
      </c>
      <c r="O298" s="342" t="str">
        <f>IF(AN298=0,"",AN298)</f>
        <v/>
      </c>
      <c r="P298" s="342">
        <f>IF(AO298=301,"",AO298)</f>
        <v>241</v>
      </c>
      <c r="Q298" s="342" t="str">
        <f>IF(AP298=0,"",AP298)</f>
        <v/>
      </c>
      <c r="R298" s="342">
        <f>IF(AQ298=301,"",AQ298)</f>
        <v>203</v>
      </c>
      <c r="S298" s="342" t="str">
        <f>IF(AR298=0,"",AR298)</f>
        <v/>
      </c>
      <c r="T298" s="342">
        <f>IF(AS298=301,"",AS298)</f>
        <v>175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163</v>
      </c>
      <c r="AD298" s="378"/>
      <c r="AE298" s="377">
        <f>ABS(INDEX(AE:AE,MATCH(AE292,$AA:$AA,0)+14)+INDEX(AE:AE,MATCH(AE292,$AA:$AA,0)+15)+INDEX(AE:AE,MATCH(AE292,$AA:$AA,0)+16))</f>
        <v>150</v>
      </c>
      <c r="AF298" s="378"/>
      <c r="AG298" s="377">
        <f>ABS(INDEX(AG:AG,MATCH(AG292,$AA:$AA,0)+14)+INDEX(AG:AG,MATCH(AG292,$AA:$AA,0)+15)+INDEX(AG:AG,MATCH(AG292,$AA:$AA,0)+16))</f>
        <v>169</v>
      </c>
      <c r="AH298" s="378"/>
      <c r="AI298" s="377">
        <f>ABS(INDEX(AI:AI,MATCH(AI292,$AA:$AA,0)+14)+INDEX(AI:AI,MATCH(AI292,$AA:$AA,0)+15)+INDEX(AI:AI,MATCH(AI292,$AA:$AA,0)+16))</f>
        <v>188</v>
      </c>
      <c r="AJ298" s="378"/>
      <c r="AK298" s="377">
        <f>ABS(INDEX(AK:AK,MATCH(AK292,$AA:$AA,0)+14)+INDEX(AK:AK,MATCH(AK292,$AA:$AA,0)+15)+INDEX(AK:AK,MATCH(AK292,$AA:$AA,0)+16))</f>
        <v>192</v>
      </c>
      <c r="AL298" s="378"/>
      <c r="AM298" s="377">
        <f>ABS(INDEX(AM:AM,MATCH(AM292,$AA:$AA,0)+14)+INDEX(AM:AM,MATCH(AM292,$AA:$AA,0)+15)+INDEX(AM:AM,MATCH(AM292,$AA:$AA,0)+16))</f>
        <v>194</v>
      </c>
      <c r="AN298" s="378"/>
      <c r="AO298" s="377">
        <f>ABS(INDEX(AO:AO,MATCH(AO292,$AA:$AA,0)+14)+INDEX(AO:AO,MATCH(AO292,$AA:$AA,0)+15)+INDEX(AO:AO,MATCH(AO292,$AA:$AA,0)+16))</f>
        <v>241</v>
      </c>
      <c r="AP298" s="378"/>
      <c r="AQ298" s="377">
        <f>ABS(INDEX(AQ:AQ,MATCH(AQ292,$AA:$AA,0)+14)+INDEX(AQ:AQ,MATCH(AQ292,$AA:$AA,0)+15)+INDEX(AQ:AQ,MATCH(AQ292,$AA:$AA,0)+16))</f>
        <v>203</v>
      </c>
      <c r="AR298" s="378"/>
      <c r="AS298" s="377">
        <f>ABS(INDEX(AS:AS,MATCH(AS292,$AA:$AA,0)+14)+INDEX(AS:AS,MATCH(AS292,$AA:$AA,0)+15)+INDEX(AS:AS,MATCH(AS292,$AA:$AA,0)+16))</f>
        <v>175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734</v>
      </c>
      <c r="E299" s="341" t="str">
        <f>IF(AD299=0,"",AD299)</f>
        <v/>
      </c>
      <c r="F299" s="341">
        <f>IF(AE299=1505,"",AE299)</f>
        <v>702</v>
      </c>
      <c r="G299" s="341" t="str">
        <f>IF(AF299=0,"",AF299)</f>
        <v/>
      </c>
      <c r="H299" s="341">
        <f>IF(AG299=1505,"",AG299)</f>
        <v>758</v>
      </c>
      <c r="I299" s="341" t="str">
        <f>IF(AH299=0,"",AH299)</f>
        <v/>
      </c>
      <c r="J299" s="341">
        <f>IF(AI299=1505,"",AI299)</f>
        <v>740</v>
      </c>
      <c r="K299" s="341" t="str">
        <f>IF(AJ299=0,"",AJ299)</f>
        <v/>
      </c>
      <c r="L299" s="341">
        <f>IF(AK299=1505,"",AK299)</f>
        <v>866</v>
      </c>
      <c r="M299" s="341" t="str">
        <f>IF(AL299=0,"",AL299)</f>
        <v/>
      </c>
      <c r="N299" s="341">
        <f>IF(AM299=1505,"",AM299)</f>
        <v>709</v>
      </c>
      <c r="O299" s="341" t="str">
        <f>IF(AN299=0,"",AN299)</f>
        <v/>
      </c>
      <c r="P299" s="341">
        <f>IF(AO299=1505,"",AO299)</f>
        <v>837</v>
      </c>
      <c r="Q299" s="341" t="str">
        <f>IF(AP299=0,"",AP299)</f>
        <v/>
      </c>
      <c r="R299" s="341">
        <f>IF(AQ299=1505,"",AQ299)</f>
        <v>741</v>
      </c>
      <c r="S299" s="341" t="str">
        <f>IF(AR299=0,"",AR299)</f>
        <v/>
      </c>
      <c r="T299" s="341">
        <f>IF(AS299=1505,"",AS299)</f>
        <v>708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734</v>
      </c>
      <c r="AD299" s="358"/>
      <c r="AE299" s="357">
        <f>SUM(AE295:AE298)</f>
        <v>702</v>
      </c>
      <c r="AF299" s="358"/>
      <c r="AG299" s="357">
        <f>SUM(AG295:AG298)</f>
        <v>758</v>
      </c>
      <c r="AH299" s="358"/>
      <c r="AI299" s="357">
        <f>SUM(AI295:AI298)</f>
        <v>740</v>
      </c>
      <c r="AJ299" s="358"/>
      <c r="AK299" s="357">
        <f>SUM(AK295:AK298)</f>
        <v>866</v>
      </c>
      <c r="AL299" s="358"/>
      <c r="AM299" s="357">
        <f>SUM(AM295:AM298)</f>
        <v>709</v>
      </c>
      <c r="AN299" s="358"/>
      <c r="AO299" s="357">
        <f>SUM(AO295:AO298)</f>
        <v>837</v>
      </c>
      <c r="AP299" s="358"/>
      <c r="AQ299" s="357">
        <f>SUM(AQ295:AQ298)</f>
        <v>741</v>
      </c>
      <c r="AR299" s="358"/>
      <c r="AS299" s="357">
        <f>SUM(AS295:AS298)</f>
        <v>708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topLeftCell="A6"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"&amp;Erfassung6!AS2&amp;"     -     "&amp;Erfassung6!AT1</f>
        <v>Saison 2024/2025     -     Spieltag 6     -     05.04./06.04.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+Erfassung6!AE2</f>
        <v>Dettelbach Extreme Bowlingarena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Schanzer Ingolstadt 1</v>
      </c>
      <c r="C7" s="129">
        <f>INDEX(Erfassung6!AC:AC,MATCH($A7,Erfassung6!$BR:$BR,0)-1)</f>
        <v>910</v>
      </c>
      <c r="D7" s="130">
        <f>INDEX(Erfassung6!AD:AD,MATCH($A7,Erfassung6!$BR:$BR,0))</f>
        <v>5.5</v>
      </c>
      <c r="E7" s="129">
        <f>INDEX(Erfassung6!AE:AE,MATCH($A7,Erfassung6!$BR:$BR,0)-1)</f>
        <v>825</v>
      </c>
      <c r="F7" s="130">
        <f>INDEX(Erfassung6!AF:AF,MATCH($A7,Erfassung6!$BR:$BR,0))</f>
        <v>1</v>
      </c>
      <c r="G7" s="129">
        <f>INDEX(Erfassung6!AG:AG,MATCH($A7,Erfassung6!$BR:$BR,0)-1)</f>
        <v>814</v>
      </c>
      <c r="H7" s="130">
        <f>INDEX(Erfassung6!AH:AH,MATCH($A7,Erfassung6!$BR:$BR,0))</f>
        <v>5</v>
      </c>
      <c r="I7" s="129">
        <f>INDEX(Erfassung6!AI:AI,MATCH($A7,Erfassung6!$BR:$BR,0)-1)</f>
        <v>778</v>
      </c>
      <c r="J7" s="130">
        <f>INDEX(Erfassung6!AJ:AJ,MATCH($A7,Erfassung6!$BR:$BR,0))</f>
        <v>5</v>
      </c>
      <c r="K7" s="129">
        <f>INDEX(Erfassung6!AK:AK,MATCH($A7,Erfassung6!$BR:$BR,0)-1)</f>
        <v>866</v>
      </c>
      <c r="L7" s="130">
        <f>INDEX(Erfassung6!AL:AL,MATCH($A7,Erfassung6!$BR:$BR,0))</f>
        <v>4</v>
      </c>
      <c r="M7" s="129">
        <f>INDEX(Erfassung6!AM:AM,MATCH($A7,Erfassung6!$BR:$BR,0)-1)</f>
        <v>863</v>
      </c>
      <c r="N7" s="130">
        <f>INDEX(Erfassung6!AN:AN,MATCH($A7,Erfassung6!$BR:$BR,0))</f>
        <v>5</v>
      </c>
      <c r="O7" s="129">
        <f>INDEX(Erfassung6!AO:AO,MATCH($A7,Erfassung6!$BR:$BR,0)-1)</f>
        <v>697</v>
      </c>
      <c r="P7" s="130">
        <f>INDEX(Erfassung6!AP:AP,MATCH($A7,Erfassung6!$BR:$BR,0))</f>
        <v>1</v>
      </c>
      <c r="Q7" s="129">
        <f>INDEX(Erfassung6!AQ:AQ,MATCH($A7,Erfassung6!$BR:$BR,0)-1)</f>
        <v>717</v>
      </c>
      <c r="R7" s="130">
        <f>INDEX(Erfassung6!AR:AR,MATCH($A7,Erfassung6!$BR:$BR,0))</f>
        <v>5</v>
      </c>
      <c r="S7" s="129">
        <f>INDEX(Erfassung6!AS:AS,MATCH($A7,Erfassung6!$BR:$BR,0)-1)</f>
        <v>761</v>
      </c>
      <c r="T7" s="130">
        <f>INDEX(Erfassung6!AT:AT,MATCH($A7,Erfassung6!$BR:$BR,0))</f>
        <v>5</v>
      </c>
      <c r="U7" s="131">
        <f t="shared" ref="U7:V16" si="0">SUM(C7+E7+G7+I7+K7+M7+O7+Q7+S7)</f>
        <v>7231</v>
      </c>
      <c r="V7" s="132">
        <f t="shared" si="0"/>
        <v>36.5</v>
      </c>
      <c r="W7" s="224">
        <f>IFERROR(U7/INDEX(Erfassung6!BF:BF,MATCH(A7,Erfassung6!BR:BR,0)),0)</f>
        <v>200.86111111111111</v>
      </c>
      <c r="X7" s="25"/>
      <c r="AA7" s="225">
        <f>INDEX(TabGes5!M:M,MATCH($B7,TabGes5!$B:$B,0))+U7</f>
        <v>39777</v>
      </c>
      <c r="AB7" s="225">
        <f>INDEX(TabGes5!N:N,MATCH($B7,TabGes5!$B:$B,0))+V7</f>
        <v>142</v>
      </c>
      <c r="AC7" s="215">
        <f>+AB7+AA7/1000000000</f>
        <v>142.00003977700001</v>
      </c>
      <c r="AD7" s="215">
        <f>RANK(AC7,AC:AC)</f>
        <v>8</v>
      </c>
      <c r="AE7" s="215">
        <f>INDEX(Tabelle5!AE:AE,MATCH(B7,Tabelle5!B:B,0))+SUMIF(Erfassung6!BU:BU,B7,Erfassung6!BF:BF)</f>
        <v>216</v>
      </c>
    </row>
    <row r="8" spans="1:31" ht="42" customHeight="1" thickBot="1" x14ac:dyDescent="0.3">
      <c r="A8" s="223">
        <v>2</v>
      </c>
      <c r="B8" s="128" t="str">
        <f>INDEX(Erfassung6!$AA:$AA,MATCH($A8,Erfassung6!$BR:$BR,0)-17)</f>
        <v>BC Comet Nürnberg</v>
      </c>
      <c r="C8" s="129">
        <f>INDEX(Erfassung6!AC:AC,MATCH($A8,Erfassung6!$BR:$BR,0)-1)</f>
        <v>813</v>
      </c>
      <c r="D8" s="130">
        <f>INDEX(Erfassung6!AD:AD,MATCH($A8,Erfassung6!$BR:$BR,0))</f>
        <v>0.5</v>
      </c>
      <c r="E8" s="129">
        <f>INDEX(Erfassung6!AE:AE,MATCH($A8,Erfassung6!$BR:$BR,0)-1)</f>
        <v>800</v>
      </c>
      <c r="F8" s="130">
        <f>INDEX(Erfassung6!AF:AF,MATCH($A8,Erfassung6!$BR:$BR,0))</f>
        <v>4</v>
      </c>
      <c r="G8" s="129">
        <f>INDEX(Erfassung6!AG:AG,MATCH($A8,Erfassung6!$BR:$BR,0)-1)</f>
        <v>813</v>
      </c>
      <c r="H8" s="130">
        <f>INDEX(Erfassung6!AH:AH,MATCH($A8,Erfassung6!$BR:$BR,0))</f>
        <v>5</v>
      </c>
      <c r="I8" s="129">
        <f>INDEX(Erfassung6!AI:AI,MATCH($A8,Erfassung6!$BR:$BR,0)-1)</f>
        <v>886</v>
      </c>
      <c r="J8" s="130">
        <f>INDEX(Erfassung6!AJ:AJ,MATCH($A8,Erfassung6!$BR:$BR,0))</f>
        <v>4.5</v>
      </c>
      <c r="K8" s="129">
        <f>INDEX(Erfassung6!AK:AK,MATCH($A8,Erfassung6!$BR:$BR,0)-1)</f>
        <v>802</v>
      </c>
      <c r="L8" s="130">
        <f>INDEX(Erfassung6!AL:AL,MATCH($A8,Erfassung6!$BR:$BR,0))</f>
        <v>4</v>
      </c>
      <c r="M8" s="129">
        <f>INDEX(Erfassung6!AM:AM,MATCH($A8,Erfassung6!$BR:$BR,0)-1)</f>
        <v>763</v>
      </c>
      <c r="N8" s="130">
        <f>INDEX(Erfassung6!AN:AN,MATCH($A8,Erfassung6!$BR:$BR,0))</f>
        <v>2</v>
      </c>
      <c r="O8" s="129">
        <f>INDEX(Erfassung6!AO:AO,MATCH($A8,Erfassung6!$BR:$BR,0)-1)</f>
        <v>837</v>
      </c>
      <c r="P8" s="130">
        <f>INDEX(Erfassung6!AP:AP,MATCH($A8,Erfassung6!$BR:$BR,0))</f>
        <v>5</v>
      </c>
      <c r="Q8" s="129">
        <f>INDEX(Erfassung6!AQ:AQ,MATCH($A8,Erfassung6!$BR:$BR,0)-1)</f>
        <v>794</v>
      </c>
      <c r="R8" s="130">
        <f>INDEX(Erfassung6!AR:AR,MATCH($A8,Erfassung6!$BR:$BR,0))</f>
        <v>4</v>
      </c>
      <c r="S8" s="129">
        <f>INDEX(Erfassung6!AS:AS,MATCH($A8,Erfassung6!$BR:$BR,0)-1)</f>
        <v>778</v>
      </c>
      <c r="T8" s="130">
        <f>INDEX(Erfassung6!AT:AT,MATCH($A8,Erfassung6!$BR:$BR,0))</f>
        <v>4</v>
      </c>
      <c r="U8" s="131">
        <f t="shared" si="0"/>
        <v>7286</v>
      </c>
      <c r="V8" s="132">
        <f t="shared" si="0"/>
        <v>33</v>
      </c>
      <c r="W8" s="224">
        <f>IFERROR(U8/INDEX(Erfassung6!BF:BF,MATCH(A8,Erfassung6!BR:BR,0)),0)</f>
        <v>202.38888888888889</v>
      </c>
      <c r="X8" s="25"/>
      <c r="AA8" s="225">
        <f>INDEX(TabGes5!M:M,MATCH($B8,TabGes5!$B:$B,0))+U8</f>
        <v>43602</v>
      </c>
      <c r="AB8" s="225">
        <f>INDEX(TabGes5!N:N,MATCH($B8,TabGes5!$B:$B,0))+V8</f>
        <v>211</v>
      </c>
      <c r="AC8" s="215">
        <f t="shared" ref="AC8:AC16" si="1">+AB8+AA8/1000000000</f>
        <v>211.00004360200001</v>
      </c>
      <c r="AD8" s="215">
        <f t="shared" ref="AD8:AD16" si="2">RANK(AC8,AC:AC)</f>
        <v>1</v>
      </c>
      <c r="AE8" s="215">
        <f>INDEX(Tabelle5!AE:AE,MATCH(B8,Tabelle5!B:B,0))+SUMIF(Erfassung6!BU:BU,B8,Erfassung6!BF:BF)</f>
        <v>216</v>
      </c>
    </row>
    <row r="9" spans="1:31" ht="42" customHeight="1" thickBot="1" x14ac:dyDescent="0.3">
      <c r="A9" s="223">
        <v>3</v>
      </c>
      <c r="B9" s="128" t="str">
        <f>INDEX(Erfassung6!$AA:$AA,MATCH($A9,Erfassung6!$BR:$BR,0)-17)</f>
        <v>RW Lichtenhof Stein 1</v>
      </c>
      <c r="C9" s="129">
        <f>INDEX(Erfassung6!AC:AC,MATCH($A9,Erfassung6!$BR:$BR,0)-1)</f>
        <v>827</v>
      </c>
      <c r="D9" s="130">
        <f>INDEX(Erfassung6!AD:AD,MATCH($A9,Erfassung6!$BR:$BR,0))</f>
        <v>5</v>
      </c>
      <c r="E9" s="129">
        <f>INDEX(Erfassung6!AE:AE,MATCH($A9,Erfassung6!$BR:$BR,0)-1)</f>
        <v>847</v>
      </c>
      <c r="F9" s="130">
        <f>INDEX(Erfassung6!AF:AF,MATCH($A9,Erfassung6!$BR:$BR,0))</f>
        <v>5</v>
      </c>
      <c r="G9" s="129">
        <f>INDEX(Erfassung6!AG:AG,MATCH($A9,Erfassung6!$BR:$BR,0)-1)</f>
        <v>777</v>
      </c>
      <c r="H9" s="130">
        <f>INDEX(Erfassung6!AH:AH,MATCH($A9,Erfassung6!$BR:$BR,0))</f>
        <v>1</v>
      </c>
      <c r="I9" s="129">
        <f>INDEX(Erfassung6!AI:AI,MATCH($A9,Erfassung6!$BR:$BR,0)-1)</f>
        <v>700</v>
      </c>
      <c r="J9" s="130">
        <f>INDEX(Erfassung6!AJ:AJ,MATCH($A9,Erfassung6!$BR:$BR,0))</f>
        <v>1</v>
      </c>
      <c r="K9" s="129">
        <f>INDEX(Erfassung6!AK:AK,MATCH($A9,Erfassung6!$BR:$BR,0)-1)</f>
        <v>778</v>
      </c>
      <c r="L9" s="130">
        <f>INDEX(Erfassung6!AL:AL,MATCH($A9,Erfassung6!$BR:$BR,0))</f>
        <v>1</v>
      </c>
      <c r="M9" s="129">
        <f>INDEX(Erfassung6!AM:AM,MATCH($A9,Erfassung6!$BR:$BR,0)-1)</f>
        <v>775</v>
      </c>
      <c r="N9" s="130">
        <f>INDEX(Erfassung6!AN:AN,MATCH($A9,Erfassung6!$BR:$BR,0))</f>
        <v>4</v>
      </c>
      <c r="O9" s="129">
        <f>INDEX(Erfassung6!AO:AO,MATCH($A9,Erfassung6!$BR:$BR,0)-1)</f>
        <v>831</v>
      </c>
      <c r="P9" s="130">
        <f>INDEX(Erfassung6!AP:AP,MATCH($A9,Erfassung6!$BR:$BR,0))</f>
        <v>5</v>
      </c>
      <c r="Q9" s="129">
        <f>INDEX(Erfassung6!AQ:AQ,MATCH($A9,Erfassung6!$BR:$BR,0)-1)</f>
        <v>741</v>
      </c>
      <c r="R9" s="130">
        <f>INDEX(Erfassung6!AR:AR,MATCH($A9,Erfassung6!$BR:$BR,0))</f>
        <v>4</v>
      </c>
      <c r="S9" s="129">
        <f>INDEX(Erfassung6!AS:AS,MATCH($A9,Erfassung6!$BR:$BR,0)-1)</f>
        <v>883</v>
      </c>
      <c r="T9" s="130">
        <f>INDEX(Erfassung6!AT:AT,MATCH($A9,Erfassung6!$BR:$BR,0))</f>
        <v>6</v>
      </c>
      <c r="U9" s="131">
        <f t="shared" si="0"/>
        <v>7159</v>
      </c>
      <c r="V9" s="132">
        <f t="shared" si="0"/>
        <v>32</v>
      </c>
      <c r="W9" s="224">
        <f>IFERROR(U9/INDEX(Erfassung6!BF:BF,MATCH(A9,Erfassung6!BR:BR,0)),0)</f>
        <v>198.86111111111111</v>
      </c>
      <c r="X9" s="25"/>
      <c r="AA9" s="225">
        <f>INDEX(TabGes5!M:M,MATCH($B9,TabGes5!$B:$B,0))+U9</f>
        <v>40668</v>
      </c>
      <c r="AB9" s="225">
        <f>INDEX(TabGes5!N:N,MATCH($B9,TabGes5!$B:$B,0))+V9</f>
        <v>132.5</v>
      </c>
      <c r="AC9" s="215">
        <f t="shared" si="1"/>
        <v>132.500040668</v>
      </c>
      <c r="AD9" s="215">
        <f t="shared" si="2"/>
        <v>10</v>
      </c>
      <c r="AE9" s="215">
        <f>INDEX(Tabelle5!AE:AE,MATCH(B9,Tabelle5!B:B,0))+SUMIF(Erfassung6!BU:BU,B9,Erfassung6!BF:BF)</f>
        <v>216</v>
      </c>
    </row>
    <row r="10" spans="1:31" ht="42" customHeight="1" thickBot="1" x14ac:dyDescent="0.3">
      <c r="A10" s="223">
        <v>4</v>
      </c>
      <c r="B10" s="128" t="str">
        <f>INDEX(Erfassung6!$AA:$AA,MATCH($A10,Erfassung6!$BR:$BR,0)-17)</f>
        <v>SG Rottendorf 1</v>
      </c>
      <c r="C10" s="129">
        <f>INDEX(Erfassung6!AC:AC,MATCH($A10,Erfassung6!$BR:$BR,0)-1)</f>
        <v>796</v>
      </c>
      <c r="D10" s="130">
        <f>INDEX(Erfassung6!AD:AD,MATCH($A10,Erfassung6!$BR:$BR,0))</f>
        <v>5</v>
      </c>
      <c r="E10" s="129">
        <f>INDEX(Erfassung6!AE:AE,MATCH($A10,Erfassung6!$BR:$BR,0)-1)</f>
        <v>702</v>
      </c>
      <c r="F10" s="130">
        <f>INDEX(Erfassung6!AF:AF,MATCH($A10,Erfassung6!$BR:$BR,0))</f>
        <v>1</v>
      </c>
      <c r="G10" s="129">
        <f>INDEX(Erfassung6!AG:AG,MATCH($A10,Erfassung6!$BR:$BR,0)-1)</f>
        <v>823</v>
      </c>
      <c r="H10" s="130">
        <f>INDEX(Erfassung6!AH:AH,MATCH($A10,Erfassung6!$BR:$BR,0))</f>
        <v>3</v>
      </c>
      <c r="I10" s="129">
        <f>INDEX(Erfassung6!AI:AI,MATCH($A10,Erfassung6!$BR:$BR,0)-1)</f>
        <v>778</v>
      </c>
      <c r="J10" s="130">
        <f>INDEX(Erfassung6!AJ:AJ,MATCH($A10,Erfassung6!$BR:$BR,0))</f>
        <v>5</v>
      </c>
      <c r="K10" s="129">
        <f>INDEX(Erfassung6!AK:AK,MATCH($A10,Erfassung6!$BR:$BR,0)-1)</f>
        <v>805</v>
      </c>
      <c r="L10" s="130">
        <f>INDEX(Erfassung6!AL:AL,MATCH($A10,Erfassung6!$BR:$BR,0))</f>
        <v>4</v>
      </c>
      <c r="M10" s="129">
        <f>INDEX(Erfassung6!AM:AM,MATCH($A10,Erfassung6!$BR:$BR,0)-1)</f>
        <v>792</v>
      </c>
      <c r="N10" s="130">
        <f>INDEX(Erfassung6!AN:AN,MATCH($A10,Erfassung6!$BR:$BR,0))</f>
        <v>4</v>
      </c>
      <c r="O10" s="129">
        <f>INDEX(Erfassung6!AO:AO,MATCH($A10,Erfassung6!$BR:$BR,0)-1)</f>
        <v>707</v>
      </c>
      <c r="P10" s="130">
        <f>INDEX(Erfassung6!AP:AP,MATCH($A10,Erfassung6!$BR:$BR,0))</f>
        <v>5</v>
      </c>
      <c r="Q10" s="129">
        <f>INDEX(Erfassung6!AQ:AQ,MATCH($A10,Erfassung6!$BR:$BR,0)-1)</f>
        <v>692</v>
      </c>
      <c r="R10" s="130">
        <f>INDEX(Erfassung6!AR:AR,MATCH($A10,Erfassung6!$BR:$BR,0))</f>
        <v>2</v>
      </c>
      <c r="S10" s="129">
        <f>INDEX(Erfassung6!AS:AS,MATCH($A10,Erfassung6!$BR:$BR,0)-1)</f>
        <v>713</v>
      </c>
      <c r="T10" s="130">
        <f>INDEX(Erfassung6!AT:AT,MATCH($A10,Erfassung6!$BR:$BR,0))</f>
        <v>0</v>
      </c>
      <c r="U10" s="131">
        <f t="shared" si="0"/>
        <v>6808</v>
      </c>
      <c r="V10" s="132">
        <f t="shared" si="0"/>
        <v>29</v>
      </c>
      <c r="W10" s="224">
        <f>IFERROR(U10/INDEX(Erfassung6!BF:BF,MATCH(A10,Erfassung6!BR:BR,0)),0)</f>
        <v>189.11111111111111</v>
      </c>
      <c r="X10" s="25"/>
      <c r="AA10" s="225">
        <f>INDEX(TabGes5!M:M,MATCH($B10,TabGes5!$B:$B,0))+U10</f>
        <v>40693</v>
      </c>
      <c r="AB10" s="225">
        <f>INDEX(TabGes5!N:N,MATCH($B10,TabGes5!$B:$B,0))+V10</f>
        <v>164.5</v>
      </c>
      <c r="AC10" s="215">
        <f t="shared" si="1"/>
        <v>164.50004069299999</v>
      </c>
      <c r="AD10" s="215">
        <f t="shared" si="2"/>
        <v>4</v>
      </c>
      <c r="AE10" s="215">
        <f>INDEX(Tabelle5!AE:AE,MATCH(B10,Tabelle5!B:B,0))+SUMIF(Erfassung6!BU:BU,B10,Erfassung6!BF:BF)</f>
        <v>215</v>
      </c>
    </row>
    <row r="11" spans="1:31" ht="42" customHeight="1" thickBot="1" x14ac:dyDescent="0.3">
      <c r="A11" s="223">
        <v>5</v>
      </c>
      <c r="B11" s="128" t="str">
        <f>INDEX(Erfassung6!$AA:$AA,MATCH($A11,Erfassung6!$BR:$BR,0)-17)</f>
        <v>Bowlinghaus Bamberg 1</v>
      </c>
      <c r="C11" s="129">
        <f>INDEX(Erfassung6!AC:AC,MATCH($A11,Erfassung6!$BR:$BR,0)-1)</f>
        <v>801</v>
      </c>
      <c r="D11" s="130">
        <f>INDEX(Erfassung6!AD:AD,MATCH($A11,Erfassung6!$BR:$BR,0))</f>
        <v>2</v>
      </c>
      <c r="E11" s="129">
        <f>INDEX(Erfassung6!AE:AE,MATCH($A11,Erfassung6!$BR:$BR,0)-1)</f>
        <v>798</v>
      </c>
      <c r="F11" s="130">
        <f>INDEX(Erfassung6!AF:AF,MATCH($A11,Erfassung6!$BR:$BR,0))</f>
        <v>4.5</v>
      </c>
      <c r="G11" s="129">
        <f>INDEX(Erfassung6!AG:AG,MATCH($A11,Erfassung6!$BR:$BR,0)-1)</f>
        <v>700</v>
      </c>
      <c r="H11" s="130">
        <f>INDEX(Erfassung6!AH:AH,MATCH($A11,Erfassung6!$BR:$BR,0))</f>
        <v>1</v>
      </c>
      <c r="I11" s="129">
        <f>INDEX(Erfassung6!AI:AI,MATCH($A11,Erfassung6!$BR:$BR,0)-1)</f>
        <v>748</v>
      </c>
      <c r="J11" s="130">
        <f>INDEX(Erfassung6!AJ:AJ,MATCH($A11,Erfassung6!$BR:$BR,0))</f>
        <v>1</v>
      </c>
      <c r="K11" s="129">
        <f>INDEX(Erfassung6!AK:AK,MATCH($A11,Erfassung6!$BR:$BR,0)-1)</f>
        <v>826</v>
      </c>
      <c r="L11" s="130">
        <f>INDEX(Erfassung6!AL:AL,MATCH($A11,Erfassung6!$BR:$BR,0))</f>
        <v>5</v>
      </c>
      <c r="M11" s="129">
        <f>INDEX(Erfassung6!AM:AM,MATCH($A11,Erfassung6!$BR:$BR,0)-1)</f>
        <v>813</v>
      </c>
      <c r="N11" s="130">
        <f>INDEX(Erfassung6!AN:AN,MATCH($A11,Erfassung6!$BR:$BR,0))</f>
        <v>4</v>
      </c>
      <c r="O11" s="129">
        <f>INDEX(Erfassung6!AO:AO,MATCH($A11,Erfassung6!$BR:$BR,0)-1)</f>
        <v>740</v>
      </c>
      <c r="P11" s="130">
        <f>INDEX(Erfassung6!AP:AP,MATCH($A11,Erfassung6!$BR:$BR,0))</f>
        <v>3</v>
      </c>
      <c r="Q11" s="129">
        <f>INDEX(Erfassung6!AQ:AQ,MATCH($A11,Erfassung6!$BR:$BR,0)-1)</f>
        <v>731</v>
      </c>
      <c r="R11" s="130">
        <f>INDEX(Erfassung6!AR:AR,MATCH($A11,Erfassung6!$BR:$BR,0))</f>
        <v>4</v>
      </c>
      <c r="S11" s="129">
        <f>INDEX(Erfassung6!AS:AS,MATCH($A11,Erfassung6!$BR:$BR,0)-1)</f>
        <v>708</v>
      </c>
      <c r="T11" s="130">
        <f>INDEX(Erfassung6!AT:AT,MATCH($A11,Erfassung6!$BR:$BR,0))</f>
        <v>4</v>
      </c>
      <c r="U11" s="131">
        <f t="shared" si="0"/>
        <v>6865</v>
      </c>
      <c r="V11" s="132">
        <f t="shared" si="0"/>
        <v>28.5</v>
      </c>
      <c r="W11" s="224">
        <f>IFERROR(U11/INDEX(Erfassung6!BF:BF,MATCH(A11,Erfassung6!BR:BR,0)),0)</f>
        <v>190.69444444444446</v>
      </c>
      <c r="X11" s="25"/>
      <c r="AA11" s="225">
        <f>INDEX(TabGes5!M:M,MATCH($B11,TabGes5!$B:$B,0))+U11</f>
        <v>41189</v>
      </c>
      <c r="AB11" s="225">
        <f>INDEX(TabGes5!N:N,MATCH($B11,TabGes5!$B:$B,0))+V11</f>
        <v>148.5</v>
      </c>
      <c r="AC11" s="215">
        <f t="shared" si="1"/>
        <v>148.500041189</v>
      </c>
      <c r="AD11" s="215">
        <f t="shared" si="2"/>
        <v>7</v>
      </c>
      <c r="AE11" s="215">
        <f>INDEX(Tabelle5!AE:AE,MATCH(B11,Tabelle5!B:B,0))+SUMIF(Erfassung6!BU:BU,B11,Erfassung6!BF:BF)</f>
        <v>216</v>
      </c>
    </row>
    <row r="12" spans="1:31" ht="42" customHeight="1" thickBot="1" x14ac:dyDescent="0.3">
      <c r="A12" s="223">
        <v>6</v>
      </c>
      <c r="B12" s="128" t="str">
        <f>INDEX(Erfassung6!$AA:$AA,MATCH($A12,Erfassung6!$BR:$BR,0)-17)</f>
        <v>High Roller Rosenheim 1</v>
      </c>
      <c r="C12" s="129">
        <f>INDEX(Erfassung6!AC:AC,MATCH($A12,Erfassung6!$BR:$BR,0)-1)</f>
        <v>774</v>
      </c>
      <c r="D12" s="130">
        <f>INDEX(Erfassung6!AD:AD,MATCH($A12,Erfassung6!$BR:$BR,0))</f>
        <v>5</v>
      </c>
      <c r="E12" s="129">
        <f>INDEX(Erfassung6!AE:AE,MATCH($A12,Erfassung6!$BR:$BR,0)-1)</f>
        <v>785</v>
      </c>
      <c r="F12" s="130">
        <f>INDEX(Erfassung6!AF:AF,MATCH($A12,Erfassung6!$BR:$BR,0))</f>
        <v>5</v>
      </c>
      <c r="G12" s="129">
        <f>INDEX(Erfassung6!AG:AG,MATCH($A12,Erfassung6!$BR:$BR,0)-1)</f>
        <v>769</v>
      </c>
      <c r="H12" s="130">
        <f>INDEX(Erfassung6!AH:AH,MATCH($A12,Erfassung6!$BR:$BR,0))</f>
        <v>5</v>
      </c>
      <c r="I12" s="129">
        <f>INDEX(Erfassung6!AI:AI,MATCH($A12,Erfassung6!$BR:$BR,0)-1)</f>
        <v>672</v>
      </c>
      <c r="J12" s="130">
        <f>INDEX(Erfassung6!AJ:AJ,MATCH($A12,Erfassung6!$BR:$BR,0))</f>
        <v>0.5</v>
      </c>
      <c r="K12" s="129">
        <f>INDEX(Erfassung6!AK:AK,MATCH($A12,Erfassung6!$BR:$BR,0)-1)</f>
        <v>861</v>
      </c>
      <c r="L12" s="130">
        <f>INDEX(Erfassung6!AL:AL,MATCH($A12,Erfassung6!$BR:$BR,0))</f>
        <v>2</v>
      </c>
      <c r="M12" s="129">
        <f>INDEX(Erfassung6!AM:AM,MATCH($A12,Erfassung6!$BR:$BR,0)-1)</f>
        <v>724</v>
      </c>
      <c r="N12" s="130">
        <f>INDEX(Erfassung6!AN:AN,MATCH($A12,Erfassung6!$BR:$BR,0))</f>
        <v>4</v>
      </c>
      <c r="O12" s="129">
        <f>INDEX(Erfassung6!AO:AO,MATCH($A12,Erfassung6!$BR:$BR,0)-1)</f>
        <v>764</v>
      </c>
      <c r="P12" s="130">
        <f>INDEX(Erfassung6!AP:AP,MATCH($A12,Erfassung6!$BR:$BR,0))</f>
        <v>1</v>
      </c>
      <c r="Q12" s="129">
        <f>INDEX(Erfassung6!AQ:AQ,MATCH($A12,Erfassung6!$BR:$BR,0)-1)</f>
        <v>709</v>
      </c>
      <c r="R12" s="130">
        <f>INDEX(Erfassung6!AR:AR,MATCH($A12,Erfassung6!$BR:$BR,0))</f>
        <v>2</v>
      </c>
      <c r="S12" s="129">
        <f>INDEX(Erfassung6!AS:AS,MATCH($A12,Erfassung6!$BR:$BR,0)-1)</f>
        <v>706</v>
      </c>
      <c r="T12" s="130">
        <f>INDEX(Erfassung6!AT:AT,MATCH($A12,Erfassung6!$BR:$BR,0))</f>
        <v>2</v>
      </c>
      <c r="U12" s="131">
        <f t="shared" si="0"/>
        <v>6764</v>
      </c>
      <c r="V12" s="132">
        <f t="shared" si="0"/>
        <v>26.5</v>
      </c>
      <c r="W12" s="224">
        <f>IFERROR(U12/INDEX(Erfassung6!BF:BF,MATCH(A12,Erfassung6!BR:BR,0)),0)</f>
        <v>187.88888888888889</v>
      </c>
      <c r="X12" s="25"/>
      <c r="AA12" s="225">
        <f>INDEX(TabGes5!M:M,MATCH($B12,TabGes5!$B:$B,0))+U12</f>
        <v>40036</v>
      </c>
      <c r="AB12" s="225">
        <f>INDEX(TabGes5!N:N,MATCH($B12,TabGes5!$B:$B,0))+V12</f>
        <v>136</v>
      </c>
      <c r="AC12" s="215">
        <f t="shared" si="1"/>
        <v>136.000040036</v>
      </c>
      <c r="AD12" s="215">
        <f t="shared" si="2"/>
        <v>9</v>
      </c>
      <c r="AE12" s="215">
        <f>INDEX(Tabelle5!AE:AE,MATCH(B12,Tabelle5!B:B,0))+SUMIF(Erfassung6!BU:BU,B12,Erfassung6!BF:BF)</f>
        <v>216</v>
      </c>
    </row>
    <row r="13" spans="1:31" ht="42" customHeight="1" thickBot="1" x14ac:dyDescent="0.3">
      <c r="A13" s="223">
        <v>7</v>
      </c>
      <c r="B13" s="128" t="str">
        <f>INDEX(Erfassung6!$AA:$AA,MATCH($A13,Erfassung6!$BR:$BR,0)-17)</f>
        <v>BC EMAX Unterföhring 2</v>
      </c>
      <c r="C13" s="129">
        <f>INDEX(Erfassung6!AC:AC,MATCH($A13,Erfassung6!$BR:$BR,0)-1)</f>
        <v>734</v>
      </c>
      <c r="D13" s="130">
        <f>INDEX(Erfassung6!AD:AD,MATCH($A13,Erfassung6!$BR:$BR,0))</f>
        <v>1</v>
      </c>
      <c r="E13" s="129">
        <f>INDEX(Erfassung6!AE:AE,MATCH($A13,Erfassung6!$BR:$BR,0)-1)</f>
        <v>799</v>
      </c>
      <c r="F13" s="130">
        <f>INDEX(Erfassung6!AF:AF,MATCH($A13,Erfassung6!$BR:$BR,0))</f>
        <v>2</v>
      </c>
      <c r="G13" s="129">
        <f>INDEX(Erfassung6!AG:AG,MATCH($A13,Erfassung6!$BR:$BR,0)-1)</f>
        <v>726</v>
      </c>
      <c r="H13" s="130">
        <f>INDEX(Erfassung6!AH:AH,MATCH($A13,Erfassung6!$BR:$BR,0))</f>
        <v>4.5</v>
      </c>
      <c r="I13" s="129">
        <f>INDEX(Erfassung6!AI:AI,MATCH($A13,Erfassung6!$BR:$BR,0)-1)</f>
        <v>756</v>
      </c>
      <c r="J13" s="130">
        <f>INDEX(Erfassung6!AJ:AJ,MATCH($A13,Erfassung6!$BR:$BR,0))</f>
        <v>5</v>
      </c>
      <c r="K13" s="129">
        <f>INDEX(Erfassung6!AK:AK,MATCH($A13,Erfassung6!$BR:$BR,0)-1)</f>
        <v>765</v>
      </c>
      <c r="L13" s="130">
        <f>INDEX(Erfassung6!AL:AL,MATCH($A13,Erfassung6!$BR:$BR,0))</f>
        <v>1</v>
      </c>
      <c r="M13" s="129">
        <f>INDEX(Erfassung6!AM:AM,MATCH($A13,Erfassung6!$BR:$BR,0)-1)</f>
        <v>765</v>
      </c>
      <c r="N13" s="130">
        <f>INDEX(Erfassung6!AN:AN,MATCH($A13,Erfassung6!$BR:$BR,0))</f>
        <v>2</v>
      </c>
      <c r="O13" s="129">
        <f>INDEX(Erfassung6!AO:AO,MATCH($A13,Erfassung6!$BR:$BR,0)-1)</f>
        <v>709</v>
      </c>
      <c r="P13" s="130">
        <f>INDEX(Erfassung6!AP:AP,MATCH($A13,Erfassung6!$BR:$BR,0))</f>
        <v>3</v>
      </c>
      <c r="Q13" s="129">
        <f>INDEX(Erfassung6!AQ:AQ,MATCH($A13,Erfassung6!$BR:$BR,0)-1)</f>
        <v>765</v>
      </c>
      <c r="R13" s="130">
        <f>INDEX(Erfassung6!AR:AR,MATCH($A13,Erfassung6!$BR:$BR,0))</f>
        <v>5</v>
      </c>
      <c r="S13" s="129">
        <f>INDEX(Erfassung6!AS:AS,MATCH($A13,Erfassung6!$BR:$BR,0)-1)</f>
        <v>684</v>
      </c>
      <c r="T13" s="130">
        <f>INDEX(Erfassung6!AT:AT,MATCH($A13,Erfassung6!$BR:$BR,0))</f>
        <v>1</v>
      </c>
      <c r="U13" s="131">
        <f t="shared" si="0"/>
        <v>6703</v>
      </c>
      <c r="V13" s="132">
        <f t="shared" si="0"/>
        <v>24.5</v>
      </c>
      <c r="W13" s="224">
        <f>IFERROR(U13/INDEX(Erfassung6!BF:BF,MATCH(A13,Erfassung6!BR:BR,0)),0)</f>
        <v>186.19444444444446</v>
      </c>
      <c r="X13" s="25"/>
      <c r="AA13" s="225">
        <f>INDEX(TabGes5!M:M,MATCH($B13,TabGes5!$B:$B,0))+U13</f>
        <v>41038</v>
      </c>
      <c r="AB13" s="225">
        <f>INDEX(TabGes5!N:N,MATCH($B13,TabGes5!$B:$B,0))+V13</f>
        <v>159</v>
      </c>
      <c r="AC13" s="215">
        <f t="shared" si="1"/>
        <v>159.00004103800001</v>
      </c>
      <c r="AD13" s="215">
        <f t="shared" si="2"/>
        <v>5</v>
      </c>
      <c r="AE13" s="215">
        <f>INDEX(Tabelle5!AE:AE,MATCH(B13,Tabelle5!B:B,0))+SUMIF(Erfassung6!BU:BU,B13,Erfassung6!BF:BF)</f>
        <v>214</v>
      </c>
    </row>
    <row r="14" spans="1:31" ht="42" customHeight="1" thickBot="1" x14ac:dyDescent="0.3">
      <c r="A14" s="223">
        <v>8</v>
      </c>
      <c r="B14" s="128" t="str">
        <f>INDEX(Erfassung6!$AA:$AA,MATCH($A14,Erfassung6!$BR:$BR,0)-17)</f>
        <v>BK München 3</v>
      </c>
      <c r="C14" s="129">
        <f>INDEX(Erfassung6!AC:AC,MATCH($A14,Erfassung6!$BR:$BR,0)-1)</f>
        <v>683</v>
      </c>
      <c r="D14" s="130">
        <f>INDEX(Erfassung6!AD:AD,MATCH($A14,Erfassung6!$BR:$BR,0))</f>
        <v>1</v>
      </c>
      <c r="E14" s="129">
        <f>INDEX(Erfassung6!AE:AE,MATCH($A14,Erfassung6!$BR:$BR,0)-1)</f>
        <v>784</v>
      </c>
      <c r="F14" s="130">
        <f>INDEX(Erfassung6!AF:AF,MATCH($A14,Erfassung6!$BR:$BR,0))</f>
        <v>1.5</v>
      </c>
      <c r="G14" s="129">
        <f>INDEX(Erfassung6!AG:AG,MATCH($A14,Erfassung6!$BR:$BR,0)-1)</f>
        <v>758</v>
      </c>
      <c r="H14" s="130">
        <f>INDEX(Erfassung6!AH:AH,MATCH($A14,Erfassung6!$BR:$BR,0))</f>
        <v>1</v>
      </c>
      <c r="I14" s="129">
        <f>INDEX(Erfassung6!AI:AI,MATCH($A14,Erfassung6!$BR:$BR,0)-1)</f>
        <v>742</v>
      </c>
      <c r="J14" s="130">
        <f>INDEX(Erfassung6!AJ:AJ,MATCH($A14,Erfassung6!$BR:$BR,0))</f>
        <v>1.5</v>
      </c>
      <c r="K14" s="129">
        <f>INDEX(Erfassung6!AK:AK,MATCH($A14,Erfassung6!$BR:$BR,0)-1)</f>
        <v>811</v>
      </c>
      <c r="L14" s="130">
        <f>INDEX(Erfassung6!AL:AL,MATCH($A14,Erfassung6!$BR:$BR,0))</f>
        <v>5</v>
      </c>
      <c r="M14" s="129">
        <f>INDEX(Erfassung6!AM:AM,MATCH($A14,Erfassung6!$BR:$BR,0)-1)</f>
        <v>726</v>
      </c>
      <c r="N14" s="130">
        <f>INDEX(Erfassung6!AN:AN,MATCH($A14,Erfassung6!$BR:$BR,0))</f>
        <v>2</v>
      </c>
      <c r="O14" s="129">
        <f>INDEX(Erfassung6!AO:AO,MATCH($A14,Erfassung6!$BR:$BR,0)-1)</f>
        <v>768</v>
      </c>
      <c r="P14" s="130">
        <f>INDEX(Erfassung6!AP:AP,MATCH($A14,Erfassung6!$BR:$BR,0))</f>
        <v>6</v>
      </c>
      <c r="Q14" s="129">
        <f>INDEX(Erfassung6!AQ:AQ,MATCH($A14,Erfassung6!$BR:$BR,0)-1)</f>
        <v>680</v>
      </c>
      <c r="R14" s="130">
        <f>INDEX(Erfassung6!AR:AR,MATCH($A14,Erfassung6!$BR:$BR,0))</f>
        <v>1</v>
      </c>
      <c r="S14" s="129">
        <f>INDEX(Erfassung6!AS:AS,MATCH($A14,Erfassung6!$BR:$BR,0)-1)</f>
        <v>757</v>
      </c>
      <c r="T14" s="130">
        <f>INDEX(Erfassung6!AT:AT,MATCH($A14,Erfassung6!$BR:$BR,0))</f>
        <v>4</v>
      </c>
      <c r="U14" s="131">
        <f t="shared" si="0"/>
        <v>6709</v>
      </c>
      <c r="V14" s="132">
        <f t="shared" si="0"/>
        <v>23</v>
      </c>
      <c r="W14" s="224">
        <f>IFERROR(U14/INDEX(Erfassung6!BF:BF,MATCH(A14,Erfassung6!BR:BR,0)),0)</f>
        <v>186.36111111111111</v>
      </c>
      <c r="X14" s="25"/>
      <c r="AA14" s="225">
        <f>INDEX(TabGes5!M:M,MATCH($B14,TabGes5!$B:$B,0))+U14</f>
        <v>43071</v>
      </c>
      <c r="AB14" s="225">
        <f>INDEX(TabGes5!N:N,MATCH($B14,TabGes5!$B:$B,0))+V14</f>
        <v>188</v>
      </c>
      <c r="AC14" s="215">
        <f t="shared" si="1"/>
        <v>188.00004307099999</v>
      </c>
      <c r="AD14" s="215">
        <f t="shared" si="2"/>
        <v>2</v>
      </c>
      <c r="AE14" s="215">
        <f>INDEX(Tabelle5!AE:AE,MATCH(B14,Tabelle5!B:B,0))+SUMIF(Erfassung6!BU:BU,B14,Erfassung6!BF:BF)</f>
        <v>216</v>
      </c>
    </row>
    <row r="15" spans="1:31" ht="42" customHeight="1" thickBot="1" x14ac:dyDescent="0.3">
      <c r="A15" s="223">
        <v>9</v>
      </c>
      <c r="B15" s="128" t="str">
        <f>INDEX(Erfassung6!$AA:$AA,MATCH($A15,Erfassung6!$BR:$BR,0)-17)</f>
        <v>SG DJK Rimpar</v>
      </c>
      <c r="C15" s="129">
        <f>INDEX(Erfassung6!AC:AC,MATCH($A15,Erfassung6!$BR:$BR,0)-1)</f>
        <v>960</v>
      </c>
      <c r="D15" s="130">
        <f>INDEX(Erfassung6!AD:AD,MATCH($A15,Erfassung6!$BR:$BR,0))</f>
        <v>4</v>
      </c>
      <c r="E15" s="129">
        <f>INDEX(Erfassung6!AE:AE,MATCH($A15,Erfassung6!$BR:$BR,0)-1)</f>
        <v>723</v>
      </c>
      <c r="F15" s="130">
        <f>INDEX(Erfassung6!AF:AF,MATCH($A15,Erfassung6!$BR:$BR,0))</f>
        <v>2</v>
      </c>
      <c r="G15" s="129">
        <f>INDEX(Erfassung6!AG:AG,MATCH($A15,Erfassung6!$BR:$BR,0)-1)</f>
        <v>785</v>
      </c>
      <c r="H15" s="130">
        <f>INDEX(Erfassung6!AH:AH,MATCH($A15,Erfassung6!$BR:$BR,0))</f>
        <v>3</v>
      </c>
      <c r="I15" s="129">
        <f>INDEX(Erfassung6!AI:AI,MATCH($A15,Erfassung6!$BR:$BR,0)-1)</f>
        <v>740</v>
      </c>
      <c r="J15" s="130">
        <f>INDEX(Erfassung6!AJ:AJ,MATCH($A15,Erfassung6!$BR:$BR,0))</f>
        <v>5.5</v>
      </c>
      <c r="K15" s="129">
        <f>INDEX(Erfassung6!AK:AK,MATCH($A15,Erfassung6!$BR:$BR,0)-1)</f>
        <v>766</v>
      </c>
      <c r="L15" s="130">
        <f>INDEX(Erfassung6!AL:AL,MATCH($A15,Erfassung6!$BR:$BR,0))</f>
        <v>2</v>
      </c>
      <c r="M15" s="129">
        <f>INDEX(Erfassung6!AM:AM,MATCH($A15,Erfassung6!$BR:$BR,0)-1)</f>
        <v>762</v>
      </c>
      <c r="N15" s="130">
        <f>INDEX(Erfassung6!AN:AN,MATCH($A15,Erfassung6!$BR:$BR,0))</f>
        <v>1</v>
      </c>
      <c r="O15" s="129">
        <f>INDEX(Erfassung6!AO:AO,MATCH($A15,Erfassung6!$BR:$BR,0)-1)</f>
        <v>721</v>
      </c>
      <c r="P15" s="130">
        <f>INDEX(Erfassung6!AP:AP,MATCH($A15,Erfassung6!$BR:$BR,0))</f>
        <v>1</v>
      </c>
      <c r="Q15" s="129">
        <f>INDEX(Erfassung6!AQ:AQ,MATCH($A15,Erfassung6!$BR:$BR,0)-1)</f>
        <v>753</v>
      </c>
      <c r="R15" s="130">
        <f>INDEX(Erfassung6!AR:AR,MATCH($A15,Erfassung6!$BR:$BR,0))</f>
        <v>1</v>
      </c>
      <c r="S15" s="129">
        <f>INDEX(Erfassung6!AS:AS,MATCH($A15,Erfassung6!$BR:$BR,0)-1)</f>
        <v>733</v>
      </c>
      <c r="T15" s="130">
        <f>INDEX(Erfassung6!AT:AT,MATCH($A15,Erfassung6!$BR:$BR,0))</f>
        <v>2</v>
      </c>
      <c r="U15" s="131">
        <f t="shared" si="0"/>
        <v>6943</v>
      </c>
      <c r="V15" s="132">
        <f t="shared" si="0"/>
        <v>21.5</v>
      </c>
      <c r="W15" s="224">
        <f>IFERROR(U15/INDEX(Erfassung6!BF:BF,MATCH(A15,Erfassung6!BR:BR,0)),0)</f>
        <v>192.86111111111111</v>
      </c>
      <c r="X15" s="25"/>
      <c r="AA15" s="225">
        <f>INDEX(TabGes5!M:M,MATCH($B15,TabGes5!$B:$B,0))+U15</f>
        <v>42777</v>
      </c>
      <c r="AB15" s="225">
        <f>INDEX(TabGes5!N:N,MATCH($B15,TabGes5!$B:$B,0))+V15</f>
        <v>180</v>
      </c>
      <c r="AC15" s="215">
        <f t="shared" si="1"/>
        <v>180.000042777</v>
      </c>
      <c r="AD15" s="215">
        <f t="shared" si="2"/>
        <v>3</v>
      </c>
      <c r="AE15" s="215">
        <f>INDEX(Tabelle5!AE:AE,MATCH(B15,Tabelle5!B:B,0))+SUMIF(Erfassung6!BU:BU,B15,Erfassung6!BF:BF)</f>
        <v>216</v>
      </c>
    </row>
    <row r="16" spans="1:31" ht="42" customHeight="1" thickBot="1" x14ac:dyDescent="0.3">
      <c r="A16" s="223">
        <v>10</v>
      </c>
      <c r="B16" s="128" t="str">
        <f>INDEX(Erfassung6!$AA:$AA,MATCH($A16,Erfassung6!$BR:$BR,0)-17)</f>
        <v>Bajuwaren München 1</v>
      </c>
      <c r="C16" s="129">
        <f>INDEX(Erfassung6!AC:AC,MATCH($A16,Erfassung6!$BR:$BR,0)-1)</f>
        <v>723</v>
      </c>
      <c r="D16" s="130">
        <f>INDEX(Erfassung6!AD:AD,MATCH($A16,Erfassung6!$BR:$BR,0))</f>
        <v>1</v>
      </c>
      <c r="E16" s="129">
        <f>INDEX(Erfassung6!AE:AE,MATCH($A16,Erfassung6!$BR:$BR,0)-1)</f>
        <v>736</v>
      </c>
      <c r="F16" s="130">
        <f>INDEX(Erfassung6!AF:AF,MATCH($A16,Erfassung6!$BR:$BR,0))</f>
        <v>4</v>
      </c>
      <c r="G16" s="129">
        <f>INDEX(Erfassung6!AG:AG,MATCH($A16,Erfassung6!$BR:$BR,0)-1)</f>
        <v>716</v>
      </c>
      <c r="H16" s="130">
        <f>INDEX(Erfassung6!AH:AH,MATCH($A16,Erfassung6!$BR:$BR,0))</f>
        <v>1.5</v>
      </c>
      <c r="I16" s="129">
        <f>INDEX(Erfassung6!AI:AI,MATCH($A16,Erfassung6!$BR:$BR,0)-1)</f>
        <v>730</v>
      </c>
      <c r="J16" s="130">
        <f>INDEX(Erfassung6!AJ:AJ,MATCH($A16,Erfassung6!$BR:$BR,0))</f>
        <v>1</v>
      </c>
      <c r="K16" s="129">
        <f>INDEX(Erfassung6!AK:AK,MATCH($A16,Erfassung6!$BR:$BR,0)-1)</f>
        <v>796</v>
      </c>
      <c r="L16" s="130">
        <f>INDEX(Erfassung6!AL:AL,MATCH($A16,Erfassung6!$BR:$BR,0))</f>
        <v>2</v>
      </c>
      <c r="M16" s="129">
        <f>INDEX(Erfassung6!AM:AM,MATCH($A16,Erfassung6!$BR:$BR,0)-1)</f>
        <v>709</v>
      </c>
      <c r="N16" s="130">
        <f>INDEX(Erfassung6!AN:AN,MATCH($A16,Erfassung6!$BR:$BR,0))</f>
        <v>2</v>
      </c>
      <c r="O16" s="129">
        <f>INDEX(Erfassung6!AO:AO,MATCH($A16,Erfassung6!$BR:$BR,0)-1)</f>
        <v>672</v>
      </c>
      <c r="P16" s="130">
        <f>INDEX(Erfassung6!AP:AP,MATCH($A16,Erfassung6!$BR:$BR,0))</f>
        <v>0</v>
      </c>
      <c r="Q16" s="129">
        <f>INDEX(Erfassung6!AQ:AQ,MATCH($A16,Erfassung6!$BR:$BR,0)-1)</f>
        <v>697</v>
      </c>
      <c r="R16" s="130">
        <f>INDEX(Erfassung6!AR:AR,MATCH($A16,Erfassung6!$BR:$BR,0))</f>
        <v>2</v>
      </c>
      <c r="S16" s="129">
        <f>INDEX(Erfassung6!AS:AS,MATCH($A16,Erfassung6!$BR:$BR,0)-1)</f>
        <v>774</v>
      </c>
      <c r="T16" s="130">
        <f>INDEX(Erfassung6!AT:AT,MATCH($A16,Erfassung6!$BR:$BR,0))</f>
        <v>2</v>
      </c>
      <c r="U16" s="131">
        <f t="shared" si="0"/>
        <v>6553</v>
      </c>
      <c r="V16" s="132">
        <f t="shared" si="0"/>
        <v>15.5</v>
      </c>
      <c r="W16" s="224">
        <f>IFERROR(U16/INDEX(Erfassung6!BF:BF,MATCH(A16,Erfassung6!BR:BR,0)),0)</f>
        <v>182.02777777777777</v>
      </c>
      <c r="X16" s="25"/>
      <c r="AA16" s="225">
        <f>INDEX(TabGes5!M:M,MATCH($B16,TabGes5!$B:$B,0))+U16</f>
        <v>41060</v>
      </c>
      <c r="AB16" s="225">
        <f>INDEX(TabGes5!N:N,MATCH($B16,TabGes5!$B:$B,0))+V16</f>
        <v>158.5</v>
      </c>
      <c r="AC16" s="215">
        <f t="shared" si="1"/>
        <v>158.50004106</v>
      </c>
      <c r="AD16" s="215">
        <f t="shared" si="2"/>
        <v>6</v>
      </c>
      <c r="AE16" s="215">
        <f>INDEX(Tabelle5!AE:AE,MATCH(B16,Tabelle5!B:B,0))+SUMIF(Erfassung6!BU:BU,B16,Erfassung6!BF:BF)</f>
        <v>216</v>
      </c>
    </row>
    <row r="19" spans="2:23" ht="15.6" x14ac:dyDescent="0.3">
      <c r="B19" s="391" t="s">
        <v>1827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92"/>
      <c r="W19" s="392"/>
    </row>
    <row r="20" spans="2:23" x14ac:dyDescent="0.25">
      <c r="C20" s="392"/>
      <c r="D20" s="392"/>
      <c r="E20" s="392"/>
      <c r="F20" s="392"/>
      <c r="G20" s="392"/>
      <c r="H20" s="392"/>
    </row>
    <row r="21" spans="2:23" x14ac:dyDescent="0.25">
      <c r="B21" s="166" t="s">
        <v>1826</v>
      </c>
      <c r="C21" t="str">
        <f>IFERROR(INDEX(Erfassung6!AA:AA,MATCH(1,Erfassung6!BV:BV,0)),"")</f>
        <v>Gräfe, Sebastian</v>
      </c>
      <c r="H21" t="str">
        <f>INDEX(Erfassung6!BU:BU,MATCH(C21,Erfassung6!AA:AA,0))</f>
        <v>SG DJK Rimpar</v>
      </c>
      <c r="N21" s="133">
        <f>IFERROR(ROUND(INDEX(Erfassung6!BT:BT,MATCH(1,Erfassung6!BV:BV,0)),0),"")</f>
        <v>268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>Spielvogel, Jochen</v>
      </c>
      <c r="H24" t="str">
        <f>INDEX(Erfassung6!BU:BU,MATCH(C24,Erfassung6!AA:AA,0))</f>
        <v>Schanzer Ingolstadt 1</v>
      </c>
      <c r="N24" s="379" t="str">
        <f>IFERROR(ROUND(INDEX(Erfassung6!BW:BW,MATCH(1,Erfassung6!BZ:BZ,0)),0),"")&amp;"  /  "&amp;ROUND(IFERROR(ROUND(INDEX(Erfassung6!BW:BW,MATCH(1,Erfassung6!BZ:BZ,0)),0),"")/9,2)</f>
        <v>1976  /  219,56</v>
      </c>
      <c r="O24" s="379"/>
      <c r="P24" s="379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tabSelected="1" topLeftCell="A4" zoomScale="75" zoomScaleNormal="75" workbookViewId="0">
      <selection activeCell="U12" sqref="U1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"&amp;Erfassung6!AS2&amp;"     -     "&amp;Erfassung6!AT1</f>
        <v>Saison 2024/2025     -     Spieltag 6     -     05.04./06.04.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7"/>
      <c r="B4" s="397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0"/>
      <c r="Q4" s="33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90" t="s">
        <v>1824</v>
      </c>
      <c r="L5" s="383"/>
      <c r="M5" s="390" t="s">
        <v>1825</v>
      </c>
      <c r="N5" s="383"/>
      <c r="O5" s="382" t="s">
        <v>1799</v>
      </c>
      <c r="P5" s="383"/>
      <c r="Q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5"/>
    </row>
    <row r="7" spans="1:31" ht="42" customHeight="1" thickBot="1" x14ac:dyDescent="0.3">
      <c r="A7" s="34">
        <v>1</v>
      </c>
      <c r="B7" s="128" t="str">
        <f>INDEX(Tabelle6!B:B,MATCH(A7,Tabelle6!AD:AD,0))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5">
        <f>INDEX(Tabelle6!U:U,MATCH(B7,Tabelle6!B:B,0))</f>
        <v>7286</v>
      </c>
      <c r="N7" s="43">
        <f>INDEX(Tabelle6!V:V,MATCH(B7,Tabelle6!B:B,0))</f>
        <v>33</v>
      </c>
      <c r="O7" s="41">
        <f t="shared" ref="O7:O16" si="0">SUM(C7+E7+G7+I7+K7+M7)</f>
        <v>43602</v>
      </c>
      <c r="P7" s="42">
        <f t="shared" ref="P7:P16" si="1">SUM(D7+F7+H7+J7+L7+N7)</f>
        <v>211</v>
      </c>
      <c r="Q7" s="37">
        <f>O7/INDEX(Tabelle6!$AE:$AE,MATCH($B7,Tabelle6!$B:$B,0))</f>
        <v>201.86111111111111</v>
      </c>
      <c r="R7" s="25"/>
    </row>
    <row r="8" spans="1:31" ht="42" customHeight="1" thickBot="1" x14ac:dyDescent="0.3">
      <c r="A8" s="34">
        <v>2</v>
      </c>
      <c r="B8" s="128" t="str">
        <f>INDEX(Tabelle6!B:B,MATCH(A8,Tabelle6!AD:AD,0))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5">
        <f>INDEX(Tabelle6!U:U,MATCH(B8,Tabelle6!B:B,0))</f>
        <v>6709</v>
      </c>
      <c r="N8" s="43">
        <f>INDEX(Tabelle6!V:V,MATCH(B8,Tabelle6!B:B,0))</f>
        <v>23</v>
      </c>
      <c r="O8" s="41">
        <f t="shared" si="0"/>
        <v>43071</v>
      </c>
      <c r="P8" s="42">
        <f t="shared" si="1"/>
        <v>188</v>
      </c>
      <c r="Q8" s="37">
        <f>O8/INDEX(Tabelle6!$AE:$AE,MATCH($B8,Tabelle6!$B:$B,0))</f>
        <v>199.40277777777777</v>
      </c>
      <c r="R8" s="25"/>
    </row>
    <row r="9" spans="1:31" ht="42" customHeight="1" thickBot="1" x14ac:dyDescent="0.3">
      <c r="A9" s="34">
        <v>3</v>
      </c>
      <c r="B9" s="128" t="str">
        <f>INDEX(Tabelle6!B:B,MATCH(A9,Tabelle6!AD:AD,0))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5">
        <f>INDEX(Tabelle6!U:U,MATCH(B9,Tabelle6!B:B,0))</f>
        <v>6943</v>
      </c>
      <c r="N9" s="43">
        <f>INDEX(Tabelle6!V:V,MATCH(B9,Tabelle6!B:B,0))</f>
        <v>21.5</v>
      </c>
      <c r="O9" s="41">
        <f t="shared" si="0"/>
        <v>42777</v>
      </c>
      <c r="P9" s="42">
        <f t="shared" si="1"/>
        <v>180</v>
      </c>
      <c r="Q9" s="37">
        <f>O9/INDEX(Tabelle6!$AE:$AE,MATCH($B9,Tabelle6!$B:$B,0))</f>
        <v>198.04166666666666</v>
      </c>
      <c r="R9" s="25"/>
    </row>
    <row r="10" spans="1:31" ht="42" customHeight="1" thickBot="1" x14ac:dyDescent="0.3">
      <c r="A10" s="34">
        <v>4</v>
      </c>
      <c r="B10" s="128" t="str">
        <f>INDEX(Tabelle6!B:B,MATCH(A10,Tabelle6!AD:AD,0))</f>
        <v>SG Rottendorf 1</v>
      </c>
      <c r="C10" s="35">
        <f>INDEX(Tabelle1!U:U,MATCH(B10,Tabelle1!B:B,0))</f>
        <v>6830</v>
      </c>
      <c r="D10" s="36">
        <f>INDEX(Tabelle1!V:V,MATCH(B10,Tabelle1!B:B,0))</f>
        <v>26.5</v>
      </c>
      <c r="E10" s="35">
        <f>INDEX(Tabelle2!U:U,MATCH(B10,Tabelle2!B:B,0))</f>
        <v>6788</v>
      </c>
      <c r="F10" s="36">
        <f>INDEX(Tabelle2!V:V,MATCH(B10,Tabelle2!B:B,0))</f>
        <v>30</v>
      </c>
      <c r="G10" s="35">
        <f>INDEX(Tabelle3!U:U,MATCH(B10,Tabelle3!B:B,0))</f>
        <v>6507</v>
      </c>
      <c r="H10" s="38">
        <f>INDEX(Tabelle3!V:V,MATCH(B10,Tabelle3!B:B,0))</f>
        <v>20</v>
      </c>
      <c r="I10" s="35">
        <f>INDEX(Tabelle4!U:U,MATCH(B10,Tabelle4!B:B,0))</f>
        <v>6501</v>
      </c>
      <c r="J10" s="38">
        <f>INDEX(Tabelle4!V:V,MATCH(B10,Tabelle4!B:B,0))</f>
        <v>32</v>
      </c>
      <c r="K10" s="35">
        <f>INDEX(Tabelle5!U:U,MATCH(B10,Tabelle5!B:B,0))</f>
        <v>7259</v>
      </c>
      <c r="L10" s="38">
        <f>INDEX(Tabelle5!V:V,MATCH(B10,Tabelle5!B:B,0))</f>
        <v>27</v>
      </c>
      <c r="M10" s="35">
        <f>INDEX(Tabelle6!U:U,MATCH(B10,Tabelle6!B:B,0))</f>
        <v>6808</v>
      </c>
      <c r="N10" s="43">
        <f>INDEX(Tabelle6!V:V,MATCH(B10,Tabelle6!B:B,0))</f>
        <v>29</v>
      </c>
      <c r="O10" s="41">
        <f t="shared" si="0"/>
        <v>40693</v>
      </c>
      <c r="P10" s="42">
        <f t="shared" si="1"/>
        <v>164.5</v>
      </c>
      <c r="Q10" s="37">
        <f>O10/INDEX(Tabelle6!$AE:$AE,MATCH($B10,Tabelle6!$B:$B,0))</f>
        <v>189.26976744186047</v>
      </c>
      <c r="R10" s="25"/>
    </row>
    <row r="11" spans="1:31" ht="42" customHeight="1" thickBot="1" x14ac:dyDescent="0.3">
      <c r="A11" s="34">
        <v>5</v>
      </c>
      <c r="B11" s="128" t="str">
        <f>INDEX(Tabelle6!B:B,MATCH(A11,Tabelle6!AD:AD,0))</f>
        <v>BC EMAX Unterföhring 2</v>
      </c>
      <c r="C11" s="35">
        <f>INDEX(Tabelle1!U:U,MATCH(B11,Tabelle1!B:B,0))</f>
        <v>7205</v>
      </c>
      <c r="D11" s="36">
        <f>INDEX(Tabelle1!V:V,MATCH(B11,Tabelle1!B:B,0))</f>
        <v>24.5</v>
      </c>
      <c r="E11" s="35">
        <f>INDEX(Tabelle2!U:U,MATCH(B11,Tabelle2!B:B,0))</f>
        <v>6656</v>
      </c>
      <c r="F11" s="36">
        <f>INDEX(Tabelle2!V:V,MATCH(B11,Tabelle2!B:B,0))</f>
        <v>22</v>
      </c>
      <c r="G11" s="35">
        <f>INDEX(Tabelle3!U:U,MATCH(B11,Tabelle3!B:B,0))</f>
        <v>6689</v>
      </c>
      <c r="H11" s="38">
        <f>INDEX(Tabelle3!V:V,MATCH(B11,Tabelle3!B:B,0))</f>
        <v>33</v>
      </c>
      <c r="I11" s="35">
        <f>INDEX(Tabelle4!U:U,MATCH(B11,Tabelle4!B:B,0))</f>
        <v>6417</v>
      </c>
      <c r="J11" s="38">
        <f>INDEX(Tabelle4!V:V,MATCH(B11,Tabelle4!B:B,0))</f>
        <v>27</v>
      </c>
      <c r="K11" s="35">
        <f>INDEX(Tabelle5!U:U,MATCH(B11,Tabelle5!B:B,0))</f>
        <v>7368</v>
      </c>
      <c r="L11" s="38">
        <f>INDEX(Tabelle5!V:V,MATCH(B11,Tabelle5!B:B,0))</f>
        <v>28</v>
      </c>
      <c r="M11" s="35">
        <f>INDEX(Tabelle6!U:U,MATCH(B11,Tabelle6!B:B,0))</f>
        <v>6703</v>
      </c>
      <c r="N11" s="43">
        <f>INDEX(Tabelle6!V:V,MATCH(B11,Tabelle6!B:B,0))</f>
        <v>24.5</v>
      </c>
      <c r="O11" s="41">
        <f t="shared" si="0"/>
        <v>41038</v>
      </c>
      <c r="P11" s="42">
        <f t="shared" si="1"/>
        <v>159</v>
      </c>
      <c r="Q11" s="37">
        <f>O11/INDEX(Tabelle6!$AE:$AE,MATCH($B11,Tabelle6!$B:$B,0))</f>
        <v>191.7663551401869</v>
      </c>
      <c r="R11" s="25"/>
    </row>
    <row r="12" spans="1:31" ht="42" customHeight="1" thickBot="1" x14ac:dyDescent="0.3">
      <c r="A12" s="34">
        <v>6</v>
      </c>
      <c r="B12" s="128" t="str">
        <f>INDEX(Tabelle6!B:B,MATCH(A12,Tabelle6!AD:AD,0))</f>
        <v>Bajuwaren München 1</v>
      </c>
      <c r="C12" s="35">
        <f>INDEX(Tabelle1!U:U,MATCH(B12,Tabelle1!B:B,0))</f>
        <v>7404</v>
      </c>
      <c r="D12" s="36">
        <f>INDEX(Tabelle1!V:V,MATCH(B12,Tabelle1!B:B,0))</f>
        <v>39</v>
      </c>
      <c r="E12" s="35">
        <f>INDEX(Tabelle2!U:U,MATCH(B12,Tabelle2!B:B,0))</f>
        <v>6704</v>
      </c>
      <c r="F12" s="36">
        <f>INDEX(Tabelle2!V:V,MATCH(B12,Tabelle2!B:B,0))</f>
        <v>26</v>
      </c>
      <c r="G12" s="35">
        <f>INDEX(Tabelle3!U:U,MATCH(B12,Tabelle3!B:B,0))</f>
        <v>6799</v>
      </c>
      <c r="H12" s="38">
        <f>INDEX(Tabelle3!V:V,MATCH(B12,Tabelle3!B:B,0))</f>
        <v>29</v>
      </c>
      <c r="I12" s="35">
        <f>INDEX(Tabelle4!U:U,MATCH(B12,Tabelle4!B:B,0))</f>
        <v>6407</v>
      </c>
      <c r="J12" s="38">
        <f>INDEX(Tabelle4!V:V,MATCH(B12,Tabelle4!B:B,0))</f>
        <v>21</v>
      </c>
      <c r="K12" s="35">
        <f>INDEX(Tabelle5!U:U,MATCH(B12,Tabelle5!B:B,0))</f>
        <v>7193</v>
      </c>
      <c r="L12" s="38">
        <f>INDEX(Tabelle5!V:V,MATCH(B12,Tabelle5!B:B,0))</f>
        <v>28</v>
      </c>
      <c r="M12" s="35">
        <f>INDEX(Tabelle6!U:U,MATCH(B12,Tabelle6!B:B,0))</f>
        <v>6553</v>
      </c>
      <c r="N12" s="43">
        <f>INDEX(Tabelle6!V:V,MATCH(B12,Tabelle6!B:B,0))</f>
        <v>15.5</v>
      </c>
      <c r="O12" s="41">
        <f t="shared" si="0"/>
        <v>41060</v>
      </c>
      <c r="P12" s="42">
        <f t="shared" si="1"/>
        <v>158.5</v>
      </c>
      <c r="Q12" s="37">
        <f>O12/INDEX(Tabelle6!$AE:$AE,MATCH($B12,Tabelle6!$B:$B,0))</f>
        <v>190.09259259259258</v>
      </c>
      <c r="R12" s="25"/>
    </row>
    <row r="13" spans="1:31" ht="42" customHeight="1" thickBot="1" x14ac:dyDescent="0.3">
      <c r="A13" s="34">
        <v>7</v>
      </c>
      <c r="B13" s="128" t="str">
        <f>INDEX(Tabelle6!B:B,MATCH(A13,Tabelle6!AD:AD,0))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5">
        <f>INDEX(Tabelle6!U:U,MATCH(B13,Tabelle6!B:B,0))</f>
        <v>6865</v>
      </c>
      <c r="N13" s="43">
        <f>INDEX(Tabelle6!V:V,MATCH(B13,Tabelle6!B:B,0))</f>
        <v>28.5</v>
      </c>
      <c r="O13" s="41">
        <f t="shared" si="0"/>
        <v>41189</v>
      </c>
      <c r="P13" s="42">
        <f t="shared" si="1"/>
        <v>148.5</v>
      </c>
      <c r="Q13" s="37">
        <f>O13/INDEX(Tabelle6!$AE:$AE,MATCH($B13,Tabelle6!$B:$B,0))</f>
        <v>190.68981481481481</v>
      </c>
      <c r="R13" s="25"/>
    </row>
    <row r="14" spans="1:31" ht="42" customHeight="1" thickBot="1" x14ac:dyDescent="0.3">
      <c r="A14" s="34">
        <v>8</v>
      </c>
      <c r="B14" s="128" t="str">
        <f>INDEX(Tabelle6!B:B,MATCH(A14,Tabelle6!AD:AD,0))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5">
        <f>INDEX(Tabelle4!U:U,MATCH(B14,Tabelle4!B:B,0))</f>
        <v>6122</v>
      </c>
      <c r="J14" s="38">
        <f>INDEX(Tabelle4!V:V,MATCH(B14,Tabelle4!B:B,0))</f>
        <v>17</v>
      </c>
      <c r="K14" s="35">
        <f>INDEX(Tabelle5!U:U,MATCH(B14,Tabelle5!B:B,0))</f>
        <v>7130</v>
      </c>
      <c r="L14" s="38">
        <f>INDEX(Tabelle5!V:V,MATCH(B14,Tabelle5!B:B,0))</f>
        <v>20.5</v>
      </c>
      <c r="M14" s="35">
        <f>INDEX(Tabelle6!U:U,MATCH(B14,Tabelle6!B:B,0))</f>
        <v>7231</v>
      </c>
      <c r="N14" s="43">
        <f>INDEX(Tabelle6!V:V,MATCH(B14,Tabelle6!B:B,0))</f>
        <v>36.5</v>
      </c>
      <c r="O14" s="41">
        <f t="shared" si="0"/>
        <v>39777</v>
      </c>
      <c r="P14" s="42">
        <f t="shared" si="1"/>
        <v>142</v>
      </c>
      <c r="Q14" s="37">
        <f>O14/INDEX(Tabelle6!$AE:$AE,MATCH($B14,Tabelle6!$B:$B,0))</f>
        <v>184.15277777777777</v>
      </c>
      <c r="R14" s="25"/>
    </row>
    <row r="15" spans="1:31" ht="42" customHeight="1" thickBot="1" x14ac:dyDescent="0.3">
      <c r="A15" s="34">
        <v>9</v>
      </c>
      <c r="B15" s="128" t="str">
        <f>INDEX(Tabelle6!B:B,MATCH(A15,Tabelle6!AD:AD,0))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5">
        <f>INDEX(Tabelle4!U:U,MATCH(B15,Tabelle4!B:B,0))</f>
        <v>6152</v>
      </c>
      <c r="J15" s="38">
        <f>INDEX(Tabelle4!V:V,MATCH(B15,Tabelle4!B:B,0))</f>
        <v>20</v>
      </c>
      <c r="K15" s="35">
        <f>INDEX(Tabelle5!U:U,MATCH(B15,Tabelle5!B:B,0))</f>
        <v>7276</v>
      </c>
      <c r="L15" s="38">
        <f>INDEX(Tabelle5!V:V,MATCH(B15,Tabelle5!B:B,0))</f>
        <v>23</v>
      </c>
      <c r="M15" s="35">
        <f>INDEX(Tabelle6!U:U,MATCH(B15,Tabelle6!B:B,0))</f>
        <v>6764</v>
      </c>
      <c r="N15" s="43">
        <f>INDEX(Tabelle6!V:V,MATCH(B15,Tabelle6!B:B,0))</f>
        <v>26.5</v>
      </c>
      <c r="O15" s="41">
        <f t="shared" si="0"/>
        <v>40036</v>
      </c>
      <c r="P15" s="42">
        <f t="shared" si="1"/>
        <v>136</v>
      </c>
      <c r="Q15" s="37">
        <f>O15/INDEX(Tabelle6!$AE:$AE,MATCH($B15,Tabelle6!$B:$B,0))</f>
        <v>185.35185185185185</v>
      </c>
      <c r="R15" s="25"/>
    </row>
    <row r="16" spans="1:31" ht="42" customHeight="1" thickBot="1" x14ac:dyDescent="0.3">
      <c r="A16" s="34">
        <v>10</v>
      </c>
      <c r="B16" s="128" t="str">
        <f>INDEX(Tabelle6!B:B,MATCH(A16,Tabelle6!AD:AD,0))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5">
        <f>INDEX(Tabelle6!U:U,MATCH(B16,Tabelle6!B:B,0))</f>
        <v>7159</v>
      </c>
      <c r="N16" s="43">
        <f>INDEX(Tabelle6!V:V,MATCH(B16,Tabelle6!B:B,0))</f>
        <v>32</v>
      </c>
      <c r="O16" s="41">
        <f t="shared" si="0"/>
        <v>40668</v>
      </c>
      <c r="P16" s="42">
        <f t="shared" si="1"/>
        <v>132.5</v>
      </c>
      <c r="Q16" s="37">
        <f>O16/INDEX(Tabelle6!$AE:$AE,MATCH($B16,Tabelle6!$B:$B,0))</f>
        <v>188.27777777777777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1480</v>
      </c>
      <c r="N2">
        <f>SUMIF(Erfassung6!BD:BD,L2,Erfassung6!BG:BG)</f>
        <v>7</v>
      </c>
      <c r="O2">
        <f t="shared" ref="O2:O65" si="0">IF(N2=0,0,M2/N2-ROW()/1000000000)</f>
        <v>211.42857142657141</v>
      </c>
      <c r="P2">
        <f t="shared" ref="P2:P65" si="1">RANK(O2,O:O)</f>
        <v>5</v>
      </c>
    </row>
    <row r="3" spans="1:16" x14ac:dyDescent="0.25">
      <c r="L3" s="227">
        <f>INDEX(Starter!A:A,ROW()-1)</f>
        <v>38687</v>
      </c>
      <c r="M3">
        <f>SUMIF(Erfassung6!BD:BD,L3,Erfassung6!BW:BW)</f>
        <v>1150</v>
      </c>
      <c r="N3">
        <f>SUMIF(Erfassung6!BD:BD,L3,Erfassung6!BG:BG)</f>
        <v>6</v>
      </c>
      <c r="O3">
        <f t="shared" si="0"/>
        <v>191.66666666366666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1699</v>
      </c>
      <c r="N4">
        <f>SUMIF(Erfassung6!BD:BD,L4,Erfassung6!BG:BG)</f>
        <v>9</v>
      </c>
      <c r="O4">
        <f t="shared" si="0"/>
        <v>188.77777777377779</v>
      </c>
      <c r="P4">
        <f t="shared" si="1"/>
        <v>32</v>
      </c>
    </row>
    <row r="5" spans="1:16" x14ac:dyDescent="0.25">
      <c r="A5">
        <v>1</v>
      </c>
      <c r="B5">
        <f t="shared" ref="B5:B36" si="2">IFERROR(INDEX(L:L,MATCH(A5,P:P,0)),"")</f>
        <v>7348</v>
      </c>
      <c r="C5" t="str">
        <f>IFERROR(INDEX(Starter!B:B,MATCH(B5,Starter!A:A,0)),"")</f>
        <v>Spielvogel, Jochen</v>
      </c>
      <c r="D5" t="str">
        <f>IFERROR(INDEX(Starter!C:C,MATCH(B5,Starter!A:A,0)),"")</f>
        <v>BC Schanzer Strikers</v>
      </c>
      <c r="E5" s="102">
        <f t="shared" ref="E5:E36" si="3">IFERROR(INDEX(M:M,MATCH(A5,P:P,0)),"")</f>
        <v>1976</v>
      </c>
      <c r="F5">
        <f t="shared" ref="F5:F36" si="4">IFERROR(INDEX(N:N,MATCH(A5,P:P,0)),"")</f>
        <v>9</v>
      </c>
      <c r="G5" s="137">
        <f t="shared" ref="G5:G36" si="5">IFERROR(INDEX(O:O,MATCH(A5,P:P,0)),"")</f>
        <v>219.55555554655555</v>
      </c>
      <c r="L5" s="227">
        <f>INDEX(Starter!A:A,ROW()-1)</f>
        <v>16301</v>
      </c>
      <c r="M5">
        <f>SUMIF(Erfassung6!BD:BD,L5,Erfassung6!BW:BW)</f>
        <v>1721</v>
      </c>
      <c r="N5">
        <f>SUMIF(Erfassung6!BD:BD,L5,Erfassung6!BG:BG)</f>
        <v>9</v>
      </c>
      <c r="O5">
        <f t="shared" si="0"/>
        <v>191.22222221722222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7937</v>
      </c>
      <c r="C6" t="str">
        <f>IFERROR(INDEX(Starter!B:B,MATCH(B6,Starter!A:A,0)),"")</f>
        <v>Birkner, Jochen</v>
      </c>
      <c r="D6" t="str">
        <f>IFERROR(INDEX(Starter!C:C,MATCH(B6,Starter!A:A,0)),"")</f>
        <v>BF Rot-Weiß Lichtenhof 69</v>
      </c>
      <c r="E6" s="102">
        <f t="shared" si="3"/>
        <v>1951</v>
      </c>
      <c r="F6">
        <f t="shared" si="4"/>
        <v>9</v>
      </c>
      <c r="G6" s="137">
        <f t="shared" si="5"/>
        <v>216.77777773677778</v>
      </c>
      <c r="L6" s="227">
        <f>INDEX(Starter!A:A,ROW()-1)</f>
        <v>38411</v>
      </c>
      <c r="M6">
        <f>SUMIF(Erfassung6!BD:BD,L6,Erfassung6!BW:BW)</f>
        <v>1731</v>
      </c>
      <c r="N6">
        <f>SUMIF(Erfassung6!BD:BD,L6,Erfassung6!BG:BG)</f>
        <v>9</v>
      </c>
      <c r="O6">
        <f t="shared" si="0"/>
        <v>192.33333332733335</v>
      </c>
      <c r="P6">
        <f t="shared" si="1"/>
        <v>25</v>
      </c>
    </row>
    <row r="7" spans="1:16" x14ac:dyDescent="0.25">
      <c r="A7">
        <f t="shared" si="6"/>
        <v>3</v>
      </c>
      <c r="B7">
        <f t="shared" si="2"/>
        <v>25297</v>
      </c>
      <c r="C7" t="str">
        <f>IFERROR(INDEX(Starter!B:B,MATCH(B7,Starter!A:A,0)),"")</f>
        <v>Lengen, Peter</v>
      </c>
      <c r="D7" t="str">
        <f>IFERROR(INDEX(Starter!C:C,MATCH(B7,Starter!A:A,0)),"")</f>
        <v>BSC Highroller Rosenheim</v>
      </c>
      <c r="E7" s="102">
        <f t="shared" si="3"/>
        <v>1947</v>
      </c>
      <c r="F7">
        <f t="shared" si="4"/>
        <v>9</v>
      </c>
      <c r="G7" s="137">
        <f t="shared" si="5"/>
        <v>216.33333331033333</v>
      </c>
      <c r="L7" s="227">
        <f>INDEX(Starter!A:A,ROW()-1)</f>
        <v>38361</v>
      </c>
      <c r="M7">
        <f>SUMIF(Erfassung6!BD:BD,L7,Erfassung6!BW:BW)</f>
        <v>1746</v>
      </c>
      <c r="N7">
        <f>SUMIF(Erfassung6!BD:BD,L7,Erfassung6!BG:BG)</f>
        <v>9</v>
      </c>
      <c r="O7">
        <f t="shared" si="0"/>
        <v>193.99999999299999</v>
      </c>
      <c r="P7">
        <f t="shared" si="1"/>
        <v>20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1296</v>
      </c>
      <c r="F8">
        <f t="shared" si="4"/>
        <v>6</v>
      </c>
      <c r="G8" s="137">
        <f t="shared" si="5"/>
        <v>215.99999997399999</v>
      </c>
      <c r="L8" s="227">
        <f>INDEX(Starter!A:A,ROW()-1)</f>
        <v>38550</v>
      </c>
      <c r="M8">
        <f>SUMIF(Erfassung6!BD:BD,L8,Erfassung6!BW:BW)</f>
        <v>1778</v>
      </c>
      <c r="N8">
        <f>SUMIF(Erfassung6!BD:BD,L8,Erfassung6!BG:BG)</f>
        <v>9</v>
      </c>
      <c r="O8">
        <f t="shared" si="0"/>
        <v>197.55555554755554</v>
      </c>
      <c r="P8">
        <f t="shared" si="1"/>
        <v>15</v>
      </c>
    </row>
    <row r="9" spans="1:16" x14ac:dyDescent="0.25">
      <c r="A9">
        <f t="shared" si="6"/>
        <v>5</v>
      </c>
      <c r="B9">
        <f t="shared" si="2"/>
        <v>16253</v>
      </c>
      <c r="C9" t="str">
        <f>IFERROR(INDEX(Starter!B:B,MATCH(B9,Starter!A:A,0)),"")</f>
        <v>Altenfeld, Marco</v>
      </c>
      <c r="D9" t="str">
        <f>IFERROR(INDEX(Starter!C:C,MATCH(B9,Starter!A:A,0)),"")</f>
        <v>DJK Rimpar</v>
      </c>
      <c r="E9" s="102">
        <f t="shared" si="3"/>
        <v>1480</v>
      </c>
      <c r="F9">
        <f t="shared" si="4"/>
        <v>7</v>
      </c>
      <c r="G9" s="137">
        <f t="shared" si="5"/>
        <v>211.42857142657141</v>
      </c>
      <c r="L9" s="227">
        <f>INDEX(Starter!A:A,ROW()-1)</f>
        <v>7348</v>
      </c>
      <c r="M9">
        <f>SUMIF(Erfassung6!BD:BD,L9,Erfassung6!BW:BW)</f>
        <v>1976</v>
      </c>
      <c r="N9">
        <f>SUMIF(Erfassung6!BD:BD,L9,Erfassung6!BG:BG)</f>
        <v>9</v>
      </c>
      <c r="O9">
        <f t="shared" si="0"/>
        <v>219.55555554655555</v>
      </c>
      <c r="P9">
        <f t="shared" si="1"/>
        <v>1</v>
      </c>
    </row>
    <row r="10" spans="1:16" x14ac:dyDescent="0.25">
      <c r="A10">
        <f t="shared" si="6"/>
        <v>6</v>
      </c>
      <c r="B10">
        <f t="shared" si="2"/>
        <v>7102</v>
      </c>
      <c r="C10" t="str">
        <f>IFERROR(INDEX(Starter!B:B,MATCH(B10,Starter!A:A,0)),"")</f>
        <v>Schick, Andreas</v>
      </c>
      <c r="D10" t="str">
        <f>IFERROR(INDEX(Starter!C:C,MATCH(B10,Starter!A:A,0)),"")</f>
        <v>Comet</v>
      </c>
      <c r="E10" s="102">
        <f t="shared" si="3"/>
        <v>1897</v>
      </c>
      <c r="F10">
        <f t="shared" si="4"/>
        <v>9</v>
      </c>
      <c r="G10" s="137">
        <f t="shared" si="5"/>
        <v>210.77777774677776</v>
      </c>
      <c r="L10" s="227">
        <f>INDEX(Starter!A:A,ROW()-1)</f>
        <v>16852</v>
      </c>
      <c r="M10">
        <f>SUMIF(Erfassung6!BD:BD,L10,Erfassung6!BW:BW)</f>
        <v>1073</v>
      </c>
      <c r="N10">
        <f>SUMIF(Erfassung6!BD:BD,L10,Erfassung6!BG:BG)</f>
        <v>6</v>
      </c>
      <c r="O10">
        <f t="shared" si="0"/>
        <v>178.83333332333333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1862</v>
      </c>
      <c r="F11">
        <f t="shared" si="4"/>
        <v>9</v>
      </c>
      <c r="G11" s="137">
        <f t="shared" si="5"/>
        <v>206.88888887088888</v>
      </c>
      <c r="L11" s="227">
        <f>INDEX(Starter!A:A,ROW()-1)</f>
        <v>16352</v>
      </c>
      <c r="M11">
        <f>SUMIF(Erfassung6!BD:BD,L11,Erfassung6!BW:BW)</f>
        <v>1670</v>
      </c>
      <c r="N11">
        <f>SUMIF(Erfassung6!BD:BD,L11,Erfassung6!BG:BG)</f>
        <v>9</v>
      </c>
      <c r="O11">
        <f t="shared" si="0"/>
        <v>185.55555554455555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25516</v>
      </c>
      <c r="C12" t="str">
        <f>IFERROR(INDEX(Starter!B:B,MATCH(B12,Starter!A:A,0)),"")</f>
        <v>Nikoleit, Thomas</v>
      </c>
      <c r="D12" t="str">
        <f>IFERROR(INDEX(Starter!C:C,MATCH(B12,Starter!A:A,0)),"")</f>
        <v>BC Bamberger Bowlinghaus</v>
      </c>
      <c r="E12" s="102">
        <f t="shared" si="3"/>
        <v>1848</v>
      </c>
      <c r="F12">
        <f t="shared" si="4"/>
        <v>9</v>
      </c>
      <c r="G12" s="137">
        <f t="shared" si="5"/>
        <v>205.33333329433333</v>
      </c>
      <c r="L12" s="227">
        <f>INDEX(Starter!A:A,ROW()-1)</f>
        <v>16495</v>
      </c>
      <c r="M12">
        <f>SUMIF(Erfassung6!BD:BD,L12,Erfassung6!BW:BW)</f>
        <v>1818</v>
      </c>
      <c r="N12">
        <f>SUMIF(Erfassung6!BD:BD,L12,Erfassung6!BG:BG)</f>
        <v>9</v>
      </c>
      <c r="O12">
        <f t="shared" si="0"/>
        <v>201.99999998800001</v>
      </c>
      <c r="P12">
        <f t="shared" si="1"/>
        <v>10</v>
      </c>
    </row>
    <row r="13" spans="1:16" x14ac:dyDescent="0.25">
      <c r="A13">
        <f t="shared" si="6"/>
        <v>9</v>
      </c>
      <c r="B13">
        <f t="shared" si="2"/>
        <v>10124</v>
      </c>
      <c r="C13" t="str">
        <f>IFERROR(INDEX(Starter!B:B,MATCH(B13,Starter!A:A,0)),"")</f>
        <v>Kristof, Robert</v>
      </c>
      <c r="D13" t="str">
        <f>IFERROR(INDEX(Starter!C:C,MATCH(B13,Starter!A:A,0)),"")</f>
        <v>BF Rot-Weiß Lichtenhof 69</v>
      </c>
      <c r="E13" s="102">
        <f t="shared" si="3"/>
        <v>1823</v>
      </c>
      <c r="F13">
        <f t="shared" si="4"/>
        <v>9</v>
      </c>
      <c r="G13" s="137">
        <f t="shared" si="5"/>
        <v>202.55555551355553</v>
      </c>
      <c r="L13" s="227">
        <f>INDEX(Starter!A:A,ROW()-1)</f>
        <v>16945</v>
      </c>
      <c r="M13">
        <f>SUMIF(Erfassung6!BD:BD,L13,Erfassung6!BW:BW)</f>
        <v>1753</v>
      </c>
      <c r="N13">
        <f>SUMIF(Erfassung6!BD:BD,L13,Erfassung6!BG:BG)</f>
        <v>9</v>
      </c>
      <c r="O13">
        <f t="shared" si="0"/>
        <v>194.77777776477777</v>
      </c>
      <c r="P13">
        <f t="shared" si="1"/>
        <v>19</v>
      </c>
    </row>
    <row r="14" spans="1:16" x14ac:dyDescent="0.25">
      <c r="A14">
        <f t="shared" si="6"/>
        <v>10</v>
      </c>
      <c r="B14">
        <f t="shared" si="2"/>
        <v>16495</v>
      </c>
      <c r="C14" t="str">
        <f>IFERROR(INDEX(Starter!B:B,MATCH(B14,Starter!A:A,0)),"")</f>
        <v>Stemmler, Patrick</v>
      </c>
      <c r="D14" t="str">
        <f>IFERROR(INDEX(Starter!C:C,MATCH(B14,Starter!A:A,0)),"")</f>
        <v>SG Rottendorf</v>
      </c>
      <c r="E14" s="102">
        <f t="shared" si="3"/>
        <v>1818</v>
      </c>
      <c r="F14">
        <f t="shared" si="4"/>
        <v>9</v>
      </c>
      <c r="G14" s="137">
        <f t="shared" si="5"/>
        <v>201.99999998800001</v>
      </c>
      <c r="L14" s="227">
        <f>INDEX(Starter!A:A,ROW()-1)</f>
        <v>7867</v>
      </c>
      <c r="M14">
        <f>SUMIF(Erfassung6!BD:BD,L14,Erfassung6!BW:BW)</f>
        <v>1796</v>
      </c>
      <c r="N14">
        <f>SUMIF(Erfassung6!BD:BD,L14,Erfassung6!BG:BG)</f>
        <v>9</v>
      </c>
      <c r="O14">
        <f t="shared" si="0"/>
        <v>199.55555554155555</v>
      </c>
      <c r="P14">
        <f t="shared" si="1"/>
        <v>12</v>
      </c>
    </row>
    <row r="15" spans="1:16" x14ac:dyDescent="0.25">
      <c r="A15">
        <f t="shared" si="6"/>
        <v>11</v>
      </c>
      <c r="B15">
        <f t="shared" si="2"/>
        <v>7740</v>
      </c>
      <c r="C15" t="str">
        <f>IFERROR(INDEX(Starter!B:B,MATCH(B15,Starter!A:A,0)),"")</f>
        <v>Mesch, John</v>
      </c>
      <c r="D15" t="str">
        <f>IFERROR(INDEX(Starter!C:C,MATCH(B15,Starter!A:A,0)),"")</f>
        <v>BF Rot-Weiß Lichtenhof 69</v>
      </c>
      <c r="E15" s="102">
        <f t="shared" si="3"/>
        <v>803</v>
      </c>
      <c r="F15">
        <f t="shared" si="4"/>
        <v>4</v>
      </c>
      <c r="G15" s="137">
        <f t="shared" si="5"/>
        <v>200.749999938</v>
      </c>
      <c r="L15" s="227">
        <f>INDEX(Starter!A:A,ROW()-1)</f>
        <v>7597</v>
      </c>
      <c r="M15">
        <f>SUMIF(Erfassung6!BD:BD,L15,Erfassung6!BW:BW)</f>
        <v>1582</v>
      </c>
      <c r="N15">
        <f>SUMIF(Erfassung6!BD:BD,L15,Erfassung6!BG:BG)</f>
        <v>9</v>
      </c>
      <c r="O15">
        <f t="shared" si="0"/>
        <v>175.77777776277776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7867</v>
      </c>
      <c r="C16" t="str">
        <f>IFERROR(INDEX(Starter!B:B,MATCH(B16,Starter!A:A,0)),"")</f>
        <v>Hinterwimmer, Georg</v>
      </c>
      <c r="D16" t="str">
        <f>IFERROR(INDEX(Starter!C:C,MATCH(B16,Starter!A:A,0)),"")</f>
        <v>BK München</v>
      </c>
      <c r="E16" s="102">
        <f t="shared" si="3"/>
        <v>1796</v>
      </c>
      <c r="F16">
        <f t="shared" si="4"/>
        <v>9</v>
      </c>
      <c r="G16" s="137">
        <f t="shared" si="5"/>
        <v>199.55555554155555</v>
      </c>
      <c r="L16" s="227">
        <f>INDEX(Starter!A:A,ROW()-1)</f>
        <v>16912</v>
      </c>
      <c r="M16">
        <f>SUMIF(Erfassung6!BD:BD,L16,Erfassung6!BW:BW)</f>
        <v>1619</v>
      </c>
      <c r="N16">
        <f>SUMIF(Erfassung6!BD:BD,L16,Erfassung6!BG:BG)</f>
        <v>9</v>
      </c>
      <c r="O16">
        <f t="shared" si="0"/>
        <v>179.88888887288888</v>
      </c>
      <c r="P16">
        <f t="shared" si="1"/>
        <v>37</v>
      </c>
    </row>
    <row r="17" spans="1:16" x14ac:dyDescent="0.25">
      <c r="A17">
        <f t="shared" si="6"/>
        <v>13</v>
      </c>
      <c r="B17">
        <f t="shared" si="2"/>
        <v>25325</v>
      </c>
      <c r="C17" t="str">
        <f>IFERROR(INDEX(Starter!B:B,MATCH(B17,Starter!A:A,0)),"")</f>
        <v>Wegenast, Robert</v>
      </c>
      <c r="D17" t="str">
        <f>IFERROR(INDEX(Starter!C:C,MATCH(B17,Starter!A:A,0)),"")</f>
        <v>BC EMAX</v>
      </c>
      <c r="E17" s="102">
        <f t="shared" si="3"/>
        <v>1784</v>
      </c>
      <c r="F17">
        <f t="shared" si="4"/>
        <v>9</v>
      </c>
      <c r="G17" s="137">
        <f t="shared" si="5"/>
        <v>198.22222216722224</v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53</v>
      </c>
    </row>
    <row r="18" spans="1:16" x14ac:dyDescent="0.25">
      <c r="A18">
        <f t="shared" si="6"/>
        <v>14</v>
      </c>
      <c r="B18">
        <f t="shared" si="2"/>
        <v>7734</v>
      </c>
      <c r="C18" t="str">
        <f>IFERROR(INDEX(Starter!B:B,MATCH(B18,Starter!A:A,0)),"")</f>
        <v>Schwarz, Jan</v>
      </c>
      <c r="D18" t="str">
        <f>IFERROR(INDEX(Starter!C:C,MATCH(B18,Starter!A:A,0)),"")</f>
        <v>Comet</v>
      </c>
      <c r="E18" s="102">
        <f t="shared" si="3"/>
        <v>1188</v>
      </c>
      <c r="F18">
        <f t="shared" si="4"/>
        <v>6</v>
      </c>
      <c r="G18" s="137">
        <f t="shared" si="5"/>
        <v>197.99999997200001</v>
      </c>
      <c r="L18" s="227">
        <f>INDEX(Starter!A:A,ROW()-1)</f>
        <v>7408</v>
      </c>
      <c r="M18">
        <f>SUMIF(Erfassung6!BD:BD,L18,Erfassung6!BW:BW)</f>
        <v>1862</v>
      </c>
      <c r="N18">
        <f>SUMIF(Erfassung6!BD:BD,L18,Erfassung6!BG:BG)</f>
        <v>9</v>
      </c>
      <c r="O18">
        <f t="shared" si="0"/>
        <v>206.88888887088888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38550</v>
      </c>
      <c r="C19" t="str">
        <f>IFERROR(INDEX(Starter!B:B,MATCH(B19,Starter!A:A,0)),"")</f>
        <v>Schütze, Oliver</v>
      </c>
      <c r="D19" t="str">
        <f>IFERROR(INDEX(Starter!C:C,MATCH(B19,Starter!A:A,0)),"")</f>
        <v>BC Schanzer Strikers</v>
      </c>
      <c r="E19" s="102">
        <f t="shared" si="3"/>
        <v>1778</v>
      </c>
      <c r="F19">
        <f t="shared" si="4"/>
        <v>9</v>
      </c>
      <c r="G19" s="137">
        <f t="shared" si="5"/>
        <v>197.55555554755554</v>
      </c>
      <c r="L19" s="227">
        <f>INDEX(Starter!A:A,ROW()-1)</f>
        <v>16762</v>
      </c>
      <c r="M19">
        <f>SUMIF(Erfassung6!BD:BD,L19,Erfassung6!BW:BW)</f>
        <v>629</v>
      </c>
      <c r="N19">
        <f>SUMIF(Erfassung6!BD:BD,L19,Erfassung6!BG:BG)</f>
        <v>4</v>
      </c>
      <c r="O19">
        <f t="shared" si="0"/>
        <v>157.249999981</v>
      </c>
      <c r="P19">
        <f t="shared" si="1"/>
        <v>52</v>
      </c>
    </row>
    <row r="20" spans="1:16" x14ac:dyDescent="0.25">
      <c r="A20">
        <f t="shared" si="6"/>
        <v>16</v>
      </c>
      <c r="B20">
        <f t="shared" si="2"/>
        <v>7725</v>
      </c>
      <c r="C20" t="str">
        <f>IFERROR(INDEX(Starter!B:B,MATCH(B20,Starter!A:A,0)),"")</f>
        <v>Schlundt, Michael</v>
      </c>
      <c r="D20" t="str">
        <f>IFERROR(INDEX(Starter!C:C,MATCH(B20,Starter!A:A,0)),"")</f>
        <v>Comet</v>
      </c>
      <c r="E20" s="102">
        <f t="shared" si="3"/>
        <v>1572</v>
      </c>
      <c r="F20">
        <f t="shared" si="4"/>
        <v>8</v>
      </c>
      <c r="G20" s="137">
        <f t="shared" si="5"/>
        <v>196.499999973</v>
      </c>
      <c r="L20" s="227">
        <f>INDEX(Starter!A:A,ROW()-1)</f>
        <v>7600</v>
      </c>
      <c r="M20">
        <f>SUMIF(Erfassung6!BD:BD,L20,Erfassung6!BW:BW)</f>
        <v>1546</v>
      </c>
      <c r="N20">
        <f>SUMIF(Erfassung6!BD:BD,L20,Erfassung6!BG:BG)</f>
        <v>9</v>
      </c>
      <c r="O20">
        <f t="shared" si="0"/>
        <v>171.77777775777778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7416</v>
      </c>
      <c r="C21" t="str">
        <f>IFERROR(INDEX(Starter!B:B,MATCH(B21,Starter!A:A,0)),"")</f>
        <v>Reichert, Ralph</v>
      </c>
      <c r="D21" t="str">
        <f>IFERROR(INDEX(Starter!C:C,MATCH(B21,Starter!A:A,0)),"")</f>
        <v>BC Bajuwaren 1976 München</v>
      </c>
      <c r="E21" s="102">
        <f t="shared" si="3"/>
        <v>1368</v>
      </c>
      <c r="F21">
        <f t="shared" si="4"/>
        <v>7</v>
      </c>
      <c r="G21" s="137">
        <f t="shared" si="5"/>
        <v>195.42857140757141</v>
      </c>
      <c r="L21" s="227">
        <f>INDEX(Starter!A:A,ROW()-1)</f>
        <v>7416</v>
      </c>
      <c r="M21">
        <f>SUMIF(Erfassung6!BD:BD,L21,Erfassung6!BW:BW)</f>
        <v>1368</v>
      </c>
      <c r="N21">
        <f>SUMIF(Erfassung6!BD:BD,L21,Erfassung6!BG:BG)</f>
        <v>7</v>
      </c>
      <c r="O21">
        <f t="shared" si="0"/>
        <v>195.42857140757141</v>
      </c>
      <c r="P21">
        <f t="shared" si="1"/>
        <v>17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1755</v>
      </c>
      <c r="F22">
        <f t="shared" si="4"/>
        <v>9</v>
      </c>
      <c r="G22" s="137">
        <f t="shared" si="5"/>
        <v>194.999999933</v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53</v>
      </c>
    </row>
    <row r="23" spans="1:16" x14ac:dyDescent="0.25">
      <c r="A23">
        <f t="shared" si="6"/>
        <v>19</v>
      </c>
      <c r="B23">
        <f t="shared" si="2"/>
        <v>16945</v>
      </c>
      <c r="C23" t="str">
        <f>IFERROR(INDEX(Starter!B:B,MATCH(B23,Starter!A:A,0)),"")</f>
        <v>Reichardt, Stefan</v>
      </c>
      <c r="D23" t="str">
        <f>IFERROR(INDEX(Starter!C:C,MATCH(B23,Starter!A:A,0)),"")</f>
        <v>SG Rottendorf</v>
      </c>
      <c r="E23" s="102">
        <f t="shared" si="3"/>
        <v>1753</v>
      </c>
      <c r="F23">
        <f t="shared" si="4"/>
        <v>9</v>
      </c>
      <c r="G23" s="137">
        <f t="shared" si="5"/>
        <v>194.77777776477777</v>
      </c>
      <c r="L23" s="227">
        <f>INDEX(Starter!A:A,ROW()-1)</f>
        <v>25297</v>
      </c>
      <c r="M23">
        <f>SUMIF(Erfassung6!BD:BD,L23,Erfassung6!BW:BW)</f>
        <v>1947</v>
      </c>
      <c r="N23">
        <f>SUMIF(Erfassung6!BD:BD,L23,Erfassung6!BG:BG)</f>
        <v>9</v>
      </c>
      <c r="O23">
        <f t="shared" si="0"/>
        <v>216.33333331033333</v>
      </c>
      <c r="P23">
        <f t="shared" si="1"/>
        <v>3</v>
      </c>
    </row>
    <row r="24" spans="1:16" x14ac:dyDescent="0.25">
      <c r="A24">
        <f t="shared" si="6"/>
        <v>20</v>
      </c>
      <c r="B24">
        <f t="shared" si="2"/>
        <v>38361</v>
      </c>
      <c r="C24" t="str">
        <f>IFERROR(INDEX(Starter!B:B,MATCH(B24,Starter!A:A,0)),"")</f>
        <v>Schmied, Markus</v>
      </c>
      <c r="D24" t="str">
        <f>IFERROR(INDEX(Starter!C:C,MATCH(B24,Starter!A:A,0)),"")</f>
        <v>BC Schanzer Strikers</v>
      </c>
      <c r="E24" s="102">
        <f t="shared" si="3"/>
        <v>1746</v>
      </c>
      <c r="F24">
        <f t="shared" si="4"/>
        <v>9</v>
      </c>
      <c r="G24" s="137">
        <f t="shared" si="5"/>
        <v>193.99999999299999</v>
      </c>
      <c r="L24" s="227">
        <f>INDEX(Starter!A:A,ROW()-1)</f>
        <v>16888</v>
      </c>
      <c r="M24">
        <f>SUMIF(Erfassung6!BD:BD,L24,Erfassung6!BW:BW)</f>
        <v>1234</v>
      </c>
      <c r="N24">
        <f>SUMIF(Erfassung6!BD:BD,L24,Erfassung6!BG:BG)</f>
        <v>7</v>
      </c>
      <c r="O24">
        <f t="shared" si="0"/>
        <v>176.28571426171428</v>
      </c>
      <c r="P24">
        <f t="shared" si="1"/>
        <v>40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1162</v>
      </c>
      <c r="F25">
        <f t="shared" si="4"/>
        <v>6</v>
      </c>
      <c r="G25" s="137">
        <f t="shared" si="5"/>
        <v>193.66666663666666</v>
      </c>
      <c r="L25" s="227">
        <f>INDEX(Starter!A:A,ROW()-1)</f>
        <v>38092</v>
      </c>
      <c r="M25">
        <f>SUMIF(Erfassung6!BD:BD,L25,Erfassung6!BW:BW)</f>
        <v>1630</v>
      </c>
      <c r="N25">
        <f>SUMIF(Erfassung6!BD:BD,L25,Erfassung6!BG:BG)</f>
        <v>9</v>
      </c>
      <c r="O25">
        <f t="shared" si="0"/>
        <v>181.11111108611112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25465</v>
      </c>
      <c r="C26" t="str">
        <f>IFERROR(INDEX(Starter!B:B,MATCH(B26,Starter!A:A,0)),"")</f>
        <v>Wahl, Norbert</v>
      </c>
      <c r="D26" t="str">
        <f>IFERROR(INDEX(Starter!C:C,MATCH(B26,Starter!A:A,0)),"")</f>
        <v>BF Rot-Weiß Lichtenhof 69</v>
      </c>
      <c r="E26" s="102">
        <f t="shared" si="3"/>
        <v>968</v>
      </c>
      <c r="F26">
        <f t="shared" si="4"/>
        <v>5</v>
      </c>
      <c r="G26" s="137">
        <f t="shared" si="5"/>
        <v>193.59999992499999</v>
      </c>
      <c r="L26" s="227">
        <f>INDEX(Starter!A:A,ROW()-1)</f>
        <v>16243</v>
      </c>
      <c r="M26">
        <f>SUMIF(Erfassung6!BD:BD,L26,Erfassung6!BW:BW)</f>
        <v>1296</v>
      </c>
      <c r="N26">
        <f>SUMIF(Erfassung6!BD:BD,L26,Erfassung6!BG:BG)</f>
        <v>6</v>
      </c>
      <c r="O26">
        <f t="shared" si="0"/>
        <v>215.99999997399999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41008</v>
      </c>
      <c r="C27" t="str">
        <f>IFERROR(INDEX(Starter!B:B,MATCH(B27,Starter!A:A,0)),"")</f>
        <v>Richter, Benjamin</v>
      </c>
      <c r="D27" t="str">
        <f>IFERROR(INDEX(Starter!C:C,MATCH(B27,Starter!A:A,0)),"")</f>
        <v>BC EMAX</v>
      </c>
      <c r="E27" s="102">
        <f t="shared" si="3"/>
        <v>773</v>
      </c>
      <c r="F27">
        <f t="shared" si="4"/>
        <v>4</v>
      </c>
      <c r="G27" s="137">
        <f t="shared" si="5"/>
        <v>193.24999993500001</v>
      </c>
      <c r="L27" s="227">
        <f>INDEX(Starter!A:A,ROW()-1)</f>
        <v>7725</v>
      </c>
      <c r="M27">
        <f>SUMIF(Erfassung6!BD:BD,L27,Erfassung6!BW:BW)</f>
        <v>1572</v>
      </c>
      <c r="N27">
        <f>SUMIF(Erfassung6!BD:BD,L27,Erfassung6!BG:BG)</f>
        <v>8</v>
      </c>
      <c r="O27">
        <f t="shared" si="0"/>
        <v>196.499999973</v>
      </c>
      <c r="P27">
        <f t="shared" si="1"/>
        <v>16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770</v>
      </c>
      <c r="F28">
        <f t="shared" si="4"/>
        <v>4</v>
      </c>
      <c r="G28" s="137">
        <f t="shared" si="5"/>
        <v>192.499999927</v>
      </c>
      <c r="L28" s="227">
        <f>INDEX(Starter!A:A,ROW()-1)</f>
        <v>7734</v>
      </c>
      <c r="M28">
        <f>SUMIF(Erfassung6!BD:BD,L28,Erfassung6!BW:BW)</f>
        <v>1188</v>
      </c>
      <c r="N28">
        <f>SUMIF(Erfassung6!BD:BD,L28,Erfassung6!BG:BG)</f>
        <v>6</v>
      </c>
      <c r="O28">
        <f t="shared" si="0"/>
        <v>197.99999997200001</v>
      </c>
      <c r="P28">
        <f t="shared" si="1"/>
        <v>14</v>
      </c>
    </row>
    <row r="29" spans="1:16" x14ac:dyDescent="0.25">
      <c r="A29">
        <f t="shared" si="6"/>
        <v>25</v>
      </c>
      <c r="B29">
        <f t="shared" si="2"/>
        <v>38411</v>
      </c>
      <c r="C29" t="str">
        <f>IFERROR(INDEX(Starter!B:B,MATCH(B29,Starter!A:A,0)),"")</f>
        <v>Hartl, Thomas</v>
      </c>
      <c r="D29" t="str">
        <f>IFERROR(INDEX(Starter!C:C,MATCH(B29,Starter!A:A,0)),"")</f>
        <v>BC Schanzer Strikers</v>
      </c>
      <c r="E29" s="102">
        <f t="shared" si="3"/>
        <v>1731</v>
      </c>
      <c r="F29">
        <f t="shared" si="4"/>
        <v>9</v>
      </c>
      <c r="G29" s="137">
        <f t="shared" si="5"/>
        <v>192.33333332733335</v>
      </c>
      <c r="L29" s="227">
        <f>INDEX(Starter!A:A,ROW()-1)</f>
        <v>7724</v>
      </c>
      <c r="M29">
        <f>SUMIF(Erfassung6!BD:BD,L29,Erfassung6!BW:BW)</f>
        <v>171</v>
      </c>
      <c r="N29">
        <f>SUMIF(Erfassung6!BD:BD,L29,Erfassung6!BG:BG)</f>
        <v>1</v>
      </c>
      <c r="O29">
        <f t="shared" si="0"/>
        <v>170.99999997099999</v>
      </c>
      <c r="P29">
        <f t="shared" si="1"/>
        <v>47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1150</v>
      </c>
      <c r="F30">
        <f t="shared" si="4"/>
        <v>6</v>
      </c>
      <c r="G30" s="137">
        <f t="shared" si="5"/>
        <v>191.66666666366666</v>
      </c>
      <c r="L30" s="227">
        <f>INDEX(Starter!A:A,ROW()-1)</f>
        <v>16896</v>
      </c>
      <c r="M30">
        <f>SUMIF(Erfassung6!BD:BD,L30,Erfassung6!BW:BW)</f>
        <v>1162</v>
      </c>
      <c r="N30">
        <f>SUMIF(Erfassung6!BD:BD,L30,Erfassung6!BG:BG)</f>
        <v>6</v>
      </c>
      <c r="O30">
        <f t="shared" si="0"/>
        <v>193.66666663666666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1721</v>
      </c>
      <c r="F31">
        <f t="shared" si="4"/>
        <v>9</v>
      </c>
      <c r="G31" s="137">
        <f t="shared" si="5"/>
        <v>191.22222221722222</v>
      </c>
      <c r="L31" s="227">
        <f>INDEX(Starter!A:A,ROW()-1)</f>
        <v>7102</v>
      </c>
      <c r="M31">
        <f>SUMIF(Erfassung6!BD:BD,L31,Erfassung6!BW:BW)</f>
        <v>1897</v>
      </c>
      <c r="N31">
        <f>SUMIF(Erfassung6!BD:BD,L31,Erfassung6!BG:BG)</f>
        <v>9</v>
      </c>
      <c r="O31">
        <f t="shared" si="0"/>
        <v>210.77777774677776</v>
      </c>
      <c r="P31">
        <f t="shared" si="1"/>
        <v>6</v>
      </c>
    </row>
    <row r="32" spans="1:16" x14ac:dyDescent="0.25">
      <c r="A32">
        <f t="shared" si="6"/>
        <v>28</v>
      </c>
      <c r="B32">
        <f t="shared" si="2"/>
        <v>7593</v>
      </c>
      <c r="C32" t="str">
        <f>IFERROR(INDEX(Starter!B:B,MATCH(B32,Starter!A:A,0)),"")</f>
        <v>Börding, Peter</v>
      </c>
      <c r="D32" t="str">
        <f>IFERROR(INDEX(Starter!C:C,MATCH(B32,Starter!A:A,0)),"")</f>
        <v>BK München</v>
      </c>
      <c r="E32" s="102">
        <f t="shared" si="3"/>
        <v>1712</v>
      </c>
      <c r="F32">
        <f t="shared" si="4"/>
        <v>9</v>
      </c>
      <c r="G32" s="137">
        <f t="shared" si="5"/>
        <v>190.22222217622223</v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53</v>
      </c>
    </row>
    <row r="33" spans="1:16" x14ac:dyDescent="0.25">
      <c r="A33">
        <f t="shared" si="6"/>
        <v>29</v>
      </c>
      <c r="B33">
        <f t="shared" si="2"/>
        <v>7602</v>
      </c>
      <c r="C33" t="str">
        <f>IFERROR(INDEX(Starter!B:B,MATCH(B33,Starter!A:A,0)),"")</f>
        <v>Probst, Marco</v>
      </c>
      <c r="D33" t="str">
        <f>IFERROR(INDEX(Starter!C:C,MATCH(B33,Starter!A:A,0)),"")</f>
        <v>BC EMAX</v>
      </c>
      <c r="E33" s="102">
        <f t="shared" si="3"/>
        <v>1712</v>
      </c>
      <c r="F33">
        <f t="shared" si="4"/>
        <v>9</v>
      </c>
      <c r="G33" s="137">
        <f t="shared" si="5"/>
        <v>190.22222216822223</v>
      </c>
      <c r="L33" s="227">
        <f>INDEX(Starter!A:A,ROW()-1)</f>
        <v>27134</v>
      </c>
      <c r="M33">
        <f>SUMIF(Erfassung6!BD:BD,L33,Erfassung6!BW:BW)</f>
        <v>881</v>
      </c>
      <c r="N33">
        <f>SUMIF(Erfassung6!BD:BD,L33,Erfassung6!BG:BG)</f>
        <v>5</v>
      </c>
      <c r="O33">
        <f t="shared" si="0"/>
        <v>176.199999967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16532</v>
      </c>
      <c r="C34" t="str">
        <f>IFERROR(INDEX(Starter!B:B,MATCH(B34,Starter!A:A,0)),"")</f>
        <v>Karl, William</v>
      </c>
      <c r="D34" t="str">
        <f>IFERROR(INDEX(Starter!C:C,MATCH(B34,Starter!A:A,0)),"")</f>
        <v>BC Bamberger Bowlinghaus</v>
      </c>
      <c r="E34" s="102">
        <f t="shared" si="3"/>
        <v>570</v>
      </c>
      <c r="F34">
        <f t="shared" si="4"/>
        <v>3</v>
      </c>
      <c r="G34" s="137">
        <f t="shared" si="5"/>
        <v>189.99999994300001</v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53</v>
      </c>
    </row>
    <row r="35" spans="1:16" x14ac:dyDescent="0.25">
      <c r="A35">
        <f t="shared" si="6"/>
        <v>31</v>
      </c>
      <c r="B35">
        <f t="shared" si="2"/>
        <v>7099</v>
      </c>
      <c r="C35" t="str">
        <f>IFERROR(INDEX(Starter!B:B,MATCH(B35,Starter!A:A,0)),"")</f>
        <v>Holzinger, Sebastian</v>
      </c>
      <c r="D35" t="str">
        <f>IFERROR(INDEX(Starter!C:C,MATCH(B35,Starter!A:A,0)),"")</f>
        <v>BC Bamberger Bowlinghaus</v>
      </c>
      <c r="E35" s="102">
        <f t="shared" si="3"/>
        <v>756</v>
      </c>
      <c r="F35">
        <f t="shared" si="4"/>
        <v>4</v>
      </c>
      <c r="G35" s="137">
        <f t="shared" si="5"/>
        <v>188.99999996299999</v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53</v>
      </c>
    </row>
    <row r="36" spans="1:16" x14ac:dyDescent="0.25">
      <c r="A36">
        <f t="shared" si="6"/>
        <v>32</v>
      </c>
      <c r="B36">
        <f t="shared" si="2"/>
        <v>10622</v>
      </c>
      <c r="C36" t="str">
        <f>IFERROR(INDEX(Starter!B:B,MATCH(B36,Starter!A:A,0)),"")</f>
        <v>Kreß, Michael</v>
      </c>
      <c r="D36" t="str">
        <f>IFERROR(INDEX(Starter!C:C,MATCH(B36,Starter!A:A,0)),"")</f>
        <v>DJK Rimpar</v>
      </c>
      <c r="E36" s="102">
        <f t="shared" si="3"/>
        <v>1699</v>
      </c>
      <c r="F36">
        <f t="shared" si="4"/>
        <v>9</v>
      </c>
      <c r="G36" s="137">
        <f t="shared" si="5"/>
        <v>188.77777777377779</v>
      </c>
      <c r="L36" s="227">
        <f>INDEX(Starter!A:A,ROW()-1)</f>
        <v>25554</v>
      </c>
      <c r="M36">
        <f>SUMIF(Erfassung6!BD:BD,L36,Erfassung6!BW:BW)</f>
        <v>857</v>
      </c>
      <c r="N36">
        <f>SUMIF(Erfassung6!BD:BD,L36,Erfassung6!BG:BG)</f>
        <v>5</v>
      </c>
      <c r="O36">
        <f t="shared" si="0"/>
        <v>171.39999996400002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16352</v>
      </c>
      <c r="C37" t="str">
        <f>IFERROR(INDEX(Starter!B:B,MATCH(B37,Starter!A:A,0)),"")</f>
        <v>Scholz, Alexander</v>
      </c>
      <c r="D37" t="str">
        <f>IFERROR(INDEX(Starter!C:C,MATCH(B37,Starter!A:A,0)),"")</f>
        <v>SG Rottendorf</v>
      </c>
      <c r="E37" s="102">
        <f t="shared" ref="E37:E68" si="8">IFERROR(INDEX(M:M,MATCH(A37,P:P,0)),"")</f>
        <v>1670</v>
      </c>
      <c r="F37">
        <f t="shared" ref="F37:F68" si="9">IFERROR(INDEX(N:N,MATCH(A37,P:P,0)),"")</f>
        <v>9</v>
      </c>
      <c r="G37" s="137">
        <f t="shared" ref="G37:G68" si="10">IFERROR(INDEX(O:O,MATCH(A37,P:P,0)),"")</f>
        <v>185.55555554455555</v>
      </c>
      <c r="L37" s="227">
        <f>INDEX(Starter!A:A,ROW()-1)</f>
        <v>7099</v>
      </c>
      <c r="M37">
        <f>SUMIF(Erfassung6!BD:BD,L37,Erfassung6!BW:BW)</f>
        <v>756</v>
      </c>
      <c r="N37">
        <f>SUMIF(Erfassung6!BD:BD,L37,Erfassung6!BG:BG)</f>
        <v>4</v>
      </c>
      <c r="O37">
        <f t="shared" si="0"/>
        <v>188.99999996299999</v>
      </c>
      <c r="P37">
        <f t="shared" si="1"/>
        <v>31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1105</v>
      </c>
      <c r="F38">
        <f t="shared" si="9"/>
        <v>6</v>
      </c>
      <c r="G38" s="137">
        <f t="shared" si="10"/>
        <v>184.16666660666667</v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53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908</v>
      </c>
      <c r="F39">
        <f t="shared" si="9"/>
        <v>5</v>
      </c>
      <c r="G39" s="137">
        <f t="shared" si="10"/>
        <v>181.59999995999999</v>
      </c>
      <c r="L39" s="227">
        <f>INDEX(Starter!A:A,ROW()-1)</f>
        <v>25516</v>
      </c>
      <c r="M39">
        <f>SUMIF(Erfassung6!BD:BD,L39,Erfassung6!BW:BW)</f>
        <v>1848</v>
      </c>
      <c r="N39">
        <f>SUMIF(Erfassung6!BD:BD,L39,Erfassung6!BG:BG)</f>
        <v>9</v>
      </c>
      <c r="O39">
        <f t="shared" si="0"/>
        <v>205.33333329433333</v>
      </c>
      <c r="P39">
        <f t="shared" si="1"/>
        <v>8</v>
      </c>
    </row>
    <row r="40" spans="1:16" x14ac:dyDescent="0.25">
      <c r="A40">
        <f t="shared" si="11"/>
        <v>36</v>
      </c>
      <c r="B40">
        <f t="shared" si="7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8"/>
        <v>1630</v>
      </c>
      <c r="F40">
        <f t="shared" si="9"/>
        <v>9</v>
      </c>
      <c r="G40" s="137">
        <f t="shared" si="10"/>
        <v>181.11111108611112</v>
      </c>
      <c r="L40" s="227">
        <f>INDEX(Starter!A:A,ROW()-1)</f>
        <v>16873</v>
      </c>
      <c r="M40">
        <f>SUMIF(Erfassung6!BD:BD,L40,Erfassung6!BW:BW)</f>
        <v>908</v>
      </c>
      <c r="N40">
        <f>SUMIF(Erfassung6!BD:BD,L40,Erfassung6!BG:BG)</f>
        <v>5</v>
      </c>
      <c r="O40">
        <f t="shared" si="0"/>
        <v>181.59999995999999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16912</v>
      </c>
      <c r="C41" t="str">
        <f>IFERROR(INDEX(Starter!B:B,MATCH(B41,Starter!A:A,0)),"")</f>
        <v>Hellmessen, Maximilian</v>
      </c>
      <c r="D41" t="str">
        <f>IFERROR(INDEX(Starter!C:C,MATCH(B41,Starter!A:A,0)),"")</f>
        <v>BK München</v>
      </c>
      <c r="E41" s="102">
        <f t="shared" si="8"/>
        <v>1619</v>
      </c>
      <c r="F41">
        <f t="shared" si="9"/>
        <v>9</v>
      </c>
      <c r="G41" s="137">
        <f t="shared" si="10"/>
        <v>179.88888887288888</v>
      </c>
      <c r="L41" s="227">
        <f>INDEX(Starter!A:A,ROW()-1)</f>
        <v>7937</v>
      </c>
      <c r="M41">
        <f>SUMIF(Erfassung6!BD:BD,L41,Erfassung6!BW:BW)</f>
        <v>1951</v>
      </c>
      <c r="N41">
        <f>SUMIF(Erfassung6!BD:BD,L41,Erfassung6!BG:BG)</f>
        <v>9</v>
      </c>
      <c r="O41">
        <f t="shared" si="0"/>
        <v>216.77777773677778</v>
      </c>
      <c r="P41">
        <f t="shared" si="1"/>
        <v>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1073</v>
      </c>
      <c r="F42">
        <f t="shared" si="9"/>
        <v>6</v>
      </c>
      <c r="G42" s="137">
        <f t="shared" si="10"/>
        <v>178.83333332333333</v>
      </c>
      <c r="L42" s="227">
        <f>INDEX(Starter!A:A,ROW()-1)</f>
        <v>10124</v>
      </c>
      <c r="M42">
        <f>SUMIF(Erfassung6!BD:BD,L42,Erfassung6!BW:BW)</f>
        <v>1823</v>
      </c>
      <c r="N42">
        <f>SUMIF(Erfassung6!BD:BD,L42,Erfassung6!BG:BG)</f>
        <v>9</v>
      </c>
      <c r="O42">
        <f t="shared" si="0"/>
        <v>202.55555551355553</v>
      </c>
      <c r="P42">
        <f t="shared" si="1"/>
        <v>9</v>
      </c>
    </row>
    <row r="43" spans="1:16" x14ac:dyDescent="0.25">
      <c r="A43">
        <f t="shared" si="11"/>
        <v>39</v>
      </c>
      <c r="B43">
        <f t="shared" si="7"/>
        <v>38018</v>
      </c>
      <c r="C43" t="str">
        <f>IFERROR(INDEX(Starter!B:B,MATCH(B43,Starter!A:A,0)),"")</f>
        <v>Wunderlich, Henning</v>
      </c>
      <c r="D43" t="str">
        <f>IFERROR(INDEX(Starter!C:C,MATCH(B43,Starter!A:A,0)),"")</f>
        <v>DJK Rimpar</v>
      </c>
      <c r="E43" s="102">
        <f t="shared" si="8"/>
        <v>893</v>
      </c>
      <c r="F43">
        <f t="shared" si="9"/>
        <v>5</v>
      </c>
      <c r="G43" s="137">
        <f t="shared" si="10"/>
        <v>178.59999992599998</v>
      </c>
      <c r="L43" s="227">
        <f>INDEX(Starter!A:A,ROW()-1)</f>
        <v>16263</v>
      </c>
      <c r="M43">
        <f>SUMIF(Erfassung6!BD:BD,L43,Erfassung6!BW:BW)</f>
        <v>844</v>
      </c>
      <c r="N43">
        <f>SUMIF(Erfassung6!BD:BD,L43,Erfassung6!BG:BG)</f>
        <v>5</v>
      </c>
      <c r="O43">
        <f t="shared" si="0"/>
        <v>168.79999995700001</v>
      </c>
      <c r="P43">
        <f t="shared" si="1"/>
        <v>49</v>
      </c>
    </row>
    <row r="44" spans="1:16" x14ac:dyDescent="0.25">
      <c r="A44">
        <f t="shared" si="11"/>
        <v>40</v>
      </c>
      <c r="B44">
        <f t="shared" si="7"/>
        <v>16888</v>
      </c>
      <c r="C44" t="str">
        <f>IFERROR(INDEX(Starter!B:B,MATCH(B44,Starter!A:A,0)),"")</f>
        <v>Auer, Thomas</v>
      </c>
      <c r="D44" t="str">
        <f>IFERROR(INDEX(Starter!C:C,MATCH(B44,Starter!A:A,0)),"")</f>
        <v>BSC Highroller Rosenheim</v>
      </c>
      <c r="E44" s="102">
        <f t="shared" si="8"/>
        <v>1234</v>
      </c>
      <c r="F44">
        <f t="shared" si="9"/>
        <v>7</v>
      </c>
      <c r="G44" s="137">
        <f t="shared" si="10"/>
        <v>176.28571426171428</v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53</v>
      </c>
    </row>
    <row r="45" spans="1:16" x14ac:dyDescent="0.25">
      <c r="A45">
        <f t="shared" si="11"/>
        <v>41</v>
      </c>
      <c r="B45">
        <f t="shared" si="7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8"/>
        <v>881</v>
      </c>
      <c r="F45">
        <f t="shared" si="9"/>
        <v>5</v>
      </c>
      <c r="G45" s="137">
        <f t="shared" si="10"/>
        <v>176.199999967</v>
      </c>
      <c r="L45" s="227">
        <f>INDEX(Starter!A:A,ROW()-1)</f>
        <v>7601</v>
      </c>
      <c r="M45">
        <f>SUMIF(Erfassung6!BD:BD,L45,Erfassung6!BW:BW)</f>
        <v>1148</v>
      </c>
      <c r="N45">
        <f>SUMIF(Erfassung6!BD:BD,L45,Erfassung6!BG:BG)</f>
        <v>7</v>
      </c>
      <c r="O45">
        <f t="shared" si="0"/>
        <v>163.99999995499999</v>
      </c>
      <c r="P45">
        <f t="shared" si="1"/>
        <v>51</v>
      </c>
    </row>
    <row r="46" spans="1:16" x14ac:dyDescent="0.25">
      <c r="A46">
        <f t="shared" si="11"/>
        <v>42</v>
      </c>
      <c r="B46">
        <f t="shared" si="7"/>
        <v>7597</v>
      </c>
      <c r="C46" t="str">
        <f>IFERROR(INDEX(Starter!B:B,MATCH(B46,Starter!A:A,0)),"")</f>
        <v>Laub, Harald</v>
      </c>
      <c r="D46" t="str">
        <f>IFERROR(INDEX(Starter!C:C,MATCH(B46,Starter!A:A,0)),"")</f>
        <v>BK München</v>
      </c>
      <c r="E46" s="102">
        <f t="shared" si="8"/>
        <v>1582</v>
      </c>
      <c r="F46">
        <f t="shared" si="9"/>
        <v>9</v>
      </c>
      <c r="G46" s="137">
        <f t="shared" si="10"/>
        <v>175.77777776277776</v>
      </c>
      <c r="L46" s="227">
        <f>INDEX(Starter!A:A,ROW()-1)</f>
        <v>7593</v>
      </c>
      <c r="M46">
        <f>SUMIF(Erfassung6!BD:BD,L46,Erfassung6!BW:BW)</f>
        <v>1712</v>
      </c>
      <c r="N46">
        <f>SUMIF(Erfassung6!BD:BD,L46,Erfassung6!BG:BG)</f>
        <v>9</v>
      </c>
      <c r="O46">
        <f t="shared" si="0"/>
        <v>190.22222217622223</v>
      </c>
      <c r="P46">
        <f t="shared" si="1"/>
        <v>28</v>
      </c>
    </row>
    <row r="47" spans="1:16" x14ac:dyDescent="0.25">
      <c r="A47">
        <f t="shared" si="11"/>
        <v>43</v>
      </c>
      <c r="B47">
        <f t="shared" si="7"/>
        <v>16398</v>
      </c>
      <c r="C47" t="str">
        <f>IFERROR(INDEX(Starter!B:B,MATCH(B47,Starter!A:A,0)),"")</f>
        <v>Denz, Günter</v>
      </c>
      <c r="D47" t="str">
        <f>IFERROR(INDEX(Starter!C:C,MATCH(B47,Starter!A:A,0)),"")</f>
        <v>BC EMAX</v>
      </c>
      <c r="E47" s="102">
        <f t="shared" si="8"/>
        <v>696</v>
      </c>
      <c r="F47">
        <f t="shared" si="9"/>
        <v>4</v>
      </c>
      <c r="G47" s="137">
        <f t="shared" si="10"/>
        <v>173.99999993399999</v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53</v>
      </c>
    </row>
    <row r="48" spans="1:16" x14ac:dyDescent="0.25">
      <c r="A48">
        <f t="shared" si="11"/>
        <v>44</v>
      </c>
      <c r="B48">
        <f t="shared" si="7"/>
        <v>7600</v>
      </c>
      <c r="C48" t="str">
        <f>IFERROR(INDEX(Starter!B:B,MATCH(B48,Starter!A:A,0)),"")</f>
        <v>Lüthje, Dennis</v>
      </c>
      <c r="D48" t="str">
        <f>IFERROR(INDEX(Starter!C:C,MATCH(B48,Starter!A:A,0)),"")</f>
        <v>BC Bajuwaren 1976 München</v>
      </c>
      <c r="E48" s="102">
        <f t="shared" si="8"/>
        <v>1546</v>
      </c>
      <c r="F48">
        <f t="shared" si="9"/>
        <v>9</v>
      </c>
      <c r="G48" s="137">
        <f t="shared" si="10"/>
        <v>171.77777775777778</v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53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857</v>
      </c>
      <c r="F49">
        <f t="shared" si="9"/>
        <v>5</v>
      </c>
      <c r="G49" s="137">
        <f t="shared" si="10"/>
        <v>171.39999996400002</v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53</v>
      </c>
    </row>
    <row r="50" spans="1:16" x14ac:dyDescent="0.25">
      <c r="A50">
        <f t="shared" si="11"/>
        <v>46</v>
      </c>
      <c r="B50">
        <f t="shared" si="7"/>
        <v>38043</v>
      </c>
      <c r="C50" t="str">
        <f>IFERROR(INDEX(Starter!B:B,MATCH(B50,Starter!A:A,0)),"")</f>
        <v>Badum, Daniel</v>
      </c>
      <c r="D50" t="str">
        <f>IFERROR(INDEX(Starter!C:C,MATCH(B50,Starter!A:A,0)),"")</f>
        <v>BC Bamberger Bowlinghaus</v>
      </c>
      <c r="E50" s="102">
        <f t="shared" si="8"/>
        <v>1028</v>
      </c>
      <c r="F50">
        <f t="shared" si="9"/>
        <v>6</v>
      </c>
      <c r="G50" s="137">
        <f t="shared" si="10"/>
        <v>171.33333327533333</v>
      </c>
      <c r="L50" s="227">
        <f>INDEX(Starter!A:A,ROW()-1)</f>
        <v>16862</v>
      </c>
      <c r="M50">
        <f>SUMIF(Erfassung6!BD:BD,L50,Erfassung6!BW:BW)</f>
        <v>494</v>
      </c>
      <c r="N50">
        <f>SUMIF(Erfassung6!BD:BD,L50,Erfassung6!BG:BG)</f>
        <v>3</v>
      </c>
      <c r="O50">
        <f t="shared" si="0"/>
        <v>164.66666661666665</v>
      </c>
      <c r="P50">
        <f t="shared" si="1"/>
        <v>50</v>
      </c>
    </row>
    <row r="51" spans="1:16" x14ac:dyDescent="0.25">
      <c r="A51">
        <f t="shared" si="11"/>
        <v>47</v>
      </c>
      <c r="B51">
        <f t="shared" si="7"/>
        <v>7724</v>
      </c>
      <c r="C51" t="str">
        <f>IFERROR(INDEX(Starter!B:B,MATCH(B51,Starter!A:A,0)),"")</f>
        <v>Schlick, Christian</v>
      </c>
      <c r="D51" t="str">
        <f>IFERROR(INDEX(Starter!C:C,MATCH(B51,Starter!A:A,0)),"")</f>
        <v>Comet</v>
      </c>
      <c r="E51" s="102">
        <f t="shared" si="8"/>
        <v>171</v>
      </c>
      <c r="F51">
        <f t="shared" si="9"/>
        <v>1</v>
      </c>
      <c r="G51" s="137">
        <f t="shared" si="10"/>
        <v>170.99999997099999</v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53</v>
      </c>
    </row>
    <row r="52" spans="1:16" x14ac:dyDescent="0.25">
      <c r="A52">
        <f t="shared" si="11"/>
        <v>48</v>
      </c>
      <c r="B52">
        <f t="shared" si="7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8"/>
        <v>848</v>
      </c>
      <c r="F52">
        <f t="shared" si="9"/>
        <v>5</v>
      </c>
      <c r="G52" s="137">
        <f t="shared" si="10"/>
        <v>169.59999994099999</v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53</v>
      </c>
    </row>
    <row r="53" spans="1:16" x14ac:dyDescent="0.25">
      <c r="A53">
        <f t="shared" si="11"/>
        <v>49</v>
      </c>
      <c r="B53">
        <f t="shared" si="7"/>
        <v>16263</v>
      </c>
      <c r="C53" t="str">
        <f>IFERROR(INDEX(Starter!B:B,MATCH(B53,Starter!A:A,0)),"")</f>
        <v>Jackwerth, Enno</v>
      </c>
      <c r="D53" t="str">
        <f>IFERROR(INDEX(Starter!C:C,MATCH(B53,Starter!A:A,0)),"")</f>
        <v>BF Rot-Weiß Lichtenhof 69</v>
      </c>
      <c r="E53" s="102">
        <f t="shared" si="8"/>
        <v>844</v>
      </c>
      <c r="F53">
        <f t="shared" si="9"/>
        <v>5</v>
      </c>
      <c r="G53" s="137">
        <f t="shared" si="10"/>
        <v>168.79999995700001</v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53</v>
      </c>
    </row>
    <row r="54" spans="1:16" x14ac:dyDescent="0.25">
      <c r="A54">
        <f t="shared" si="11"/>
        <v>50</v>
      </c>
      <c r="B54">
        <f t="shared" si="7"/>
        <v>16862</v>
      </c>
      <c r="C54" t="str">
        <f>IFERROR(INDEX(Starter!B:B,MATCH(B54,Starter!A:A,0)),"")</f>
        <v>Büttner, Christian</v>
      </c>
      <c r="D54" t="str">
        <f>IFERROR(INDEX(Starter!C:C,MATCH(B54,Starter!A:A,0)),"")</f>
        <v>SG Rottendorf</v>
      </c>
      <c r="E54" s="102">
        <f t="shared" si="8"/>
        <v>494</v>
      </c>
      <c r="F54">
        <f t="shared" si="9"/>
        <v>3</v>
      </c>
      <c r="G54" s="137">
        <f t="shared" si="10"/>
        <v>164.66666661666665</v>
      </c>
      <c r="L54" s="227">
        <f>INDEX(Starter!A:A,ROW()-1)</f>
        <v>7602</v>
      </c>
      <c r="M54">
        <f>SUMIF(Erfassung6!BD:BD,L54,Erfassung6!BW:BW)</f>
        <v>1712</v>
      </c>
      <c r="N54">
        <f>SUMIF(Erfassung6!BD:BD,L54,Erfassung6!BG:BG)</f>
        <v>9</v>
      </c>
      <c r="O54">
        <f t="shared" si="0"/>
        <v>190.22222216822223</v>
      </c>
      <c r="P54">
        <f t="shared" si="1"/>
        <v>29</v>
      </c>
    </row>
    <row r="55" spans="1:16" x14ac:dyDescent="0.25">
      <c r="A55">
        <f t="shared" si="11"/>
        <v>51</v>
      </c>
      <c r="B55">
        <f t="shared" si="7"/>
        <v>7601</v>
      </c>
      <c r="C55" t="str">
        <f>IFERROR(INDEX(Starter!B:B,MATCH(B55,Starter!A:A,0)),"")</f>
        <v>Lüthje, Volker</v>
      </c>
      <c r="D55" t="str">
        <f>IFERROR(INDEX(Starter!C:C,MATCH(B55,Starter!A:A,0)),"")</f>
        <v>BC Bajuwaren 1976 München</v>
      </c>
      <c r="E55" s="102">
        <f t="shared" si="8"/>
        <v>1148</v>
      </c>
      <c r="F55">
        <f t="shared" si="9"/>
        <v>7</v>
      </c>
      <c r="G55" s="137">
        <f t="shared" si="10"/>
        <v>163.99999995499999</v>
      </c>
      <c r="L55" s="227">
        <f>INDEX(Starter!A:A,ROW()-1)</f>
        <v>25325</v>
      </c>
      <c r="M55">
        <f>SUMIF(Erfassung6!BD:BD,L55,Erfassung6!BW:BW)</f>
        <v>1784</v>
      </c>
      <c r="N55">
        <f>SUMIF(Erfassung6!BD:BD,L55,Erfassung6!BG:BG)</f>
        <v>9</v>
      </c>
      <c r="O55">
        <f t="shared" si="0"/>
        <v>198.22222216722224</v>
      </c>
      <c r="P55">
        <f t="shared" si="1"/>
        <v>13</v>
      </c>
    </row>
    <row r="56" spans="1:16" x14ac:dyDescent="0.25">
      <c r="A56">
        <f t="shared" si="11"/>
        <v>52</v>
      </c>
      <c r="B56">
        <f t="shared" si="7"/>
        <v>16762</v>
      </c>
      <c r="C56" t="str">
        <f>IFERROR(INDEX(Starter!B:B,MATCH(B56,Starter!A:A,0)),"")</f>
        <v>Glasl sen., Hans</v>
      </c>
      <c r="D56" t="str">
        <f>IFERROR(INDEX(Starter!C:C,MATCH(B56,Starter!A:A,0)),"")</f>
        <v>BC Bajuwaren 1976 München</v>
      </c>
      <c r="E56" s="102">
        <f t="shared" si="8"/>
        <v>629</v>
      </c>
      <c r="F56">
        <f t="shared" si="9"/>
        <v>4</v>
      </c>
      <c r="G56" s="137">
        <f t="shared" si="10"/>
        <v>157.249999981</v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53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570</v>
      </c>
      <c r="N57">
        <f>SUMIF(Erfassung6!BD:BD,L57,Erfassung6!BG:BG)</f>
        <v>3</v>
      </c>
      <c r="O57">
        <f t="shared" si="0"/>
        <v>189.99999994300001</v>
      </c>
      <c r="P57">
        <f t="shared" si="1"/>
        <v>30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1028</v>
      </c>
      <c r="N58">
        <f>SUMIF(Erfassung6!BD:BD,L58,Erfassung6!BG:BG)</f>
        <v>6</v>
      </c>
      <c r="O58">
        <f t="shared" si="0"/>
        <v>171.33333327533333</v>
      </c>
      <c r="P58">
        <f t="shared" si="1"/>
        <v>46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848</v>
      </c>
      <c r="N59">
        <f>SUMIF(Erfassung6!BD:BD,L59,Erfassung6!BG:BG)</f>
        <v>5</v>
      </c>
      <c r="O59">
        <f t="shared" si="0"/>
        <v>169.59999994099999</v>
      </c>
      <c r="P59">
        <f t="shared" si="1"/>
        <v>48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1105</v>
      </c>
      <c r="N60">
        <f>SUMIF(Erfassung6!BD:BD,L60,Erfassung6!BG:BG)</f>
        <v>6</v>
      </c>
      <c r="O60">
        <f t="shared" si="0"/>
        <v>184.16666660666667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53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803</v>
      </c>
      <c r="N62">
        <f>SUMIF(Erfassung6!BD:BD,L62,Erfassung6!BG:BG)</f>
        <v>4</v>
      </c>
      <c r="O62">
        <f t="shared" si="0"/>
        <v>200.749999938</v>
      </c>
      <c r="P62">
        <f t="shared" si="1"/>
        <v>11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53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53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773</v>
      </c>
      <c r="N65">
        <f>SUMIF(Erfassung6!BD:BD,L65,Erfassung6!BG:BG)</f>
        <v>4</v>
      </c>
      <c r="O65">
        <f t="shared" si="0"/>
        <v>193.24999993500001</v>
      </c>
      <c r="P65">
        <f t="shared" si="1"/>
        <v>23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696</v>
      </c>
      <c r="N66">
        <f>SUMIF(Erfassung6!BD:BD,L66,Erfassung6!BG:BG)</f>
        <v>4</v>
      </c>
      <c r="O66">
        <f t="shared" ref="O66:O104" si="12">IF(N66=0,0,M66/N66-ROW()/1000000000)</f>
        <v>173.99999993399999</v>
      </c>
      <c r="P66">
        <f t="shared" ref="P66:P104" si="13">RANK(O66,O:O)</f>
        <v>43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1755</v>
      </c>
      <c r="N67">
        <f>SUMIF(Erfassung6!BD:BD,L67,Erfassung6!BG:BG)</f>
        <v>9</v>
      </c>
      <c r="O67">
        <f t="shared" si="12"/>
        <v>194.999999933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53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53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53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53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53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SUMIF(Erfassung6!BD:BD,L73,Erfassung6!BW:BW)</f>
        <v>770</v>
      </c>
      <c r="N73">
        <f>SUMIF(Erfassung6!BD:BD,L73,Erfassung6!BG:BG)</f>
        <v>4</v>
      </c>
      <c r="O73">
        <f t="shared" si="12"/>
        <v>192.499999927</v>
      </c>
      <c r="P73">
        <f t="shared" si="13"/>
        <v>24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SUMIF(Erfassung6!BD:BD,L74,Erfassung6!BW:BW)</f>
        <v>893</v>
      </c>
      <c r="N74">
        <f>SUMIF(Erfassung6!BD:BD,L74,Erfassung6!BG:BG)</f>
        <v>5</v>
      </c>
      <c r="O74">
        <f t="shared" si="12"/>
        <v>178.59999992599998</v>
      </c>
      <c r="P74">
        <f t="shared" si="13"/>
        <v>39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25465</v>
      </c>
      <c r="M75">
        <f>SUMIF(Erfassung6!BD:BD,L75,Erfassung6!BW:BW)</f>
        <v>968</v>
      </c>
      <c r="N75">
        <f>SUMIF(Erfassung6!BD:BD,L75,Erfassung6!BG:BG)</f>
        <v>5</v>
      </c>
      <c r="O75">
        <f t="shared" si="12"/>
        <v>193.59999992499999</v>
      </c>
      <c r="P75">
        <f t="shared" si="13"/>
        <v>22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53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53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53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53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53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53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53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53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53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53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53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53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53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53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53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53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53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53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53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53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53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53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53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53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53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53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53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53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53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9202</v>
      </c>
      <c r="N2">
        <f>INDEX(SchnittGes5!N:N,MATCH(L2,SchnittGes5!L:L,0))+INDEX(Schnitt6!N:N,MATCH(L2,Schnitt6!L:L,0))</f>
        <v>43</v>
      </c>
      <c r="O2">
        <f t="shared" ref="O2:O11" si="0">IF(N2=0,0,M2/N2-ROW()/1000000000)</f>
        <v>213.99999999799999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8028</v>
      </c>
      <c r="N3">
        <f>INDEX(SchnittGes5!N:N,MATCH(L3,SchnittGes5!L:L,0))+INDEX(Schnitt6!N:N,MATCH(L3,Schnitt6!L:L,0))</f>
        <v>42</v>
      </c>
      <c r="O3">
        <f t="shared" si="0"/>
        <v>191.14285713985714</v>
      </c>
      <c r="P3">
        <f t="shared" si="1"/>
        <v>36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10776</v>
      </c>
      <c r="N4">
        <f>INDEX(SchnittGes5!N:N,MATCH(L4,SchnittGes5!L:L,0))+INDEX(Schnitt6!N:N,MATCH(L4,Schnitt6!L:L,0))</f>
        <v>53</v>
      </c>
      <c r="O4">
        <f t="shared" si="0"/>
        <v>203.32075471298114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9036</v>
      </c>
      <c r="N5">
        <f>INDEX(SchnittGes5!N:N,MATCH(L5,SchnittGes5!L:L,0))+INDEX(Schnitt6!N:N,MATCH(L5,Schnitt6!L:L,0))</f>
        <v>47</v>
      </c>
      <c r="O5">
        <f t="shared" si="0"/>
        <v>192.25531914393616</v>
      </c>
      <c r="P5">
        <f t="shared" si="1"/>
        <v>32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9202</v>
      </c>
      <c r="F6">
        <f t="shared" si="4"/>
        <v>43</v>
      </c>
      <c r="G6" s="137">
        <f t="shared" si="5"/>
        <v>213.99999999799999</v>
      </c>
      <c r="L6" s="227">
        <f>INDEX(Starter!A:A,ROW()-1)</f>
        <v>38411</v>
      </c>
      <c r="M6">
        <f>INDEX(SchnittGes5!M:M,MATCH(L6,SchnittGes5!L:L,0))+INDEX(Schnitt6!M:M,MATCH(L6,Schnitt6!L:L,0))</f>
        <v>7863</v>
      </c>
      <c r="N6">
        <f>INDEX(SchnittGes5!N:N,MATCH(L6,SchnittGes5!L:L,0))+INDEX(Schnitt6!N:N,MATCH(L6,Schnitt6!L:L,0))</f>
        <v>45</v>
      </c>
      <c r="O6">
        <f t="shared" si="0"/>
        <v>174.73333332733333</v>
      </c>
      <c r="P6">
        <f t="shared" si="1"/>
        <v>60</v>
      </c>
    </row>
    <row r="7" spans="1:16" x14ac:dyDescent="0.25">
      <c r="A7">
        <f t="shared" si="6"/>
        <v>3</v>
      </c>
      <c r="B7">
        <f t="shared" si="2"/>
        <v>16243</v>
      </c>
      <c r="C7" t="str">
        <f>IFERROR(INDEX(Starter!B:B,MATCH(B7,Starter!A:A,0)),"")</f>
        <v>Glatzer, Daniel</v>
      </c>
      <c r="D7" t="str">
        <f>IFERROR(INDEX(Starter!C:C,MATCH(B7,Starter!A:A,0)),"")</f>
        <v>Comet</v>
      </c>
      <c r="E7" s="102">
        <f t="shared" si="3"/>
        <v>7013</v>
      </c>
      <c r="F7">
        <f t="shared" si="4"/>
        <v>33</v>
      </c>
      <c r="G7" s="137">
        <f t="shared" si="5"/>
        <v>212.51515148915149</v>
      </c>
      <c r="L7" s="227">
        <f>INDEX(Starter!A:A,ROW()-1)</f>
        <v>38361</v>
      </c>
      <c r="M7">
        <f>INDEX(SchnittGes5!M:M,MATCH(L7,SchnittGes5!L:L,0))+INDEX(Schnitt6!M:M,MATCH(L7,Schnitt6!L:L,0))</f>
        <v>9474</v>
      </c>
      <c r="N7">
        <f>INDEX(SchnittGes5!N:N,MATCH(L7,SchnittGes5!L:L,0))+INDEX(Schnitt6!N:N,MATCH(L7,Schnitt6!L:L,0))</f>
        <v>54</v>
      </c>
      <c r="O7">
        <f t="shared" si="0"/>
        <v>175.44444443744445</v>
      </c>
      <c r="P7">
        <f t="shared" si="1"/>
        <v>58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6958</v>
      </c>
      <c r="N8">
        <f>INDEX(SchnittGes5!N:N,MATCH(L8,SchnittGes5!L:L,0))+INDEX(Schnitt6!N:N,MATCH(L8,Schnitt6!L:L,0))</f>
        <v>36</v>
      </c>
      <c r="O8">
        <f t="shared" si="0"/>
        <v>193.27777776977777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7885</v>
      </c>
      <c r="C9" t="str">
        <f>IFERROR(INDEX(Starter!B:B,MATCH(B9,Starter!A:A,0)),"")</f>
        <v>Hinterwimmer, Sebastian</v>
      </c>
      <c r="D9" t="str">
        <f>IFERROR(INDEX(Starter!C:C,MATCH(B9,Starter!A:A,0)),"")</f>
        <v>BK München</v>
      </c>
      <c r="E9" s="102">
        <f t="shared" si="3"/>
        <v>6513</v>
      </c>
      <c r="F9">
        <f t="shared" si="4"/>
        <v>31</v>
      </c>
      <c r="G9" s="137">
        <f t="shared" si="5"/>
        <v>210.09677417654839</v>
      </c>
      <c r="L9" s="227">
        <f>INDEX(Starter!A:A,ROW()-1)</f>
        <v>7348</v>
      </c>
      <c r="M9">
        <f>INDEX(SchnittGes5!M:M,MATCH(L9,SchnittGes5!L:L,0))+INDEX(Schnitt6!M:M,MATCH(L9,Schnitt6!L:L,0))</f>
        <v>10901</v>
      </c>
      <c r="N9">
        <f>INDEX(SchnittGes5!N:N,MATCH(L9,SchnittGes5!L:L,0))+INDEX(Schnitt6!N:N,MATCH(L9,Schnitt6!L:L,0))</f>
        <v>54</v>
      </c>
      <c r="O9">
        <f t="shared" si="0"/>
        <v>201.87037036137039</v>
      </c>
      <c r="P9">
        <f t="shared" si="1"/>
        <v>15</v>
      </c>
    </row>
    <row r="10" spans="1:16" x14ac:dyDescent="0.25">
      <c r="A10">
        <f t="shared" si="6"/>
        <v>6</v>
      </c>
      <c r="B10">
        <f t="shared" si="2"/>
        <v>7734</v>
      </c>
      <c r="C10" t="str">
        <f>IFERROR(INDEX(Starter!B:B,MATCH(B10,Starter!A:A,0)),"")</f>
        <v>Schwarz, Jan</v>
      </c>
      <c r="D10" t="str">
        <f>IFERROR(INDEX(Starter!C:C,MATCH(B10,Starter!A:A,0)),"")</f>
        <v>Comet</v>
      </c>
      <c r="E10" s="102">
        <f t="shared" si="3"/>
        <v>5016</v>
      </c>
      <c r="F10">
        <f t="shared" si="4"/>
        <v>24</v>
      </c>
      <c r="G10" s="137">
        <f t="shared" si="5"/>
        <v>208.99999997200001</v>
      </c>
      <c r="L10" s="227">
        <f>INDEX(Starter!A:A,ROW()-1)</f>
        <v>16852</v>
      </c>
      <c r="M10">
        <f>INDEX(SchnittGes5!M:M,MATCH(L10,SchnittGes5!L:L,0))+INDEX(Schnitt6!M:M,MATCH(L10,Schnitt6!L:L,0))</f>
        <v>7107</v>
      </c>
      <c r="N10">
        <f>INDEX(SchnittGes5!N:N,MATCH(L10,SchnittGes5!L:L,0))+INDEX(Schnitt6!N:N,MATCH(L10,Schnitt6!L:L,0))</f>
        <v>38</v>
      </c>
      <c r="O10">
        <f t="shared" si="0"/>
        <v>187.02631577947366</v>
      </c>
      <c r="P10">
        <f t="shared" si="1"/>
        <v>42</v>
      </c>
    </row>
    <row r="11" spans="1:16" x14ac:dyDescent="0.25">
      <c r="A11">
        <f t="shared" si="6"/>
        <v>7</v>
      </c>
      <c r="B11">
        <f t="shared" si="2"/>
        <v>7591</v>
      </c>
      <c r="C11" t="str">
        <f>IFERROR(INDEX(Starter!B:B,MATCH(B11,Starter!A:A,0)),"")</f>
        <v>Börding, Daniel</v>
      </c>
      <c r="D11" t="str">
        <f>IFERROR(INDEX(Starter!C:C,MATCH(B11,Starter!A:A,0)),"")</f>
        <v>BK München</v>
      </c>
      <c r="E11" s="102">
        <f t="shared" si="3"/>
        <v>5414</v>
      </c>
      <c r="F11">
        <f t="shared" si="4"/>
        <v>26</v>
      </c>
      <c r="G11" s="137">
        <f t="shared" si="5"/>
        <v>208.23076918376924</v>
      </c>
      <c r="L11" s="227">
        <f>INDEX(Starter!A:A,ROW()-1)</f>
        <v>16352</v>
      </c>
      <c r="M11">
        <f>INDEX(SchnittGes5!M:M,MATCH(L11,SchnittGes5!L:L,0))+INDEX(Schnitt6!M:M,MATCH(L11,Schnitt6!L:L,0))</f>
        <v>4572</v>
      </c>
      <c r="N11">
        <f>INDEX(SchnittGes5!N:N,MATCH(L11,SchnittGes5!L:L,0))+INDEX(Schnitt6!N:N,MATCH(L11,Schnitt6!L:L,0))</f>
        <v>25</v>
      </c>
      <c r="O11">
        <f t="shared" si="0"/>
        <v>182.879999989</v>
      </c>
      <c r="P11">
        <f t="shared" si="1"/>
        <v>51</v>
      </c>
    </row>
    <row r="12" spans="1:16" x14ac:dyDescent="0.25">
      <c r="A12">
        <f t="shared" si="6"/>
        <v>8</v>
      </c>
      <c r="B12">
        <f t="shared" si="2"/>
        <v>7408</v>
      </c>
      <c r="C12" t="str">
        <f>IFERROR(INDEX(Starter!B:B,MATCH(B12,Starter!A:A,0)),"")</f>
        <v>Glasl jun., Hans-Jürgen</v>
      </c>
      <c r="D12" t="str">
        <f>IFERROR(INDEX(Starter!C:C,MATCH(B12,Starter!A:A,0)),"")</f>
        <v>BC Bajuwaren 1976 München</v>
      </c>
      <c r="E12" s="102">
        <f t="shared" si="3"/>
        <v>11179</v>
      </c>
      <c r="F12">
        <f t="shared" si="4"/>
        <v>54</v>
      </c>
      <c r="G12" s="137">
        <f t="shared" si="5"/>
        <v>207.0185185005185</v>
      </c>
      <c r="L12" s="227">
        <f>INDEX(Starter!A:A,ROW()-1)</f>
        <v>16495</v>
      </c>
      <c r="M12">
        <f>INDEX(SchnittGes5!M:M,MATCH(L12,SchnittGes5!L:L,0))+INDEX(Schnitt6!M:M,MATCH(L12,Schnitt6!L:L,0))</f>
        <v>10094</v>
      </c>
      <c r="N12">
        <f>INDEX(SchnittGes5!N:N,MATCH(L12,SchnittGes5!L:L,0))+INDEX(Schnitt6!N:N,MATCH(L12,Schnitt6!L:L,0))</f>
        <v>53</v>
      </c>
      <c r="O12">
        <f t="shared" ref="O12:O75" si="7">IF(N12=0,0,M12/N12-ROW()/1000000000)</f>
        <v>190.45283017667927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7099</v>
      </c>
      <c r="C13" t="str">
        <f>IFERROR(INDEX(Starter!B:B,MATCH(B13,Starter!A:A,0)),"")</f>
        <v>Holzinger, Sebastian</v>
      </c>
      <c r="D13" t="str">
        <f>IFERROR(INDEX(Starter!C:C,MATCH(B13,Starter!A:A,0)),"")</f>
        <v>BC Bamberger Bowlinghaus</v>
      </c>
      <c r="E13" s="102">
        <f t="shared" si="3"/>
        <v>5580</v>
      </c>
      <c r="F13">
        <f t="shared" si="4"/>
        <v>27</v>
      </c>
      <c r="G13" s="137">
        <f t="shared" si="5"/>
        <v>206.66666662966665</v>
      </c>
      <c r="L13" s="227">
        <f>INDEX(Starter!A:A,ROW()-1)</f>
        <v>16945</v>
      </c>
      <c r="M13">
        <f>INDEX(SchnittGes5!M:M,MATCH(L13,SchnittGes5!L:L,0))+INDEX(Schnitt6!M:M,MATCH(L13,Schnitt6!L:L,0))</f>
        <v>9897</v>
      </c>
      <c r="N13">
        <f>INDEX(SchnittGes5!N:N,MATCH(L13,SchnittGes5!L:L,0))+INDEX(Schnitt6!N:N,MATCH(L13,Schnitt6!L:L,0))</f>
        <v>51</v>
      </c>
      <c r="O13">
        <f t="shared" si="7"/>
        <v>194.05882351641176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7102</v>
      </c>
      <c r="C14" t="str">
        <f>IFERROR(INDEX(Starter!B:B,MATCH(B14,Starter!A:A,0)),"")</f>
        <v>Schick, Andreas</v>
      </c>
      <c r="D14" t="str">
        <f>IFERROR(INDEX(Starter!C:C,MATCH(B14,Starter!A:A,0)),"")</f>
        <v>Comet</v>
      </c>
      <c r="E14" s="102">
        <f t="shared" si="3"/>
        <v>7433</v>
      </c>
      <c r="F14">
        <f t="shared" si="4"/>
        <v>36</v>
      </c>
      <c r="G14" s="137">
        <f t="shared" si="5"/>
        <v>206.47222219122222</v>
      </c>
      <c r="L14" s="227">
        <f>INDEX(Starter!A:A,ROW()-1)</f>
        <v>7867</v>
      </c>
      <c r="M14">
        <f>INDEX(SchnittGes5!M:M,MATCH(L14,SchnittGes5!L:L,0))+INDEX(Schnitt6!M:M,MATCH(L14,Schnitt6!L:L,0))</f>
        <v>6207</v>
      </c>
      <c r="N14">
        <f>INDEX(SchnittGes5!N:N,MATCH(L14,SchnittGes5!L:L,0))+INDEX(Schnitt6!N:N,MATCH(L14,Schnitt6!L:L,0))</f>
        <v>31</v>
      </c>
      <c r="O14">
        <f t="shared" si="7"/>
        <v>200.2258064376129</v>
      </c>
      <c r="P14">
        <f t="shared" si="1"/>
        <v>16</v>
      </c>
    </row>
    <row r="15" spans="1:16" x14ac:dyDescent="0.25">
      <c r="A15">
        <f t="shared" si="6"/>
        <v>11</v>
      </c>
      <c r="B15">
        <f t="shared" si="2"/>
        <v>7937</v>
      </c>
      <c r="C15" t="str">
        <f>IFERROR(INDEX(Starter!B:B,MATCH(B15,Starter!A:A,0)),"")</f>
        <v>Birkner, Jochen</v>
      </c>
      <c r="D15" t="str">
        <f>IFERROR(INDEX(Starter!C:C,MATCH(B15,Starter!A:A,0)),"")</f>
        <v>BF Rot-Weiß Lichtenhof 69</v>
      </c>
      <c r="E15" s="102">
        <f t="shared" si="3"/>
        <v>11073</v>
      </c>
      <c r="F15">
        <f t="shared" si="4"/>
        <v>54</v>
      </c>
      <c r="G15" s="137">
        <f t="shared" si="5"/>
        <v>205.05555551455555</v>
      </c>
      <c r="L15" s="227">
        <f>INDEX(Starter!A:A,ROW()-1)</f>
        <v>7597</v>
      </c>
      <c r="M15">
        <f>INDEX(SchnittGes5!M:M,MATCH(L15,SchnittGes5!L:L,0))+INDEX(Schnitt6!M:M,MATCH(L15,Schnitt6!L:L,0))</f>
        <v>7839</v>
      </c>
      <c r="N15">
        <f>INDEX(SchnittGes5!N:N,MATCH(L15,SchnittGes5!L:L,0))+INDEX(Schnitt6!N:N,MATCH(L15,Schnitt6!L:L,0))</f>
        <v>42</v>
      </c>
      <c r="O15">
        <f t="shared" si="7"/>
        <v>186.64285712785713</v>
      </c>
      <c r="P15">
        <f t="shared" si="1"/>
        <v>44</v>
      </c>
    </row>
    <row r="16" spans="1:16" x14ac:dyDescent="0.25">
      <c r="A16">
        <f t="shared" si="6"/>
        <v>12</v>
      </c>
      <c r="B16">
        <f t="shared" si="2"/>
        <v>7428</v>
      </c>
      <c r="C16" t="str">
        <f>IFERROR(INDEX(Starter!B:B,MATCH(B16,Starter!A:A,0)),"")</f>
        <v>Pirzer, Robert</v>
      </c>
      <c r="D16" t="str">
        <f>IFERROR(INDEX(Starter!C:C,MATCH(B16,Starter!A:A,0)),"")</f>
        <v>BC EMAX</v>
      </c>
      <c r="E16" s="102">
        <f t="shared" si="3"/>
        <v>6955</v>
      </c>
      <c r="F16">
        <f t="shared" si="4"/>
        <v>34</v>
      </c>
      <c r="G16" s="137">
        <f t="shared" si="5"/>
        <v>204.55882347341176</v>
      </c>
      <c r="L16" s="227">
        <f>INDEX(Starter!A:A,ROW()-1)</f>
        <v>16912</v>
      </c>
      <c r="M16">
        <f>INDEX(SchnittGes5!M:M,MATCH(L16,SchnittGes5!L:L,0))+INDEX(Schnitt6!M:M,MATCH(L16,Schnitt6!L:L,0))</f>
        <v>7164</v>
      </c>
      <c r="N16">
        <f>INDEX(SchnittGes5!N:N,MATCH(L16,SchnittGes5!L:L,0))+INDEX(Schnitt6!N:N,MATCH(L16,Schnitt6!L:L,0))</f>
        <v>36</v>
      </c>
      <c r="O16">
        <f t="shared" si="7"/>
        <v>198.999999984</v>
      </c>
      <c r="P16">
        <f t="shared" si="1"/>
        <v>17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10776</v>
      </c>
      <c r="F17">
        <f t="shared" si="4"/>
        <v>53</v>
      </c>
      <c r="G17" s="137">
        <f t="shared" si="5"/>
        <v>203.32075471298114</v>
      </c>
      <c r="L17" s="227">
        <f>INDEX(Starter!A:A,ROW()-1)</f>
        <v>7885</v>
      </c>
      <c r="M17">
        <f>INDEX(SchnittGes5!M:M,MATCH(L17,SchnittGes5!L:L,0))+INDEX(Schnitt6!M:M,MATCH(L17,Schnitt6!L:L,0))</f>
        <v>6513</v>
      </c>
      <c r="N17">
        <f>INDEX(SchnittGes5!N:N,MATCH(L17,SchnittGes5!L:L,0))+INDEX(Schnitt6!N:N,MATCH(L17,Schnitt6!L:L,0))</f>
        <v>31</v>
      </c>
      <c r="O17">
        <f t="shared" si="7"/>
        <v>210.09677417654839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6879</v>
      </c>
      <c r="F18">
        <f t="shared" si="4"/>
        <v>34</v>
      </c>
      <c r="G18" s="137">
        <f t="shared" si="5"/>
        <v>202.32352938276469</v>
      </c>
      <c r="L18" s="227">
        <f>INDEX(Starter!A:A,ROW()-1)</f>
        <v>7408</v>
      </c>
      <c r="M18">
        <f>INDEX(SchnittGes5!M:M,MATCH(L18,SchnittGes5!L:L,0))+INDEX(Schnitt6!M:M,MATCH(L18,Schnitt6!L:L,0))</f>
        <v>11179</v>
      </c>
      <c r="N18">
        <f>INDEX(SchnittGes5!N:N,MATCH(L18,SchnittGes5!L:L,0))+INDEX(Schnitt6!N:N,MATCH(L18,Schnitt6!L:L,0))</f>
        <v>54</v>
      </c>
      <c r="O18">
        <f t="shared" si="7"/>
        <v>207.0185185005185</v>
      </c>
      <c r="P18">
        <f t="shared" si="1"/>
        <v>8</v>
      </c>
    </row>
    <row r="19" spans="1:16" x14ac:dyDescent="0.25">
      <c r="A19">
        <f t="shared" si="6"/>
        <v>15</v>
      </c>
      <c r="B19">
        <f t="shared" si="2"/>
        <v>7348</v>
      </c>
      <c r="C19" t="str">
        <f>IFERROR(INDEX(Starter!B:B,MATCH(B19,Starter!A:A,0)),"")</f>
        <v>Spielvogel, Jochen</v>
      </c>
      <c r="D19" t="str">
        <f>IFERROR(INDEX(Starter!C:C,MATCH(B19,Starter!A:A,0)),"")</f>
        <v>BC Schanzer Strikers</v>
      </c>
      <c r="E19" s="102">
        <f t="shared" si="3"/>
        <v>10901</v>
      </c>
      <c r="F19">
        <f t="shared" si="4"/>
        <v>54</v>
      </c>
      <c r="G19" s="137">
        <f t="shared" si="5"/>
        <v>201.87037036137039</v>
      </c>
      <c r="L19" s="227">
        <f>INDEX(Starter!A:A,ROW()-1)</f>
        <v>16762</v>
      </c>
      <c r="M19">
        <f>INDEX(SchnittGes5!M:M,MATCH(L19,SchnittGes5!L:L,0))+INDEX(Schnitt6!M:M,MATCH(L19,Schnitt6!L:L,0))</f>
        <v>4699</v>
      </c>
      <c r="N19">
        <f>INDEX(SchnittGes5!N:N,MATCH(L19,SchnittGes5!L:L,0))+INDEX(Schnitt6!N:N,MATCH(L19,Schnitt6!L:L,0))</f>
        <v>27</v>
      </c>
      <c r="O19">
        <f t="shared" si="7"/>
        <v>174.03703701803704</v>
      </c>
      <c r="P19">
        <f t="shared" si="1"/>
        <v>61</v>
      </c>
    </row>
    <row r="20" spans="1:16" x14ac:dyDescent="0.25">
      <c r="A20">
        <f t="shared" si="6"/>
        <v>16</v>
      </c>
      <c r="B20">
        <f t="shared" si="2"/>
        <v>7867</v>
      </c>
      <c r="C20" t="str">
        <f>IFERROR(INDEX(Starter!B:B,MATCH(B20,Starter!A:A,0)),"")</f>
        <v>Hinterwimmer, Georg</v>
      </c>
      <c r="D20" t="str">
        <f>IFERROR(INDEX(Starter!C:C,MATCH(B20,Starter!A:A,0)),"")</f>
        <v>BK München</v>
      </c>
      <c r="E20" s="102">
        <f t="shared" si="3"/>
        <v>6207</v>
      </c>
      <c r="F20">
        <f t="shared" si="4"/>
        <v>31</v>
      </c>
      <c r="G20" s="137">
        <f t="shared" si="5"/>
        <v>200.2258064376129</v>
      </c>
      <c r="L20" s="227">
        <f>INDEX(Starter!A:A,ROW()-1)</f>
        <v>7600</v>
      </c>
      <c r="M20">
        <f>INDEX(SchnittGes5!M:M,MATCH(L20,SchnittGes5!L:L,0))+INDEX(Schnitt6!M:M,MATCH(L20,Schnitt6!L:L,0))</f>
        <v>8085</v>
      </c>
      <c r="N20">
        <f>INDEX(SchnittGes5!N:N,MATCH(L20,SchnittGes5!L:L,0))+INDEX(Schnitt6!N:N,MATCH(L20,Schnitt6!L:L,0))</f>
        <v>44</v>
      </c>
      <c r="O20">
        <f t="shared" si="7"/>
        <v>183.74999998000001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16912</v>
      </c>
      <c r="C21" t="str">
        <f>IFERROR(INDEX(Starter!B:B,MATCH(B21,Starter!A:A,0)),"")</f>
        <v>Hellmessen, Maximilian</v>
      </c>
      <c r="D21" t="str">
        <f>IFERROR(INDEX(Starter!C:C,MATCH(B21,Starter!A:A,0)),"")</f>
        <v>BK München</v>
      </c>
      <c r="E21" s="102">
        <f t="shared" si="3"/>
        <v>7164</v>
      </c>
      <c r="F21">
        <f t="shared" si="4"/>
        <v>36</v>
      </c>
      <c r="G21" s="137">
        <f t="shared" si="5"/>
        <v>198.999999984</v>
      </c>
      <c r="L21" s="227">
        <f>INDEX(Starter!A:A,ROW()-1)</f>
        <v>7416</v>
      </c>
      <c r="M21">
        <f>INDEX(SchnittGes5!M:M,MATCH(L21,SchnittGes5!L:L,0))+INDEX(Schnitt6!M:M,MATCH(L21,Schnitt6!L:L,0))</f>
        <v>10278</v>
      </c>
      <c r="N21">
        <f>INDEX(SchnittGes5!N:N,MATCH(L21,SchnittGes5!L:L,0))+INDEX(Schnitt6!N:N,MATCH(L21,Schnitt6!L:L,0))</f>
        <v>52</v>
      </c>
      <c r="O21">
        <f t="shared" si="7"/>
        <v>197.65384613284616</v>
      </c>
      <c r="P21">
        <f t="shared" si="1"/>
        <v>21</v>
      </c>
    </row>
    <row r="22" spans="1:16" x14ac:dyDescent="0.25">
      <c r="A22">
        <f t="shared" si="6"/>
        <v>18</v>
      </c>
      <c r="B22">
        <f t="shared" si="2"/>
        <v>7602</v>
      </c>
      <c r="C22" t="str">
        <f>IFERROR(INDEX(Starter!B:B,MATCH(B22,Starter!A:A,0)),"")</f>
        <v>Probst, Marco</v>
      </c>
      <c r="D22" t="str">
        <f>IFERROR(INDEX(Starter!C:C,MATCH(B22,Starter!A:A,0)),"")</f>
        <v>BC EMAX</v>
      </c>
      <c r="E22" s="102">
        <f t="shared" si="3"/>
        <v>7960</v>
      </c>
      <c r="F22">
        <f t="shared" si="4"/>
        <v>40</v>
      </c>
      <c r="G22" s="137">
        <f t="shared" si="5"/>
        <v>198.999999946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66</v>
      </c>
    </row>
    <row r="23" spans="1:16" x14ac:dyDescent="0.25">
      <c r="A23">
        <f t="shared" si="6"/>
        <v>19</v>
      </c>
      <c r="B23">
        <f t="shared" si="2"/>
        <v>16532</v>
      </c>
      <c r="C23" t="str">
        <f>IFERROR(INDEX(Starter!B:B,MATCH(B23,Starter!A:A,0)),"")</f>
        <v>Karl, William</v>
      </c>
      <c r="D23" t="str">
        <f>IFERROR(INDEX(Starter!C:C,MATCH(B23,Starter!A:A,0)),"")</f>
        <v>BC Bamberger Bowlinghaus</v>
      </c>
      <c r="E23" s="102">
        <f t="shared" si="3"/>
        <v>4574</v>
      </c>
      <c r="F23">
        <f t="shared" si="4"/>
        <v>23</v>
      </c>
      <c r="G23" s="137">
        <f t="shared" si="5"/>
        <v>198.86956516039132</v>
      </c>
      <c r="L23" s="227">
        <f>INDEX(Starter!A:A,ROW()-1)</f>
        <v>25297</v>
      </c>
      <c r="M23">
        <f>INDEX(SchnittGes5!M:M,MATCH(L23,SchnittGes5!L:L,0))+INDEX(Schnitt6!M:M,MATCH(L23,Schnitt6!L:L,0))</f>
        <v>6556</v>
      </c>
      <c r="N23">
        <f>INDEX(SchnittGes5!N:N,MATCH(L23,SchnittGes5!L:L,0))+INDEX(Schnitt6!N:N,MATCH(L23,Schnitt6!L:L,0))</f>
        <v>34</v>
      </c>
      <c r="O23">
        <f t="shared" si="7"/>
        <v>192.82352938876468</v>
      </c>
      <c r="P23">
        <f t="shared" si="1"/>
        <v>31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6922</v>
      </c>
      <c r="F24">
        <f t="shared" si="4"/>
        <v>35</v>
      </c>
      <c r="G24" s="137">
        <f t="shared" si="5"/>
        <v>197.77142854142858</v>
      </c>
      <c r="L24" s="227">
        <f>INDEX(Starter!A:A,ROW()-1)</f>
        <v>16888</v>
      </c>
      <c r="M24">
        <f>INDEX(SchnittGes5!M:M,MATCH(L24,SchnittGes5!L:L,0))+INDEX(Schnitt6!M:M,MATCH(L24,Schnitt6!L:L,0))</f>
        <v>8807</v>
      </c>
      <c r="N24">
        <f>INDEX(SchnittGes5!N:N,MATCH(L24,SchnittGes5!L:L,0))+INDEX(Schnitt6!N:N,MATCH(L24,Schnitt6!L:L,0))</f>
        <v>46</v>
      </c>
      <c r="O24">
        <f t="shared" si="7"/>
        <v>191.45652171513044</v>
      </c>
      <c r="P24">
        <f t="shared" si="1"/>
        <v>34</v>
      </c>
    </row>
    <row r="25" spans="1:16" x14ac:dyDescent="0.25">
      <c r="A25">
        <f t="shared" si="6"/>
        <v>21</v>
      </c>
      <c r="B25">
        <f t="shared" si="2"/>
        <v>7416</v>
      </c>
      <c r="C25" t="str">
        <f>IFERROR(INDEX(Starter!B:B,MATCH(B25,Starter!A:A,0)),"")</f>
        <v>Reichert, Ralph</v>
      </c>
      <c r="D25" t="str">
        <f>IFERROR(INDEX(Starter!C:C,MATCH(B25,Starter!A:A,0)),"")</f>
        <v>BC Bajuwaren 1976 München</v>
      </c>
      <c r="E25" s="102">
        <f t="shared" si="3"/>
        <v>10278</v>
      </c>
      <c r="F25">
        <f t="shared" si="4"/>
        <v>52</v>
      </c>
      <c r="G25" s="137">
        <f t="shared" si="5"/>
        <v>197.65384613284616</v>
      </c>
      <c r="L25" s="227">
        <f>INDEX(Starter!A:A,ROW()-1)</f>
        <v>38092</v>
      </c>
      <c r="M25">
        <f>INDEX(SchnittGes5!M:M,MATCH(L25,SchnittGes5!L:L,0))+INDEX(Schnitt6!M:M,MATCH(L25,Schnitt6!L:L,0))</f>
        <v>9584</v>
      </c>
      <c r="N25">
        <f>INDEX(SchnittGes5!N:N,MATCH(L25,SchnittGes5!L:L,0))+INDEX(Schnitt6!N:N,MATCH(L25,Schnitt6!L:L,0))</f>
        <v>52</v>
      </c>
      <c r="O25">
        <f t="shared" si="7"/>
        <v>184.30769228269233</v>
      </c>
      <c r="P25">
        <f t="shared" si="1"/>
        <v>48</v>
      </c>
    </row>
    <row r="26" spans="1:16" x14ac:dyDescent="0.25">
      <c r="A26">
        <f t="shared" si="6"/>
        <v>22</v>
      </c>
      <c r="B26">
        <f t="shared" si="2"/>
        <v>7593</v>
      </c>
      <c r="C26" t="str">
        <f>IFERROR(INDEX(Starter!B:B,MATCH(B26,Starter!A:A,0)),"")</f>
        <v>Börding, Peter</v>
      </c>
      <c r="D26" t="str">
        <f>IFERROR(INDEX(Starter!C:C,MATCH(B26,Starter!A:A,0)),"")</f>
        <v>BK München</v>
      </c>
      <c r="E26" s="102">
        <f t="shared" si="3"/>
        <v>7101</v>
      </c>
      <c r="F26">
        <f t="shared" si="4"/>
        <v>36</v>
      </c>
      <c r="G26" s="137">
        <f t="shared" si="5"/>
        <v>197.249999954</v>
      </c>
      <c r="L26" s="227">
        <f>INDEX(Starter!A:A,ROW()-1)</f>
        <v>16243</v>
      </c>
      <c r="M26">
        <f>INDEX(SchnittGes5!M:M,MATCH(L26,SchnittGes5!L:L,0))+INDEX(Schnitt6!M:M,MATCH(L26,Schnitt6!L:L,0))</f>
        <v>7013</v>
      </c>
      <c r="N26">
        <f>INDEX(SchnittGes5!N:N,MATCH(L26,SchnittGes5!L:L,0))+INDEX(Schnitt6!N:N,MATCH(L26,Schnitt6!L:L,0))</f>
        <v>33</v>
      </c>
      <c r="O26">
        <f t="shared" si="7"/>
        <v>212.51515148915149</v>
      </c>
      <c r="P26">
        <f t="shared" si="1"/>
        <v>3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7859</v>
      </c>
      <c r="F27">
        <f t="shared" si="4"/>
        <v>40</v>
      </c>
      <c r="G27" s="137">
        <f t="shared" si="5"/>
        <v>196.47499994500001</v>
      </c>
      <c r="L27" s="227">
        <f>INDEX(Starter!A:A,ROW()-1)</f>
        <v>7725</v>
      </c>
      <c r="M27">
        <f>INDEX(SchnittGes5!M:M,MATCH(L27,SchnittGes5!L:L,0))+INDEX(Schnitt6!M:M,MATCH(L27,Schnitt6!L:L,0))</f>
        <v>8826</v>
      </c>
      <c r="N27">
        <f>INDEX(SchnittGes5!N:N,MATCH(L27,SchnittGes5!L:L,0))+INDEX(Schnitt6!N:N,MATCH(L27,Schnitt6!L:L,0))</f>
        <v>45</v>
      </c>
      <c r="O27">
        <f t="shared" si="7"/>
        <v>196.13333330633333</v>
      </c>
      <c r="P27">
        <f t="shared" si="1"/>
        <v>24</v>
      </c>
    </row>
    <row r="28" spans="1:16" x14ac:dyDescent="0.25">
      <c r="A28">
        <f t="shared" si="6"/>
        <v>24</v>
      </c>
      <c r="B28">
        <f t="shared" si="2"/>
        <v>7725</v>
      </c>
      <c r="C28" t="str">
        <f>IFERROR(INDEX(Starter!B:B,MATCH(B28,Starter!A:A,0)),"")</f>
        <v>Schlundt, Michael</v>
      </c>
      <c r="D28" t="str">
        <f>IFERROR(INDEX(Starter!C:C,MATCH(B28,Starter!A:A,0)),"")</f>
        <v>Comet</v>
      </c>
      <c r="E28" s="102">
        <f t="shared" si="3"/>
        <v>8826</v>
      </c>
      <c r="F28">
        <f t="shared" si="4"/>
        <v>45</v>
      </c>
      <c r="G28" s="137">
        <f t="shared" si="5"/>
        <v>196.13333330633333</v>
      </c>
      <c r="L28" s="227">
        <f>INDEX(Starter!A:A,ROW()-1)</f>
        <v>7734</v>
      </c>
      <c r="M28">
        <f>INDEX(SchnittGes5!M:M,MATCH(L28,SchnittGes5!L:L,0))+INDEX(Schnitt6!M:M,MATCH(L28,Schnitt6!L:L,0))</f>
        <v>5016</v>
      </c>
      <c r="N28">
        <f>INDEX(SchnittGes5!N:N,MATCH(L28,SchnittGes5!L:L,0))+INDEX(Schnitt6!N:N,MATCH(L28,Schnitt6!L:L,0))</f>
        <v>24</v>
      </c>
      <c r="O28">
        <f t="shared" si="7"/>
        <v>208.99999997200001</v>
      </c>
      <c r="P28">
        <f t="shared" si="1"/>
        <v>6</v>
      </c>
    </row>
    <row r="29" spans="1:16" x14ac:dyDescent="0.25">
      <c r="A29">
        <f t="shared" si="6"/>
        <v>25</v>
      </c>
      <c r="B29">
        <f t="shared" si="2"/>
        <v>16469</v>
      </c>
      <c r="C29" t="str">
        <f>IFERROR(INDEX(Starter!B:B,MATCH(B29,Starter!A:A,0)),"")</f>
        <v>Breitenstein, Alexander Kurt</v>
      </c>
      <c r="D29" t="str">
        <f>IFERROR(INDEX(Starter!C:C,MATCH(B29,Starter!A:A,0)),"")</f>
        <v>BF Rot-Weiß Lichtenhof 69</v>
      </c>
      <c r="E29" s="102">
        <f t="shared" si="3"/>
        <v>1750</v>
      </c>
      <c r="F29">
        <f t="shared" si="4"/>
        <v>9</v>
      </c>
      <c r="G29" s="137">
        <f t="shared" si="5"/>
        <v>194.44444437144446</v>
      </c>
      <c r="L29" s="227">
        <f>INDEX(Starter!A:A,ROW()-1)</f>
        <v>7724</v>
      </c>
      <c r="M29">
        <f>INDEX(SchnittGes5!M:M,MATCH(L29,SchnittGes5!L:L,0))+INDEX(Schnitt6!M:M,MATCH(L29,Schnitt6!L:L,0))</f>
        <v>6879</v>
      </c>
      <c r="N29">
        <f>INDEX(SchnittGes5!N:N,MATCH(L29,SchnittGes5!L:L,0))+INDEX(Schnitt6!N:N,MATCH(L29,Schnitt6!L:L,0))</f>
        <v>34</v>
      </c>
      <c r="O29">
        <f t="shared" si="7"/>
        <v>202.32352938276469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INDEX(SchnittGes5!M:M,MATCH(L30,SchnittGes5!L:L,0))+INDEX(Schnitt6!M:M,MATCH(L30,Schnitt6!L:L,0))</f>
        <v>6922</v>
      </c>
      <c r="N30">
        <f>INDEX(SchnittGes5!N:N,MATCH(L30,SchnittGes5!L:L,0))+INDEX(Schnitt6!N:N,MATCH(L30,Schnitt6!L:L,0))</f>
        <v>35</v>
      </c>
      <c r="O30">
        <f t="shared" si="7"/>
        <v>197.77142854142858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16945</v>
      </c>
      <c r="C31" t="str">
        <f>IFERROR(INDEX(Starter!B:B,MATCH(B31,Starter!A:A,0)),"")</f>
        <v>Reichardt, Stefan</v>
      </c>
      <c r="D31" t="str">
        <f>IFERROR(INDEX(Starter!C:C,MATCH(B31,Starter!A:A,0)),"")</f>
        <v>SG Rottendorf</v>
      </c>
      <c r="E31" s="102">
        <f t="shared" si="3"/>
        <v>9897</v>
      </c>
      <c r="F31">
        <f t="shared" si="4"/>
        <v>51</v>
      </c>
      <c r="G31" s="137">
        <f t="shared" si="5"/>
        <v>194.05882351641176</v>
      </c>
      <c r="L31" s="227">
        <f>INDEX(Starter!A:A,ROW()-1)</f>
        <v>7102</v>
      </c>
      <c r="M31">
        <f>INDEX(SchnittGes5!M:M,MATCH(L31,SchnittGes5!L:L,0))+INDEX(Schnitt6!M:M,MATCH(L31,Schnitt6!L:L,0))</f>
        <v>7433</v>
      </c>
      <c r="N31">
        <f>INDEX(SchnittGes5!N:N,MATCH(L31,SchnittGes5!L:L,0))+INDEX(Schnitt6!N:N,MATCH(L31,Schnitt6!L:L,0))</f>
        <v>36</v>
      </c>
      <c r="O31">
        <f t="shared" si="7"/>
        <v>206.47222219122222</v>
      </c>
      <c r="P31">
        <f t="shared" si="1"/>
        <v>10</v>
      </c>
    </row>
    <row r="32" spans="1:16" x14ac:dyDescent="0.25">
      <c r="A32">
        <f t="shared" si="6"/>
        <v>28</v>
      </c>
      <c r="B32">
        <f t="shared" si="2"/>
        <v>25465</v>
      </c>
      <c r="C32" t="str">
        <f>IFERROR(INDEX(Starter!B:B,MATCH(B32,Starter!A:A,0)),"")</f>
        <v>Wahl, Norbert</v>
      </c>
      <c r="D32" t="str">
        <f>IFERROR(INDEX(Starter!C:C,MATCH(B32,Starter!A:A,0)),"")</f>
        <v>BF Rot-Weiß Lichtenhof 69</v>
      </c>
      <c r="E32" s="102">
        <f t="shared" si="3"/>
        <v>968</v>
      </c>
      <c r="F32">
        <f t="shared" si="4"/>
        <v>5</v>
      </c>
      <c r="G32" s="137">
        <f t="shared" si="5"/>
        <v>193.59999992499999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70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INDEX(SchnittGes5!M:M,MATCH(L33,SchnittGes5!L:L,0))+INDEX(Schnitt6!M:M,MATCH(L33,Schnitt6!L:L,0))</f>
        <v>5459</v>
      </c>
      <c r="N33">
        <f>INDEX(SchnittGes5!N:N,MATCH(L33,SchnittGes5!L:L,0))+INDEX(Schnitt6!N:N,MATCH(L33,Schnitt6!L:L,0))</f>
        <v>31</v>
      </c>
      <c r="O33">
        <f t="shared" si="7"/>
        <v>176.09677416054839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6958</v>
      </c>
      <c r="F34">
        <f t="shared" si="4"/>
        <v>36</v>
      </c>
      <c r="G34" s="137">
        <f t="shared" si="5"/>
        <v>193.27777776977777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73</v>
      </c>
    </row>
    <row r="35" spans="1:16" x14ac:dyDescent="0.25">
      <c r="A35">
        <f t="shared" si="6"/>
        <v>31</v>
      </c>
      <c r="B35">
        <f t="shared" si="2"/>
        <v>25297</v>
      </c>
      <c r="C35" t="str">
        <f>IFERROR(INDEX(Starter!B:B,MATCH(B35,Starter!A:A,0)),"")</f>
        <v>Lengen, Peter</v>
      </c>
      <c r="D35" t="str">
        <f>IFERROR(INDEX(Starter!C:C,MATCH(B35,Starter!A:A,0)),"")</f>
        <v>BSC Highroller Rosenheim</v>
      </c>
      <c r="E35" s="102">
        <f t="shared" si="3"/>
        <v>6556</v>
      </c>
      <c r="F35">
        <f t="shared" si="4"/>
        <v>34</v>
      </c>
      <c r="G35" s="137">
        <f t="shared" si="5"/>
        <v>192.82352938876468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73</v>
      </c>
    </row>
    <row r="36" spans="1:16" x14ac:dyDescent="0.25">
      <c r="A36">
        <f t="shared" si="6"/>
        <v>32</v>
      </c>
      <c r="B36">
        <f t="shared" si="2"/>
        <v>16301</v>
      </c>
      <c r="C36" t="str">
        <f>IFERROR(INDEX(Starter!B:B,MATCH(B36,Starter!A:A,0)),"")</f>
        <v>Werder, Jan-Uwe</v>
      </c>
      <c r="D36" t="str">
        <f>IFERROR(INDEX(Starter!C:C,MATCH(B36,Starter!A:A,0)),"")</f>
        <v>DJK Rimpar</v>
      </c>
      <c r="E36" s="102">
        <f t="shared" si="3"/>
        <v>9036</v>
      </c>
      <c r="F36">
        <f t="shared" si="4"/>
        <v>47</v>
      </c>
      <c r="G36" s="137">
        <f t="shared" si="5"/>
        <v>192.25531914393616</v>
      </c>
      <c r="L36" s="227">
        <f>INDEX(Starter!A:A,ROW()-1)</f>
        <v>25554</v>
      </c>
      <c r="M36">
        <f>INDEX(SchnittGes5!M:M,MATCH(L36,SchnittGes5!L:L,0))+INDEX(Schnitt6!M:M,MATCH(L36,Schnitt6!L:L,0))</f>
        <v>4497</v>
      </c>
      <c r="N36">
        <f>INDEX(SchnittGes5!N:N,MATCH(L36,SchnittGes5!L:L,0))+INDEX(Schnitt6!N:N,MATCH(L36,Schnitt6!L:L,0))</f>
        <v>25</v>
      </c>
      <c r="O36">
        <f t="shared" si="7"/>
        <v>179.87999996400001</v>
      </c>
      <c r="P36">
        <f t="shared" si="8"/>
        <v>52</v>
      </c>
    </row>
    <row r="37" spans="1:16" x14ac:dyDescent="0.25">
      <c r="A37">
        <f t="shared" si="6"/>
        <v>33</v>
      </c>
      <c r="B37">
        <f t="shared" ref="B37:B68" si="9">IFERROR(INDEX(L:L,MATCH(A37,P:P,0)),"")</f>
        <v>16251</v>
      </c>
      <c r="C37" t="str">
        <f>IFERROR(INDEX(Starter!B:B,MATCH(B37,Starter!A:A,0)),"")</f>
        <v>Renner, Alexander</v>
      </c>
      <c r="D37" t="str">
        <f>IFERROR(INDEX(Starter!C:C,MATCH(B37,Starter!A:A,0)),"")</f>
        <v>BC Bamberger Bowlinghaus</v>
      </c>
      <c r="E37" s="102">
        <f t="shared" ref="E37:E68" si="10">IFERROR(INDEX(M:M,MATCH(A37,P:P,0)),"")</f>
        <v>4025</v>
      </c>
      <c r="F37">
        <f t="shared" ref="F37:F68" si="11">IFERROR(INDEX(N:N,MATCH(A37,P:P,0)),"")</f>
        <v>21</v>
      </c>
      <c r="G37" s="137">
        <f t="shared" ref="G37:G68" si="12">IFERROR(INDEX(O:O,MATCH(A37,P:P,0)),"")</f>
        <v>191.66666659966666</v>
      </c>
      <c r="L37" s="227">
        <f>INDEX(Starter!A:A,ROW()-1)</f>
        <v>7099</v>
      </c>
      <c r="M37">
        <f>INDEX(SchnittGes5!M:M,MATCH(L37,SchnittGes5!L:L,0))+INDEX(Schnitt6!M:M,MATCH(L37,Schnitt6!L:L,0))</f>
        <v>5580</v>
      </c>
      <c r="N37">
        <f>INDEX(SchnittGes5!N:N,MATCH(L37,SchnittGes5!L:L,0))+INDEX(Schnitt6!N:N,MATCH(L37,Schnitt6!L:L,0))</f>
        <v>27</v>
      </c>
      <c r="O37">
        <f t="shared" si="7"/>
        <v>206.66666662966665</v>
      </c>
      <c r="P37">
        <f t="shared" si="8"/>
        <v>9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16888</v>
      </c>
      <c r="C38" t="str">
        <f>IFERROR(INDEX(Starter!B:B,MATCH(B38,Starter!A:A,0)),"")</f>
        <v>Auer, Thomas</v>
      </c>
      <c r="D38" t="str">
        <f>IFERROR(INDEX(Starter!C:C,MATCH(B38,Starter!A:A,0)),"")</f>
        <v>BSC Highroller Rosenheim</v>
      </c>
      <c r="E38" s="102">
        <f t="shared" si="10"/>
        <v>8807</v>
      </c>
      <c r="F38">
        <f t="shared" si="11"/>
        <v>46</v>
      </c>
      <c r="G38" s="137">
        <f t="shared" si="12"/>
        <v>191.45652171513044</v>
      </c>
      <c r="L38" s="227">
        <f>INDEX(Starter!A:A,ROW()-1)</f>
        <v>38041</v>
      </c>
      <c r="M38">
        <f>INDEX(SchnittGes5!M:M,MATCH(L38,SchnittGes5!L:L,0))+INDEX(Schnitt6!M:M,MATCH(L38,Schnitt6!L:L,0))</f>
        <v>5606</v>
      </c>
      <c r="N38">
        <f>INDEX(SchnittGes5!N:N,MATCH(L38,SchnittGes5!L:L,0))+INDEX(Schnitt6!N:N,MATCH(L38,Schnitt6!L:L,0))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4208</v>
      </c>
      <c r="F39">
        <f t="shared" si="11"/>
        <v>22</v>
      </c>
      <c r="G39" s="137">
        <f t="shared" si="12"/>
        <v>191.27272720772729</v>
      </c>
      <c r="L39" s="227">
        <f>INDEX(Starter!A:A,ROW()-1)</f>
        <v>25516</v>
      </c>
      <c r="M39">
        <f>INDEX(SchnittGes5!M:M,MATCH(L39,SchnittGes5!L:L,0))+INDEX(Schnitt6!M:M,MATCH(L39,Schnitt6!L:L,0))</f>
        <v>5819</v>
      </c>
      <c r="N39">
        <f>INDEX(SchnittGes5!N:N,MATCH(L39,SchnittGes5!L:L,0))+INDEX(Schnitt6!N:N,MATCH(L39,Schnitt6!L:L,0))</f>
        <v>31</v>
      </c>
      <c r="O39">
        <f t="shared" si="7"/>
        <v>187.70967738035483</v>
      </c>
      <c r="P39">
        <f t="shared" si="8"/>
        <v>41</v>
      </c>
    </row>
    <row r="40" spans="1:16" x14ac:dyDescent="0.25">
      <c r="A40">
        <f t="shared" si="13"/>
        <v>36</v>
      </c>
      <c r="B40">
        <f t="shared" si="9"/>
        <v>38687</v>
      </c>
      <c r="C40" t="str">
        <f>IFERROR(INDEX(Starter!B:B,MATCH(B40,Starter!A:A,0)),"")</f>
        <v>Gräfe, Sebastian</v>
      </c>
      <c r="D40" t="str">
        <f>IFERROR(INDEX(Starter!C:C,MATCH(B40,Starter!A:A,0)),"")</f>
        <v>DJK Rimpar</v>
      </c>
      <c r="E40" s="102">
        <f t="shared" si="10"/>
        <v>8028</v>
      </c>
      <c r="F40">
        <f t="shared" si="11"/>
        <v>42</v>
      </c>
      <c r="G40" s="137">
        <f t="shared" si="12"/>
        <v>191.14285713985714</v>
      </c>
      <c r="L40" s="227">
        <f>INDEX(Starter!A:A,ROW()-1)</f>
        <v>16873</v>
      </c>
      <c r="M40">
        <f>INDEX(SchnittGes5!M:M,MATCH(L40,SchnittGes5!L:L,0))+INDEX(Schnitt6!M:M,MATCH(L40,Schnitt6!L:L,0))</f>
        <v>7576</v>
      </c>
      <c r="N40">
        <f>INDEX(SchnittGes5!N:N,MATCH(L40,SchnittGes5!L:L,0))+INDEX(Schnitt6!N:N,MATCH(L40,Schnitt6!L:L,0))</f>
        <v>41</v>
      </c>
      <c r="O40">
        <f t="shared" si="7"/>
        <v>184.78048776487805</v>
      </c>
      <c r="P40">
        <f t="shared" si="8"/>
        <v>47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10094</v>
      </c>
      <c r="F41">
        <f t="shared" si="11"/>
        <v>53</v>
      </c>
      <c r="G41" s="137">
        <f t="shared" si="12"/>
        <v>190.45283017667927</v>
      </c>
      <c r="L41" s="227">
        <f>INDEX(Starter!A:A,ROW()-1)</f>
        <v>7937</v>
      </c>
      <c r="M41">
        <f>INDEX(SchnittGes5!M:M,MATCH(L41,SchnittGes5!L:L,0))+INDEX(Schnitt6!M:M,MATCH(L41,Schnitt6!L:L,0))</f>
        <v>11073</v>
      </c>
      <c r="N41">
        <f>INDEX(SchnittGes5!N:N,MATCH(L41,SchnittGes5!L:L,0))+INDEX(Schnitt6!N:N,MATCH(L41,Schnitt6!L:L,0))</f>
        <v>54</v>
      </c>
      <c r="O41">
        <f t="shared" si="7"/>
        <v>205.05555551455555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16519</v>
      </c>
      <c r="C42" t="str">
        <f>IFERROR(INDEX(Starter!B:B,MATCH(B42,Starter!A:A,0)),"")</f>
        <v>Tos, Sascha</v>
      </c>
      <c r="D42" t="str">
        <f>IFERROR(INDEX(Starter!C:C,MATCH(B42,Starter!A:A,0)),"")</f>
        <v>BSC Highroller Rosenheim</v>
      </c>
      <c r="E42" s="102">
        <f t="shared" si="10"/>
        <v>5083</v>
      </c>
      <c r="F42">
        <f t="shared" si="11"/>
        <v>27</v>
      </c>
      <c r="G42" s="137">
        <f t="shared" si="12"/>
        <v>188.25925919925928</v>
      </c>
      <c r="L42" s="227">
        <f>INDEX(Starter!A:A,ROW()-1)</f>
        <v>10124</v>
      </c>
      <c r="M42">
        <f>INDEX(SchnittGes5!M:M,MATCH(L42,SchnittGes5!L:L,0))+INDEX(Schnitt6!M:M,MATCH(L42,Schnitt6!L:L,0))</f>
        <v>9680</v>
      </c>
      <c r="N42">
        <f>INDEX(SchnittGes5!N:N,MATCH(L42,SchnittGes5!L:L,0))+INDEX(Schnitt6!N:N,MATCH(L42,Schnitt6!L:L,0))</f>
        <v>52</v>
      </c>
      <c r="O42">
        <f t="shared" si="7"/>
        <v>186.15384611184615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38039</v>
      </c>
      <c r="C43" t="str">
        <f>IFERROR(INDEX(Starter!B:B,MATCH(B43,Starter!A:A,0)),"")</f>
        <v>Plaschka, Nico</v>
      </c>
      <c r="D43" t="str">
        <f>IFERROR(INDEX(Starter!C:C,MATCH(B43,Starter!A:A,0)),"")</f>
        <v>DJK Rimpar</v>
      </c>
      <c r="E43" s="102">
        <f t="shared" si="10"/>
        <v>4134</v>
      </c>
      <c r="F43">
        <f t="shared" si="11"/>
        <v>22</v>
      </c>
      <c r="G43" s="137">
        <f t="shared" si="12"/>
        <v>187.9090908610909</v>
      </c>
      <c r="L43" s="227">
        <f>INDEX(Starter!A:A,ROW()-1)</f>
        <v>16263</v>
      </c>
      <c r="M43">
        <f>INDEX(SchnittGes5!M:M,MATCH(L43,SchnittGes5!L:L,0))+INDEX(Schnitt6!M:M,MATCH(L43,Schnitt6!L:L,0))</f>
        <v>9394</v>
      </c>
      <c r="N43">
        <f>INDEX(SchnittGes5!N:N,MATCH(L43,SchnittGes5!L:L,0))+INDEX(Schnitt6!N:N,MATCH(L43,Schnitt6!L:L,0))</f>
        <v>50</v>
      </c>
      <c r="O43">
        <f t="shared" si="7"/>
        <v>187.879999957</v>
      </c>
      <c r="P43">
        <f t="shared" si="8"/>
        <v>40</v>
      </c>
    </row>
    <row r="44" spans="1:16" x14ac:dyDescent="0.25">
      <c r="A44">
        <f t="shared" si="13"/>
        <v>40</v>
      </c>
      <c r="B44">
        <f t="shared" si="9"/>
        <v>16263</v>
      </c>
      <c r="C44" t="str">
        <f>IFERROR(INDEX(Starter!B:B,MATCH(B44,Starter!A:A,0)),"")</f>
        <v>Jackwerth, Enno</v>
      </c>
      <c r="D44" t="str">
        <f>IFERROR(INDEX(Starter!C:C,MATCH(B44,Starter!A:A,0)),"")</f>
        <v>BF Rot-Weiß Lichtenhof 69</v>
      </c>
      <c r="E44" s="102">
        <f t="shared" si="10"/>
        <v>9394</v>
      </c>
      <c r="F44">
        <f t="shared" si="11"/>
        <v>50</v>
      </c>
      <c r="G44" s="137">
        <f t="shared" si="12"/>
        <v>187.879999957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65</v>
      </c>
    </row>
    <row r="45" spans="1:16" x14ac:dyDescent="0.25">
      <c r="A45">
        <f t="shared" si="13"/>
        <v>41</v>
      </c>
      <c r="B45">
        <f t="shared" si="9"/>
        <v>25516</v>
      </c>
      <c r="C45" t="str">
        <f>IFERROR(INDEX(Starter!B:B,MATCH(B45,Starter!A:A,0)),"")</f>
        <v>Nikoleit, Thomas</v>
      </c>
      <c r="D45" t="str">
        <f>IFERROR(INDEX(Starter!C:C,MATCH(B45,Starter!A:A,0)),"")</f>
        <v>BC Bamberger Bowlinghaus</v>
      </c>
      <c r="E45" s="102">
        <f t="shared" si="10"/>
        <v>5819</v>
      </c>
      <c r="F45">
        <f t="shared" si="11"/>
        <v>31</v>
      </c>
      <c r="G45" s="137">
        <f t="shared" si="12"/>
        <v>187.70967738035483</v>
      </c>
      <c r="L45" s="227">
        <f>INDEX(Starter!A:A,ROW()-1)</f>
        <v>7601</v>
      </c>
      <c r="M45">
        <f>INDEX(SchnittGes5!M:M,MATCH(L45,SchnittGes5!L:L,0))+INDEX(Schnitt6!M:M,MATCH(L45,Schnitt6!L:L,0))</f>
        <v>6662</v>
      </c>
      <c r="N45">
        <f>INDEX(SchnittGes5!N:N,MATCH(L45,SchnittGes5!L:L,0))+INDEX(Schnitt6!N:N,MATCH(L45,Schnitt6!L:L,0))</f>
        <v>38</v>
      </c>
      <c r="O45">
        <f t="shared" si="7"/>
        <v>175.31578942868421</v>
      </c>
      <c r="P45">
        <f t="shared" si="8"/>
        <v>59</v>
      </c>
    </row>
    <row r="46" spans="1:16" x14ac:dyDescent="0.25">
      <c r="A46">
        <f t="shared" si="13"/>
        <v>42</v>
      </c>
      <c r="B46">
        <f t="shared" si="9"/>
        <v>16852</v>
      </c>
      <c r="C46" t="str">
        <f>IFERROR(INDEX(Starter!B:B,MATCH(B46,Starter!A:A,0)),"")</f>
        <v>Wendel, Dominik</v>
      </c>
      <c r="D46" t="str">
        <f>IFERROR(INDEX(Starter!C:C,MATCH(B46,Starter!A:A,0)),"")</f>
        <v>SG Rottendorf</v>
      </c>
      <c r="E46" s="102">
        <f t="shared" si="10"/>
        <v>7107</v>
      </c>
      <c r="F46">
        <f t="shared" si="11"/>
        <v>38</v>
      </c>
      <c r="G46" s="137">
        <f t="shared" si="12"/>
        <v>187.02631577947366</v>
      </c>
      <c r="L46" s="227">
        <f>INDEX(Starter!A:A,ROW()-1)</f>
        <v>7593</v>
      </c>
      <c r="M46">
        <f>INDEX(SchnittGes5!M:M,MATCH(L46,SchnittGes5!L:L,0))+INDEX(Schnitt6!M:M,MATCH(L46,Schnitt6!L:L,0))</f>
        <v>7101</v>
      </c>
      <c r="N46">
        <f>INDEX(SchnittGes5!N:N,MATCH(L46,SchnittGes5!L:L,0))+INDEX(Schnitt6!N:N,MATCH(L46,Schnitt6!L:L,0))</f>
        <v>36</v>
      </c>
      <c r="O46">
        <f t="shared" si="7"/>
        <v>197.249999954</v>
      </c>
      <c r="P46">
        <f t="shared" si="8"/>
        <v>22</v>
      </c>
    </row>
    <row r="47" spans="1:16" x14ac:dyDescent="0.25">
      <c r="A47">
        <f t="shared" si="13"/>
        <v>43</v>
      </c>
      <c r="B47">
        <f t="shared" si="9"/>
        <v>16862</v>
      </c>
      <c r="C47" t="str">
        <f>IFERROR(INDEX(Starter!B:B,MATCH(B47,Starter!A:A,0)),"")</f>
        <v>Büttner, Christian</v>
      </c>
      <c r="D47" t="str">
        <f>IFERROR(INDEX(Starter!C:C,MATCH(B47,Starter!A:A,0)),"")</f>
        <v>SG Rottendorf</v>
      </c>
      <c r="E47" s="102">
        <f t="shared" si="10"/>
        <v>8601</v>
      </c>
      <c r="F47">
        <f t="shared" si="11"/>
        <v>46</v>
      </c>
      <c r="G47" s="137">
        <f t="shared" si="12"/>
        <v>186.97826081956521</v>
      </c>
      <c r="L47" s="227">
        <f>INDEX(Starter!A:A,ROW()-1)</f>
        <v>7591</v>
      </c>
      <c r="M47">
        <f>INDEX(SchnittGes5!M:M,MATCH(L47,SchnittGes5!L:L,0))+INDEX(Schnitt6!M:M,MATCH(L47,Schnitt6!L:L,0))</f>
        <v>5414</v>
      </c>
      <c r="N47">
        <f>INDEX(SchnittGes5!N:N,MATCH(L47,SchnittGes5!L:L,0))+INDEX(Schnitt6!N:N,MATCH(L47,Schnitt6!L:L,0))</f>
        <v>26</v>
      </c>
      <c r="O47">
        <f t="shared" si="7"/>
        <v>208.23076918376924</v>
      </c>
      <c r="P47">
        <f t="shared" si="8"/>
        <v>7</v>
      </c>
    </row>
    <row r="48" spans="1:16" x14ac:dyDescent="0.25">
      <c r="A48">
        <f t="shared" si="13"/>
        <v>44</v>
      </c>
      <c r="B48">
        <f t="shared" si="9"/>
        <v>7597</v>
      </c>
      <c r="C48" t="str">
        <f>IFERROR(INDEX(Starter!B:B,MATCH(B48,Starter!A:A,0)),"")</f>
        <v>Laub, Harald</v>
      </c>
      <c r="D48" t="str">
        <f>IFERROR(INDEX(Starter!C:C,MATCH(B48,Starter!A:A,0)),"")</f>
        <v>BK München</v>
      </c>
      <c r="E48" s="102">
        <f t="shared" si="10"/>
        <v>7839</v>
      </c>
      <c r="F48">
        <f t="shared" si="11"/>
        <v>42</v>
      </c>
      <c r="G48" s="137">
        <f t="shared" si="12"/>
        <v>186.64285712785713</v>
      </c>
      <c r="L48" s="227">
        <f>INDEX(Starter!A:A,ROW()-1)</f>
        <v>38039</v>
      </c>
      <c r="M48">
        <f>INDEX(SchnittGes5!M:M,MATCH(L48,SchnittGes5!L:L,0))+INDEX(Schnitt6!M:M,MATCH(L48,Schnitt6!L:L,0))</f>
        <v>4134</v>
      </c>
      <c r="N48">
        <f>INDEX(SchnittGes5!N:N,MATCH(L48,SchnittGes5!L:L,0))+INDEX(Schnitt6!N:N,MATCH(L48,Schnitt6!L:L,0))</f>
        <v>22</v>
      </c>
      <c r="O48">
        <f t="shared" si="7"/>
        <v>187.9090908610909</v>
      </c>
      <c r="P48">
        <f t="shared" si="8"/>
        <v>39</v>
      </c>
    </row>
    <row r="49" spans="1:16" x14ac:dyDescent="0.25">
      <c r="A49">
        <f t="shared" si="13"/>
        <v>45</v>
      </c>
      <c r="B49">
        <f t="shared" si="9"/>
        <v>16398</v>
      </c>
      <c r="C49" t="str">
        <f>IFERROR(INDEX(Starter!B:B,MATCH(B49,Starter!A:A,0)),"")</f>
        <v>Denz, Günter</v>
      </c>
      <c r="D49" t="str">
        <f>IFERROR(INDEX(Starter!C:C,MATCH(B49,Starter!A:A,0)),"")</f>
        <v>BC EMAX</v>
      </c>
      <c r="E49" s="102">
        <f t="shared" si="10"/>
        <v>4100</v>
      </c>
      <c r="F49">
        <f t="shared" si="11"/>
        <v>22</v>
      </c>
      <c r="G49" s="137">
        <f t="shared" si="12"/>
        <v>186.36363629763636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9680</v>
      </c>
      <c r="F50">
        <f t="shared" si="11"/>
        <v>52</v>
      </c>
      <c r="G50" s="137">
        <f t="shared" si="12"/>
        <v>186.15384611184615</v>
      </c>
      <c r="L50" s="227">
        <f>INDEX(Starter!A:A,ROW()-1)</f>
        <v>16862</v>
      </c>
      <c r="M50">
        <f>INDEX(SchnittGes5!M:M,MATCH(L50,SchnittGes5!L:L,0))+INDEX(Schnitt6!M:M,MATCH(L50,Schnitt6!L:L,0))</f>
        <v>8601</v>
      </c>
      <c r="N50">
        <f>INDEX(SchnittGes5!N:N,MATCH(L50,SchnittGes5!L:L,0))+INDEX(Schnitt6!N:N,MATCH(L50,Schnitt6!L:L,0))</f>
        <v>46</v>
      </c>
      <c r="O50">
        <f t="shared" si="7"/>
        <v>186.97826081956521</v>
      </c>
      <c r="P50">
        <f t="shared" si="8"/>
        <v>43</v>
      </c>
    </row>
    <row r="51" spans="1:16" x14ac:dyDescent="0.25">
      <c r="A51">
        <f t="shared" si="13"/>
        <v>47</v>
      </c>
      <c r="B51">
        <f t="shared" si="9"/>
        <v>16873</v>
      </c>
      <c r="C51" t="str">
        <f>IFERROR(INDEX(Starter!B:B,MATCH(B51,Starter!A:A,0)),"")</f>
        <v>Nolan, Jonathan</v>
      </c>
      <c r="D51" t="str">
        <f>IFERROR(INDEX(Starter!C:C,MATCH(B51,Starter!A:A,0)),"")</f>
        <v>BC Bamberger Bowlinghaus</v>
      </c>
      <c r="E51" s="102">
        <f t="shared" si="10"/>
        <v>7576</v>
      </c>
      <c r="F51">
        <f t="shared" si="11"/>
        <v>41</v>
      </c>
      <c r="G51" s="137">
        <f t="shared" si="12"/>
        <v>184.78048776487805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38092</v>
      </c>
      <c r="C52" t="str">
        <f>IFERROR(INDEX(Starter!B:B,MATCH(B52,Starter!A:A,0)),"")</f>
        <v>Kabel, Nicolas</v>
      </c>
      <c r="D52" t="str">
        <f>IFERROR(INDEX(Starter!C:C,MATCH(B52,Starter!A:A,0)),"")</f>
        <v>BSC Highroller Rosenheim</v>
      </c>
      <c r="E52" s="102">
        <f t="shared" si="10"/>
        <v>9584</v>
      </c>
      <c r="F52">
        <f t="shared" si="11"/>
        <v>52</v>
      </c>
      <c r="G52" s="137">
        <f t="shared" si="12"/>
        <v>184.30769228269233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71</v>
      </c>
    </row>
    <row r="53" spans="1:16" x14ac:dyDescent="0.25">
      <c r="A53">
        <f t="shared" si="13"/>
        <v>49</v>
      </c>
      <c r="B53">
        <f t="shared" si="9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10"/>
        <v>8085</v>
      </c>
      <c r="F53">
        <f t="shared" si="11"/>
        <v>44</v>
      </c>
      <c r="G53" s="137">
        <f t="shared" si="12"/>
        <v>183.74999998000001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67</v>
      </c>
    </row>
    <row r="54" spans="1:16" x14ac:dyDescent="0.25">
      <c r="A54">
        <f t="shared" si="13"/>
        <v>50</v>
      </c>
      <c r="B54">
        <f t="shared" si="9"/>
        <v>38043</v>
      </c>
      <c r="C54" t="str">
        <f>IFERROR(INDEX(Starter!B:B,MATCH(B54,Starter!A:A,0)),"")</f>
        <v>Badum, Daniel</v>
      </c>
      <c r="D54" t="str">
        <f>IFERROR(INDEX(Starter!C:C,MATCH(B54,Starter!A:A,0)),"")</f>
        <v>BC Bamberger Bowlinghaus</v>
      </c>
      <c r="E54" s="102">
        <f t="shared" si="10"/>
        <v>7873</v>
      </c>
      <c r="F54">
        <f t="shared" si="11"/>
        <v>43</v>
      </c>
      <c r="G54" s="137">
        <f t="shared" si="12"/>
        <v>183.09302319781395</v>
      </c>
      <c r="L54" s="227">
        <f>INDEX(Starter!A:A,ROW()-1)</f>
        <v>7602</v>
      </c>
      <c r="M54">
        <f>INDEX(SchnittGes5!M:M,MATCH(L54,SchnittGes5!L:L,0))+INDEX(Schnitt6!M:M,MATCH(L54,Schnitt6!L:L,0))</f>
        <v>7960</v>
      </c>
      <c r="N54">
        <f>INDEX(SchnittGes5!N:N,MATCH(L54,SchnittGes5!L:L,0))+INDEX(Schnitt6!N:N,MATCH(L54,Schnitt6!L:L,0))</f>
        <v>40</v>
      </c>
      <c r="O54">
        <f t="shared" si="7"/>
        <v>198.999999946</v>
      </c>
      <c r="P54">
        <f t="shared" si="8"/>
        <v>18</v>
      </c>
    </row>
    <row r="55" spans="1:16" x14ac:dyDescent="0.25">
      <c r="A55">
        <f t="shared" si="13"/>
        <v>51</v>
      </c>
      <c r="B55">
        <f t="shared" si="9"/>
        <v>16352</v>
      </c>
      <c r="C55" t="str">
        <f>IFERROR(INDEX(Starter!B:B,MATCH(B55,Starter!A:A,0)),"")</f>
        <v>Scholz, Alexander</v>
      </c>
      <c r="D55" t="str">
        <f>IFERROR(INDEX(Starter!C:C,MATCH(B55,Starter!A:A,0)),"")</f>
        <v>SG Rottendorf</v>
      </c>
      <c r="E55" s="102">
        <f t="shared" si="10"/>
        <v>4572</v>
      </c>
      <c r="F55">
        <f t="shared" si="11"/>
        <v>25</v>
      </c>
      <c r="G55" s="137">
        <f t="shared" si="12"/>
        <v>182.879999989</v>
      </c>
      <c r="L55" s="227">
        <f>INDEX(Starter!A:A,ROW()-1)</f>
        <v>25325</v>
      </c>
      <c r="M55">
        <f>INDEX(SchnittGes5!M:M,MATCH(L55,SchnittGes5!L:L,0))+INDEX(Schnitt6!M:M,MATCH(L55,Schnitt6!L:L,0))</f>
        <v>7859</v>
      </c>
      <c r="N55">
        <f>INDEX(SchnittGes5!N:N,MATCH(L55,SchnittGes5!L:L,0))+INDEX(Schnitt6!N:N,MATCH(L55,Schnitt6!L:L,0))</f>
        <v>40</v>
      </c>
      <c r="O55">
        <f t="shared" si="7"/>
        <v>196.47499994500001</v>
      </c>
      <c r="P55">
        <f t="shared" si="8"/>
        <v>23</v>
      </c>
    </row>
    <row r="56" spans="1:16" x14ac:dyDescent="0.25">
      <c r="A56">
        <f t="shared" si="13"/>
        <v>52</v>
      </c>
      <c r="B56">
        <f t="shared" si="9"/>
        <v>25554</v>
      </c>
      <c r="C56" t="str">
        <f>IFERROR(INDEX(Starter!B:B,MATCH(B56,Starter!A:A,0)),"")</f>
        <v>Blasits, Ernst</v>
      </c>
      <c r="D56" t="str">
        <f>IFERROR(INDEX(Starter!C:C,MATCH(B56,Starter!A:A,0)),"")</f>
        <v>BC EMAX</v>
      </c>
      <c r="E56" s="102">
        <f t="shared" si="10"/>
        <v>4497</v>
      </c>
      <c r="F56">
        <f t="shared" si="11"/>
        <v>25</v>
      </c>
      <c r="G56" s="137">
        <f t="shared" si="12"/>
        <v>179.87999996400001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12</v>
      </c>
    </row>
    <row r="57" spans="1:16" x14ac:dyDescent="0.25">
      <c r="A57">
        <f t="shared" si="13"/>
        <v>53</v>
      </c>
      <c r="B57">
        <f t="shared" si="9"/>
        <v>38018</v>
      </c>
      <c r="C57" t="str">
        <f>IFERROR(INDEX(Starter!B:B,MATCH(B57,Starter!A:A,0)),"")</f>
        <v>Wunderlich, Henning</v>
      </c>
      <c r="D57" t="str">
        <f>IFERROR(INDEX(Starter!C:C,MATCH(B57,Starter!A:A,0)),"")</f>
        <v>DJK Rimpar</v>
      </c>
      <c r="E57" s="102">
        <f t="shared" si="10"/>
        <v>893</v>
      </c>
      <c r="F57">
        <f t="shared" si="11"/>
        <v>5</v>
      </c>
      <c r="G57" s="137">
        <f t="shared" si="12"/>
        <v>178.59999992599998</v>
      </c>
      <c r="L57" s="227">
        <f>INDEX(Starter!A:A,ROW()-1)</f>
        <v>16532</v>
      </c>
      <c r="M57">
        <f>INDEX(SchnittGes5!M:M,MATCH(L57,SchnittGes5!L:L,0))+INDEX(Schnitt6!M:M,MATCH(L57,Schnitt6!L:L,0))</f>
        <v>4574</v>
      </c>
      <c r="N57">
        <f>INDEX(SchnittGes5!N:N,MATCH(L57,SchnittGes5!L:L,0))+INDEX(Schnitt6!N:N,MATCH(L57,Schnitt6!L:L,0))</f>
        <v>23</v>
      </c>
      <c r="O57">
        <f t="shared" si="7"/>
        <v>198.86956516039132</v>
      </c>
      <c r="P57">
        <f t="shared" si="8"/>
        <v>19</v>
      </c>
    </row>
    <row r="58" spans="1:16" x14ac:dyDescent="0.25">
      <c r="A58">
        <f t="shared" si="13"/>
        <v>54</v>
      </c>
      <c r="B58">
        <f t="shared" si="9"/>
        <v>25061</v>
      </c>
      <c r="C58" t="str">
        <f>IFERROR(INDEX(Starter!B:B,MATCH(B58,Starter!A:A,0)),"")</f>
        <v>Schwarz, Christian</v>
      </c>
      <c r="D58" t="str">
        <f>IFERROR(INDEX(Starter!C:C,MATCH(B58,Starter!A:A,0)),"")</f>
        <v>BSC Highroller Rosenheim</v>
      </c>
      <c r="E58" s="102">
        <f t="shared" si="10"/>
        <v>7631</v>
      </c>
      <c r="F58">
        <f t="shared" si="11"/>
        <v>43</v>
      </c>
      <c r="G58" s="137">
        <f t="shared" si="12"/>
        <v>177.46511622006977</v>
      </c>
      <c r="L58" s="227">
        <f>INDEX(Starter!A:A,ROW()-1)</f>
        <v>38043</v>
      </c>
      <c r="M58">
        <f>INDEX(SchnittGes5!M:M,MATCH(L58,SchnittGes5!L:L,0))+INDEX(Schnitt6!M:M,MATCH(L58,Schnitt6!L:L,0))</f>
        <v>7873</v>
      </c>
      <c r="N58">
        <f>INDEX(SchnittGes5!N:N,MATCH(L58,SchnittGes5!L:L,0))+INDEX(Schnitt6!N:N,MATCH(L58,Schnitt6!L:L,0))</f>
        <v>43</v>
      </c>
      <c r="O58">
        <f t="shared" si="7"/>
        <v>183.09302319781395</v>
      </c>
      <c r="P58">
        <f t="shared" si="8"/>
        <v>50</v>
      </c>
    </row>
    <row r="59" spans="1:16" x14ac:dyDescent="0.25">
      <c r="A59">
        <f t="shared" si="13"/>
        <v>55</v>
      </c>
      <c r="B59">
        <f t="shared" si="9"/>
        <v>38686</v>
      </c>
      <c r="C59" t="str">
        <f>IFERROR(INDEX(Starter!B:B,MATCH(B59,Starter!A:A,0)),"")</f>
        <v>Beck, Stefan</v>
      </c>
      <c r="D59" t="str">
        <f>IFERROR(INDEX(Starter!C:C,MATCH(B59,Starter!A:A,0)),"")</f>
        <v>DJK Rimpar</v>
      </c>
      <c r="E59" s="102">
        <f t="shared" si="10"/>
        <v>708</v>
      </c>
      <c r="F59">
        <f t="shared" si="11"/>
        <v>4</v>
      </c>
      <c r="G59" s="137">
        <f t="shared" si="12"/>
        <v>176.99999993200001</v>
      </c>
      <c r="L59" s="227">
        <f>INDEX(Starter!A:A,ROW()-1)</f>
        <v>25061</v>
      </c>
      <c r="M59">
        <f>INDEX(SchnittGes5!M:M,MATCH(L59,SchnittGes5!L:L,0))+INDEX(Schnitt6!M:M,MATCH(L59,Schnitt6!L:L,0))</f>
        <v>7631</v>
      </c>
      <c r="N59">
        <f>INDEX(SchnittGes5!N:N,MATCH(L59,SchnittGes5!L:L,0))+INDEX(Schnitt6!N:N,MATCH(L59,Schnitt6!L:L,0))</f>
        <v>43</v>
      </c>
      <c r="O59">
        <f t="shared" si="7"/>
        <v>177.46511622006977</v>
      </c>
      <c r="P59">
        <f t="shared" si="8"/>
        <v>54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5459</v>
      </c>
      <c r="F60">
        <f t="shared" si="11"/>
        <v>31</v>
      </c>
      <c r="G60" s="137">
        <f t="shared" si="12"/>
        <v>176.09677416054839</v>
      </c>
      <c r="L60" s="227">
        <f>INDEX(Starter!A:A,ROW()-1)</f>
        <v>16519</v>
      </c>
      <c r="M60">
        <f>INDEX(SchnittGes5!M:M,MATCH(L60,SchnittGes5!L:L,0))+INDEX(Schnitt6!M:M,MATCH(L60,Schnitt6!L:L,0))</f>
        <v>5083</v>
      </c>
      <c r="N60">
        <f>INDEX(SchnittGes5!N:N,MATCH(L60,SchnittGes5!L:L,0))+INDEX(Schnitt6!N:N,MATCH(L60,Schnitt6!L:L,0))</f>
        <v>27</v>
      </c>
      <c r="O60">
        <f t="shared" si="7"/>
        <v>188.25925919925928</v>
      </c>
      <c r="P60">
        <f t="shared" si="8"/>
        <v>38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62</v>
      </c>
    </row>
    <row r="62" spans="1:16" x14ac:dyDescent="0.25">
      <c r="A62">
        <f t="shared" si="13"/>
        <v>58</v>
      </c>
      <c r="B62">
        <f t="shared" si="9"/>
        <v>38361</v>
      </c>
      <c r="C62" t="str">
        <f>IFERROR(INDEX(Starter!B:B,MATCH(B62,Starter!A:A,0)),"")</f>
        <v>Schmied, Markus</v>
      </c>
      <c r="D62" t="str">
        <f>IFERROR(INDEX(Starter!C:C,MATCH(B62,Starter!A:A,0)),"")</f>
        <v>BC Schanzer Strikers</v>
      </c>
      <c r="E62" s="102">
        <f t="shared" si="10"/>
        <v>9474</v>
      </c>
      <c r="F62">
        <f t="shared" si="11"/>
        <v>54</v>
      </c>
      <c r="G62" s="137">
        <f t="shared" si="12"/>
        <v>175.44444443744445</v>
      </c>
      <c r="L62" s="227">
        <f>INDEX(Starter!A:A,ROW()-1)</f>
        <v>7740</v>
      </c>
      <c r="M62">
        <f>INDEX(SchnittGes5!M:M,MATCH(L62,SchnittGes5!L:L,0))+INDEX(Schnitt6!M:M,MATCH(L62,Schnitt6!L:L,0))</f>
        <v>3421</v>
      </c>
      <c r="N62">
        <f>INDEX(SchnittGes5!N:N,MATCH(L62,SchnittGes5!L:L,0))+INDEX(Schnitt6!N:N,MATCH(L62,Schnitt6!L:L,0))</f>
        <v>20</v>
      </c>
      <c r="O62">
        <f t="shared" si="7"/>
        <v>171.04999993800001</v>
      </c>
      <c r="P62">
        <f t="shared" si="8"/>
        <v>64</v>
      </c>
    </row>
    <row r="63" spans="1:16" x14ac:dyDescent="0.25">
      <c r="A63">
        <f t="shared" si="13"/>
        <v>59</v>
      </c>
      <c r="B63">
        <f t="shared" si="9"/>
        <v>7601</v>
      </c>
      <c r="C63" t="str">
        <f>IFERROR(INDEX(Starter!B:B,MATCH(B63,Starter!A:A,0)),"")</f>
        <v>Lüthje, Volker</v>
      </c>
      <c r="D63" t="str">
        <f>IFERROR(INDEX(Starter!C:C,MATCH(B63,Starter!A:A,0)),"")</f>
        <v>BC Bajuwaren 1976 München</v>
      </c>
      <c r="E63" s="102">
        <f t="shared" si="10"/>
        <v>6662</v>
      </c>
      <c r="F63">
        <f t="shared" si="11"/>
        <v>38</v>
      </c>
      <c r="G63" s="137">
        <f t="shared" si="12"/>
        <v>175.31578942868421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38411</v>
      </c>
      <c r="C64" t="str">
        <f>IFERROR(INDEX(Starter!B:B,MATCH(B64,Starter!A:A,0)),"")</f>
        <v>Hartl, Thomas</v>
      </c>
      <c r="D64" t="str">
        <f>IFERROR(INDEX(Starter!C:C,MATCH(B64,Starter!A:A,0)),"")</f>
        <v>BC Schanzer Strikers</v>
      </c>
      <c r="E64" s="102">
        <f t="shared" si="10"/>
        <v>7863</v>
      </c>
      <c r="F64">
        <f t="shared" si="11"/>
        <v>45</v>
      </c>
      <c r="G64" s="137">
        <f t="shared" si="12"/>
        <v>174.73333332733333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69</v>
      </c>
    </row>
    <row r="65" spans="1:16" x14ac:dyDescent="0.25">
      <c r="A65">
        <f t="shared" si="13"/>
        <v>61</v>
      </c>
      <c r="B65">
        <f t="shared" si="9"/>
        <v>16762</v>
      </c>
      <c r="C65" t="str">
        <f>IFERROR(INDEX(Starter!B:B,MATCH(B65,Starter!A:A,0)),"")</f>
        <v>Glasl sen., Hans</v>
      </c>
      <c r="D65" t="str">
        <f>IFERROR(INDEX(Starter!C:C,MATCH(B65,Starter!A:A,0)),"")</f>
        <v>BC Bajuwaren 1976 München</v>
      </c>
      <c r="E65" s="102">
        <f t="shared" si="10"/>
        <v>4699</v>
      </c>
      <c r="F65">
        <f t="shared" si="11"/>
        <v>27</v>
      </c>
      <c r="G65" s="137">
        <f t="shared" si="12"/>
        <v>174.03703701803704</v>
      </c>
      <c r="L65" s="227">
        <f>INDEX(Starter!A:A,ROW()-1)</f>
        <v>41008</v>
      </c>
      <c r="M65">
        <f>INDEX(SchnittGes5!M:M,MATCH(L65,SchnittGes5!L:L,0))+INDEX(Schnitt6!M:M,MATCH(L65,Schnitt6!L:L,0))</f>
        <v>4208</v>
      </c>
      <c r="N65">
        <f>INDEX(SchnittGes5!N:N,MATCH(L65,SchnittGes5!L:L,0))+INDEX(Schnitt6!N:N,MATCH(L65,Schnitt6!L:L,0))</f>
        <v>22</v>
      </c>
      <c r="O65">
        <f t="shared" si="7"/>
        <v>191.27272720772729</v>
      </c>
      <c r="P65">
        <f t="shared" si="8"/>
        <v>35</v>
      </c>
    </row>
    <row r="66" spans="1:16" x14ac:dyDescent="0.25">
      <c r="A66">
        <f t="shared" si="13"/>
        <v>62</v>
      </c>
      <c r="B66">
        <f t="shared" si="9"/>
        <v>7485</v>
      </c>
      <c r="C66" t="str">
        <f>IFERROR(INDEX(Starter!B:B,MATCH(B66,Starter!A:A,0)),"")</f>
        <v>Singer, Michael</v>
      </c>
      <c r="D66" t="str">
        <f>IFERROR(INDEX(Starter!C:C,MATCH(B66,Starter!A:A,0)),"")</f>
        <v>BK München</v>
      </c>
      <c r="E66" s="102">
        <f t="shared" si="10"/>
        <v>862</v>
      </c>
      <c r="F66">
        <f t="shared" si="11"/>
        <v>5</v>
      </c>
      <c r="G66" s="137">
        <f t="shared" si="12"/>
        <v>172.399999939</v>
      </c>
      <c r="L66" s="227">
        <f>INDEX(Starter!A:A,ROW()-1)</f>
        <v>16398</v>
      </c>
      <c r="M66">
        <f>INDEX(SchnittGes5!M:M,MATCH(L66,SchnittGes5!L:L,0))+INDEX(Schnitt6!M:M,MATCH(L66,Schnitt6!L:L,0))</f>
        <v>4100</v>
      </c>
      <c r="N66">
        <f>INDEX(SchnittGes5!N:N,MATCH(L66,SchnittGes5!L:L,0))+INDEX(Schnitt6!N:N,MATCH(L66,Schnitt6!L:L,0))</f>
        <v>22</v>
      </c>
      <c r="O66">
        <f t="shared" si="7"/>
        <v>186.36363629763636</v>
      </c>
      <c r="P66">
        <f t="shared" ref="P66:P97" si="14">RANK(O66,O:O)</f>
        <v>45</v>
      </c>
    </row>
    <row r="67" spans="1:16" x14ac:dyDescent="0.25">
      <c r="A67">
        <f t="shared" si="13"/>
        <v>63</v>
      </c>
      <c r="B67">
        <f t="shared" si="9"/>
        <v>38907</v>
      </c>
      <c r="C67" t="str">
        <f>IFERROR(INDEX(Starter!B:B,MATCH(B67,Starter!A:A,0)),"")</f>
        <v>Moser, Thomas</v>
      </c>
      <c r="D67" t="str">
        <f>IFERROR(INDEX(Starter!C:C,MATCH(B67,Starter!A:A,0)),"")</f>
        <v>BF Rot-Weiß Lichtenhof 69</v>
      </c>
      <c r="E67" s="102">
        <f t="shared" si="10"/>
        <v>689</v>
      </c>
      <c r="F67">
        <f t="shared" si="11"/>
        <v>4</v>
      </c>
      <c r="G67" s="137">
        <f t="shared" si="12"/>
        <v>172.24999992799999</v>
      </c>
      <c r="L67" s="227">
        <f>INDEX(Starter!A:A,ROW()-1)</f>
        <v>16251</v>
      </c>
      <c r="M67">
        <f>INDEX(SchnittGes5!M:M,MATCH(L67,SchnittGes5!L:L,0))+INDEX(Schnitt6!M:M,MATCH(L67,Schnitt6!L:L,0))</f>
        <v>4025</v>
      </c>
      <c r="N67">
        <f>INDEX(SchnittGes5!N:N,MATCH(L67,SchnittGes5!L:L,0))+INDEX(Schnitt6!N:N,MATCH(L67,Schnitt6!L:L,0))</f>
        <v>21</v>
      </c>
      <c r="O67">
        <f t="shared" si="7"/>
        <v>191.66666659966666</v>
      </c>
      <c r="P67">
        <f t="shared" si="14"/>
        <v>33</v>
      </c>
    </row>
    <row r="68" spans="1:16" x14ac:dyDescent="0.25">
      <c r="A68">
        <f t="shared" si="13"/>
        <v>64</v>
      </c>
      <c r="B68">
        <f t="shared" si="9"/>
        <v>7740</v>
      </c>
      <c r="C68" t="str">
        <f>IFERROR(INDEX(Starter!B:B,MATCH(B68,Starter!A:A,0)),"")</f>
        <v>Mesch, John</v>
      </c>
      <c r="D68" t="str">
        <f>IFERROR(INDEX(Starter!C:C,MATCH(B68,Starter!A:A,0)),"")</f>
        <v>BF Rot-Weiß Lichtenhof 69</v>
      </c>
      <c r="E68" s="102">
        <f t="shared" si="10"/>
        <v>3421</v>
      </c>
      <c r="F68">
        <f t="shared" si="11"/>
        <v>20</v>
      </c>
      <c r="G68" s="137">
        <f t="shared" si="12"/>
        <v>171.04999993800001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55</v>
      </c>
    </row>
    <row r="69" spans="1:16" x14ac:dyDescent="0.25">
      <c r="A69">
        <f t="shared" si="13"/>
        <v>65</v>
      </c>
      <c r="B69">
        <f t="shared" ref="B69:B100" si="15">IFERROR(INDEX(L:L,MATCH(A69,P:P,0)),"")</f>
        <v>7959</v>
      </c>
      <c r="C69" t="str">
        <f>IFERROR(INDEX(Starter!B:B,MATCH(B69,Starter!A:A,0)),"")</f>
        <v>Netscheporenko, Marco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2390</v>
      </c>
      <c r="F69">
        <f t="shared" ref="F69:F104" si="17">IFERROR(INDEX(N:N,MATCH(A69,P:P,0)),"")</f>
        <v>14</v>
      </c>
      <c r="G69" s="137">
        <f t="shared" ref="G69:G104" si="18">IFERROR(INDEX(O:O,MATCH(A69,P:P,0)),"")</f>
        <v>170.71428567028573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68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7425</v>
      </c>
      <c r="C70" t="str">
        <f>IFERROR(INDEX(Starter!B:B,MATCH(B70,Starter!A:A,0)),"")</f>
        <v>Wimmer, Peter</v>
      </c>
      <c r="D70" t="str">
        <f>IFERROR(INDEX(Starter!C:C,MATCH(B70,Starter!A:A,0)),"")</f>
        <v>BSC Highroller Rosenheim</v>
      </c>
      <c r="E70" s="102">
        <f t="shared" si="16"/>
        <v>1192</v>
      </c>
      <c r="F70">
        <f t="shared" si="17"/>
        <v>7</v>
      </c>
      <c r="G70" s="137">
        <f t="shared" si="18"/>
        <v>170.28571426371428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7344</v>
      </c>
      <c r="C71" t="str">
        <f>IFERROR(INDEX(Starter!B:B,MATCH(B71,Starter!A:A,0)),"")</f>
        <v>Kirschenbauer, Frank</v>
      </c>
      <c r="D71" t="str">
        <f>IFERROR(INDEX(Starter!C:C,MATCH(B71,Starter!A:A,0)),"")</f>
        <v>BC Schanzer Strikers</v>
      </c>
      <c r="E71" s="102">
        <f t="shared" si="16"/>
        <v>1528</v>
      </c>
      <c r="F71">
        <f t="shared" si="17"/>
        <v>9</v>
      </c>
      <c r="G71" s="137">
        <f t="shared" si="18"/>
        <v>169.77777772477776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72</v>
      </c>
    </row>
    <row r="72" spans="1:16" x14ac:dyDescent="0.25">
      <c r="A72">
        <f t="shared" si="19"/>
        <v>68</v>
      </c>
      <c r="B72">
        <f t="shared" si="15"/>
        <v>22116</v>
      </c>
      <c r="C72" t="str">
        <f>IFERROR(INDEX(Starter!B:B,MATCH(B72,Starter!A:A,0)),"")</f>
        <v>Tavares, S.</v>
      </c>
      <c r="D72" t="str">
        <f>IFERROR(INDEX(Starter!C:C,MATCH(B72,Starter!A:A,0)),"")</f>
        <v>BC Highroller Rosenheim</v>
      </c>
      <c r="E72" s="102">
        <f t="shared" si="16"/>
        <v>1183</v>
      </c>
      <c r="F72">
        <f t="shared" si="17"/>
        <v>7</v>
      </c>
      <c r="G72" s="137">
        <f t="shared" si="18"/>
        <v>168.99999993099999</v>
      </c>
      <c r="L72" s="227">
        <f>INDEX(Starter!A:A,ROW()-1)</f>
        <v>38907</v>
      </c>
      <c r="M72">
        <f>INDEX(SchnittGes5!M:M,MATCH(L72,SchnittGes5!L:L,0))+INDEX(Schnitt6!M:M,MATCH(L72,Schnitt6!L:L,0))</f>
        <v>689</v>
      </c>
      <c r="N72">
        <f>INDEX(SchnittGes5!N:N,MATCH(L72,SchnittGes5!L:L,0))+INDEX(Schnitt6!N:N,MATCH(L72,Schnitt6!L:L,0))</f>
        <v>4</v>
      </c>
      <c r="O72">
        <f t="shared" si="7"/>
        <v>172.24999992799999</v>
      </c>
      <c r="P72">
        <f t="shared" si="14"/>
        <v>63</v>
      </c>
    </row>
    <row r="73" spans="1:16" x14ac:dyDescent="0.25">
      <c r="A73">
        <f t="shared" si="19"/>
        <v>69</v>
      </c>
      <c r="B73">
        <f t="shared" si="15"/>
        <v>38360</v>
      </c>
      <c r="C73" t="str">
        <f>IFERROR(INDEX(Starter!B:B,MATCH(B73,Starter!A:A,0)),"")</f>
        <v>Hutter, Sebastian</v>
      </c>
      <c r="D73" t="str">
        <f>IFERROR(INDEX(Starter!C:C,MATCH(B73,Starter!A:A,0)),"")</f>
        <v>BC Schanzer Strikers</v>
      </c>
      <c r="E73" s="102">
        <f t="shared" si="16"/>
        <v>842</v>
      </c>
      <c r="F73">
        <f t="shared" si="17"/>
        <v>5</v>
      </c>
      <c r="G73" s="137">
        <f t="shared" si="18"/>
        <v>168.399999936</v>
      </c>
      <c r="L73" s="227">
        <f>INDEX(Starter!A:A,ROW()-1)</f>
        <v>16469</v>
      </c>
      <c r="M73">
        <f>INDEX(SchnittGes5!M:M,MATCH(L73,SchnittGes5!L:L,0))+INDEX(Schnitt6!M:M,MATCH(L73,Schnitt6!L:L,0))</f>
        <v>1750</v>
      </c>
      <c r="N73">
        <f>INDEX(SchnittGes5!N:N,MATCH(L73,SchnittGes5!L:L,0))+INDEX(Schnitt6!N:N,MATCH(L73,Schnitt6!L:L,0))</f>
        <v>9</v>
      </c>
      <c r="O73">
        <f t="shared" si="7"/>
        <v>194.44444437144446</v>
      </c>
      <c r="P73">
        <f t="shared" si="14"/>
        <v>25</v>
      </c>
    </row>
    <row r="74" spans="1:16" x14ac:dyDescent="0.25">
      <c r="A74">
        <f t="shared" si="19"/>
        <v>70</v>
      </c>
      <c r="B74">
        <f t="shared" si="15"/>
        <v>16245</v>
      </c>
      <c r="C74" t="str">
        <f>IFERROR(INDEX(Starter!B:B,MATCH(B74,Starter!A:A,0)),"")</f>
        <v>Fischbach, Max</v>
      </c>
      <c r="D74" t="str">
        <f>IFERROR(INDEX(Starter!C:C,MATCH(B74,Starter!A:A,0)),"")</f>
        <v>Comet</v>
      </c>
      <c r="E74" s="102">
        <f t="shared" si="16"/>
        <v>1513</v>
      </c>
      <c r="F74">
        <f t="shared" si="17"/>
        <v>9</v>
      </c>
      <c r="G74" s="137">
        <f t="shared" si="18"/>
        <v>168.11111107911111</v>
      </c>
      <c r="L74" s="227">
        <f>INDEX(Starter!A:A,ROW()-1)</f>
        <v>38018</v>
      </c>
      <c r="M74">
        <f>INDEX(SchnittGes5!M:M,MATCH(L74,SchnittGes5!L:L,0))+INDEX(Schnitt6!M:M,MATCH(L74,Schnitt6!L:L,0))</f>
        <v>893</v>
      </c>
      <c r="N74">
        <f>INDEX(SchnittGes5!N:N,MATCH(L74,SchnittGes5!L:L,0))+INDEX(Schnitt6!N:N,MATCH(L74,Schnitt6!L:L,0))</f>
        <v>5</v>
      </c>
      <c r="O74">
        <f t="shared" si="7"/>
        <v>178.59999992599998</v>
      </c>
      <c r="P74">
        <f t="shared" si="14"/>
        <v>53</v>
      </c>
    </row>
    <row r="75" spans="1:16" x14ac:dyDescent="0.25">
      <c r="A75">
        <f t="shared" si="19"/>
        <v>71</v>
      </c>
      <c r="B75">
        <f t="shared" si="15"/>
        <v>25024</v>
      </c>
      <c r="C75" t="str">
        <f>IFERROR(INDEX(Starter!B:B,MATCH(B75,Starter!A:A,0)),"")</f>
        <v>Klapper, Michael</v>
      </c>
      <c r="D75" t="str">
        <f>IFERROR(INDEX(Starter!C:C,MATCH(B75,Starter!A:A,0)),"")</f>
        <v>BC Schanzer Strikers</v>
      </c>
      <c r="E75" s="102">
        <f t="shared" si="16"/>
        <v>1434</v>
      </c>
      <c r="F75">
        <f t="shared" si="17"/>
        <v>9</v>
      </c>
      <c r="G75" s="137">
        <f t="shared" si="18"/>
        <v>159.33333328133335</v>
      </c>
      <c r="L75" s="227">
        <f>INDEX(Starter!A:A,ROW()-1)</f>
        <v>25465</v>
      </c>
      <c r="M75">
        <f>INDEX(SchnittGes5!M:M,MATCH(L75,SchnittGes5!L:L,0))+INDEX(Schnitt6!M:M,MATCH(L75,Schnitt6!L:L,0))</f>
        <v>968</v>
      </c>
      <c r="N75">
        <f>INDEX(SchnittGes5!N:N,MATCH(L75,SchnittGes5!L:L,0))+INDEX(Schnitt6!N:N,MATCH(L75,Schnitt6!L:L,0))</f>
        <v>5</v>
      </c>
      <c r="O75">
        <f t="shared" si="7"/>
        <v>193.59999992499999</v>
      </c>
      <c r="P75">
        <f t="shared" si="14"/>
        <v>28</v>
      </c>
    </row>
    <row r="76" spans="1:16" x14ac:dyDescent="0.25">
      <c r="A76">
        <f t="shared" si="19"/>
        <v>72</v>
      </c>
      <c r="B76">
        <f t="shared" si="15"/>
        <v>39948</v>
      </c>
      <c r="C76" t="str">
        <f>IFERROR(INDEX(Starter!B:B,MATCH(B76,Starter!A:A,0)),"")</f>
        <v>Wieczorek Ben</v>
      </c>
      <c r="D76" t="str">
        <f>IFERROR(INDEX(Starter!C:C,MATCH(B76,Starter!A:A,0)),"")</f>
        <v>BF Rot-Weiß Lichtenhof 69</v>
      </c>
      <c r="E76" s="102">
        <f t="shared" si="16"/>
        <v>599</v>
      </c>
      <c r="F76">
        <f t="shared" si="17"/>
        <v>4</v>
      </c>
      <c r="G76" s="137">
        <f t="shared" si="18"/>
        <v>149.74999992900001</v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73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73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73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73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73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73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73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73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73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73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73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73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73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73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73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73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73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73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73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73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73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73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73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73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73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73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73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73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73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54" zoomScale="115" workbookViewId="0">
      <selection activeCell="B74" sqref="B74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ht="12" x14ac:dyDescent="0.25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ht="12" x14ac:dyDescent="0.25">
      <c r="A71" s="145">
        <v>38907</v>
      </c>
      <c r="B71" s="146" t="str">
        <f>VLOOKUP(A71,member!$A$5:$K$1300,3,FALSE)&amp;", "&amp;VLOOKUP(A71,member!$A$5:$K$1300,4,FALSE)</f>
        <v>Moser, Thomas</v>
      </c>
      <c r="C71" s="146" t="str">
        <f>VLOOKUP(A71,member!$A$5:$K$1300,9,FALSE)</f>
        <v>BF Rot-Weiß Lichtenhof 69</v>
      </c>
      <c r="D71" s="146" t="str">
        <f>VLOOKUP(A71,member!$A$5:$K$1300,11,FALSE)</f>
        <v>STE</v>
      </c>
    </row>
    <row r="72" spans="1:4" ht="12" x14ac:dyDescent="0.25">
      <c r="A72" s="145">
        <v>16469</v>
      </c>
      <c r="B72" s="146" t="str">
        <f>VLOOKUP(A72,member!$A$5:$K$1300,3,FALSE)&amp;", "&amp;VLOOKUP(A72,member!$A$5:$K$1300,4,FALSE)</f>
        <v>Breitenstein, Alexander Kurt</v>
      </c>
      <c r="C72" s="146" t="str">
        <f>VLOOKUP(A72,member!$A$5:$K$1300,9,FALSE)</f>
        <v>BF Rot-Weiß Lichtenhof 69</v>
      </c>
      <c r="D72" s="146" t="str">
        <f>VLOOKUP(A72,member!$A$5:$K$1300,11,FALSE)</f>
        <v>STE</v>
      </c>
    </row>
    <row r="73" spans="1:4" ht="12" x14ac:dyDescent="0.25">
      <c r="A73" s="145">
        <v>38018</v>
      </c>
      <c r="B73" s="146" t="str">
        <f>VLOOKUP(A73,member!$A$5:$K$1300,3,FALSE)&amp;", "&amp;VLOOKUP(A73,member!$A$5:$K$1300,4,FALSE)</f>
        <v>Wunderlich, Henning</v>
      </c>
      <c r="C73" s="146" t="str">
        <f>VLOOKUP(A73,member!$A$5:$K$1300,9,FALSE)</f>
        <v>DJK Rimpar</v>
      </c>
      <c r="D73" s="146" t="str">
        <f>VLOOKUP(A73,member!$A$5:$K$1300,11,FALSE)</f>
        <v>RIM</v>
      </c>
    </row>
    <row r="74" spans="1:4" ht="12" x14ac:dyDescent="0.25">
      <c r="A74" s="145">
        <v>25465</v>
      </c>
      <c r="B74" s="146" t="str">
        <f>VLOOKUP(A74,member!$A$5:$K$1300,3,FALSE)&amp;", "&amp;VLOOKUP(A74,member!$A$5:$K$1300,4,FALSE)</f>
        <v>Wahl, Norbert</v>
      </c>
      <c r="C74" s="146" t="str">
        <f>VLOOKUP(A74,member!$A$5:$K$1300,9,FALSE)</f>
        <v>BF Rot-Weiß Lichtenhof 69</v>
      </c>
      <c r="D74" s="146" t="str">
        <f>VLOOKUP(A74,member!$A$5:$K$1300,11,FALSE)</f>
        <v>STE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Gerd Glaser</cp:lastModifiedBy>
  <cp:lastPrinted>2025-03-17T19:08:43Z</cp:lastPrinted>
  <dcterms:created xsi:type="dcterms:W3CDTF">2008-06-12T13:54:35Z</dcterms:created>
  <dcterms:modified xsi:type="dcterms:W3CDTF">2025-04-06T12:18:18Z</dcterms:modified>
</cp:coreProperties>
</file>